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7920" yWindow="300" windowWidth="11160" windowHeight="11895"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4 Workpaper page 1" sheetId="19" r:id="rId27"/>
    <sheet name="Schedule 4 Workpaper page 2" sheetId="47" r:id="rId28"/>
    <sheet name="Schedule 4 Workpaper page 3" sheetId="21" r:id="rId29"/>
    <sheet name="Schedule 4 Workpaper page 4" sheetId="23" r:id="rId30"/>
    <sheet name="Schedule 4 Workpaper page 5" sheetId="20" r:id="rId31"/>
    <sheet name="Schedule 4 Workpaper page 6" sheetId="6" r:id="rId32"/>
    <sheet name="Schedule 4 Workpaper page 7" sheetId="30" r:id="rId33"/>
    <sheet name="Schedule 5 Workpaper " sheetId="8" r:id="rId34"/>
    <sheet name="Schedule 6 Workpaper page 1" sheetId="10" r:id="rId35"/>
    <sheet name="Schedule 6 Workpaper page 2" sheetId="11" r:id="rId36"/>
    <sheet name="Schedule 6 Workpaper page 3" sheetId="12" r:id="rId37"/>
    <sheet name="Schedule 7 Workpaper" sheetId="42" r:id="rId38"/>
    <sheet name="Schedule 8 Workpaper" sheetId="45" r:id="rId39"/>
  </sheets>
  <externalReferences>
    <externalReference r:id="rId40"/>
  </externalReferences>
  <definedNames>
    <definedName name="_xlnm._FilterDatabase" localSheetId="27" hidden="1">[1]Sheet1!$C$2:$J$195</definedName>
    <definedName name="LKUP_Func">#REF!</definedName>
    <definedName name="_xlnm.Print_Area" localSheetId="7">'Schedule 1'!$A$1:$F$85</definedName>
    <definedName name="_xlnm.Print_Area" localSheetId="21">'Schedule 1 Workpaper'!$A$1:$F$15</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1'!$A$1:$E$62</definedName>
    <definedName name="_xlnm.Print_Area" localSheetId="25">'Schedule 2 Workpaper page 4'!$A$3:$H$159</definedName>
    <definedName name="_xlnm.Print_Area" localSheetId="9">'Schedule 3'!$A$1:$F$55</definedName>
    <definedName name="_xlnm.Print_Area" localSheetId="27">'Schedule 4 Workpaper page 2'!$A$1:$I$296</definedName>
    <definedName name="_xlnm.Print_Area" localSheetId="29">'Schedule 4 Workpaper page 4'!$A$1:$E$20</definedName>
    <definedName name="_xlnm.Print_Area" localSheetId="11">'Schedule 5'!$A$1:$H$68</definedName>
    <definedName name="_xlnm.Print_Area" localSheetId="33">'Schedule 5 Workpaper '!$A$1:$H$60</definedName>
    <definedName name="_xlnm.Print_Area" localSheetId="13">'Schedule 7'!$A$1:$G$80</definedName>
    <definedName name="_xlnm.Print_Area" localSheetId="37">'Schedule 7 Workpaper'!$A$1:$Q$81</definedName>
    <definedName name="_xlnm.Print_Area" localSheetId="2">'Schedule 7, 8 and 9 Rates'!$A$1:$K$25</definedName>
    <definedName name="_xlnm.Print_Area" localSheetId="14">'Schedule 8'!$A$1:$G$25</definedName>
    <definedName name="_xlnm.Print_Area" localSheetId="38">'Schedule 8 Workpaper'!$A$1:$P$19</definedName>
    <definedName name="_xlnm.Print_Area" localSheetId="15">'Schedule 9'!$A$1:$M$56</definedName>
    <definedName name="_xlnm.Print_Area" localSheetId="0">'Title Page'!$A$1:$I$43</definedName>
    <definedName name="_xlnm.Print_Titles" localSheetId="25">'Schedule 2 Workpaper page 4'!$1:$2</definedName>
    <definedName name="_xlnm.Print_Titles" localSheetId="27">'Schedule 4 Workpaper page 2'!$1:$5</definedName>
    <definedName name="_xlnm.Print_Titles" localSheetId="37">'Schedule 7 Workpaper'!$A:$B,'Schedule 7 Workpaper'!$3:$3</definedName>
  </definedNames>
  <calcPr calcId="125725"/>
</workbook>
</file>

<file path=xl/calcChain.xml><?xml version="1.0" encoding="utf-8"?>
<calcChain xmlns="http://schemas.openxmlformats.org/spreadsheetml/2006/main">
  <c r="E7" i="1"/>
  <c r="D72" i="21"/>
  <c r="F12" i="2"/>
  <c r="F13" s="1"/>
  <c r="F20"/>
  <c r="F27"/>
  <c r="F48"/>
  <c r="F49"/>
  <c r="F50"/>
  <c r="F68"/>
  <c r="F73"/>
  <c r="A78" i="14"/>
  <c r="B78"/>
  <c r="C78"/>
  <c r="E78"/>
  <c r="E10" i="42"/>
  <c r="E9"/>
  <c r="Q79"/>
  <c r="G78" i="14" s="1"/>
  <c r="G79" i="42"/>
  <c r="H79" s="1"/>
  <c r="S79"/>
  <c r="E74"/>
  <c r="E71"/>
  <c r="E66"/>
  <c r="E60"/>
  <c r="E61"/>
  <c r="F51" i="2" l="1"/>
  <c r="F52" s="1"/>
  <c r="J79" i="42"/>
  <c r="A269" i="47"/>
  <c r="A270"/>
  <c r="A271" s="1"/>
  <c r="A8"/>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7"/>
  <c r="E67" i="42"/>
  <c r="M79" l="1"/>
  <c r="N79" s="1"/>
  <c r="K79"/>
  <c r="T79"/>
  <c r="U79" s="1"/>
  <c r="A217" i="47"/>
  <c r="O79" i="42" l="1"/>
  <c r="D78" i="14"/>
  <c r="A218" i="47"/>
  <c r="A219" s="1"/>
  <c r="A220" s="1"/>
  <c r="A221" s="1"/>
  <c r="A222" s="1"/>
  <c r="A223" s="1"/>
  <c r="A224" s="1"/>
  <c r="A225" s="1"/>
  <c r="A226" s="1"/>
  <c r="A227" s="1"/>
  <c r="A228" s="1"/>
  <c r="A229" s="1"/>
  <c r="A230" s="1"/>
  <c r="A231" s="1"/>
  <c r="F24" i="3"/>
  <c r="A77" i="14"/>
  <c r="B77"/>
  <c r="C77"/>
  <c r="E77"/>
  <c r="P79" i="42" l="1"/>
  <c r="F78" i="14"/>
  <c r="A232" i="47"/>
  <c r="A233" s="1"/>
  <c r="A234" s="1"/>
  <c r="A235" s="1"/>
  <c r="A236" s="1"/>
  <c r="Q78" i="42"/>
  <c r="G77" i="14" s="1"/>
  <c r="G78" i="42"/>
  <c r="H78" s="1"/>
  <c r="S78"/>
  <c r="G49" i="17"/>
  <c r="A22" i="43"/>
  <c r="A23"/>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16" i="16"/>
  <c r="A17" s="1"/>
  <c r="E14"/>
  <c r="F14"/>
  <c r="G14"/>
  <c r="E15"/>
  <c r="F15"/>
  <c r="G15"/>
  <c r="N16" i="45"/>
  <c r="O16" s="1"/>
  <c r="P16"/>
  <c r="N17"/>
  <c r="O17"/>
  <c r="P17"/>
  <c r="M17"/>
  <c r="M16"/>
  <c r="J17"/>
  <c r="J16"/>
  <c r="I17"/>
  <c r="I16"/>
  <c r="L17"/>
  <c r="S17"/>
  <c r="R17"/>
  <c r="L16"/>
  <c r="S16" s="1"/>
  <c r="R16"/>
  <c r="F16" i="7"/>
  <c r="E17" i="5"/>
  <c r="L21" i="43"/>
  <c r="K21"/>
  <c r="L20"/>
  <c r="K20"/>
  <c r="L18"/>
  <c r="K18"/>
  <c r="L17"/>
  <c r="K17"/>
  <c r="L16"/>
  <c r="K16"/>
  <c r="K19"/>
  <c r="L19"/>
  <c r="L22" s="1"/>
  <c r="L15"/>
  <c r="K15"/>
  <c r="L14"/>
  <c r="K14"/>
  <c r="L13"/>
  <c r="K13"/>
  <c r="L12"/>
  <c r="K12"/>
  <c r="L11"/>
  <c r="K11"/>
  <c r="K22" s="1"/>
  <c r="J78" i="42" l="1"/>
  <c r="M78" s="1"/>
  <c r="T78" s="1"/>
  <c r="U78" s="1"/>
  <c r="A237" i="47"/>
  <c r="A238" s="1"/>
  <c r="A239" s="1"/>
  <c r="A240" s="1"/>
  <c r="A241" s="1"/>
  <c r="A242" s="1"/>
  <c r="A243" s="1"/>
  <c r="A244" s="1"/>
  <c r="A245" s="1"/>
  <c r="A246" s="1"/>
  <c r="A247" s="1"/>
  <c r="A248" s="1"/>
  <c r="A249" s="1"/>
  <c r="A250" s="1"/>
  <c r="A251" s="1"/>
  <c r="K78" i="42"/>
  <c r="O31" i="10"/>
  <c r="N31"/>
  <c r="M31"/>
  <c r="L31"/>
  <c r="J31"/>
  <c r="N30"/>
  <c r="J30"/>
  <c r="J29"/>
  <c r="I31"/>
  <c r="I30"/>
  <c r="L30" s="1"/>
  <c r="M16" i="43"/>
  <c r="G28" s="1"/>
  <c r="M17"/>
  <c r="M18"/>
  <c r="M19"/>
  <c r="M20"/>
  <c r="G29" s="1"/>
  <c r="M21"/>
  <c r="N78" i="42" l="1"/>
  <c r="D77" i="14"/>
  <c r="O78" i="42"/>
  <c r="P78" s="1"/>
  <c r="F77" i="14"/>
  <c r="A252" i="47"/>
  <c r="A253" s="1"/>
  <c r="A254" s="1"/>
  <c r="A255" s="1"/>
  <c r="A256" s="1"/>
  <c r="A257" s="1"/>
  <c r="A258" s="1"/>
  <c r="A259" s="1"/>
  <c r="O30" i="10"/>
  <c r="M30"/>
  <c r="E51" i="43"/>
  <c r="F22"/>
  <c r="F20" i="3"/>
  <c r="A260" i="47" l="1"/>
  <c r="A261" s="1"/>
  <c r="A262" s="1"/>
  <c r="A263" s="1"/>
  <c r="A264" s="1"/>
  <c r="A265" s="1"/>
  <c r="A266" s="1"/>
  <c r="A267" s="1"/>
  <c r="A268"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F38" i="4"/>
  <c r="F74" i="3"/>
  <c r="F53"/>
  <c r="F46"/>
  <c r="F9"/>
  <c r="E40" i="1"/>
  <c r="E13"/>
  <c r="I15" i="45"/>
  <c r="I14"/>
  <c r="I13"/>
  <c r="I12"/>
  <c r="I11"/>
  <c r="I10"/>
  <c r="P15"/>
  <c r="P14"/>
  <c r="P13"/>
  <c r="P12"/>
  <c r="P11"/>
  <c r="P10"/>
  <c r="S12"/>
  <c r="R11"/>
  <c r="R12"/>
  <c r="R13"/>
  <c r="R14"/>
  <c r="R15"/>
  <c r="R10"/>
  <c r="L15"/>
  <c r="M15" s="1"/>
  <c r="L14"/>
  <c r="M14" s="1"/>
  <c r="L13"/>
  <c r="M13" s="1"/>
  <c r="L12"/>
  <c r="M12" s="1"/>
  <c r="L11"/>
  <c r="S11" s="1"/>
  <c r="A13" i="14"/>
  <c r="B13"/>
  <c r="C13"/>
  <c r="E13"/>
  <c r="S53" i="42"/>
  <c r="S54"/>
  <c r="S55"/>
  <c r="S56"/>
  <c r="S57"/>
  <c r="S58"/>
  <c r="S59"/>
  <c r="S60"/>
  <c r="S61"/>
  <c r="S62"/>
  <c r="S63"/>
  <c r="S64"/>
  <c r="S65"/>
  <c r="S66"/>
  <c r="S67"/>
  <c r="S68"/>
  <c r="S69"/>
  <c r="S70"/>
  <c r="S71"/>
  <c r="S72"/>
  <c r="S73"/>
  <c r="S74"/>
  <c r="S75"/>
  <c r="S76"/>
  <c r="S77"/>
  <c r="Q53"/>
  <c r="Q54"/>
  <c r="Q55"/>
  <c r="Q56"/>
  <c r="Q59"/>
  <c r="Q61"/>
  <c r="Q62"/>
  <c r="Q63"/>
  <c r="Q64"/>
  <c r="Q65"/>
  <c r="Q66"/>
  <c r="Q67"/>
  <c r="Q69"/>
  <c r="Q70"/>
  <c r="Q71"/>
  <c r="Q72"/>
  <c r="Q73"/>
  <c r="Q74"/>
  <c r="Q75"/>
  <c r="Q76"/>
  <c r="Q77"/>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9"/>
  <c r="Q15"/>
  <c r="Q16"/>
  <c r="Q17"/>
  <c r="Q18"/>
  <c r="Q19"/>
  <c r="Q20"/>
  <c r="Q21"/>
  <c r="Q22"/>
  <c r="Q23"/>
  <c r="Q24"/>
  <c r="Q25"/>
  <c r="Q26"/>
  <c r="Q27"/>
  <c r="Q28"/>
  <c r="Q29"/>
  <c r="Q30"/>
  <c r="Q31"/>
  <c r="Q32"/>
  <c r="Q33"/>
  <c r="Q34"/>
  <c r="Q35"/>
  <c r="Q36"/>
  <c r="Q37"/>
  <c r="Q38"/>
  <c r="Q39"/>
  <c r="Q40"/>
  <c r="Q41"/>
  <c r="Q42"/>
  <c r="Q43"/>
  <c r="Q44"/>
  <c r="Q45"/>
  <c r="Q46"/>
  <c r="Q47"/>
  <c r="Q48"/>
  <c r="Q49"/>
  <c r="Q50"/>
  <c r="Q51"/>
  <c r="Q52"/>
  <c r="Q14"/>
  <c r="G13" i="14" s="1"/>
  <c r="Q12" i="42"/>
  <c r="Q13"/>
  <c r="Q10"/>
  <c r="Q11"/>
  <c r="Q9"/>
  <c r="D41" i="38"/>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S15" i="45" l="1"/>
  <c r="S14"/>
  <c r="S13"/>
  <c r="M11"/>
  <c r="L10"/>
  <c r="M10" s="1"/>
  <c r="M19" s="1"/>
  <c r="G14" i="42"/>
  <c r="H14" l="1"/>
  <c r="J14"/>
  <c r="S10" i="45"/>
  <c r="A59" i="17"/>
  <c r="A60" s="1"/>
  <c r="A61" s="1"/>
  <c r="A62" s="1"/>
  <c r="E9" i="14"/>
  <c r="G9"/>
  <c r="E10"/>
  <c r="G10"/>
  <c r="E11"/>
  <c r="G11"/>
  <c r="E12"/>
  <c r="G12"/>
  <c r="E14"/>
  <c r="G14"/>
  <c r="E15"/>
  <c r="G15"/>
  <c r="E16"/>
  <c r="G16"/>
  <c r="E17"/>
  <c r="G17"/>
  <c r="E18"/>
  <c r="G18"/>
  <c r="E19"/>
  <c r="G19"/>
  <c r="E20"/>
  <c r="G20"/>
  <c r="E21"/>
  <c r="G21"/>
  <c r="E22"/>
  <c r="G22"/>
  <c r="E23"/>
  <c r="G23"/>
  <c r="E24"/>
  <c r="G24"/>
  <c r="E25"/>
  <c r="G25"/>
  <c r="E26"/>
  <c r="G26"/>
  <c r="E27"/>
  <c r="G27"/>
  <c r="E28"/>
  <c r="G28"/>
  <c r="E29"/>
  <c r="G29"/>
  <c r="E30"/>
  <c r="G30"/>
  <c r="E31"/>
  <c r="G31"/>
  <c r="E32"/>
  <c r="G32"/>
  <c r="E33"/>
  <c r="G33"/>
  <c r="E34"/>
  <c r="G34"/>
  <c r="E35"/>
  <c r="G35"/>
  <c r="E36"/>
  <c r="G36"/>
  <c r="E37"/>
  <c r="G37"/>
  <c r="E38"/>
  <c r="G38"/>
  <c r="E39"/>
  <c r="G39"/>
  <c r="E40"/>
  <c r="G40"/>
  <c r="E41"/>
  <c r="G41"/>
  <c r="E42"/>
  <c r="G42"/>
  <c r="E43"/>
  <c r="G43"/>
  <c r="E44"/>
  <c r="G44"/>
  <c r="E45"/>
  <c r="G45"/>
  <c r="E46"/>
  <c r="G46"/>
  <c r="E47"/>
  <c r="G47"/>
  <c r="E48"/>
  <c r="G48"/>
  <c r="E49"/>
  <c r="G49"/>
  <c r="E50"/>
  <c r="G50"/>
  <c r="E51"/>
  <c r="G51"/>
  <c r="E52"/>
  <c r="E53"/>
  <c r="E54"/>
  <c r="E55"/>
  <c r="E58"/>
  <c r="E60"/>
  <c r="E61"/>
  <c r="E62"/>
  <c r="E63"/>
  <c r="E64"/>
  <c r="E65"/>
  <c r="E66"/>
  <c r="G66"/>
  <c r="E68"/>
  <c r="G68"/>
  <c r="E69"/>
  <c r="G69"/>
  <c r="E70"/>
  <c r="G70"/>
  <c r="E71"/>
  <c r="G71"/>
  <c r="E72"/>
  <c r="G72"/>
  <c r="E73"/>
  <c r="G73"/>
  <c r="E74"/>
  <c r="G74"/>
  <c r="E75"/>
  <c r="G75"/>
  <c r="E76"/>
  <c r="G76"/>
  <c r="B9"/>
  <c r="C9"/>
  <c r="B10"/>
  <c r="C10"/>
  <c r="B11"/>
  <c r="C11"/>
  <c r="B12"/>
  <c r="C12"/>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C58"/>
  <c r="C59"/>
  <c r="C60"/>
  <c r="C61"/>
  <c r="C62"/>
  <c r="C63"/>
  <c r="C64"/>
  <c r="B65"/>
  <c r="C65"/>
  <c r="B66"/>
  <c r="C66"/>
  <c r="B67"/>
  <c r="C67"/>
  <c r="B68"/>
  <c r="C68"/>
  <c r="B69"/>
  <c r="C69"/>
  <c r="B70"/>
  <c r="C70"/>
  <c r="B71"/>
  <c r="C71"/>
  <c r="B72"/>
  <c r="C72"/>
  <c r="B73"/>
  <c r="C73"/>
  <c r="B74"/>
  <c r="C74"/>
  <c r="B75"/>
  <c r="C75"/>
  <c r="B76"/>
  <c r="C76"/>
  <c r="A9"/>
  <c r="A10"/>
  <c r="A11"/>
  <c r="A12"/>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Q60" i="42"/>
  <c r="G73"/>
  <c r="G69"/>
  <c r="E68"/>
  <c r="Q68" l="1"/>
  <c r="G67" i="14" s="1"/>
  <c r="J73" i="42"/>
  <c r="M73" s="1"/>
  <c r="N73" s="1"/>
  <c r="J69"/>
  <c r="M69" s="1"/>
  <c r="N69" s="1"/>
  <c r="K14"/>
  <c r="M14"/>
  <c r="N14" s="1"/>
  <c r="H73"/>
  <c r="E67" i="14"/>
  <c r="E59"/>
  <c r="H69" i="42"/>
  <c r="K73" l="1"/>
  <c r="O73"/>
  <c r="D72" i="14"/>
  <c r="K69" i="42"/>
  <c r="O69" s="1"/>
  <c r="P69" s="1"/>
  <c r="D13" i="14"/>
  <c r="O14" i="42"/>
  <c r="T69"/>
  <c r="U69" s="1"/>
  <c r="T73"/>
  <c r="U73" s="1"/>
  <c r="T14"/>
  <c r="U14" s="1"/>
  <c r="D68" i="14"/>
  <c r="P14" i="42" l="1"/>
  <c r="F13" i="14"/>
  <c r="F68"/>
  <c r="P73" i="42"/>
  <c r="F72" i="14"/>
  <c r="G30" i="43" l="1"/>
  <c r="G20" i="42"/>
  <c r="F30" i="43"/>
  <c r="J20" i="42" l="1"/>
  <c r="M20" s="1"/>
  <c r="N20" s="1"/>
  <c r="H20"/>
  <c r="H29" i="43"/>
  <c r="K20" i="42" l="1"/>
  <c r="T20"/>
  <c r="U20" s="1"/>
  <c r="O20"/>
  <c r="D19" i="14"/>
  <c r="P20" i="42"/>
  <c r="F19" i="14" l="1"/>
  <c r="E9" i="16"/>
  <c r="E10"/>
  <c r="E11"/>
  <c r="E12"/>
  <c r="E13"/>
  <c r="E8"/>
  <c r="H28" i="43" l="1"/>
  <c r="E39"/>
  <c r="J15"/>
  <c r="J14"/>
  <c r="J13"/>
  <c r="J12"/>
  <c r="J11"/>
  <c r="J22" s="1"/>
  <c r="G67" i="42" l="1"/>
  <c r="J67" l="1"/>
  <c r="M67" s="1"/>
  <c r="N67" s="1"/>
  <c r="H67"/>
  <c r="K67" l="1"/>
  <c r="T67"/>
  <c r="U67" s="1"/>
  <c r="O67"/>
  <c r="D66" i="14"/>
  <c r="E13" i="35"/>
  <c r="E26"/>
  <c r="E24"/>
  <c r="E22"/>
  <c r="E20"/>
  <c r="E15"/>
  <c r="E11"/>
  <c r="F42"/>
  <c r="E52" i="17"/>
  <c r="E53"/>
  <c r="E54"/>
  <c r="E55"/>
  <c r="E51"/>
  <c r="E50"/>
  <c r="E49"/>
  <c r="P67" i="42" l="1"/>
  <c r="F66" i="14"/>
  <c r="A6" i="45"/>
  <c r="A5" i="42" l="1"/>
  <c r="A5" i="12" l="1"/>
  <c r="A3" i="11"/>
  <c r="A3" i="10"/>
  <c r="A3" i="8" l="1"/>
  <c r="A3" i="23" l="1"/>
  <c r="A3" i="21"/>
  <c r="A3" i="47"/>
  <c r="A3" i="19"/>
  <c r="A8" i="35" l="1"/>
  <c r="A3" i="29"/>
  <c r="A3" i="18"/>
  <c r="A3" i="17"/>
  <c r="A12" i="5" l="1"/>
  <c r="A13" s="1"/>
  <c r="A14" s="1"/>
  <c r="A15" s="1"/>
  <c r="A16" s="1"/>
  <c r="A17" s="1"/>
  <c r="A18" s="1"/>
  <c r="A19" s="1"/>
  <c r="A20" s="1"/>
  <c r="A21" s="1"/>
  <c r="A22" s="1"/>
  <c r="A23" s="1"/>
  <c r="F31" i="19" l="1"/>
  <c r="G283" i="47" l="1"/>
  <c r="G282"/>
  <c r="G281"/>
  <c r="G280"/>
  <c r="G285" l="1"/>
  <c r="F11" i="7" l="1"/>
  <c r="F12" s="1"/>
  <c r="F13" s="1"/>
  <c r="F14" s="1"/>
  <c r="F15" s="1"/>
  <c r="F17" s="1"/>
  <c r="F18" s="1"/>
  <c r="F19" s="1"/>
  <c r="F20" s="1"/>
  <c r="F21" s="1"/>
  <c r="F22" s="1"/>
  <c r="K16" i="6"/>
  <c r="K13"/>
  <c r="K14"/>
  <c r="K15"/>
  <c r="K17"/>
  <c r="K18"/>
  <c r="K19"/>
  <c r="K20"/>
  <c r="K21"/>
  <c r="K22"/>
  <c r="K24"/>
  <c r="K25"/>
  <c r="K26"/>
  <c r="K27"/>
  <c r="K28"/>
  <c r="K29"/>
  <c r="K12"/>
  <c r="G32"/>
  <c r="E32"/>
  <c r="I32"/>
  <c r="K30"/>
  <c r="K23" l="1"/>
  <c r="K34" s="1"/>
  <c r="B18" i="23"/>
  <c r="D70" i="21"/>
  <c r="E70"/>
  <c r="F70"/>
  <c r="G70"/>
  <c r="H70"/>
  <c r="I70"/>
  <c r="J70"/>
  <c r="C70"/>
  <c r="F32" i="19"/>
  <c r="E12" i="5" s="1"/>
  <c r="D32" i="19"/>
  <c r="E11" i="12"/>
  <c r="G40" i="10"/>
  <c r="F40"/>
  <c r="N38"/>
  <c r="I38"/>
  <c r="L38" s="1"/>
  <c r="I37"/>
  <c r="L37" s="1"/>
  <c r="M37" s="1"/>
  <c r="N37"/>
  <c r="N36"/>
  <c r="K40"/>
  <c r="I36"/>
  <c r="I40" s="1"/>
  <c r="G33"/>
  <c r="G44" s="1"/>
  <c r="E11" i="9" s="1"/>
  <c r="F33" i="10"/>
  <c r="F44" s="1"/>
  <c r="N29"/>
  <c r="I29"/>
  <c r="N28"/>
  <c r="J28"/>
  <c r="I28"/>
  <c r="N27"/>
  <c r="J27"/>
  <c r="I27"/>
  <c r="N26"/>
  <c r="J26"/>
  <c r="I26"/>
  <c r="N25"/>
  <c r="J25"/>
  <c r="I25"/>
  <c r="N24"/>
  <c r="J24"/>
  <c r="I24"/>
  <c r="N23"/>
  <c r="J23"/>
  <c r="I23"/>
  <c r="N22"/>
  <c r="J22"/>
  <c r="I22"/>
  <c r="N21"/>
  <c r="J21"/>
  <c r="I21"/>
  <c r="N20"/>
  <c r="J20"/>
  <c r="I20"/>
  <c r="N19"/>
  <c r="J19"/>
  <c r="I19"/>
  <c r="N18"/>
  <c r="J18"/>
  <c r="I18"/>
  <c r="N17"/>
  <c r="J17"/>
  <c r="J33" s="1"/>
  <c r="I17"/>
  <c r="N33"/>
  <c r="K33"/>
  <c r="K44" s="1"/>
  <c r="I33"/>
  <c r="I44" s="1"/>
  <c r="G10" i="20" l="1"/>
  <c r="E10"/>
  <c r="L17" i="10"/>
  <c r="L19"/>
  <c r="L21"/>
  <c r="L23"/>
  <c r="L25"/>
  <c r="L27"/>
  <c r="L29"/>
  <c r="O29" s="1"/>
  <c r="O37"/>
  <c r="L18"/>
  <c r="M18" s="1"/>
  <c r="L20"/>
  <c r="M20" s="1"/>
  <c r="L22"/>
  <c r="M22" s="1"/>
  <c r="L24"/>
  <c r="M24" s="1"/>
  <c r="L26"/>
  <c r="M26" s="1"/>
  <c r="L28"/>
  <c r="M28" s="1"/>
  <c r="J40"/>
  <c r="J44" s="1"/>
  <c r="O20"/>
  <c r="O24"/>
  <c r="O26"/>
  <c r="N40"/>
  <c r="N44" s="1"/>
  <c r="O17"/>
  <c r="M17"/>
  <c r="O19"/>
  <c r="M19"/>
  <c r="O21"/>
  <c r="M21"/>
  <c r="O23"/>
  <c r="M23"/>
  <c r="O25"/>
  <c r="M25"/>
  <c r="O27"/>
  <c r="M27"/>
  <c r="M29"/>
  <c r="O38"/>
  <c r="M38"/>
  <c r="O18"/>
  <c r="O22"/>
  <c r="L36"/>
  <c r="O36" s="1"/>
  <c r="O28" l="1"/>
  <c r="M36"/>
  <c r="L40"/>
  <c r="L33"/>
  <c r="O40"/>
  <c r="L44" l="1"/>
  <c r="O44" s="1"/>
  <c r="H11" i="9" s="1"/>
  <c r="O33" i="10"/>
  <c r="G9" i="42" l="1"/>
  <c r="G10"/>
  <c r="G11"/>
  <c r="G12"/>
  <c r="G13"/>
  <c r="G15"/>
  <c r="G16"/>
  <c r="G17"/>
  <c r="G18"/>
  <c r="G19"/>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8"/>
  <c r="G70"/>
  <c r="G71"/>
  <c r="G74"/>
  <c r="G72"/>
  <c r="G75"/>
  <c r="G76"/>
  <c r="G77"/>
  <c r="J72" l="1"/>
  <c r="M72" s="1"/>
  <c r="N72" s="1"/>
  <c r="J71"/>
  <c r="M71" s="1"/>
  <c r="N71" s="1"/>
  <c r="J66"/>
  <c r="M66" s="1"/>
  <c r="N66" s="1"/>
  <c r="J62"/>
  <c r="M62" s="1"/>
  <c r="N62" s="1"/>
  <c r="J58"/>
  <c r="M58" s="1"/>
  <c r="J55"/>
  <c r="M55" s="1"/>
  <c r="N55" s="1"/>
  <c r="J52"/>
  <c r="M52" s="1"/>
  <c r="N52" s="1"/>
  <c r="J50"/>
  <c r="M50" s="1"/>
  <c r="N50" s="1"/>
  <c r="J46"/>
  <c r="M46" s="1"/>
  <c r="N46" s="1"/>
  <c r="J42"/>
  <c r="M42" s="1"/>
  <c r="N42" s="1"/>
  <c r="J38"/>
  <c r="M38" s="1"/>
  <c r="N38" s="1"/>
  <c r="J77"/>
  <c r="M77" s="1"/>
  <c r="N77" s="1"/>
  <c r="J75"/>
  <c r="M75" s="1"/>
  <c r="N75" s="1"/>
  <c r="J74"/>
  <c r="M74" s="1"/>
  <c r="N74" s="1"/>
  <c r="J70"/>
  <c r="M70" s="1"/>
  <c r="N70" s="1"/>
  <c r="J65"/>
  <c r="M65" s="1"/>
  <c r="N65" s="1"/>
  <c r="J63"/>
  <c r="M63" s="1"/>
  <c r="N63" s="1"/>
  <c r="J61"/>
  <c r="M61" s="1"/>
  <c r="N61" s="1"/>
  <c r="J59"/>
  <c r="M59" s="1"/>
  <c r="N59" s="1"/>
  <c r="J57"/>
  <c r="M57" s="1"/>
  <c r="J56"/>
  <c r="M56" s="1"/>
  <c r="N56" s="1"/>
  <c r="J53"/>
  <c r="M53" s="1"/>
  <c r="N53" s="1"/>
  <c r="J51"/>
  <c r="M51" s="1"/>
  <c r="N51" s="1"/>
  <c r="J49"/>
  <c r="M49" s="1"/>
  <c r="N49" s="1"/>
  <c r="J47"/>
  <c r="M47" s="1"/>
  <c r="N47" s="1"/>
  <c r="J45"/>
  <c r="M45" s="1"/>
  <c r="N45" s="1"/>
  <c r="J43"/>
  <c r="M43" s="1"/>
  <c r="N43" s="1"/>
  <c r="J41"/>
  <c r="M41" s="1"/>
  <c r="N41" s="1"/>
  <c r="J39"/>
  <c r="M39" s="1"/>
  <c r="N39" s="1"/>
  <c r="J37"/>
  <c r="M37" s="1"/>
  <c r="N37" s="1"/>
  <c r="J35"/>
  <c r="M35" s="1"/>
  <c r="N35" s="1"/>
  <c r="J33"/>
  <c r="M33" s="1"/>
  <c r="N33" s="1"/>
  <c r="J31"/>
  <c r="M31" s="1"/>
  <c r="N31" s="1"/>
  <c r="J29"/>
  <c r="M29" s="1"/>
  <c r="N29" s="1"/>
  <c r="J27"/>
  <c r="M27" s="1"/>
  <c r="N27" s="1"/>
  <c r="J25"/>
  <c r="M25" s="1"/>
  <c r="N25" s="1"/>
  <c r="J22"/>
  <c r="M22" s="1"/>
  <c r="N22" s="1"/>
  <c r="J19"/>
  <c r="M19" s="1"/>
  <c r="N19" s="1"/>
  <c r="J17"/>
  <c r="M17" s="1"/>
  <c r="N17" s="1"/>
  <c r="J15"/>
  <c r="M15" s="1"/>
  <c r="N15" s="1"/>
  <c r="J12"/>
  <c r="M12" s="1"/>
  <c r="N12" s="1"/>
  <c r="J11"/>
  <c r="K11" s="1"/>
  <c r="J10"/>
  <c r="J9"/>
  <c r="K9" s="1"/>
  <c r="J76"/>
  <c r="M76" s="1"/>
  <c r="N76" s="1"/>
  <c r="J68"/>
  <c r="M68" s="1"/>
  <c r="N68" s="1"/>
  <c r="J64"/>
  <c r="M64" s="1"/>
  <c r="N64" s="1"/>
  <c r="J60"/>
  <c r="M60" s="1"/>
  <c r="N60" s="1"/>
  <c r="J54"/>
  <c r="M54" s="1"/>
  <c r="N54" s="1"/>
  <c r="J48"/>
  <c r="M48" s="1"/>
  <c r="N48" s="1"/>
  <c r="J44"/>
  <c r="M44" s="1"/>
  <c r="N44" s="1"/>
  <c r="J40"/>
  <c r="M40" s="1"/>
  <c r="N40" s="1"/>
  <c r="J36"/>
  <c r="M36" s="1"/>
  <c r="N36" s="1"/>
  <c r="J34"/>
  <c r="M34" s="1"/>
  <c r="N34" s="1"/>
  <c r="J32"/>
  <c r="M32" s="1"/>
  <c r="N32" s="1"/>
  <c r="J30"/>
  <c r="M30" s="1"/>
  <c r="N30" s="1"/>
  <c r="J28"/>
  <c r="M28" s="1"/>
  <c r="N28" s="1"/>
  <c r="J26"/>
  <c r="M26" s="1"/>
  <c r="N26" s="1"/>
  <c r="J24"/>
  <c r="M24" s="1"/>
  <c r="N24" s="1"/>
  <c r="J23"/>
  <c r="M23" s="1"/>
  <c r="N23" s="1"/>
  <c r="J21"/>
  <c r="M21" s="1"/>
  <c r="N21" s="1"/>
  <c r="J18"/>
  <c r="M18" s="1"/>
  <c r="N18" s="1"/>
  <c r="J16"/>
  <c r="M16" s="1"/>
  <c r="N16" s="1"/>
  <c r="J13"/>
  <c r="M13" s="1"/>
  <c r="N13" s="1"/>
  <c r="H21"/>
  <c r="K68"/>
  <c r="K47"/>
  <c r="K77"/>
  <c r="K74"/>
  <c r="K52"/>
  <c r="K50"/>
  <c r="K46"/>
  <c r="K43"/>
  <c r="K39"/>
  <c r="K35"/>
  <c r="K31"/>
  <c r="K27"/>
  <c r="K25"/>
  <c r="K22"/>
  <c r="K17"/>
  <c r="K12"/>
  <c r="K10"/>
  <c r="K71"/>
  <c r="K42"/>
  <c r="K34"/>
  <c r="K28"/>
  <c r="K21"/>
  <c r="H51"/>
  <c r="H47"/>
  <c r="H42"/>
  <c r="H38"/>
  <c r="H34"/>
  <c r="H28"/>
  <c r="H52"/>
  <c r="O52" s="1"/>
  <c r="H50"/>
  <c r="H48"/>
  <c r="H46"/>
  <c r="H45"/>
  <c r="H43"/>
  <c r="H41"/>
  <c r="H39"/>
  <c r="H37"/>
  <c r="H35"/>
  <c r="H33"/>
  <c r="H31"/>
  <c r="H29"/>
  <c r="H27"/>
  <c r="H25"/>
  <c r="H22"/>
  <c r="H19"/>
  <c r="H17"/>
  <c r="H15"/>
  <c r="H12"/>
  <c r="H11"/>
  <c r="H10"/>
  <c r="H9"/>
  <c r="H49"/>
  <c r="H44"/>
  <c r="H40"/>
  <c r="H36"/>
  <c r="H32"/>
  <c r="H30"/>
  <c r="H26"/>
  <c r="H24"/>
  <c r="H23"/>
  <c r="H18"/>
  <c r="H16"/>
  <c r="H13"/>
  <c r="K16" l="1"/>
  <c r="K24"/>
  <c r="K33"/>
  <c r="K37"/>
  <c r="K41"/>
  <c r="O41" s="1"/>
  <c r="K45"/>
  <c r="O45" s="1"/>
  <c r="P45" s="1"/>
  <c r="K70"/>
  <c r="K75"/>
  <c r="K32"/>
  <c r="K49"/>
  <c r="K72"/>
  <c r="T41"/>
  <c r="U41" s="1"/>
  <c r="T50"/>
  <c r="U50" s="1"/>
  <c r="K26"/>
  <c r="K76"/>
  <c r="T22"/>
  <c r="U22" s="1"/>
  <c r="T25"/>
  <c r="U25" s="1"/>
  <c r="T33"/>
  <c r="U33" s="1"/>
  <c r="D40" i="14"/>
  <c r="T43" i="42"/>
  <c r="U43" s="1"/>
  <c r="T45"/>
  <c r="U45" s="1"/>
  <c r="T53"/>
  <c r="U53" s="1"/>
  <c r="D49" i="14"/>
  <c r="T52" i="42"/>
  <c r="U52" s="1"/>
  <c r="T62"/>
  <c r="U62" s="1"/>
  <c r="D71" i="14"/>
  <c r="T72" i="42"/>
  <c r="U72" s="1"/>
  <c r="K13"/>
  <c r="K38"/>
  <c r="O38" s="1"/>
  <c r="P38" s="1"/>
  <c r="K51"/>
  <c r="K15"/>
  <c r="O15" s="1"/>
  <c r="P15" s="1"/>
  <c r="K19"/>
  <c r="K29"/>
  <c r="K48"/>
  <c r="O48" s="1"/>
  <c r="P48" s="1"/>
  <c r="T26"/>
  <c r="U26" s="1"/>
  <c r="T48"/>
  <c r="U48" s="1"/>
  <c r="T29"/>
  <c r="U29" s="1"/>
  <c r="D47" i="14"/>
  <c r="T64" i="42"/>
  <c r="U64" s="1"/>
  <c r="K18"/>
  <c r="T18"/>
  <c r="U18" s="1"/>
  <c r="T34"/>
  <c r="U34" s="1"/>
  <c r="D63" i="14"/>
  <c r="D67"/>
  <c r="T68" i="42"/>
  <c r="U68" s="1"/>
  <c r="T12"/>
  <c r="U12" s="1"/>
  <c r="D28" i="14"/>
  <c r="D32"/>
  <c r="T37" i="42"/>
  <c r="U37" s="1"/>
  <c r="T59"/>
  <c r="U59" s="1"/>
  <c r="T42"/>
  <c r="U42" s="1"/>
  <c r="D61" i="14"/>
  <c r="T66" i="42"/>
  <c r="U66" s="1"/>
  <c r="O17"/>
  <c r="P17" s="1"/>
  <c r="O22"/>
  <c r="O28"/>
  <c r="P28" s="1"/>
  <c r="K23"/>
  <c r="O23" s="1"/>
  <c r="P23" s="1"/>
  <c r="K30"/>
  <c r="K40"/>
  <c r="T13"/>
  <c r="U13" s="1"/>
  <c r="T23"/>
  <c r="U23" s="1"/>
  <c r="T30"/>
  <c r="U30" s="1"/>
  <c r="T40"/>
  <c r="U40" s="1"/>
  <c r="T60"/>
  <c r="U60" s="1"/>
  <c r="D75" i="14"/>
  <c r="T76" i="42"/>
  <c r="U76" s="1"/>
  <c r="M10"/>
  <c r="D9" i="14" s="1"/>
  <c r="T17" i="42"/>
  <c r="U17" s="1"/>
  <c r="T27"/>
  <c r="U27" s="1"/>
  <c r="T39"/>
  <c r="U39" s="1"/>
  <c r="D44" i="14"/>
  <c r="T49" i="42"/>
  <c r="U49" s="1"/>
  <c r="T56"/>
  <c r="U56" s="1"/>
  <c r="T63"/>
  <c r="U63" s="1"/>
  <c r="D69" i="14"/>
  <c r="T70" i="42"/>
  <c r="U70" s="1"/>
  <c r="T77"/>
  <c r="U77" s="1"/>
  <c r="T46"/>
  <c r="U46" s="1"/>
  <c r="T55"/>
  <c r="U55" s="1"/>
  <c r="T71"/>
  <c r="U71" s="1"/>
  <c r="O21"/>
  <c r="M9"/>
  <c r="N9" s="1"/>
  <c r="M11"/>
  <c r="N11" s="1"/>
  <c r="O16"/>
  <c r="P16" s="1"/>
  <c r="O32"/>
  <c r="P32" s="1"/>
  <c r="O49"/>
  <c r="P49" s="1"/>
  <c r="O19"/>
  <c r="P19" s="1"/>
  <c r="O27"/>
  <c r="P27" s="1"/>
  <c r="O35"/>
  <c r="P35" s="1"/>
  <c r="O39"/>
  <c r="P39" s="1"/>
  <c r="O46"/>
  <c r="P46" s="1"/>
  <c r="O47"/>
  <c r="P47" s="1"/>
  <c r="O18"/>
  <c r="P18" s="1"/>
  <c r="O24"/>
  <c r="P24" s="1"/>
  <c r="O30"/>
  <c r="P30" s="1"/>
  <c r="O25"/>
  <c r="P25" s="1"/>
  <c r="O29"/>
  <c r="P29" s="1"/>
  <c r="O33"/>
  <c r="P33" s="1"/>
  <c r="O37"/>
  <c r="P37" s="1"/>
  <c r="O51"/>
  <c r="P51" s="1"/>
  <c r="O34"/>
  <c r="P34" s="1"/>
  <c r="O42"/>
  <c r="O13"/>
  <c r="P13" s="1"/>
  <c r="P21"/>
  <c r="O12"/>
  <c r="P12" s="1"/>
  <c r="K36"/>
  <c r="O36" s="1"/>
  <c r="P36" s="1"/>
  <c r="K44"/>
  <c r="O44" s="1"/>
  <c r="P44" s="1"/>
  <c r="D12" i="14"/>
  <c r="T16" i="42"/>
  <c r="U16" s="1"/>
  <c r="D17" i="14"/>
  <c r="T21" i="42"/>
  <c r="U21" s="1"/>
  <c r="D22" i="14"/>
  <c r="T24" i="42"/>
  <c r="U24" s="1"/>
  <c r="D25" i="14"/>
  <c r="T28" i="42"/>
  <c r="U28" s="1"/>
  <c r="D29" i="14"/>
  <c r="T32" i="42"/>
  <c r="U32" s="1"/>
  <c r="D33" i="14"/>
  <c r="T36" i="42"/>
  <c r="U36" s="1"/>
  <c r="D39" i="14"/>
  <c r="T44" i="42"/>
  <c r="U44" s="1"/>
  <c r="T54"/>
  <c r="U54" s="1"/>
  <c r="D59" i="14"/>
  <c r="D11"/>
  <c r="T15" i="42"/>
  <c r="U15" s="1"/>
  <c r="D16" i="14"/>
  <c r="T19" i="42"/>
  <c r="U19" s="1"/>
  <c r="D21" i="14"/>
  <c r="D24"/>
  <c r="D26"/>
  <c r="T31" i="42"/>
  <c r="U31" s="1"/>
  <c r="T35"/>
  <c r="U35" s="1"/>
  <c r="D36" i="14"/>
  <c r="D38"/>
  <c r="D42"/>
  <c r="T47" i="42"/>
  <c r="U47" s="1"/>
  <c r="D48" i="14"/>
  <c r="T51" i="42"/>
  <c r="U51" s="1"/>
  <c r="D52" i="14"/>
  <c r="D55"/>
  <c r="T57" i="42"/>
  <c r="U57" s="1"/>
  <c r="D58" i="14"/>
  <c r="T61" i="42"/>
  <c r="U61" s="1"/>
  <c r="D62" i="14"/>
  <c r="T65" i="42"/>
  <c r="U65" s="1"/>
  <c r="D73" i="14"/>
  <c r="T74" i="42"/>
  <c r="U74" s="1"/>
  <c r="T75"/>
  <c r="U75" s="1"/>
  <c r="D76" i="14"/>
  <c r="T38" i="42"/>
  <c r="U38" s="1"/>
  <c r="D41" i="14"/>
  <c r="D45"/>
  <c r="D51"/>
  <c r="D54"/>
  <c r="T58" i="42"/>
  <c r="U58" s="1"/>
  <c r="D65" i="14"/>
  <c r="D70"/>
  <c r="O26" i="42"/>
  <c r="P26" s="1"/>
  <c r="O40"/>
  <c r="P40" s="1"/>
  <c r="O31"/>
  <c r="P31" s="1"/>
  <c r="O43"/>
  <c r="P43" s="1"/>
  <c r="O50"/>
  <c r="P50" s="1"/>
  <c r="D15" i="14"/>
  <c r="D20"/>
  <c r="D23"/>
  <c r="D27"/>
  <c r="D31"/>
  <c r="D35"/>
  <c r="D43"/>
  <c r="D53"/>
  <c r="D14"/>
  <c r="D18"/>
  <c r="D30"/>
  <c r="D34"/>
  <c r="D46"/>
  <c r="D50"/>
  <c r="D56"/>
  <c r="D60"/>
  <c r="D64"/>
  <c r="D74"/>
  <c r="D37"/>
  <c r="D57"/>
  <c r="P52" i="42"/>
  <c r="P42"/>
  <c r="P22"/>
  <c r="O9"/>
  <c r="O11"/>
  <c r="P11" s="1"/>
  <c r="H68"/>
  <c r="O68" s="1"/>
  <c r="H64"/>
  <c r="Q58"/>
  <c r="H77"/>
  <c r="H76"/>
  <c r="H75"/>
  <c r="O75" s="1"/>
  <c r="H63"/>
  <c r="H72"/>
  <c r="H74"/>
  <c r="H71"/>
  <c r="H70"/>
  <c r="H66"/>
  <c r="H65"/>
  <c r="H62"/>
  <c r="H61"/>
  <c r="H60"/>
  <c r="H59"/>
  <c r="C59"/>
  <c r="B58" i="14" s="1"/>
  <c r="F50"/>
  <c r="F46"/>
  <c r="F20"/>
  <c r="F17"/>
  <c r="G52"/>
  <c r="H53" i="42"/>
  <c r="F48" i="14"/>
  <c r="F42"/>
  <c r="F38"/>
  <c r="F21"/>
  <c r="P41" i="42" l="1"/>
  <c r="F40" i="14"/>
  <c r="D10"/>
  <c r="T9" i="42"/>
  <c r="U9" s="1"/>
  <c r="F31" i="14"/>
  <c r="N10" i="42"/>
  <c r="O10" s="1"/>
  <c r="P10" s="1"/>
  <c r="T10"/>
  <c r="U10" s="1"/>
  <c r="D8" i="14"/>
  <c r="N58" i="42"/>
  <c r="T11"/>
  <c r="U11" s="1"/>
  <c r="Q57"/>
  <c r="N57"/>
  <c r="P75"/>
  <c r="O74"/>
  <c r="P74" s="1"/>
  <c r="O72"/>
  <c r="P72" s="1"/>
  <c r="O71"/>
  <c r="P71" s="1"/>
  <c r="O70"/>
  <c r="P70" s="1"/>
  <c r="O77"/>
  <c r="P77" s="1"/>
  <c r="O76"/>
  <c r="P76" s="1"/>
  <c r="E56" i="14"/>
  <c r="P68" i="42"/>
  <c r="E57" i="14"/>
  <c r="K53" i="42"/>
  <c r="O53" s="1"/>
  <c r="E81"/>
  <c r="E82" i="14" s="1"/>
  <c r="C60" i="42"/>
  <c r="B59" i="14" s="1"/>
  <c r="F28"/>
  <c r="F37"/>
  <c r="F39"/>
  <c r="F41"/>
  <c r="F22"/>
  <c r="F47"/>
  <c r="F49"/>
  <c r="F51"/>
  <c r="F32"/>
  <c r="F18"/>
  <c r="F11"/>
  <c r="F24"/>
  <c r="F15"/>
  <c r="F16"/>
  <c r="F36"/>
  <c r="F74"/>
  <c r="F44"/>
  <c r="F23"/>
  <c r="F35"/>
  <c r="F26"/>
  <c r="F45"/>
  <c r="F33"/>
  <c r="F34"/>
  <c r="F25"/>
  <c r="F14"/>
  <c r="F71"/>
  <c r="F12"/>
  <c r="F43"/>
  <c r="F30"/>
  <c r="F10"/>
  <c r="F27"/>
  <c r="F29"/>
  <c r="F69" l="1"/>
  <c r="F70"/>
  <c r="F75"/>
  <c r="F9"/>
  <c r="F73"/>
  <c r="N81" i="42"/>
  <c r="F76" i="14"/>
  <c r="P53" i="42"/>
  <c r="F52" i="14"/>
  <c r="G53"/>
  <c r="K54" i="42"/>
  <c r="F67" i="14"/>
  <c r="C61" i="42"/>
  <c r="B60" i="14" s="1"/>
  <c r="H54" i="42"/>
  <c r="P9"/>
  <c r="J32" i="6"/>
  <c r="I15" i="43"/>
  <c r="H15"/>
  <c r="I14"/>
  <c r="H14"/>
  <c r="I13"/>
  <c r="H13"/>
  <c r="G13"/>
  <c r="M13" s="1"/>
  <c r="I12"/>
  <c r="H12"/>
  <c r="G12"/>
  <c r="I11"/>
  <c r="H11"/>
  <c r="G11"/>
  <c r="M11" s="1"/>
  <c r="I10"/>
  <c r="H10"/>
  <c r="G10"/>
  <c r="O54" i="42" l="1"/>
  <c r="G22" i="43"/>
  <c r="M10"/>
  <c r="H22"/>
  <c r="I22"/>
  <c r="M12"/>
  <c r="M14"/>
  <c r="M15"/>
  <c r="P54" i="42"/>
  <c r="C62"/>
  <c r="B61" i="14" s="1"/>
  <c r="M22" i="43" l="1"/>
  <c r="G54" i="14"/>
  <c r="K55" i="42"/>
  <c r="F53" i="14"/>
  <c r="C63" i="42"/>
  <c r="B62" i="14" s="1"/>
  <c r="H30" i="43"/>
  <c r="H55" i="42"/>
  <c r="O55" l="1"/>
  <c r="P55" s="1"/>
  <c r="G55" i="14"/>
  <c r="K56" i="42"/>
  <c r="C64"/>
  <c r="B63" i="14" s="1"/>
  <c r="H56" i="42"/>
  <c r="E11" i="20"/>
  <c r="G11" s="1"/>
  <c r="F54" i="14" l="1"/>
  <c r="O56" i="42"/>
  <c r="P56" s="1"/>
  <c r="C65"/>
  <c r="B64" i="14" s="1"/>
  <c r="F55" l="1"/>
  <c r="G56"/>
  <c r="K57" i="42"/>
  <c r="I59"/>
  <c r="H58"/>
  <c r="H57"/>
  <c r="C12" i="7"/>
  <c r="C13"/>
  <c r="C14"/>
  <c r="C15"/>
  <c r="C16"/>
  <c r="C17"/>
  <c r="C18"/>
  <c r="C19"/>
  <c r="C20"/>
  <c r="C21"/>
  <c r="C22"/>
  <c r="C11"/>
  <c r="O57" i="42" l="1"/>
  <c r="P57" s="1"/>
  <c r="G58" i="14"/>
  <c r="K59" i="42"/>
  <c r="G57" i="14"/>
  <c r="K58" i="42"/>
  <c r="O58" s="1"/>
  <c r="H81"/>
  <c r="I60"/>
  <c r="H60" i="7"/>
  <c r="H56"/>
  <c r="H57"/>
  <c r="H58"/>
  <c r="H59"/>
  <c r="H61"/>
  <c r="H62"/>
  <c r="H63"/>
  <c r="H64"/>
  <c r="H65"/>
  <c r="H66"/>
  <c r="H55"/>
  <c r="F68"/>
  <c r="G68"/>
  <c r="B68"/>
  <c r="C68"/>
  <c r="D68"/>
  <c r="E68"/>
  <c r="O59" i="42" l="1"/>
  <c r="P59" s="1"/>
  <c r="P58"/>
  <c r="F57" i="14"/>
  <c r="G59"/>
  <c r="K60" i="42"/>
  <c r="F56" i="14"/>
  <c r="F58"/>
  <c r="D11" i="7"/>
  <c r="H68"/>
  <c r="I61" i="42"/>
  <c r="G278" i="47"/>
  <c r="O60" i="42" l="1"/>
  <c r="P60" s="1"/>
  <c r="G60" i="14"/>
  <c r="K61" i="42"/>
  <c r="D24" i="7"/>
  <c r="E35" i="32"/>
  <c r="I62" i="42"/>
  <c r="O61" l="1"/>
  <c r="P61" s="1"/>
  <c r="F59" i="14"/>
  <c r="G61"/>
  <c r="K62" i="42"/>
  <c r="F60" i="14"/>
  <c r="I63" i="42"/>
  <c r="O62" l="1"/>
  <c r="P62" s="1"/>
  <c r="G62" i="14"/>
  <c r="K63" i="42"/>
  <c r="I64"/>
  <c r="O63" l="1"/>
  <c r="P63" s="1"/>
  <c r="F61" i="14"/>
  <c r="G63"/>
  <c r="K64" i="42"/>
  <c r="F62" i="14"/>
  <c r="I65" i="42"/>
  <c r="O64" l="1"/>
  <c r="P64" s="1"/>
  <c r="G64" i="14"/>
  <c r="K65" i="42"/>
  <c r="I66"/>
  <c r="O65" l="1"/>
  <c r="F64" i="14" s="1"/>
  <c r="F63"/>
  <c r="G65"/>
  <c r="K66" i="42"/>
  <c r="K81" s="1"/>
  <c r="Q81"/>
  <c r="G82" i="14" s="1"/>
  <c r="G288" i="47"/>
  <c r="O66" i="42" l="1"/>
  <c r="P66" s="1"/>
  <c r="P65"/>
  <c r="F65" i="14"/>
  <c r="D11" i="19"/>
  <c r="O81" i="42"/>
  <c r="F82" i="14" s="1"/>
  <c r="J10" i="45"/>
  <c r="N10" s="1"/>
  <c r="G9" i="16"/>
  <c r="G10"/>
  <c r="G11"/>
  <c r="G12"/>
  <c r="G13"/>
  <c r="G8"/>
  <c r="D19" i="45"/>
  <c r="F15"/>
  <c r="G15" s="1"/>
  <c r="F14"/>
  <c r="G14" s="1"/>
  <c r="F13"/>
  <c r="G13" s="1"/>
  <c r="F12"/>
  <c r="G12" s="1"/>
  <c r="J11"/>
  <c r="N11" s="1"/>
  <c r="F11"/>
  <c r="G11" s="1"/>
  <c r="F10"/>
  <c r="G10" s="1"/>
  <c r="E12" i="20"/>
  <c r="E17" i="16"/>
  <c r="E9" i="1" s="1"/>
  <c r="A8" i="43"/>
  <c r="A9" s="1"/>
  <c r="A10" s="1"/>
  <c r="A11" s="1"/>
  <c r="A12" s="1"/>
  <c r="A13" s="1"/>
  <c r="A14" s="1"/>
  <c r="A15" s="1"/>
  <c r="A16" s="1"/>
  <c r="A17" s="1"/>
  <c r="A18" s="1"/>
  <c r="A19" s="1"/>
  <c r="D12" i="7"/>
  <c r="D13"/>
  <c r="D14"/>
  <c r="D15"/>
  <c r="D40" i="8" s="1"/>
  <c r="D16" i="7"/>
  <c r="D17"/>
  <c r="D18"/>
  <c r="D43" i="8" s="1"/>
  <c r="D19" i="7"/>
  <c r="D44" i="8" s="1"/>
  <c r="D20" i="7"/>
  <c r="D21"/>
  <c r="D22"/>
  <c r="D47" i="8" s="1"/>
  <c r="E17" i="9"/>
  <c r="E8" i="14"/>
  <c r="C8"/>
  <c r="B8"/>
  <c r="A8"/>
  <c r="G8"/>
  <c r="G80" s="1"/>
  <c r="G11" i="8"/>
  <c r="E11" i="7" s="1"/>
  <c r="E36" i="8" s="1"/>
  <c r="G12"/>
  <c r="E12" i="7" s="1"/>
  <c r="E37" i="8" s="1"/>
  <c r="P19" i="45"/>
  <c r="F54" i="3"/>
  <c r="A7" i="5"/>
  <c r="A8" s="1"/>
  <c r="A9" s="1"/>
  <c r="A10" s="1"/>
  <c r="A11" s="1"/>
  <c r="F37" i="8"/>
  <c r="F38"/>
  <c r="F39"/>
  <c r="F40"/>
  <c r="F41"/>
  <c r="F42"/>
  <c r="F43"/>
  <c r="F44"/>
  <c r="F45"/>
  <c r="F46"/>
  <c r="F47"/>
  <c r="F24" i="7"/>
  <c r="F34"/>
  <c r="C37" i="8" s="1"/>
  <c r="F35" i="7"/>
  <c r="F36"/>
  <c r="F37"/>
  <c r="F38"/>
  <c r="F39"/>
  <c r="C42" i="8"/>
  <c r="F40" i="7"/>
  <c r="F41"/>
  <c r="F42"/>
  <c r="C45" i="8"/>
  <c r="F43" i="7"/>
  <c r="C46" i="8"/>
  <c r="F44" i="7"/>
  <c r="F33"/>
  <c r="G36" i="8"/>
  <c r="G37"/>
  <c r="G38"/>
  <c r="G39"/>
  <c r="G40"/>
  <c r="G41"/>
  <c r="G42"/>
  <c r="G43"/>
  <c r="G44"/>
  <c r="G45"/>
  <c r="G46"/>
  <c r="G47"/>
  <c r="F36"/>
  <c r="E18" i="12"/>
  <c r="E6" i="23"/>
  <c r="E7"/>
  <c r="E8"/>
  <c r="E9"/>
  <c r="E10"/>
  <c r="E11"/>
  <c r="E12"/>
  <c r="E13"/>
  <c r="E14"/>
  <c r="E15"/>
  <c r="E16"/>
  <c r="E17"/>
  <c r="A6" i="17"/>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E46"/>
  <c r="F8" i="4"/>
  <c r="A8" i="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F11" i="15"/>
  <c r="F33" i="4"/>
  <c r="F45"/>
  <c r="F54"/>
  <c r="E56" i="17"/>
  <c r="F8" i="18"/>
  <c r="F16" i="3"/>
  <c r="C18" i="12"/>
  <c r="G18" s="1"/>
  <c r="E38" i="9" s="1"/>
  <c r="F10" i="11"/>
  <c r="E25" i="9" s="1"/>
  <c r="C18" i="23"/>
  <c r="G12" i="20"/>
  <c r="E16" i="5" s="1"/>
  <c r="G24" i="7"/>
  <c r="E46"/>
  <c r="D46"/>
  <c r="C46"/>
  <c r="B46"/>
  <c r="A10" i="4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3"/>
  <c r="F41" i="32"/>
  <c r="A9" i="16"/>
  <c r="A10" s="1"/>
  <c r="A11" s="1"/>
  <c r="A12" s="1"/>
  <c r="A13" s="1"/>
  <c r="A14" s="1"/>
  <c r="A15" s="1"/>
  <c r="A7" i="15"/>
  <c r="A8" s="1"/>
  <c r="A9" s="1"/>
  <c r="A10" s="1"/>
  <c r="A11" s="1"/>
  <c r="A10" i="20"/>
  <c r="A11" s="1"/>
  <c r="A12" s="1"/>
  <c r="D14" i="30"/>
  <c r="D18" i="23"/>
  <c r="D19" i="19"/>
  <c r="D23"/>
  <c r="F146" i="35"/>
  <c r="F157"/>
  <c r="A139"/>
  <c r="F118"/>
  <c r="A111"/>
  <c r="F93"/>
  <c r="F18" s="1"/>
  <c r="F104"/>
  <c r="A86"/>
  <c r="F67"/>
  <c r="F79"/>
  <c r="A61"/>
  <c r="F54"/>
  <c r="A35"/>
  <c r="F17"/>
  <c r="A8" i="3"/>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F23" i="19"/>
  <c r="F19"/>
  <c r="B9" i="18"/>
  <c r="B10" s="1"/>
  <c r="A6" i="4"/>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8" i="2"/>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7" i="9"/>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G13" i="8"/>
  <c r="E13" i="7" s="1"/>
  <c r="E38" i="8" s="1"/>
  <c r="G14"/>
  <c r="E14" i="7" s="1"/>
  <c r="E39" i="8" s="1"/>
  <c r="G15"/>
  <c r="E15" i="7" s="1"/>
  <c r="E40" i="8" s="1"/>
  <c r="G16"/>
  <c r="E16" i="7" s="1"/>
  <c r="E41" i="8" s="1"/>
  <c r="G17"/>
  <c r="E17" i="7" s="1"/>
  <c r="E42" i="8" s="1"/>
  <c r="G18"/>
  <c r="E18" i="7" s="1"/>
  <c r="E43" i="8" s="1"/>
  <c r="G19"/>
  <c r="E19" i="7" s="1"/>
  <c r="E44" i="8" s="1"/>
  <c r="G20"/>
  <c r="E20" i="7" s="1"/>
  <c r="E45" i="8" s="1"/>
  <c r="G21"/>
  <c r="E21" i="7" s="1"/>
  <c r="E46" i="8" s="1"/>
  <c r="G22"/>
  <c r="E22" i="7" s="1"/>
  <c r="E47" i="8" s="1"/>
  <c r="B24"/>
  <c r="C24"/>
  <c r="D24"/>
  <c r="F24"/>
  <c r="C36"/>
  <c r="C44"/>
  <c r="F15" i="4"/>
  <c r="E18" i="5"/>
  <c r="C41" i="8"/>
  <c r="C38"/>
  <c r="C39"/>
  <c r="C14" i="29"/>
  <c r="F50" i="3" s="1"/>
  <c r="F130" i="35"/>
  <c r="C12" i="29"/>
  <c r="F47" i="3" s="1"/>
  <c r="F28" i="35"/>
  <c r="F35" i="4"/>
  <c r="P81" i="42" l="1"/>
  <c r="E80" i="14"/>
  <c r="E83" s="1"/>
  <c r="E84" s="1"/>
  <c r="G83"/>
  <c r="G84" s="1"/>
  <c r="F14" i="4"/>
  <c r="F16" s="1"/>
  <c r="F23" s="1"/>
  <c r="A20" i="43"/>
  <c r="A21" s="1"/>
  <c r="F46" i="7"/>
  <c r="C24" s="1"/>
  <c r="H11"/>
  <c r="H36" i="8" s="1"/>
  <c r="E18" i="23"/>
  <c r="D13" i="19" s="1"/>
  <c r="F56" i="35"/>
  <c r="F29"/>
  <c r="G28" s="1"/>
  <c r="F30"/>
  <c r="G17"/>
  <c r="H20" i="7"/>
  <c r="H45" i="8" s="1"/>
  <c r="H16" i="7"/>
  <c r="H41" i="8" s="1"/>
  <c r="H14" i="7"/>
  <c r="H39" i="8" s="1"/>
  <c r="H18" i="7"/>
  <c r="H43" i="8" s="1"/>
  <c r="H22" i="7"/>
  <c r="H47" i="8" s="1"/>
  <c r="H13" i="7"/>
  <c r="H38" i="8" s="1"/>
  <c r="H21" i="7"/>
  <c r="H46" i="8" s="1"/>
  <c r="H12" i="7"/>
  <c r="H37" i="8" s="1"/>
  <c r="H17" i="7"/>
  <c r="H42" i="8" s="1"/>
  <c r="F49"/>
  <c r="E53" i="43"/>
  <c r="E45" i="1" s="1"/>
  <c r="O11" i="45"/>
  <c r="F8" i="14"/>
  <c r="H19" i="7"/>
  <c r="H44" i="8" s="1"/>
  <c r="H15" i="7"/>
  <c r="H40" i="8" s="1"/>
  <c r="E24" i="7"/>
  <c r="H24" s="1"/>
  <c r="H49" i="8" s="1"/>
  <c r="E49"/>
  <c r="F13" i="19"/>
  <c r="E11" i="5" s="1"/>
  <c r="J12" i="45"/>
  <c r="N12" s="1"/>
  <c r="G24" i="8"/>
  <c r="G49"/>
  <c r="D46"/>
  <c r="B21" i="7"/>
  <c r="B46" i="8" s="1"/>
  <c r="D42"/>
  <c r="B17" i="7"/>
  <c r="B42" i="8" s="1"/>
  <c r="D38"/>
  <c r="B13" i="7"/>
  <c r="B38" i="8" s="1"/>
  <c r="D45"/>
  <c r="B20" i="7"/>
  <c r="B45" i="8" s="1"/>
  <c r="D41"/>
  <c r="B16" i="7"/>
  <c r="B41" i="8" s="1"/>
  <c r="D39"/>
  <c r="B14" i="7"/>
  <c r="B39" i="8" s="1"/>
  <c r="D37"/>
  <c r="B12" i="7"/>
  <c r="B37" i="8" s="1"/>
  <c r="B19" i="7"/>
  <c r="B44" i="8" s="1"/>
  <c r="F11" i="9"/>
  <c r="F15"/>
  <c r="I15" s="1"/>
  <c r="F13"/>
  <c r="I13" s="1"/>
  <c r="F159" i="35"/>
  <c r="F106"/>
  <c r="F132"/>
  <c r="E19" i="5"/>
  <c r="D16" i="31" s="1"/>
  <c r="C43" i="8"/>
  <c r="B18" i="7"/>
  <c r="B43" i="8" s="1"/>
  <c r="C47"/>
  <c r="B22" i="7"/>
  <c r="B47" i="8" s="1"/>
  <c r="C40"/>
  <c r="C49" s="1"/>
  <c r="B15" i="7"/>
  <c r="B40" i="8" s="1"/>
  <c r="F81" i="35"/>
  <c r="E58" i="17"/>
  <c r="F75" i="3" s="1"/>
  <c r="G17" i="16"/>
  <c r="F70" i="3" s="1"/>
  <c r="G19" i="45"/>
  <c r="F9" i="16"/>
  <c r="E8" i="1" l="1"/>
  <c r="F7" i="4" s="1"/>
  <c r="F9" s="1"/>
  <c r="F22" s="1"/>
  <c r="F80" i="14"/>
  <c r="F83" s="1"/>
  <c r="F84" s="1"/>
  <c r="F9" i="18"/>
  <c r="F10" s="1"/>
  <c r="F76" i="3" s="1"/>
  <c r="F31" i="35"/>
  <c r="G30" s="1"/>
  <c r="F49" i="3"/>
  <c r="F51" i="40"/>
  <c r="E53" i="1"/>
  <c r="H9" i="26" s="1"/>
  <c r="E36" i="32"/>
  <c r="D42" s="1"/>
  <c r="F12" i="19"/>
  <c r="E9" i="5" s="1"/>
  <c r="F34" i="4"/>
  <c r="F36" s="1"/>
  <c r="F44" s="1"/>
  <c r="F46" s="1"/>
  <c r="F24"/>
  <c r="F42" i="40"/>
  <c r="F48" i="3"/>
  <c r="F17" i="9"/>
  <c r="B11" i="7"/>
  <c r="D36" i="8"/>
  <c r="D49" s="1"/>
  <c r="C41" i="32"/>
  <c r="E42"/>
  <c r="F77" i="3"/>
  <c r="F8" i="16"/>
  <c r="O10" i="45"/>
  <c r="J13"/>
  <c r="N13" s="1"/>
  <c r="I11" i="9"/>
  <c r="I17" s="1"/>
  <c r="I20" s="1"/>
  <c r="O12" i="45"/>
  <c r="F10" i="16"/>
  <c r="E39" i="1" l="1"/>
  <c r="F59" i="2"/>
  <c r="F14"/>
  <c r="F15" s="1"/>
  <c r="E20" i="1" s="1"/>
  <c r="D41" i="32"/>
  <c r="G15" i="33"/>
  <c r="F27" i="4"/>
  <c r="B36" i="8"/>
  <c r="B49" s="1"/>
  <c r="B24" i="7"/>
  <c r="J14" i="45"/>
  <c r="N14" s="1"/>
  <c r="J15"/>
  <c r="N15" s="1"/>
  <c r="E29" i="1"/>
  <c r="F24" i="40"/>
  <c r="F289" i="47" l="1"/>
  <c r="G289" s="1"/>
  <c r="G290" s="1"/>
  <c r="F11" i="19" s="1"/>
  <c r="F15" s="1"/>
  <c r="F36" s="1"/>
  <c r="F21" i="2"/>
  <c r="F22" s="1"/>
  <c r="F28"/>
  <c r="F29" s="1"/>
  <c r="E18" i="1" s="1"/>
  <c r="F42" i="2"/>
  <c r="F43" s="1"/>
  <c r="F69"/>
  <c r="F70" s="1"/>
  <c r="E22" i="1" s="1"/>
  <c r="F80" i="2"/>
  <c r="F81" s="1"/>
  <c r="F35"/>
  <c r="F36" s="1"/>
  <c r="F74"/>
  <c r="F75" s="1"/>
  <c r="E14" i="1" s="1"/>
  <c r="J19" i="45"/>
  <c r="F33" i="3"/>
  <c r="F34" s="1"/>
  <c r="E36" i="1" s="1"/>
  <c r="F51" i="3"/>
  <c r="F52" s="1"/>
  <c r="F13"/>
  <c r="F14" s="1"/>
  <c r="F16" i="40"/>
  <c r="F17" s="1"/>
  <c r="F21" s="1"/>
  <c r="E19" i="1"/>
  <c r="E10" i="5"/>
  <c r="E13" s="1"/>
  <c r="E23" s="1"/>
  <c r="C15" i="33" s="1"/>
  <c r="F55" i="3"/>
  <c r="F56" s="1"/>
  <c r="F64"/>
  <c r="F65" s="1"/>
  <c r="E37" i="1" s="1"/>
  <c r="O14" i="45"/>
  <c r="F12" i="16"/>
  <c r="O13" i="45"/>
  <c r="F11" i="16"/>
  <c r="N19" i="45"/>
  <c r="F13" i="16"/>
  <c r="O15" i="45"/>
  <c r="M42" i="43"/>
  <c r="E10" i="1" s="1"/>
  <c r="F58" i="3" l="1"/>
  <c r="E43" i="1" s="1"/>
  <c r="B16" i="31"/>
  <c r="F34" i="19"/>
  <c r="F51" i="4"/>
  <c r="E11" i="1"/>
  <c r="F52" i="4"/>
  <c r="E12" i="1"/>
  <c r="F17" i="16"/>
  <c r="E17" i="1" s="1"/>
  <c r="F16" i="31"/>
  <c r="E49" i="1"/>
  <c r="O19" i="45"/>
  <c r="F53" i="4" l="1"/>
  <c r="I12" i="32"/>
  <c r="E24" i="26"/>
  <c r="E9"/>
  <c r="F55" i="4" l="1"/>
  <c r="F37"/>
  <c r="F39" s="1"/>
  <c r="F83" i="2" s="1"/>
  <c r="F84" s="1"/>
  <c r="F85" s="1"/>
  <c r="F53" l="1"/>
  <c r="F54" s="1"/>
  <c r="E21" i="1" s="1"/>
  <c r="F17" i="3"/>
  <c r="F18" s="1"/>
  <c r="F39"/>
  <c r="F40" s="1"/>
  <c r="F41" s="1"/>
  <c r="E38" i="1" s="1"/>
  <c r="F21" i="3"/>
  <c r="F22" s="1"/>
  <c r="E23" i="1"/>
  <c r="E39" i="9" l="1"/>
  <c r="F28" i="3"/>
  <c r="F60" i="2" s="1"/>
  <c r="F61" s="1"/>
  <c r="F69" i="3"/>
  <c r="F71" s="1"/>
  <c r="E35" i="1" s="1"/>
  <c r="E42" l="1"/>
  <c r="E24"/>
  <c r="E46"/>
  <c r="E16"/>
  <c r="E26" l="1"/>
  <c r="I28" i="9" s="1"/>
  <c r="I31" s="1"/>
  <c r="I34" s="1"/>
  <c r="F25" i="40" l="1"/>
  <c r="F26" s="1"/>
  <c r="F28" s="1"/>
  <c r="F30" s="1"/>
  <c r="E30" i="1"/>
  <c r="E31" l="1"/>
  <c r="E47" l="1"/>
  <c r="E51" s="1"/>
  <c r="C9" i="26" l="1"/>
  <c r="E55" i="1"/>
  <c r="I10" i="32"/>
  <c r="C24" i="26"/>
  <c r="A15" i="33"/>
  <c r="E15" s="1"/>
  <c r="H15" s="1"/>
  <c r="H22" l="1"/>
  <c r="H26"/>
  <c r="H25"/>
  <c r="H21"/>
  <c r="F40" i="40"/>
  <c r="I14" i="32"/>
  <c r="E37"/>
  <c r="F49" i="40" l="1"/>
  <c r="F53" s="1"/>
  <c r="F54" s="1"/>
  <c r="F44"/>
  <c r="F45" s="1"/>
  <c r="E41" i="32"/>
  <c r="E61" i="1"/>
  <c r="E38" i="32"/>
  <c r="G41" s="1"/>
  <c r="E60" i="1"/>
  <c r="J9" i="26"/>
  <c r="E57" i="1"/>
  <c r="E56"/>
  <c r="H23" i="33"/>
  <c r="H24"/>
  <c r="F57" i="40" l="1"/>
  <c r="F58" s="1"/>
  <c r="C20" i="26"/>
  <c r="C10"/>
  <c r="C16" s="1"/>
  <c r="C44" i="32"/>
  <c r="I16" s="1"/>
  <c r="C11" i="26"/>
  <c r="C17" s="1"/>
  <c r="E59" i="1"/>
  <c r="E58"/>
  <c r="C21" i="26"/>
  <c r="C13" l="1"/>
  <c r="C19" s="1"/>
  <c r="C12"/>
  <c r="C18" s="1"/>
  <c r="H24"/>
  <c r="I18" i="32"/>
  <c r="J24" i="26" s="1"/>
  <c r="C25" s="1"/>
  <c r="K70" i="21"/>
  <c r="D74" s="1"/>
  <c r="D78" s="1"/>
  <c r="E72" l="1"/>
  <c r="D12" i="19"/>
  <c r="D15" s="1"/>
  <c r="D34" s="1"/>
</calcChain>
</file>

<file path=xl/sharedStrings.xml><?xml version="1.0" encoding="utf-8"?>
<sst xmlns="http://schemas.openxmlformats.org/spreadsheetml/2006/main" count="3374" uniqueCount="1333">
  <si>
    <t>Century Tel-Bruneau,ID</t>
  </si>
  <si>
    <t>Century Tel-Richfield,ID</t>
  </si>
  <si>
    <t>JR. Simplot</t>
  </si>
  <si>
    <t>American Fiber Systems</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</si>
  <si>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</si>
  <si>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</si>
  <si>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</si>
  <si>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</si>
  <si>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</si>
  <si>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</si>
  <si>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</si>
  <si>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</si>
  <si>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</si>
  <si>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</si>
  <si>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</si>
  <si>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</si>
  <si>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</si>
  <si>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</si>
  <si>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</si>
  <si>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</si>
  <si>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</si>
  <si>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</si>
  <si>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</si>
  <si>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</si>
  <si>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</si>
  <si>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</si>
  <si>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</si>
  <si>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</si>
  <si>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</si>
  <si>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</si>
  <si>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</si>
  <si>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</si>
  <si>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</si>
  <si>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</si>
  <si>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</si>
  <si>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</si>
  <si>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</si>
  <si>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</si>
  <si>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</si>
  <si>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</si>
  <si>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</si>
  <si>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</si>
  <si>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</si>
  <si>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</si>
  <si>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</si>
  <si>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</si>
  <si>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</si>
  <si>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</si>
  <si>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</si>
  <si>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</si>
  <si>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</si>
  <si>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</si>
  <si>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</si>
  <si>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</si>
  <si>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</si>
  <si>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</si>
  <si>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</si>
  <si>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</si>
  <si>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</si>
  <si>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</si>
  <si>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</si>
  <si>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</si>
  <si>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</si>
  <si>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</si>
  <si>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</si>
  <si>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</si>
  <si>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</si>
  <si>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</si>
  <si>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</si>
  <si>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</si>
  <si>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</si>
  <si>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</si>
  <si>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</si>
  <si>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</si>
  <si>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</si>
  <si>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</si>
  <si>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</si>
  <si>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</si>
  <si>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</si>
  <si>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</si>
  <si>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</si>
  <si>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</si>
  <si>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</si>
  <si>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</si>
  <si>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</si>
  <si>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</si>
  <si>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</si>
  <si>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</si>
  <si>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</si>
  <si>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</si>
  <si>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</si>
  <si>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</si>
  <si>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</si>
  <si>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</si>
  <si>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</si>
  <si>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</si>
  <si>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</si>
  <si>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</si>
  <si>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</si>
  <si>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</si>
  <si>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</si>
  <si>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</si>
  <si>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</si>
  <si>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</si>
  <si>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</si>
  <si>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</si>
  <si>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</si>
  <si>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</si>
  <si>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</si>
  <si>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</si>
  <si>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</si>
  <si>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</si>
  <si>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</si>
  <si>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</si>
  <si>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</si>
  <si>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</si>
  <si>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</si>
  <si>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</si>
  <si>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</si>
  <si>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</si>
  <si>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</si>
  <si>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</si>
  <si>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</si>
  <si>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</si>
  <si>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</si>
  <si>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</si>
  <si>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</si>
  <si>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</si>
  <si>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</si>
  <si>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</si>
  <si>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</si>
  <si>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</si>
  <si>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</si>
  <si>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</si>
  <si>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</si>
  <si>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</si>
  <si>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</si>
  <si>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Total Steam Electric Plants</t>
  </si>
  <si>
    <t>Total Montana Ad Valorem Taxes</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</si>
  <si>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</si>
  <si>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</si>
  <si>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</si>
  <si>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</si>
  <si>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</si>
  <si>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</si>
  <si>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</si>
  <si>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</si>
  <si>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</si>
  <si>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</si>
  <si>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</si>
  <si>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</si>
  <si>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</si>
  <si>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</si>
  <si>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</si>
  <si>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</si>
  <si>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</si>
  <si>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</si>
  <si>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</si>
  <si>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</si>
  <si>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</si>
  <si>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</si>
  <si>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</si>
  <si>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</si>
  <si>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</si>
  <si>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</si>
  <si>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</si>
  <si>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</si>
  <si>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</si>
  <si>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Total Transmission O&amp;M less RTO Development Costs Amortized to Account 566</t>
  </si>
  <si>
    <t>Clear Lake Power Plant</t>
  </si>
  <si>
    <t>Danskin Power Plant</t>
  </si>
  <si>
    <t>Hells Canyon Power Plant Wallo</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</si>
  <si>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</si>
  <si>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</si>
  <si>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</si>
  <si>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</si>
  <si>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</si>
  <si>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</si>
  <si>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</si>
  <si>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</si>
  <si>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</si>
  <si>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</si>
  <si>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</si>
  <si>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</si>
  <si>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</si>
  <si>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</si>
  <si>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</si>
  <si>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</si>
  <si>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</si>
  <si>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</si>
  <si>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</si>
  <si>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</si>
  <si>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</si>
  <si>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</si>
  <si>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</si>
  <si>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</si>
  <si>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</si>
  <si>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</si>
  <si>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</si>
  <si>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</si>
  <si>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</si>
  <si>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</si>
  <si>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</si>
  <si>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</si>
  <si>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</si>
  <si>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</si>
  <si>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</si>
  <si>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</si>
  <si>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</si>
  <si>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</si>
  <si>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</si>
  <si>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</si>
  <si>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</si>
  <si>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</si>
  <si>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</si>
  <si>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</si>
  <si>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</si>
  <si>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</si>
  <si>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</si>
  <si>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</si>
  <si>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</si>
  <si>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</si>
  <si>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</si>
  <si>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</si>
  <si>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</si>
  <si>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</si>
  <si>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</si>
  <si>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</si>
  <si>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</si>
  <si>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</si>
  <si>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</si>
  <si>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</si>
  <si>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</si>
  <si>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</si>
  <si>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</si>
  <si>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</si>
  <si>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</si>
  <si>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</si>
  <si>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</si>
  <si>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</si>
  <si>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</si>
  <si>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</si>
  <si>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</si>
  <si>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</si>
  <si>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</si>
  <si>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</si>
  <si>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</si>
  <si>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</si>
  <si>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</si>
  <si>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</si>
  <si>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</si>
  <si>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</si>
  <si>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</si>
  <si>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</si>
  <si>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</si>
  <si>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</si>
  <si>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</si>
  <si>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</si>
  <si>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</si>
  <si>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</si>
  <si>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</si>
  <si>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</si>
  <si>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</si>
  <si>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</si>
  <si>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</si>
  <si>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</si>
  <si>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</si>
  <si>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</si>
  <si>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</si>
  <si>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</si>
  <si>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</si>
  <si>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</si>
  <si>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</si>
  <si>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</si>
  <si>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</si>
  <si>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</si>
  <si>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</si>
  <si>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</si>
  <si>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</si>
  <si>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</si>
  <si>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</si>
  <si>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</si>
  <si>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</si>
  <si>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</si>
  <si>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</si>
  <si>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</si>
  <si>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</si>
  <si>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</si>
  <si>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</si>
  <si>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</si>
  <si>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</si>
  <si>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</si>
  <si>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</si>
  <si>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</si>
  <si>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</si>
  <si>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</si>
  <si>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</si>
  <si>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</si>
  <si>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</si>
  <si>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</si>
  <si>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</si>
  <si>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</si>
  <si>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</si>
  <si>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</si>
  <si>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</si>
  <si>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</si>
  <si>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</si>
  <si>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</si>
  <si>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</si>
  <si>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</si>
  <si>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</si>
  <si>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</si>
  <si>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</si>
  <si>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</si>
  <si>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</si>
  <si>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</si>
  <si>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</si>
  <si>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</si>
  <si>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</si>
  <si>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</si>
  <si>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</si>
  <si>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</si>
  <si>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Trans Related GP Depr</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</si>
  <si>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</si>
  <si>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</si>
  <si>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</si>
  <si>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</si>
  <si>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</si>
  <si>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</si>
  <si>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</si>
  <si>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</si>
  <si>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</si>
  <si>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</si>
  <si>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 xml:space="preserve">multiplied by Idaho Power's state apportionment factor for each.  Idaho's statutory rate is 7.6% </t>
  </si>
  <si>
    <t>multiplied by Idaho Power's apportionment factor of 78% yields 5.9%.  Oregon is 6.6%</t>
  </si>
  <si>
    <t xml:space="preserve">multiplied by a 5% apportionment factor.  Due to the immaterial amount of tax normally due the </t>
  </si>
  <si>
    <t>other states, the rate is simply an estimate based on history.</t>
  </si>
  <si>
    <t>Other is comprised of Arizona, Montana, California and Utah.</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</si>
  <si>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</si>
  <si>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</si>
  <si>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</si>
  <si>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</si>
  <si>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</si>
  <si>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</si>
  <si>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</si>
  <si>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</si>
  <si>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</si>
  <si>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</si>
  <si>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</si>
  <si>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</si>
  <si>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</si>
  <si>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</si>
  <si>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</si>
  <si>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</si>
  <si>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</si>
  <si>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</si>
  <si>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</si>
  <si>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</si>
  <si>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</si>
  <si>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</si>
  <si>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</si>
  <si>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</si>
  <si>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City of Nampa</t>
  </si>
  <si>
    <t>State of Idaho Public TV</t>
  </si>
  <si>
    <t>Elk River</t>
  </si>
  <si>
    <t>Integra</t>
  </si>
  <si>
    <t>Level III</t>
  </si>
  <si>
    <t>Westel Fiber</t>
  </si>
  <si>
    <t>T-Mobile</t>
  </si>
  <si>
    <t>Transmission Poles</t>
  </si>
  <si>
    <t>Distribution Poles</t>
  </si>
  <si>
    <t>Power Boxes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</si>
  <si>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</si>
  <si>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</si>
  <si>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</si>
  <si>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</si>
  <si>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</si>
  <si>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</si>
  <si>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</si>
  <si>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</si>
  <si>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</si>
  <si>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Elkhorn Wind Power Project</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</si>
  <si>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</si>
  <si>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</si>
  <si>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</si>
  <si>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</si>
  <si>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</si>
  <si>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</si>
  <si>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</si>
  <si>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</si>
  <si>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</si>
  <si>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</si>
  <si>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</si>
  <si>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</si>
  <si>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</si>
  <si>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</si>
  <si>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</si>
  <si>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GP Accum Depr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</si>
  <si>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</si>
  <si>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</si>
  <si>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</si>
  <si>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</si>
  <si>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</si>
  <si>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</si>
  <si>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</si>
  <si>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</si>
  <si>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</si>
  <si>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</si>
  <si>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</si>
  <si>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</si>
  <si>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</si>
  <si>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</si>
  <si>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</si>
  <si>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</si>
  <si>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</si>
  <si>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</si>
  <si>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</si>
  <si>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</si>
  <si>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</si>
  <si>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</si>
  <si>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</si>
  <si>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</si>
  <si>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</si>
  <si>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</si>
  <si>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</si>
  <si>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</si>
  <si>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</si>
  <si>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</si>
  <si>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</si>
  <si>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</si>
  <si>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</si>
  <si>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</si>
  <si>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</si>
  <si>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FF1 pp262-263.1 col i</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</si>
  <si>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</si>
  <si>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</si>
  <si>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</si>
  <si>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</si>
  <si>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</si>
  <si>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</si>
  <si>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</si>
  <si>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</si>
  <si>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</si>
  <si>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</si>
  <si>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</si>
  <si>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</si>
  <si>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</si>
  <si>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</si>
  <si>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</si>
  <si>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</si>
  <si>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</si>
  <si>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</si>
  <si>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</si>
  <si>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</si>
  <si>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</si>
  <si>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</si>
  <si>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</si>
  <si>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</si>
  <si>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Long Term Debt  </t>
  </si>
  <si>
    <t xml:space="preserve">Effective Cost </t>
  </si>
  <si>
    <t>Amortized ITC - Electric (Account 411.4)</t>
  </si>
  <si>
    <t>FOAB (Soc Sec) and  Unemp Tax</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</si>
  <si>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</si>
  <si>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</si>
  <si>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</si>
  <si>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</si>
  <si>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</si>
  <si>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</si>
  <si>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</si>
  <si>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</si>
  <si>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</si>
  <si>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</si>
  <si>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</si>
  <si>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</si>
  <si>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</si>
  <si>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</si>
  <si>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</si>
  <si>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</si>
  <si>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</si>
  <si>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</si>
  <si>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</si>
  <si>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</si>
  <si>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</si>
  <si>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</si>
  <si>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</si>
  <si>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</si>
  <si>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</si>
  <si>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</si>
  <si>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</si>
  <si>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</si>
  <si>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</si>
  <si>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</si>
  <si>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</si>
  <si>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</si>
  <si>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</si>
  <si>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</si>
  <si>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</si>
  <si>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</si>
  <si>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</si>
  <si>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</si>
  <si>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</si>
  <si>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</si>
  <si>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</si>
  <si>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</si>
  <si>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</si>
  <si>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</si>
  <si>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</si>
  <si>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</si>
  <si>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</si>
  <si>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</si>
  <si>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</si>
  <si>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</si>
  <si>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</si>
  <si>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</si>
  <si>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</si>
  <si>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</si>
  <si>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</si>
  <si>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</si>
  <si>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</si>
  <si>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</si>
  <si>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</si>
  <si>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</si>
  <si>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</si>
  <si>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</si>
  <si>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</si>
  <si>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</si>
  <si>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</si>
  <si>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</si>
  <si>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</si>
  <si>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</si>
  <si>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FF1 p 321  84b to 92b</t>
  </si>
  <si>
    <t>Account 930.1</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</si>
  <si>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</si>
  <si>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</si>
  <si>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</si>
  <si>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</si>
  <si>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</si>
  <si>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</si>
  <si>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</si>
  <si>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</si>
  <si>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</si>
  <si>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(32) * (33)</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</si>
  <si>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</si>
  <si>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</si>
  <si>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</si>
  <si>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</si>
  <si>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</si>
  <si>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</si>
  <si>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</si>
  <si>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</si>
  <si>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</si>
  <si>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</si>
  <si>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</si>
  <si>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</si>
  <si>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</si>
  <si>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</si>
  <si>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</si>
  <si>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</si>
  <si>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</si>
  <si>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</si>
  <si>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</si>
  <si>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</si>
  <si>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</si>
  <si>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</si>
  <si>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</si>
  <si>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</si>
  <si>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</si>
  <si>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</si>
  <si>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</si>
  <si>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</si>
  <si>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</si>
  <si>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</si>
  <si>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</si>
  <si>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</si>
  <si>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</si>
  <si>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</si>
  <si>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</si>
  <si>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</si>
  <si>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</si>
  <si>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</si>
  <si>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</si>
  <si>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</si>
  <si>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</si>
  <si>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</si>
  <si>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</si>
  <si>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</si>
  <si>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</si>
  <si>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</si>
  <si>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</si>
  <si>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</si>
  <si>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</si>
  <si>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</si>
  <si>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</si>
  <si>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</si>
  <si>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</si>
  <si>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</si>
  <si>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</si>
  <si>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</si>
  <si>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</si>
  <si>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</si>
  <si>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</si>
  <si>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</si>
  <si>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</si>
  <si>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</si>
  <si>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</si>
  <si>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</si>
  <si>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</si>
  <si>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</si>
  <si>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</si>
  <si>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</si>
  <si>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</si>
  <si>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</si>
  <si>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</si>
  <si>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</si>
  <si>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</si>
  <si>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</si>
  <si>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</si>
  <si>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</si>
  <si>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</si>
  <si>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</si>
  <si>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</si>
  <si>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</si>
  <si>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</si>
  <si>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</si>
  <si>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</si>
  <si>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</si>
  <si>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</si>
  <si>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</si>
  <si>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</si>
  <si>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</si>
  <si>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</si>
  <si>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</si>
  <si>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</si>
  <si>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</si>
  <si>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</si>
  <si>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</si>
  <si>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</si>
  <si>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</si>
  <si>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</si>
  <si>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</si>
  <si>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</si>
  <si>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</si>
  <si>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</si>
  <si>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</si>
  <si>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</si>
  <si>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</si>
  <si>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</si>
  <si>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</si>
  <si>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</si>
  <si>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</si>
  <si>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</si>
  <si>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</si>
  <si>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</si>
  <si>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</si>
  <si>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</si>
  <si>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</si>
  <si>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</si>
  <si>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</si>
  <si>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</si>
  <si>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</si>
  <si>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</si>
  <si>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</si>
  <si>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</si>
  <si>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</si>
  <si>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</si>
  <si>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</si>
  <si>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</si>
  <si>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</si>
  <si>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</si>
  <si>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</si>
  <si>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</si>
  <si>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 xml:space="preserve">Distribution-related faciliites charges under Sch 66-(optional distribution services) such as devices for off-site meter reading; Schedules 9, 19, St. Ltg., Dusk to Dawn, etc  </t>
  </si>
  <si>
    <t>454001, 454003, 454004, 454702</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</si>
  <si>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</si>
  <si>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</si>
  <si>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</si>
  <si>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</si>
  <si>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</si>
  <si>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</si>
  <si>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</si>
  <si>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</si>
  <si>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</si>
  <si>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</si>
  <si>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</si>
  <si>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Tele</t>
  </si>
  <si>
    <t>Century Tel-Or</t>
  </si>
  <si>
    <t>Century Tel-Grandview,ID</t>
  </si>
  <si>
    <t>Century Tel-Salmon,ID</t>
  </si>
  <si>
    <t>Farmer's</t>
  </si>
  <si>
    <t>Filer</t>
  </si>
  <si>
    <t xml:space="preserve">Midvale </t>
  </si>
  <si>
    <t>Oregon Idaho</t>
  </si>
  <si>
    <t>Project Mutual</t>
  </si>
  <si>
    <t>Amalgamated Sugar</t>
  </si>
  <si>
    <t>Misc.</t>
  </si>
  <si>
    <t>American Red Cross</t>
  </si>
  <si>
    <t>Barger Mattson</t>
  </si>
  <si>
    <t>Boise State</t>
  </si>
  <si>
    <t>City of Weiser</t>
  </si>
  <si>
    <t>Computer land</t>
  </si>
  <si>
    <t>Kelly's Orchards</t>
  </si>
  <si>
    <t>Kinross Delamar</t>
  </si>
  <si>
    <t>Mercy Medical</t>
  </si>
  <si>
    <t>Oregon Trail Electirc</t>
  </si>
  <si>
    <t>St. Lukes</t>
  </si>
  <si>
    <t>CATV</t>
  </si>
  <si>
    <t>Cable One</t>
  </si>
  <si>
    <t>Cambridge</t>
  </si>
  <si>
    <t>Cox</t>
  </si>
  <si>
    <t>Eagle Valley</t>
  </si>
  <si>
    <t>CLEC</t>
  </si>
  <si>
    <t>360 Network</t>
  </si>
  <si>
    <t>Cricket</t>
  </si>
  <si>
    <t>PCS</t>
  </si>
  <si>
    <t>Nextel</t>
  </si>
  <si>
    <t>Totals</t>
  </si>
  <si>
    <t>Garden Valley Cable</t>
  </si>
  <si>
    <t>Clearwire</t>
  </si>
  <si>
    <t>SCHEDULE 4 WORKPAPER, PAGE 3</t>
  </si>
  <si>
    <t>DB2DATE</t>
  </si>
  <si>
    <t>Voucher</t>
  </si>
  <si>
    <t>DISTDESC</t>
  </si>
  <si>
    <t>Sum TOTAMT</t>
  </si>
  <si>
    <t>CC</t>
  </si>
  <si>
    <t>Descr</t>
  </si>
  <si>
    <t>454101</t>
  </si>
  <si>
    <t>454102</t>
  </si>
  <si>
    <t>010034</t>
  </si>
  <si>
    <t>TCP INCOME</t>
  </si>
  <si>
    <t>AFP INCOME</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</si>
  <si>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</si>
  <si>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</si>
  <si>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</si>
  <si>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</si>
  <si>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</si>
  <si>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</si>
  <si>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</si>
  <si>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</si>
  <si>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</si>
  <si>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</si>
  <si>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</si>
  <si>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Equity AFUDC charged to CWIP</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</si>
  <si>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</si>
  <si>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</si>
  <si>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</si>
  <si>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</si>
  <si>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</si>
  <si>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</si>
  <si>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</si>
  <si>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</si>
  <si>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</si>
  <si>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</si>
  <si>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</si>
  <si>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</si>
  <si>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</si>
  <si>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</si>
  <si>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</si>
  <si>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</si>
  <si>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</si>
  <si>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</si>
  <si>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</si>
  <si>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</si>
  <si>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</si>
  <si>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</si>
  <si>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</si>
  <si>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</si>
  <si>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</si>
  <si>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</si>
  <si>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</si>
  <si>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</si>
  <si>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</si>
  <si>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</si>
  <si>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</si>
  <si>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</si>
  <si>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</si>
  <si>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</si>
  <si>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</si>
  <si>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</si>
  <si>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</si>
  <si>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</si>
  <si>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</si>
  <si>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</si>
  <si>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</si>
  <si>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</si>
  <si>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</si>
  <si>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</si>
  <si>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</si>
  <si>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</si>
  <si>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</si>
  <si>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</si>
  <si>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</si>
  <si>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</si>
  <si>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</si>
  <si>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</si>
  <si>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</si>
  <si>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</si>
  <si>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</si>
  <si>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</si>
  <si>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</si>
  <si>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</si>
  <si>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</si>
  <si>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</si>
  <si>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</si>
  <si>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</si>
  <si>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</si>
  <si>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</si>
  <si>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856</t>
  </si>
  <si>
    <t>010157</t>
  </si>
  <si>
    <t>632</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</si>
  <si>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</si>
  <si>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</si>
  <si>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</si>
  <si>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</si>
  <si>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</si>
  <si>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</si>
  <si>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</si>
  <si>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</si>
  <si>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</si>
  <si>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</si>
  <si>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</si>
  <si>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</si>
  <si>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</si>
  <si>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</si>
  <si>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</si>
  <si>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</si>
  <si>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</si>
  <si>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</si>
  <si>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</si>
  <si>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</si>
  <si>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</si>
  <si>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</si>
  <si>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</si>
  <si>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</si>
  <si>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Monthly Peak</t>
  </si>
  <si>
    <t>MW Total</t>
  </si>
  <si>
    <t>OXBOW POST OFFICE</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</si>
  <si>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</si>
  <si>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</si>
  <si>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</si>
  <si>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</si>
  <si>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</si>
  <si>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</si>
  <si>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</si>
  <si>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</si>
  <si>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</si>
  <si>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</si>
  <si>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Category</t>
  </si>
  <si>
    <t>Vin Year</t>
  </si>
  <si>
    <t>Sum Cost</t>
  </si>
  <si>
    <t>Depreciation Rate</t>
  </si>
  <si>
    <t>Total Accumulated Depreciation</t>
  </si>
  <si>
    <t>Net Plant</t>
  </si>
  <si>
    <t>Annual Accrual</t>
  </si>
  <si>
    <t>GPBLPR01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</si>
  <si>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</si>
  <si>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</si>
  <si>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</si>
  <si>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</si>
  <si>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</si>
  <si>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</si>
  <si>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</si>
  <si>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</si>
  <si>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</si>
  <si>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</si>
  <si>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</si>
  <si>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</si>
  <si>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</si>
  <si>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</si>
  <si>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</si>
  <si>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</si>
  <si>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</si>
  <si>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</si>
  <si>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</si>
  <si>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</si>
  <si>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Form 1, 112 16c</t>
  </si>
  <si>
    <t>SCL</t>
  </si>
  <si>
    <t>PAC</t>
  </si>
  <si>
    <t>contract term</t>
  </si>
  <si>
    <t>LYPK/LGBP</t>
  </si>
  <si>
    <t>Morgan Stanley Capital Group</t>
  </si>
  <si>
    <t>Portland General Electric</t>
  </si>
  <si>
    <t>Puget Sound Energy</t>
  </si>
  <si>
    <t>Account 163 - Stores Expense Undistributed</t>
  </si>
  <si>
    <t xml:space="preserve">  6.30% Series, due 2037…</t>
  </si>
  <si>
    <t xml:space="preserve">  6.25% Series, due 2037…</t>
  </si>
  <si>
    <t xml:space="preserve">  6.025% Series due 2018…</t>
  </si>
  <si>
    <t xml:space="preserve">(a) - </t>
  </si>
  <si>
    <t>V.  Interest Expense Reimbursed</t>
  </si>
  <si>
    <t>IV. Total Unreimbursed Portion of Network Upgrade Prepayments (Account 252) Net of Accumulated Depreciation and Interest Expense Accrued:</t>
  </si>
  <si>
    <t>Bennett Creek/Hot Springs Windfarm</t>
  </si>
  <si>
    <t xml:space="preserve"> Net of Accumulated Depreciaion</t>
  </si>
  <si>
    <t>Unreimbursed Prepayments</t>
  </si>
  <si>
    <t>II.  Unreimbursed Portion of Network Upgrade Prepayments (Account 252) Net of Accumulated Depreciation</t>
  </si>
  <si>
    <t xml:space="preserve"> Depreciation  Aug 1 - Dec 31</t>
  </si>
  <si>
    <t>Depreciation January - July 31</t>
  </si>
  <si>
    <t xml:space="preserve">Depreciation </t>
  </si>
  <si>
    <t>Plant Balance</t>
  </si>
  <si>
    <t>I.  Plant Balance and Depreciation</t>
  </si>
  <si>
    <t xml:space="preserve">  6.00% Series, due 2032 .…             </t>
  </si>
  <si>
    <t xml:space="preserve">  4.25% Series, due 2013 .…             </t>
  </si>
  <si>
    <t xml:space="preserve">  6.15% Series due 2019…</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</si>
  <si>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</si>
  <si>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</si>
  <si>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</si>
  <si>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</si>
  <si>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</si>
  <si>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</si>
  <si>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</si>
  <si>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</si>
  <si>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</si>
  <si>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</si>
  <si>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</si>
  <si>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</si>
  <si>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</si>
  <si>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</si>
  <si>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</si>
  <si>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</si>
  <si>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</si>
  <si>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</si>
  <si>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</si>
  <si>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</si>
  <si>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</si>
  <si>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</si>
  <si>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</si>
  <si>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</si>
  <si>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</si>
  <si>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</si>
  <si>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</si>
  <si>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</si>
  <si>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</si>
  <si>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</si>
  <si>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</si>
  <si>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</si>
  <si>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</si>
  <si>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</si>
  <si>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Rural Telephone-Snake River</t>
  </si>
  <si>
    <t>WindJammer</t>
  </si>
  <si>
    <t>Time Warner-Now TW Telecom</t>
  </si>
  <si>
    <t>Less:  non-454 revenue</t>
  </si>
  <si>
    <t>Loss on grounding shield wire in account 456101</t>
  </si>
  <si>
    <t>Application fees booked into accounts 415101 &amp; 415102</t>
  </si>
  <si>
    <t>FF1 p205 5g</t>
  </si>
  <si>
    <t>FF1 p 227 8c</t>
  </si>
  <si>
    <t>FF1 p 336 10b</t>
  </si>
  <si>
    <t>FF1 p336 1d</t>
  </si>
  <si>
    <t>110034</t>
  </si>
  <si>
    <t>120034</t>
  </si>
  <si>
    <t>638</t>
  </si>
  <si>
    <t>TMOBILE 325</t>
  </si>
  <si>
    <t>OBBLPR/LGBP</t>
  </si>
  <si>
    <t>71839762 &amp; 71839764 (71331211)</t>
  </si>
  <si>
    <t>1/1/2009-1/1/2014 (1/1/2008-1/1/2009)</t>
  </si>
  <si>
    <t>JBWT/M500</t>
  </si>
  <si>
    <t>Form 1p400(b) less Legacy Agreements 1/ 2/</t>
  </si>
  <si>
    <t>Jointly Owned Plants (Idaho Power's Share 1/)</t>
  </si>
  <si>
    <t xml:space="preserve"> Depreciation</t>
  </si>
  <si>
    <t>06/01/2009-07/01/2014</t>
  </si>
  <si>
    <t xml:space="preserve">1/ The revenue credits associated with Idaho Power Company are not included in the Account 456 balance but are </t>
  </si>
  <si>
    <t>OATT Short Term Firm and Non Firm 1/</t>
  </si>
  <si>
    <t>Total Account 454</t>
  </si>
  <si>
    <t>Transactions are Included in the Rate Divisor (Demand-Only Revenue)</t>
  </si>
  <si>
    <t>2/ The Monthly Peak reported in the Form 1, page 400(b) includes the Legacy Agreements in the amounts shown in Column E of Schedule 5 of this spreadsheet.  Since they are shown separately in Column E of Schedule 5, they have been subtracted from Schedule 5 Column D.</t>
  </si>
  <si>
    <t>TOTAL 2/</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</si>
  <si>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  </t>
  </si>
  <si>
    <t>Elkhorn Wind Power Project 1/</t>
  </si>
  <si>
    <t>Substantive Charges to Accounting Policies, Practices and Procedures that could Affect Changes Under the Formula Rate</t>
  </si>
  <si>
    <t>Total A&amp;G Related O&amp;M (Less EPRI dues recorded in Account 930.2)</t>
  </si>
  <si>
    <t>FERC OATT FILING</t>
  </si>
  <si>
    <t>EFFECTIVE EMBEDDED COST OF</t>
  </si>
  <si>
    <t>LONG-TERM DEBT</t>
  </si>
  <si>
    <t>000's</t>
  </si>
  <si>
    <t xml:space="preserve">  3.40% Series due 2020…</t>
  </si>
  <si>
    <t xml:space="preserve">  4.85% Series due 2040…</t>
  </si>
  <si>
    <t>107000 Total</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</si>
  <si>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</si>
  <si>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</si>
  <si>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</si>
  <si>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</si>
  <si>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</si>
  <si>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</si>
  <si>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</si>
  <si>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</si>
  <si>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</si>
  <si>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</si>
  <si>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Transalta Energy Marketing</t>
  </si>
  <si>
    <t>73147208 &amp; 73147229</t>
  </si>
  <si>
    <t>JBWT/BORA or BRDY</t>
  </si>
  <si>
    <t>010018</t>
  </si>
  <si>
    <t>020018</t>
  </si>
  <si>
    <t>020034</t>
  </si>
  <si>
    <t>March Rent Revenue</t>
  </si>
  <si>
    <t>030034</t>
  </si>
  <si>
    <t>040034</t>
  </si>
  <si>
    <t>June Rent Revenue</t>
  </si>
  <si>
    <t>July Rent Revenue</t>
  </si>
  <si>
    <t>August Rent Revenue</t>
  </si>
  <si>
    <t>September Rent Revenue</t>
  </si>
  <si>
    <t>620</t>
  </si>
  <si>
    <t>HAGER</t>
  </si>
  <si>
    <t>SPRINT</t>
  </si>
  <si>
    <t>LSP INCOME</t>
  </si>
  <si>
    <t>METRO</t>
  </si>
  <si>
    <t>TMOBILE 326</t>
  </si>
  <si>
    <t>CASCADE HOUSE RENTAL</t>
  </si>
  <si>
    <t>DAWSON</t>
  </si>
  <si>
    <t>DIVOTZ</t>
  </si>
  <si>
    <t>KING HILL IRRIGATION</t>
  </si>
  <si>
    <t>LAMAR 345</t>
  </si>
  <si>
    <t>LAMAR 357</t>
  </si>
  <si>
    <t>LAMAR 358</t>
  </si>
  <si>
    <t>MCFARLAND</t>
  </si>
  <si>
    <t>TMOBILE</t>
  </si>
  <si>
    <t>FORSEA 151</t>
  </si>
  <si>
    <t>Out-of-Period Adjustments</t>
  </si>
  <si>
    <t>T</t>
  </si>
  <si>
    <t>PP</t>
  </si>
  <si>
    <t>Hemmingway JOOA</t>
  </si>
  <si>
    <t>Rate Calculation, ln 49</t>
  </si>
  <si>
    <t>FF1 p200 21c</t>
  </si>
  <si>
    <t>General Advertising Expense - Transmission Related</t>
  </si>
  <si>
    <t>Account 928</t>
  </si>
  <si>
    <t>Line 41 x GSU Allocator (Sch 3)</t>
  </si>
  <si>
    <t>Line 41 x LGI Allocator (Sch 3)</t>
  </si>
  <si>
    <t>Property Taxes (ID,OR,MT,NV,WY)</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</si>
  <si>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</si>
  <si>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</si>
  <si>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</si>
  <si>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</si>
  <si>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</si>
  <si>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</si>
  <si>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</si>
  <si>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</si>
  <si>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</si>
  <si>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</si>
  <si>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</si>
  <si>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Cogeneration O&amp;M Charges Under IPC Retail Schedule 72 Recorded in Account 454</t>
  </si>
  <si>
    <t>Reimbursement for O&amp;M  under joint operating agreement with Pacificorp. To Schedule 4, line 7</t>
  </si>
  <si>
    <t>To Schedule 4, line 8</t>
  </si>
  <si>
    <t>Joint Use Pole Attachment Application Fees</t>
  </si>
  <si>
    <t>Recorded in Account 456 that are Included as Revenue Credits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</si>
  <si>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</si>
  <si>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</si>
  <si>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</si>
  <si>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</si>
  <si>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</si>
  <si>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</si>
  <si>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</si>
  <si>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 xml:space="preserve">Seattle City Light LTF </t>
  </si>
  <si>
    <t xml:space="preserve">Pacificorp Power Marketing LTF </t>
  </si>
  <si>
    <t>INFORMATIONAL FILING</t>
  </si>
  <si>
    <t xml:space="preserve">1/   </t>
  </si>
  <si>
    <t>Idaho Power Share of Bridger 33.33%</t>
  </si>
  <si>
    <t>Idaho Power Share of Valmy 50%</t>
  </si>
  <si>
    <t>Idaho Power Share of Boardman 10%</t>
  </si>
  <si>
    <t>1/1/2011-1/1/2016</t>
  </si>
  <si>
    <t>BC Hydro Powerex</t>
  </si>
  <si>
    <t>Bonneville Power Administration</t>
  </si>
  <si>
    <t>Cargill-Alliant</t>
  </si>
  <si>
    <t>Citigroup Energy</t>
  </si>
  <si>
    <t>Iberdrola Energy</t>
  </si>
  <si>
    <t>Pacificorp Power Marketing</t>
  </si>
  <si>
    <t>PPL Energy Plus</t>
  </si>
  <si>
    <t>Rainbow Energy Marketing</t>
  </si>
  <si>
    <t>Shell Energy</t>
  </si>
  <si>
    <t>Sierra Pacific Power Marketing</t>
  </si>
  <si>
    <t>Tenaska</t>
  </si>
  <si>
    <t>The Energy Authority</t>
  </si>
  <si>
    <t>Utah Associated Municipal Power</t>
  </si>
  <si>
    <t>City of Boise</t>
  </si>
  <si>
    <t>Sorance Bean</t>
  </si>
  <si>
    <t>LS Networks</t>
  </si>
  <si>
    <t>Windwave</t>
  </si>
  <si>
    <t>FF1 p214 4d + 5d + 10d + 23d</t>
  </si>
  <si>
    <t>FF1 p.214 2d + 9d + 22d</t>
  </si>
  <si>
    <t>OATT Attach H, 3.1.1.11(f)</t>
  </si>
  <si>
    <t>FF1 p234 450.1 line 7 note 2</t>
  </si>
  <si>
    <t>FF1 pp262-263 col i (operating)</t>
  </si>
  <si>
    <t>FF1 p 207 104g, less p 205 15g, 24g ,34g, 44g, less p 207 57g, 74g, 83g, 98g</t>
  </si>
  <si>
    <t>Using 2011 PBOP</t>
  </si>
  <si>
    <t xml:space="preserve">     There were no substantive changes to accounting policies, practices, and procedures that could affect charges under the formula rate.</t>
  </si>
  <si>
    <t>DIVOTZ QUARTERLY</t>
  </si>
  <si>
    <t>LEVEL 3 COMMUNICATIONS</t>
  </si>
  <si>
    <t>TMOBILE FEB</t>
  </si>
  <si>
    <t>STATE OF IDAHO</t>
  </si>
  <si>
    <t>WILL ROWE</t>
  </si>
  <si>
    <t>DAWSON DRILLING</t>
  </si>
  <si>
    <t>DEAD HORSE RANCH</t>
  </si>
  <si>
    <t>STATE OF IDAHO GROVE</t>
  </si>
  <si>
    <t>WILTELL COMMUNICATIONS</t>
  </si>
  <si>
    <t>050132</t>
  </si>
  <si>
    <t>WILLIAMS NORTHWEST</t>
  </si>
  <si>
    <t>070132</t>
  </si>
  <si>
    <t>NIELSEN GROUP</t>
  </si>
  <si>
    <t>080132</t>
  </si>
  <si>
    <t>090132</t>
  </si>
  <si>
    <t>100132</t>
  </si>
  <si>
    <t>SPRINT NEXTEL</t>
  </si>
  <si>
    <t>110132</t>
  </si>
  <si>
    <t>SAM ROSTI</t>
  </si>
  <si>
    <t>120132</t>
  </si>
  <si>
    <t>BYRON HAGER</t>
  </si>
  <si>
    <t>DIVOTZ DISCOUNT GOLF</t>
  </si>
  <si>
    <t>STATE OF IDAHO - GROVE</t>
  </si>
  <si>
    <t>LANDERS</t>
  </si>
  <si>
    <t>SNAKE RIVER PCS 420</t>
  </si>
  <si>
    <t>R&amp;N RETREAT</t>
  </si>
  <si>
    <t>799</t>
  </si>
  <si>
    <t>February Rent Revenue</t>
  </si>
  <si>
    <t>May Rent Revenue</t>
  </si>
  <si>
    <t>854</t>
  </si>
  <si>
    <t>FACILITIES BILLING</t>
  </si>
  <si>
    <t>618</t>
  </si>
  <si>
    <t>Form 1, 112 3c</t>
  </si>
  <si>
    <t>2009 - 2011</t>
  </si>
  <si>
    <t>Sawtooth Wind</t>
  </si>
  <si>
    <t>FF1  p207 58(g) less 57(g)</t>
  </si>
  <si>
    <t>FF1 p 219 25(b) less 108.100 = 0</t>
  </si>
  <si>
    <t>FF1 p266 8f</t>
  </si>
  <si>
    <t>FF1 p354 21b</t>
  </si>
  <si>
    <t>FF1 p354 27b</t>
  </si>
  <si>
    <t>FF1 p354 28b</t>
  </si>
  <si>
    <t>Account 415 Joint Use Revenues that are Included as Revenue Credits</t>
  </si>
  <si>
    <t>415101 &amp; 415102:</t>
  </si>
  <si>
    <t>Joint Use Application Fees are recorded in accounts 415101 and 415102</t>
  </si>
  <si>
    <t>Sawtooth Wind  3/</t>
  </si>
  <si>
    <t>1/  Non-Depreciable Land</t>
  </si>
  <si>
    <t>Valmy #1 &amp; Common Non-Steam</t>
  </si>
  <si>
    <t>Valmy #2 Substation</t>
  </si>
  <si>
    <t>Valmy Unit #1 and Common</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</si>
  <si>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</si>
  <si>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</si>
  <si>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</si>
  <si>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</si>
  <si>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</si>
  <si>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</si>
  <si>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</si>
  <si>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</si>
  <si>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 xml:space="preserve"> Functionalization of Joint Use Rental Fees Recorded in Account 454</t>
  </si>
  <si>
    <t>FOR RATES EFFECTIVE OCTOBER 1, 2013 - SEPTEMBER 30, 2014</t>
  </si>
  <si>
    <t>FOR THE TWELVE MONTHS ENDED DECEMBER 31, 2012</t>
  </si>
  <si>
    <t>12 Months Ended 12/31/2012</t>
  </si>
  <si>
    <t>7/1/2010-5/1/2012</t>
  </si>
  <si>
    <t>IPCL</t>
  </si>
  <si>
    <t>76866224 (Full Transfer from IPCM 74110957)</t>
  </si>
  <si>
    <t>5/1/2015-1/1/2021</t>
  </si>
  <si>
    <t>Eagle Energy Partners</t>
  </si>
  <si>
    <t xml:space="preserve">included on this Schedule 4 Workpaper, page 6, on line 22 and in the totals on lines 21 and 23.  </t>
  </si>
  <si>
    <t>Century Link-Idaho(Capital)</t>
  </si>
  <si>
    <t>Century Link-Oregon(Malhuer)</t>
  </si>
  <si>
    <t>Transmission Fees for TV signals</t>
  </si>
  <si>
    <t>United Private Networks</t>
  </si>
  <si>
    <t>BPA-PF NITSA</t>
  </si>
  <si>
    <t>2/ (a) January 1, 2012 through May 31, 2012: RTSA = 1,210 MW; ITSA = 250 MW; RATFA = 250 MW.</t>
  </si>
  <si>
    <t>2/ (b) June 1, 2012 through December 31, 2012: RTSA = 1,336 MW; ITSA = 250 MW; RATFA = 250 MW.</t>
  </si>
  <si>
    <t>FF1 p 321 112b - (83,796.24+14190.72)</t>
  </si>
  <si>
    <t>Pre August 1, 2008 Rates</t>
  </si>
  <si>
    <t>August 1, 2008 - May 31, 2012 Rates</t>
  </si>
  <si>
    <t>Post May 31, 2012 Rates</t>
  </si>
  <si>
    <t>FF1 p350  2h + 4h</t>
  </si>
  <si>
    <t>Neal Hot Springs</t>
  </si>
  <si>
    <t>Depreciation
Jan 1 - May 31</t>
  </si>
  <si>
    <t xml:space="preserve"> Depreciation  June 1 - Dec 31</t>
  </si>
  <si>
    <t xml:space="preserve">  2.95% Series due 2022…</t>
  </si>
  <si>
    <t xml:space="preserve">  4.30% Series due 2042…</t>
  </si>
  <si>
    <t>This is the average rate for 2012.</t>
  </si>
  <si>
    <t>As of 12/31/2012</t>
  </si>
  <si>
    <t>Line 912:  Replace 14.3 Miles Of 230kV Line Due To Wind Storm</t>
  </si>
  <si>
    <t>Hemingway Trans Station:  Continued Installation at Hemingway 500/230kV Station</t>
  </si>
  <si>
    <t>Midpoint Trans Station:  Install Larger Transformer to Increase Capacity at Midpoint</t>
  </si>
  <si>
    <t>Borah Trans Station:  Install Series Capacitor Bank on Populus-Borah 345kV Line</t>
  </si>
  <si>
    <t>Line 479:  Right of Way Purchase for 138kV Line Connecting Bowmont to Happy Valley</t>
  </si>
  <si>
    <t>Line 404:  New 138kV Line Segment North of Nampa to Split Up Load in Nampa/Caldwell</t>
  </si>
  <si>
    <t>Langley Gulch Switchyard: Langley Gulch 230kV Switchyard</t>
  </si>
  <si>
    <t>Justice Station:  230/138 kV Transformer Installed at Justice</t>
  </si>
  <si>
    <t>Line 715:  230 kV Line Connecting Langley Gulch to Ontario-Caldwell 230 kV Line</t>
  </si>
  <si>
    <t>Line 728:  Langley Gulch 138/230 kV Line Connecting to Caldwell-Willis 138 kV Line</t>
  </si>
  <si>
    <t>Jamieson Station:  Install 69 kV Regulator Due To NHTS NUG</t>
  </si>
  <si>
    <t>Hells Canyon:  Local Service Upgrades at Hells Canyon</t>
  </si>
  <si>
    <t>Oxbow:  230 kV Breaker Replacement at Oxbow</t>
  </si>
  <si>
    <t>Line 108:  Filer-Amsterdam 46 kV Capital Maintenance</t>
  </si>
  <si>
    <t>Victory Station:  Install Circuit Switchers at Victory 138 kV Line Bay</t>
  </si>
  <si>
    <t>Montour Station:  69 kV Switching Station</t>
  </si>
  <si>
    <t>Sawtooth Wind Farm:  138 kV Interconnection Substation</t>
  </si>
  <si>
    <t>Oxbow:  Airbreak Switch Replacement at Oxbow</t>
  </si>
  <si>
    <t>Hells Canyon:  Airbreak Switch Replacement at Hells Canyon</t>
  </si>
  <si>
    <t>Brownlee:  Replace GSU Transformer</t>
  </si>
  <si>
    <t>Borah Trans Station:  345 kV Breaker Replacement at Borah</t>
  </si>
  <si>
    <t>Line 251:  Caldwell-Homedale 69 kV Patrol Follow-Up Capital Maintenance</t>
  </si>
  <si>
    <t>Line 220:  Thousand Springs-Mountain City 69 kV Capital Maintenance</t>
  </si>
  <si>
    <t>Line 906:  Boise Bench-Midpoint 230 kV Capital Maintenance</t>
  </si>
  <si>
    <t>Line 902:  New 230 kV Line In-and-Out of the Justice Switching Station</t>
  </si>
  <si>
    <t>King Trans Station:  New 138 kV Terminal at King to Connect to the Justice Station</t>
  </si>
  <si>
    <t>Line 950:  Midpoint-Borah 345 kV Upgrades and Capital Maintenance</t>
  </si>
  <si>
    <t>Line 911:  Brownlee-Boise Bench Transmission Line Capital Maintenance</t>
  </si>
  <si>
    <t>Quartz Trans Station:  New Shunt Reactor Connected to 230/138 kV Transformer for Voltage Contol</t>
  </si>
  <si>
    <t>Line 423:  Ontario-Quartz 138 kV Capital Maintenance</t>
  </si>
  <si>
    <t>Line 701:  Brownlee-Quartz-LaGrande 230 kV Capital Maintenance</t>
  </si>
  <si>
    <t>Line 903:  Brownlee-Quartz-LaGrande 230 kV Capital Maintenance</t>
  </si>
  <si>
    <t>Langley Gulch Power Plant</t>
  </si>
  <si>
    <t>Misc Cash Acctg ID 0000250562</t>
  </si>
  <si>
    <t>01-12 NON REVERSING ENTRIES</t>
  </si>
  <si>
    <t>IPTV</t>
  </si>
  <si>
    <t>JOHN AMES</t>
  </si>
  <si>
    <t>MDP INCOME</t>
  </si>
  <si>
    <t>METRO MANAGEMENT</t>
  </si>
  <si>
    <t>010132</t>
  </si>
  <si>
    <t>PATTERSON</t>
  </si>
  <si>
    <t>TMOBILE CPI</t>
  </si>
  <si>
    <t>ALLIED WIRELESS</t>
  </si>
  <si>
    <t>BROWNLEE TRAILER PARK LOT</t>
  </si>
  <si>
    <t>614</t>
  </si>
  <si>
    <t>Misc Cash Acctg ID 0000252202</t>
  </si>
  <si>
    <t>NON REVERSING ENTRIES</t>
  </si>
  <si>
    <t>GARY HOLMSTEAD</t>
  </si>
  <si>
    <t>JENTZSCH KEARL FARMS</t>
  </si>
  <si>
    <t>LAMAR 264 ADDITIONAL RENT</t>
  </si>
  <si>
    <t>MCKIM</t>
  </si>
  <si>
    <t>020132</t>
  </si>
  <si>
    <t>020133</t>
  </si>
  <si>
    <t>QRE AMORTIZATION</t>
  </si>
  <si>
    <t>601</t>
  </si>
  <si>
    <t>QRE REPORTING FEES</t>
  </si>
  <si>
    <t>TMOBILE MARCH</t>
  </si>
  <si>
    <t>USPS OXBOW POST OFFICE</t>
  </si>
  <si>
    <t>Misc Cash Acctg ID 0000253735</t>
  </si>
  <si>
    <t>BILL WATKINS</t>
  </si>
  <si>
    <t>April Rent Revenue</t>
  </si>
  <si>
    <t>030133</t>
  </si>
  <si>
    <t>POWER SUPPLY RECEIVABLES</t>
  </si>
  <si>
    <t>CHARLEY KINDALL</t>
  </si>
  <si>
    <t>LAMAR OUTDOOR AD 314</t>
  </si>
  <si>
    <t>MARLIN MUSSMANN</t>
  </si>
  <si>
    <t>030132</t>
  </si>
  <si>
    <t>030045</t>
  </si>
  <si>
    <t>MISC CORRECTIONS</t>
  </si>
  <si>
    <t>SUTTON CREEK CATTLE</t>
  </si>
  <si>
    <t>Misc Cash Acctg ID 0000256143</t>
  </si>
  <si>
    <t>Misc Cash Acctg ID 0000256799</t>
  </si>
  <si>
    <t>040133</t>
  </si>
  <si>
    <t>FORSEA 426</t>
  </si>
  <si>
    <t>KNIGHT</t>
  </si>
  <si>
    <t>040132</t>
  </si>
  <si>
    <t>SNAKE RIVER PCS 437</t>
  </si>
  <si>
    <t>SNAKE RIVER PCS 441</t>
  </si>
  <si>
    <t>ATT HAGERMAN</t>
  </si>
  <si>
    <t>ATT HAGERMAN ADDITIONAL</t>
  </si>
  <si>
    <t>050034</t>
  </si>
  <si>
    <t>BARBER VALLEY DEVELOPMENT</t>
  </si>
  <si>
    <t>Misc Cash Acctg ID 0000258085</t>
  </si>
  <si>
    <t>050133</t>
  </si>
  <si>
    <t>DAN FORSEA 427</t>
  </si>
  <si>
    <t>MCFARLAND CASCADE</t>
  </si>
  <si>
    <t>MIKE RANEY</t>
  </si>
  <si>
    <t>SNAKE RIVER PCS 446</t>
  </si>
  <si>
    <t>STATE OF ID GROVE PARKING</t>
  </si>
  <si>
    <t>STATE OF ID PAPS MNT</t>
  </si>
  <si>
    <t>USPS OXBOW POST</t>
  </si>
  <si>
    <t>060034</t>
  </si>
  <si>
    <t>Misc Cash Acctg ID 0000258898</t>
  </si>
  <si>
    <t>060133</t>
  </si>
  <si>
    <t>HILL</t>
  </si>
  <si>
    <t>HILLDALE</t>
  </si>
  <si>
    <t>060132</t>
  </si>
  <si>
    <t>070034</t>
  </si>
  <si>
    <t>Misc Cash Acctg ID 0000261346</t>
  </si>
  <si>
    <t>070133</t>
  </si>
  <si>
    <t>LAMAR OUTDOOR 345</t>
  </si>
  <si>
    <t>LAMAR OUTDOOR 357</t>
  </si>
  <si>
    <t>LAMAR OUTDOOR 358</t>
  </si>
  <si>
    <t>STATE OF IDAHO 291</t>
  </si>
  <si>
    <t>STEVENS</t>
  </si>
  <si>
    <t>USPS POST OFFICE</t>
  </si>
  <si>
    <t>080034</t>
  </si>
  <si>
    <t>Misc Cash Acctg ID 0000262729</t>
  </si>
  <si>
    <t>BART 4 LLC</t>
  </si>
  <si>
    <t>080133</t>
  </si>
  <si>
    <t>DAWSON DRILLING 372</t>
  </si>
  <si>
    <t>DIVOTZ 319</t>
  </si>
  <si>
    <t>EASTWIND COMMUNITY 390</t>
  </si>
  <si>
    <t>HAGER 444</t>
  </si>
  <si>
    <t>MCFARLAND 394</t>
  </si>
  <si>
    <t>OXBOW USPS 443</t>
  </si>
  <si>
    <t>SALMON FALLS 034</t>
  </si>
  <si>
    <t>SALMON FALLS 035</t>
  </si>
  <si>
    <t>SPRINT 367</t>
  </si>
  <si>
    <t>090034</t>
  </si>
  <si>
    <t>Misc Cash Acctg ID 0000265749</t>
  </si>
  <si>
    <t>090133</t>
  </si>
  <si>
    <t>DAWSON REIMBURSEMENT</t>
  </si>
  <si>
    <t>LAND LEASE REVENUE</t>
  </si>
  <si>
    <t>100133</t>
  </si>
  <si>
    <t>DIVOTZ WRITE OFF</t>
  </si>
  <si>
    <t>LAMAR ADVERTISING</t>
  </si>
  <si>
    <t>LAND LEASE CORRECTIONS</t>
  </si>
  <si>
    <t>Misc Cash Acctg ID 0000268509</t>
  </si>
  <si>
    <t>BSU-FACILITIES EQUIPMENT-</t>
  </si>
  <si>
    <t>199</t>
  </si>
  <si>
    <t>Misc Cash Acctg ID 0000268340</t>
  </si>
  <si>
    <t>110133</t>
  </si>
  <si>
    <t>Misc Cash Acctg ID 0000270910</t>
  </si>
  <si>
    <t>Misc Cash Acctg ID 0000270993</t>
  </si>
  <si>
    <t>120133</t>
  </si>
  <si>
    <t>MEADOW ADVERTISING</t>
  </si>
  <si>
    <t>RASMUSSEN</t>
  </si>
  <si>
    <t>CARL BOND</t>
  </si>
  <si>
    <t>COLYER</t>
  </si>
  <si>
    <t>GINGERICH</t>
  </si>
  <si>
    <t>US AIR FORCE</t>
  </si>
  <si>
    <t>HAGER WRITE OFF</t>
  </si>
  <si>
    <t>SUTFIN HOMEDALE WRITE OFF</t>
  </si>
  <si>
    <t>MCKIM WRITE OFF</t>
  </si>
  <si>
    <t>R ATKINSON WRITE OFF</t>
  </si>
  <si>
    <t>WALLOWA-WHITMAN</t>
  </si>
  <si>
    <t>T-MOBILE</t>
  </si>
  <si>
    <t>BRADLEY</t>
  </si>
  <si>
    <t>MOTIVE POWER</t>
  </si>
  <si>
    <t>RSCI</t>
  </si>
  <si>
    <t>USPS OXBOW</t>
  </si>
  <si>
    <t>Schedule 2 less (Accounts 561 and 565 from Rate Calculation tab)</t>
  </si>
  <si>
    <t>Total Fees for 2012</t>
  </si>
  <si>
    <t>Idaho Power Company Informational Filing For Rates Effective October 1, 2013 through September 30, 2014</t>
  </si>
  <si>
    <t xml:space="preserve">Line 904:  Install OPGW Overhead Conductor and Ground Wire </t>
  </si>
  <si>
    <t>-Use 2012 formula rate as the base</t>
  </si>
  <si>
    <t>-Substitute 2011 PBOPs for 2012 PBOPs in the 2012 formula rate</t>
  </si>
  <si>
    <t>2012 Amount in Account 926</t>
  </si>
  <si>
    <t>Less 2011 Amount in Account 926</t>
  </si>
  <si>
    <t>Using 2012 PBOP</t>
  </si>
  <si>
    <t>2012 Monthly Rate minus 2012 Monthly Rate using 2011 PBOP</t>
  </si>
  <si>
    <t>FF1 p 323 197 b - ($0 for 2012)</t>
  </si>
  <si>
    <t>2007 - 2012</t>
  </si>
  <si>
    <t>Total 2012</t>
  </si>
  <si>
    <t>FERC Form 1, page 330 line 4 x 35%</t>
  </si>
  <si>
    <t>Schedule 10, Line 12:  $1,172,619 misclassified as Transmission Plant; removed this amount from Line 1 of the Rate Calculation tab.</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</si>
</sst>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_(* #,##0.000000_);_(* \(#,##0.000000\);_(* &quot;-&quot;??_);_(@_)"/>
    <numFmt numFmtId="172" formatCode="#,##0.0"/>
    <numFmt numFmtId="173" formatCode="#,##0.000000000"/>
    <numFmt numFmtId="174" formatCode="_(* #,##0.0000_);_(* \(#,##0.0000\);_(* &quot;-&quot;_);_(@_)"/>
    <numFmt numFmtId="175" formatCode="_(* #,##0.0000000000_);_(* \(#,##0.0000000000\);_(* &quot;-&quot;??_);_(@_)"/>
    <numFmt numFmtId="176" formatCode="&quot;$&quot;#,##0"/>
    <numFmt numFmtId="177" formatCode="0.000"/>
    <numFmt numFmtId="178" formatCode="&quot;$&quot;#,##0.0"/>
    <numFmt numFmtId="179" formatCode="&quot;$&quot;#,##0.0_);\(&quot;$&quot;#,##0.0\)"/>
    <numFmt numFmtId="180" formatCode="0.000%"/>
    <numFmt numFmtId="181" formatCode="General_)"/>
    <numFmt numFmtId="182" formatCode="#,##0.0_);\(#,##0.0\)"/>
    <numFmt numFmtId="183" formatCode="0.000_)"/>
    <numFmt numFmtId="184" formatCode="_(* #,##0.0000_);_(* \(#,##0.0000\);_(* &quot;-&quot;??_);_(@_)"/>
    <numFmt numFmtId="185" formatCode="0.0000"/>
    <numFmt numFmtId="186" formatCode="&quot;$&quot;#,##0.00"/>
    <numFmt numFmtId="187" formatCode="m/d/yy"/>
    <numFmt numFmtId="188" formatCode="[$-409]mmmm\ d\,\ yyyy;@"/>
    <numFmt numFmtId="189" formatCode="&quot;$&quot;#,##0.0000"/>
    <numFmt numFmtId="190" formatCode="mm/dd/yy;@"/>
    <numFmt numFmtId="191" formatCode="dd\-mmm\-yy_)"/>
    <numFmt numFmtId="192" formatCode="0_);\(0\)"/>
    <numFmt numFmtId="193" formatCode="_(* #,##0.000_);_(* \(#,##0.000\);_(* &quot;-&quot;??_);_(@_)"/>
    <numFmt numFmtId="194" formatCode="0.0"/>
    <numFmt numFmtId="195" formatCode="0.00_);\(0.00\)"/>
    <numFmt numFmtId="196" formatCode="_([$€-2]* #,##0.00_);_([$€-2]* \(#,##0.00\);_([$€-2]* &quot;-&quot;??_)"/>
    <numFmt numFmtId="197" formatCode="mm/dd/yy"/>
    <numFmt numFmtId="198" formatCode="_(* #,##0.000000000000_);_(* \(#,##0.000000000000\);_(* &quot;-&quot;??_);_(@_)"/>
    <numFmt numFmtId="199" formatCode="_(* #,##0.00000_);_(* \(#,##0.00000\);_(* &quot;-&quot;_);_(@_)"/>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sz val="9"/>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color rgb="FF0070C0"/>
      <name val="Arial Unicode MS"/>
      <family val="2"/>
    </font>
    <font>
      <sz val="10"/>
      <color rgb="FFFF0000"/>
      <name val="Arial Unicode MS"/>
      <family val="2"/>
    </font>
    <font>
      <sz val="10"/>
      <name val="MS Sans Serif"/>
      <family val="2"/>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106">
    <xf numFmtId="0" fontId="0" fillId="0" borderId="0"/>
    <xf numFmtId="43" fontId="7" fillId="0" borderId="0" applyFont="0" applyFill="0" applyBorder="0" applyAlignment="0" applyProtection="0"/>
    <xf numFmtId="40" fontId="15"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0" fontId="15" fillId="0" borderId="0"/>
    <xf numFmtId="0" fontId="7" fillId="0" borderId="0"/>
    <xf numFmtId="0" fontId="25" fillId="0" borderId="0"/>
    <xf numFmtId="0" fontId="7" fillId="0" borderId="0"/>
    <xf numFmtId="0" fontId="7" fillId="0" borderId="0"/>
    <xf numFmtId="0" fontId="23" fillId="0" borderId="0"/>
    <xf numFmtId="181" fontId="13" fillId="0" borderId="0"/>
    <xf numFmtId="0" fontId="15" fillId="0" borderId="0"/>
    <xf numFmtId="0" fontId="18" fillId="0" borderId="0"/>
    <xf numFmtId="0" fontId="18" fillId="0" borderId="0"/>
    <xf numFmtId="0" fontId="15" fillId="0" borderId="0"/>
    <xf numFmtId="9" fontId="7" fillId="0" borderId="0" applyFont="0" applyFill="0" applyBorder="0" applyAlignment="0" applyProtection="0"/>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15"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14" fillId="0" borderId="1">
      <alignment horizontal="center"/>
    </xf>
    <xf numFmtId="0" fontId="14" fillId="0" borderId="1">
      <alignment horizontal="center"/>
    </xf>
    <xf numFmtId="3" fontId="15" fillId="0" borderId="0" applyFont="0" applyFill="0" applyBorder="0" applyAlignment="0" applyProtection="0"/>
    <xf numFmtId="3" fontId="15" fillId="0" borderId="0" applyFont="0" applyFill="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6" fontId="7" fillId="0" borderId="0" applyFont="0" applyFill="0" applyBorder="0" applyAlignment="0" applyProtection="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5" fillId="0" borderId="0"/>
    <xf numFmtId="43" fontId="5" fillId="0" borderId="0" applyFont="0" applyFill="0" applyBorder="0" applyAlignment="0" applyProtection="0"/>
    <xf numFmtId="0" fontId="4" fillId="0" borderId="0"/>
    <xf numFmtId="0" fontId="18" fillId="0" borderId="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43" fontId="7" fillId="0" borderId="0" applyFont="0" applyFill="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44" fontId="7" fillId="0" borderId="0" applyFont="0" applyFill="0" applyBorder="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69" fillId="0" borderId="0" applyNumberFormat="0" applyFill="0" applyBorder="0" applyAlignment="0" applyProtection="0">
      <alignment vertical="top"/>
      <protection locked="0"/>
    </xf>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44" fontId="7" fillId="0" borderId="0" applyFont="0" applyFill="0" applyBorder="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68" fillId="11" borderId="0" applyNumberFormat="0" applyBorder="0" applyAlignment="0" applyProtection="0"/>
    <xf numFmtId="0" fontId="70" fillId="34" borderId="0" applyNumberFormat="0" applyBorder="0" applyAlignment="0" applyProtection="0"/>
    <xf numFmtId="0" fontId="3" fillId="11" borderId="0" applyNumberFormat="0" applyBorder="0" applyAlignment="0" applyProtection="0"/>
    <xf numFmtId="0" fontId="70" fillId="34" borderId="0" applyNumberFormat="0" applyBorder="0" applyAlignment="0" applyProtection="0"/>
    <xf numFmtId="0" fontId="68" fillId="15" borderId="0" applyNumberFormat="0" applyBorder="0" applyAlignment="0" applyProtection="0"/>
    <xf numFmtId="0" fontId="70" fillId="35" borderId="0" applyNumberFormat="0" applyBorder="0" applyAlignment="0" applyProtection="0"/>
    <xf numFmtId="0" fontId="3" fillId="15" borderId="0" applyNumberFormat="0" applyBorder="0" applyAlignment="0" applyProtection="0"/>
    <xf numFmtId="0" fontId="70" fillId="35" borderId="0" applyNumberFormat="0" applyBorder="0" applyAlignment="0" applyProtection="0"/>
    <xf numFmtId="0" fontId="68" fillId="19" borderId="0" applyNumberFormat="0" applyBorder="0" applyAlignment="0" applyProtection="0"/>
    <xf numFmtId="0" fontId="70" fillId="36" borderId="0" applyNumberFormat="0" applyBorder="0" applyAlignment="0" applyProtection="0"/>
    <xf numFmtId="0" fontId="3" fillId="19" borderId="0" applyNumberFormat="0" applyBorder="0" applyAlignment="0" applyProtection="0"/>
    <xf numFmtId="0" fontId="70" fillId="36" borderId="0" applyNumberFormat="0" applyBorder="0" applyAlignment="0" applyProtection="0"/>
    <xf numFmtId="0" fontId="68" fillId="23" borderId="0" applyNumberFormat="0" applyBorder="0" applyAlignment="0" applyProtection="0"/>
    <xf numFmtId="0" fontId="70" fillId="37" borderId="0" applyNumberFormat="0" applyBorder="0" applyAlignment="0" applyProtection="0"/>
    <xf numFmtId="0" fontId="3" fillId="23" borderId="0" applyNumberFormat="0" applyBorder="0" applyAlignment="0" applyProtection="0"/>
    <xf numFmtId="0" fontId="70" fillId="37" borderId="0" applyNumberFormat="0" applyBorder="0" applyAlignment="0" applyProtection="0"/>
    <xf numFmtId="0" fontId="68" fillId="27" borderId="0" applyNumberFormat="0" applyBorder="0" applyAlignment="0" applyProtection="0"/>
    <xf numFmtId="0" fontId="70" fillId="38" borderId="0" applyNumberFormat="0" applyBorder="0" applyAlignment="0" applyProtection="0"/>
    <xf numFmtId="0" fontId="3" fillId="27" borderId="0" applyNumberFormat="0" applyBorder="0" applyAlignment="0" applyProtection="0"/>
    <xf numFmtId="0" fontId="70" fillId="38" borderId="0" applyNumberFormat="0" applyBorder="0" applyAlignment="0" applyProtection="0"/>
    <xf numFmtId="0" fontId="68" fillId="31" borderId="0" applyNumberFormat="0" applyBorder="0" applyAlignment="0" applyProtection="0"/>
    <xf numFmtId="0" fontId="70" fillId="39" borderId="0" applyNumberFormat="0" applyBorder="0" applyAlignment="0" applyProtection="0"/>
    <xf numFmtId="0" fontId="3" fillId="31" borderId="0" applyNumberFormat="0" applyBorder="0" applyAlignment="0" applyProtection="0"/>
    <xf numFmtId="0" fontId="70" fillId="39" borderId="0" applyNumberFormat="0" applyBorder="0" applyAlignment="0" applyProtection="0"/>
    <xf numFmtId="0" fontId="68" fillId="12" borderId="0" applyNumberFormat="0" applyBorder="0" applyAlignment="0" applyProtection="0"/>
    <xf numFmtId="0" fontId="70" fillId="40" borderId="0" applyNumberFormat="0" applyBorder="0" applyAlignment="0" applyProtection="0"/>
    <xf numFmtId="0" fontId="3" fillId="12" borderId="0" applyNumberFormat="0" applyBorder="0" applyAlignment="0" applyProtection="0"/>
    <xf numFmtId="0" fontId="70" fillId="40" borderId="0" applyNumberFormat="0" applyBorder="0" applyAlignment="0" applyProtection="0"/>
    <xf numFmtId="0" fontId="68" fillId="16" borderId="0" applyNumberFormat="0" applyBorder="0" applyAlignment="0" applyProtection="0"/>
    <xf numFmtId="0" fontId="70" fillId="41" borderId="0" applyNumberFormat="0" applyBorder="0" applyAlignment="0" applyProtection="0"/>
    <xf numFmtId="0" fontId="3" fillId="16" borderId="0" applyNumberFormat="0" applyBorder="0" applyAlignment="0" applyProtection="0"/>
    <xf numFmtId="0" fontId="70" fillId="41" borderId="0" applyNumberFormat="0" applyBorder="0" applyAlignment="0" applyProtection="0"/>
    <xf numFmtId="0" fontId="68" fillId="20" borderId="0" applyNumberFormat="0" applyBorder="0" applyAlignment="0" applyProtection="0"/>
    <xf numFmtId="0" fontId="70" fillId="42" borderId="0" applyNumberFormat="0" applyBorder="0" applyAlignment="0" applyProtection="0"/>
    <xf numFmtId="0" fontId="3" fillId="20" borderId="0" applyNumberFormat="0" applyBorder="0" applyAlignment="0" applyProtection="0"/>
    <xf numFmtId="0" fontId="70" fillId="42" borderId="0" applyNumberFormat="0" applyBorder="0" applyAlignment="0" applyProtection="0"/>
    <xf numFmtId="0" fontId="68" fillId="24" borderId="0" applyNumberFormat="0" applyBorder="0" applyAlignment="0" applyProtection="0"/>
    <xf numFmtId="0" fontId="70" fillId="37" borderId="0" applyNumberFormat="0" applyBorder="0" applyAlignment="0" applyProtection="0"/>
    <xf numFmtId="0" fontId="3" fillId="24" borderId="0" applyNumberFormat="0" applyBorder="0" applyAlignment="0" applyProtection="0"/>
    <xf numFmtId="0" fontId="70" fillId="37" borderId="0" applyNumberFormat="0" applyBorder="0" applyAlignment="0" applyProtection="0"/>
    <xf numFmtId="0" fontId="68" fillId="28" borderId="0" applyNumberFormat="0" applyBorder="0" applyAlignment="0" applyProtection="0"/>
    <xf numFmtId="0" fontId="70" fillId="40" borderId="0" applyNumberFormat="0" applyBorder="0" applyAlignment="0" applyProtection="0"/>
    <xf numFmtId="0" fontId="3" fillId="28" borderId="0" applyNumberFormat="0" applyBorder="0" applyAlignment="0" applyProtection="0"/>
    <xf numFmtId="0" fontId="70" fillId="40" borderId="0" applyNumberFormat="0" applyBorder="0" applyAlignment="0" applyProtection="0"/>
    <xf numFmtId="0" fontId="68" fillId="32" borderId="0" applyNumberFormat="0" applyBorder="0" applyAlignment="0" applyProtection="0"/>
    <xf numFmtId="0" fontId="70" fillId="43" borderId="0" applyNumberFormat="0" applyBorder="0" applyAlignment="0" applyProtection="0"/>
    <xf numFmtId="0" fontId="3" fillId="32" borderId="0" applyNumberFormat="0" applyBorder="0" applyAlignment="0" applyProtection="0"/>
    <xf numFmtId="0" fontId="70" fillId="43" borderId="0" applyNumberFormat="0" applyBorder="0" applyAlignment="0" applyProtection="0"/>
    <xf numFmtId="0" fontId="100" fillId="13" borderId="0" applyNumberFormat="0" applyBorder="0" applyAlignment="0" applyProtection="0"/>
    <xf numFmtId="0" fontId="71" fillId="44" borderId="0" applyNumberFormat="0" applyBorder="0" applyAlignment="0" applyProtection="0"/>
    <xf numFmtId="0" fontId="49" fillId="13" borderId="0" applyNumberFormat="0" applyBorder="0" applyAlignment="0" applyProtection="0"/>
    <xf numFmtId="0" fontId="71" fillId="44" borderId="0" applyNumberFormat="0" applyBorder="0" applyAlignment="0" applyProtection="0"/>
    <xf numFmtId="0" fontId="100" fillId="17" borderId="0" applyNumberFormat="0" applyBorder="0" applyAlignment="0" applyProtection="0"/>
    <xf numFmtId="0" fontId="71" fillId="41" borderId="0" applyNumberFormat="0" applyBorder="0" applyAlignment="0" applyProtection="0"/>
    <xf numFmtId="0" fontId="49" fillId="17" borderId="0" applyNumberFormat="0" applyBorder="0" applyAlignment="0" applyProtection="0"/>
    <xf numFmtId="0" fontId="71" fillId="41" borderId="0" applyNumberFormat="0" applyBorder="0" applyAlignment="0" applyProtection="0"/>
    <xf numFmtId="0" fontId="100" fillId="21" borderId="0" applyNumberFormat="0" applyBorder="0" applyAlignment="0" applyProtection="0"/>
    <xf numFmtId="0" fontId="71" fillId="42" borderId="0" applyNumberFormat="0" applyBorder="0" applyAlignment="0" applyProtection="0"/>
    <xf numFmtId="0" fontId="49" fillId="21" borderId="0" applyNumberFormat="0" applyBorder="0" applyAlignment="0" applyProtection="0"/>
    <xf numFmtId="0" fontId="71" fillId="42" borderId="0" applyNumberFormat="0" applyBorder="0" applyAlignment="0" applyProtection="0"/>
    <xf numFmtId="0" fontId="100" fillId="25" borderId="0" applyNumberFormat="0" applyBorder="0" applyAlignment="0" applyProtection="0"/>
    <xf numFmtId="0" fontId="71" fillId="45" borderId="0" applyNumberFormat="0" applyBorder="0" applyAlignment="0" applyProtection="0"/>
    <xf numFmtId="0" fontId="49" fillId="25" borderId="0" applyNumberFormat="0" applyBorder="0" applyAlignment="0" applyProtection="0"/>
    <xf numFmtId="0" fontId="71" fillId="45" borderId="0" applyNumberFormat="0" applyBorder="0" applyAlignment="0" applyProtection="0"/>
    <xf numFmtId="0" fontId="100" fillId="29" borderId="0" applyNumberFormat="0" applyBorder="0" applyAlignment="0" applyProtection="0"/>
    <xf numFmtId="0" fontId="71" fillId="46" borderId="0" applyNumberFormat="0" applyBorder="0" applyAlignment="0" applyProtection="0"/>
    <xf numFmtId="0" fontId="49" fillId="29" borderId="0" applyNumberFormat="0" applyBorder="0" applyAlignment="0" applyProtection="0"/>
    <xf numFmtId="0" fontId="71" fillId="46" borderId="0" applyNumberFormat="0" applyBorder="0" applyAlignment="0" applyProtection="0"/>
    <xf numFmtId="0" fontId="100" fillId="33" borderId="0" applyNumberFormat="0" applyBorder="0" applyAlignment="0" applyProtection="0"/>
    <xf numFmtId="0" fontId="71" fillId="47" borderId="0" applyNumberFormat="0" applyBorder="0" applyAlignment="0" applyProtection="0"/>
    <xf numFmtId="0" fontId="49" fillId="33" borderId="0" applyNumberFormat="0" applyBorder="0" applyAlignment="0" applyProtection="0"/>
    <xf numFmtId="0" fontId="71" fillId="47" borderId="0" applyNumberFormat="0" applyBorder="0" applyAlignment="0" applyProtection="0"/>
    <xf numFmtId="0" fontId="100" fillId="10" borderId="0" applyNumberFormat="0" applyBorder="0" applyAlignment="0" applyProtection="0"/>
    <xf numFmtId="0" fontId="71" fillId="48" borderId="0" applyNumberFormat="0" applyBorder="0" applyAlignment="0" applyProtection="0"/>
    <xf numFmtId="0" fontId="49" fillId="10" borderId="0" applyNumberFormat="0" applyBorder="0" applyAlignment="0" applyProtection="0"/>
    <xf numFmtId="0" fontId="71" fillId="48" borderId="0" applyNumberFormat="0" applyBorder="0" applyAlignment="0" applyProtection="0"/>
    <xf numFmtId="0" fontId="100" fillId="14" borderId="0" applyNumberFormat="0" applyBorder="0" applyAlignment="0" applyProtection="0"/>
    <xf numFmtId="0" fontId="71" fillId="49" borderId="0" applyNumberFormat="0" applyBorder="0" applyAlignment="0" applyProtection="0"/>
    <xf numFmtId="0" fontId="49" fillId="14" borderId="0" applyNumberFormat="0" applyBorder="0" applyAlignment="0" applyProtection="0"/>
    <xf numFmtId="0" fontId="71" fillId="49" borderId="0" applyNumberFormat="0" applyBorder="0" applyAlignment="0" applyProtection="0"/>
    <xf numFmtId="0" fontId="100" fillId="18" borderId="0" applyNumberFormat="0" applyBorder="0" applyAlignment="0" applyProtection="0"/>
    <xf numFmtId="0" fontId="71" fillId="50" borderId="0" applyNumberFormat="0" applyBorder="0" applyAlignment="0" applyProtection="0"/>
    <xf numFmtId="0" fontId="49" fillId="18" borderId="0" applyNumberFormat="0" applyBorder="0" applyAlignment="0" applyProtection="0"/>
    <xf numFmtId="0" fontId="71" fillId="50" borderId="0" applyNumberFormat="0" applyBorder="0" applyAlignment="0" applyProtection="0"/>
    <xf numFmtId="0" fontId="100" fillId="22" borderId="0" applyNumberFormat="0" applyBorder="0" applyAlignment="0" applyProtection="0"/>
    <xf numFmtId="0" fontId="71" fillId="45" borderId="0" applyNumberFormat="0" applyBorder="0" applyAlignment="0" applyProtection="0"/>
    <xf numFmtId="0" fontId="49" fillId="22" borderId="0" applyNumberFormat="0" applyBorder="0" applyAlignment="0" applyProtection="0"/>
    <xf numFmtId="0" fontId="71" fillId="45" borderId="0" applyNumberFormat="0" applyBorder="0" applyAlignment="0" applyProtection="0"/>
    <xf numFmtId="0" fontId="100" fillId="26" borderId="0" applyNumberFormat="0" applyBorder="0" applyAlignment="0" applyProtection="0"/>
    <xf numFmtId="0" fontId="71" fillId="46" borderId="0" applyNumberFormat="0" applyBorder="0" applyAlignment="0" applyProtection="0"/>
    <xf numFmtId="0" fontId="49" fillId="26" borderId="0" applyNumberFormat="0" applyBorder="0" applyAlignment="0" applyProtection="0"/>
    <xf numFmtId="0" fontId="71" fillId="46" borderId="0" applyNumberFormat="0" applyBorder="0" applyAlignment="0" applyProtection="0"/>
    <xf numFmtId="0" fontId="100" fillId="30" borderId="0" applyNumberFormat="0" applyBorder="0" applyAlignment="0" applyProtection="0"/>
    <xf numFmtId="0" fontId="71" fillId="51" borderId="0" applyNumberFormat="0" applyBorder="0" applyAlignment="0" applyProtection="0"/>
    <xf numFmtId="0" fontId="49" fillId="30" borderId="0" applyNumberFormat="0" applyBorder="0" applyAlignment="0" applyProtection="0"/>
    <xf numFmtId="0" fontId="71" fillId="51" borderId="0" applyNumberFormat="0" applyBorder="0" applyAlignment="0" applyProtection="0"/>
    <xf numFmtId="0" fontId="90" fillId="4" borderId="0" applyNumberFormat="0" applyBorder="0" applyAlignment="0" applyProtection="0"/>
    <xf numFmtId="0" fontId="72" fillId="35" borderId="0" applyNumberFormat="0" applyBorder="0" applyAlignment="0" applyProtection="0"/>
    <xf numFmtId="0" fontId="39" fillId="4" borderId="0" applyNumberFormat="0" applyBorder="0" applyAlignment="0" applyProtection="0"/>
    <xf numFmtId="0" fontId="72" fillId="35" borderId="0" applyNumberFormat="0" applyBorder="0" applyAlignment="0" applyProtection="0"/>
    <xf numFmtId="0" fontId="94" fillId="7" borderId="25" applyNumberFormat="0" applyAlignment="0" applyProtection="0"/>
    <xf numFmtId="0" fontId="73" fillId="52" borderId="31" applyNumberFormat="0" applyAlignment="0" applyProtection="0"/>
    <xf numFmtId="0" fontId="43" fillId="7" borderId="25" applyNumberFormat="0" applyAlignment="0" applyProtection="0"/>
    <xf numFmtId="0" fontId="73" fillId="52" borderId="31" applyNumberFormat="0" applyAlignment="0" applyProtection="0"/>
    <xf numFmtId="0" fontId="96" fillId="8" borderId="28" applyNumberFormat="0" applyAlignment="0" applyProtection="0"/>
    <xf numFmtId="0" fontId="74" fillId="53" borderId="32" applyNumberFormat="0" applyAlignment="0" applyProtection="0"/>
    <xf numFmtId="0" fontId="45" fillId="8" borderId="28" applyNumberFormat="0" applyAlignment="0" applyProtection="0"/>
    <xf numFmtId="0" fontId="74" fillId="53" borderId="32" applyNumberFormat="0" applyAlignment="0" applyProtection="0"/>
    <xf numFmtId="0" fontId="98" fillId="0" borderId="0" applyNumberFormat="0" applyFill="0" applyBorder="0" applyAlignment="0" applyProtection="0"/>
    <xf numFmtId="0" fontId="75" fillId="0" borderId="0" applyNumberFormat="0" applyFill="0" applyBorder="0" applyAlignment="0" applyProtection="0"/>
    <xf numFmtId="0" fontId="47" fillId="0" borderId="0" applyNumberFormat="0" applyFill="0" applyBorder="0" applyAlignment="0" applyProtection="0"/>
    <xf numFmtId="0" fontId="75" fillId="0" borderId="0" applyNumberFormat="0" applyFill="0" applyBorder="0" applyAlignment="0" applyProtection="0"/>
    <xf numFmtId="0" fontId="89" fillId="3" borderId="0" applyNumberFormat="0" applyBorder="0" applyAlignment="0" applyProtection="0"/>
    <xf numFmtId="0" fontId="76" fillId="36" borderId="0" applyNumberFormat="0" applyBorder="0" applyAlignment="0" applyProtection="0"/>
    <xf numFmtId="0" fontId="38" fillId="3" borderId="0" applyNumberFormat="0" applyBorder="0" applyAlignment="0" applyProtection="0"/>
    <xf numFmtId="0" fontId="76" fillId="36" borderId="0" applyNumberFormat="0" applyBorder="0" applyAlignment="0" applyProtection="0"/>
    <xf numFmtId="0" fontId="86" fillId="0" borderId="22" applyNumberFormat="0" applyFill="0" applyAlignment="0" applyProtection="0"/>
    <xf numFmtId="0" fontId="77" fillId="0" borderId="33" applyNumberFormat="0" applyFill="0" applyAlignment="0" applyProtection="0"/>
    <xf numFmtId="0" fontId="35" fillId="0" borderId="22" applyNumberFormat="0" applyFill="0" applyAlignment="0" applyProtection="0"/>
    <xf numFmtId="0" fontId="77" fillId="0" borderId="33" applyNumberFormat="0" applyFill="0" applyAlignment="0" applyProtection="0"/>
    <xf numFmtId="0" fontId="87" fillId="0" borderId="23" applyNumberFormat="0" applyFill="0" applyAlignment="0" applyProtection="0"/>
    <xf numFmtId="0" fontId="78" fillId="0" borderId="34" applyNumberFormat="0" applyFill="0" applyAlignment="0" applyProtection="0"/>
    <xf numFmtId="0" fontId="36" fillId="0" borderId="23" applyNumberFormat="0" applyFill="0" applyAlignment="0" applyProtection="0"/>
    <xf numFmtId="0" fontId="78" fillId="0" borderId="34" applyNumberFormat="0" applyFill="0" applyAlignment="0" applyProtection="0"/>
    <xf numFmtId="0" fontId="88" fillId="0" borderId="24" applyNumberFormat="0" applyFill="0" applyAlignment="0" applyProtection="0"/>
    <xf numFmtId="0" fontId="79" fillId="0" borderId="35" applyNumberFormat="0" applyFill="0" applyAlignment="0" applyProtection="0"/>
    <xf numFmtId="0" fontId="37" fillId="0" borderId="24" applyNumberFormat="0" applyFill="0" applyAlignment="0" applyProtection="0"/>
    <xf numFmtId="0" fontId="79" fillId="0" borderId="35" applyNumberFormat="0" applyFill="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79" fillId="0" borderId="0" applyNumberFormat="0" applyFill="0" applyBorder="0" applyAlignment="0" applyProtection="0"/>
    <xf numFmtId="0" fontId="92" fillId="6" borderId="25" applyNumberFormat="0" applyAlignment="0" applyProtection="0"/>
    <xf numFmtId="0" fontId="80" fillId="39" borderId="31" applyNumberFormat="0" applyAlignment="0" applyProtection="0"/>
    <xf numFmtId="0" fontId="41" fillId="6" borderId="25" applyNumberFormat="0" applyAlignment="0" applyProtection="0"/>
    <xf numFmtId="0" fontId="80" fillId="39" borderId="31" applyNumberFormat="0" applyAlignment="0" applyProtection="0"/>
    <xf numFmtId="0" fontId="95" fillId="0" borderId="27" applyNumberFormat="0" applyFill="0" applyAlignment="0" applyProtection="0"/>
    <xf numFmtId="0" fontId="81" fillId="0" borderId="36" applyNumberFormat="0" applyFill="0" applyAlignment="0" applyProtection="0"/>
    <xf numFmtId="0" fontId="44" fillId="0" borderId="27" applyNumberFormat="0" applyFill="0" applyAlignment="0" applyProtection="0"/>
    <xf numFmtId="0" fontId="81" fillId="0" borderId="36" applyNumberFormat="0" applyFill="0" applyAlignment="0" applyProtection="0"/>
    <xf numFmtId="0" fontId="91" fillId="5" borderId="0" applyNumberFormat="0" applyBorder="0" applyAlignment="0" applyProtection="0"/>
    <xf numFmtId="0" fontId="82" fillId="54" borderId="0" applyNumberFormat="0" applyBorder="0" applyAlignment="0" applyProtection="0"/>
    <xf numFmtId="0" fontId="40" fillId="5" borderId="0" applyNumberFormat="0" applyBorder="0" applyAlignment="0" applyProtection="0"/>
    <xf numFmtId="0" fontId="82" fillId="54" borderId="0" applyNumberFormat="0" applyBorder="0" applyAlignment="0" applyProtection="0"/>
    <xf numFmtId="0" fontId="3" fillId="0" borderId="0"/>
    <xf numFmtId="0" fontId="7" fillId="55" borderId="37" applyNumberFormat="0" applyFont="0" applyAlignment="0" applyProtection="0"/>
    <xf numFmtId="0" fontId="3" fillId="9" borderId="29" applyNumberFormat="0" applyFont="0" applyAlignment="0" applyProtection="0"/>
    <xf numFmtId="0" fontId="7" fillId="55" borderId="37" applyNumberFormat="0" applyFont="0" applyAlignment="0" applyProtection="0"/>
    <xf numFmtId="0" fontId="93" fillId="7" borderId="26" applyNumberFormat="0" applyAlignment="0" applyProtection="0"/>
    <xf numFmtId="0" fontId="83" fillId="52" borderId="38" applyNumberFormat="0" applyAlignment="0" applyProtection="0"/>
    <xf numFmtId="0" fontId="42" fillId="7" borderId="26" applyNumberFormat="0" applyAlignment="0" applyProtection="0"/>
    <xf numFmtId="0" fontId="83" fillId="52" borderId="38" applyNumberFormat="0" applyAlignment="0" applyProtection="0"/>
    <xf numFmtId="0" fontId="34" fillId="0" borderId="0" applyNumberFormat="0" applyFill="0" applyBorder="0" applyAlignment="0" applyProtection="0"/>
    <xf numFmtId="0" fontId="99" fillId="0" borderId="30" applyNumberFormat="0" applyFill="0" applyAlignment="0" applyProtection="0"/>
    <xf numFmtId="0" fontId="84"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68" fillId="11" borderId="0" applyNumberFormat="0" applyBorder="0" applyAlignment="0" applyProtection="0"/>
    <xf numFmtId="0" fontId="3" fillId="11" borderId="0" applyNumberFormat="0" applyBorder="0" applyAlignment="0" applyProtection="0"/>
    <xf numFmtId="0" fontId="70" fillId="34" borderId="0" applyNumberFormat="0" applyBorder="0" applyAlignment="0" applyProtection="0"/>
    <xf numFmtId="0" fontId="68" fillId="15" borderId="0" applyNumberFormat="0" applyBorder="0" applyAlignment="0" applyProtection="0"/>
    <xf numFmtId="0" fontId="3" fillId="15" borderId="0" applyNumberFormat="0" applyBorder="0" applyAlignment="0" applyProtection="0"/>
    <xf numFmtId="0" fontId="70" fillId="35" borderId="0" applyNumberFormat="0" applyBorder="0" applyAlignment="0" applyProtection="0"/>
    <xf numFmtId="0" fontId="68" fillId="19" borderId="0" applyNumberFormat="0" applyBorder="0" applyAlignment="0" applyProtection="0"/>
    <xf numFmtId="0" fontId="3" fillId="19" borderId="0" applyNumberFormat="0" applyBorder="0" applyAlignment="0" applyProtection="0"/>
    <xf numFmtId="0" fontId="70" fillId="36" borderId="0" applyNumberFormat="0" applyBorder="0" applyAlignment="0" applyProtection="0"/>
    <xf numFmtId="0" fontId="68" fillId="23" borderId="0" applyNumberFormat="0" applyBorder="0" applyAlignment="0" applyProtection="0"/>
    <xf numFmtId="0" fontId="3" fillId="23" borderId="0" applyNumberFormat="0" applyBorder="0" applyAlignment="0" applyProtection="0"/>
    <xf numFmtId="0" fontId="70" fillId="37" borderId="0" applyNumberFormat="0" applyBorder="0" applyAlignment="0" applyProtection="0"/>
    <xf numFmtId="0" fontId="68" fillId="27" borderId="0" applyNumberFormat="0" applyBorder="0" applyAlignment="0" applyProtection="0"/>
    <xf numFmtId="0" fontId="3" fillId="27" borderId="0" applyNumberFormat="0" applyBorder="0" applyAlignment="0" applyProtection="0"/>
    <xf numFmtId="0" fontId="70" fillId="38" borderId="0" applyNumberFormat="0" applyBorder="0" applyAlignment="0" applyProtection="0"/>
    <xf numFmtId="0" fontId="68" fillId="31" borderId="0" applyNumberFormat="0" applyBorder="0" applyAlignment="0" applyProtection="0"/>
    <xf numFmtId="0" fontId="3" fillId="31" borderId="0" applyNumberFormat="0" applyBorder="0" applyAlignment="0" applyProtection="0"/>
    <xf numFmtId="0" fontId="70" fillId="39" borderId="0" applyNumberFormat="0" applyBorder="0" applyAlignment="0" applyProtection="0"/>
    <xf numFmtId="0" fontId="68" fillId="12" borderId="0" applyNumberFormat="0" applyBorder="0" applyAlignment="0" applyProtection="0"/>
    <xf numFmtId="0" fontId="3" fillId="12" borderId="0" applyNumberFormat="0" applyBorder="0" applyAlignment="0" applyProtection="0"/>
    <xf numFmtId="0" fontId="70" fillId="40" borderId="0" applyNumberFormat="0" applyBorder="0" applyAlignment="0" applyProtection="0"/>
    <xf numFmtId="0" fontId="68" fillId="16" borderId="0" applyNumberFormat="0" applyBorder="0" applyAlignment="0" applyProtection="0"/>
    <xf numFmtId="0" fontId="3" fillId="16" borderId="0" applyNumberFormat="0" applyBorder="0" applyAlignment="0" applyProtection="0"/>
    <xf numFmtId="0" fontId="70" fillId="41" borderId="0" applyNumberFormat="0" applyBorder="0" applyAlignment="0" applyProtection="0"/>
    <xf numFmtId="0" fontId="68" fillId="20" borderId="0" applyNumberFormat="0" applyBorder="0" applyAlignment="0" applyProtection="0"/>
    <xf numFmtId="0" fontId="3" fillId="20" borderId="0" applyNumberFormat="0" applyBorder="0" applyAlignment="0" applyProtection="0"/>
    <xf numFmtId="0" fontId="70" fillId="42" borderId="0" applyNumberFormat="0" applyBorder="0" applyAlignment="0" applyProtection="0"/>
    <xf numFmtId="0" fontId="68" fillId="24" borderId="0" applyNumberFormat="0" applyBorder="0" applyAlignment="0" applyProtection="0"/>
    <xf numFmtId="0" fontId="3" fillId="24" borderId="0" applyNumberFormat="0" applyBorder="0" applyAlignment="0" applyProtection="0"/>
    <xf numFmtId="0" fontId="70" fillId="37" borderId="0" applyNumberFormat="0" applyBorder="0" applyAlignment="0" applyProtection="0"/>
    <xf numFmtId="0" fontId="68" fillId="28" borderId="0" applyNumberFormat="0" applyBorder="0" applyAlignment="0" applyProtection="0"/>
    <xf numFmtId="0" fontId="3" fillId="28" borderId="0" applyNumberFormat="0" applyBorder="0" applyAlignment="0" applyProtection="0"/>
    <xf numFmtId="0" fontId="70" fillId="40" borderId="0" applyNumberFormat="0" applyBorder="0" applyAlignment="0" applyProtection="0"/>
    <xf numFmtId="0" fontId="68" fillId="32" borderId="0" applyNumberFormat="0" applyBorder="0" applyAlignment="0" applyProtection="0"/>
    <xf numFmtId="0" fontId="3" fillId="32" borderId="0" applyNumberFormat="0" applyBorder="0" applyAlignment="0" applyProtection="0"/>
    <xf numFmtId="0" fontId="70" fillId="43" borderId="0" applyNumberFormat="0" applyBorder="0" applyAlignment="0" applyProtection="0"/>
    <xf numFmtId="0" fontId="100" fillId="13" borderId="0" applyNumberFormat="0" applyBorder="0" applyAlignment="0" applyProtection="0"/>
    <xf numFmtId="0" fontId="49" fillId="13" borderId="0" applyNumberFormat="0" applyBorder="0" applyAlignment="0" applyProtection="0"/>
    <xf numFmtId="0" fontId="71" fillId="44" borderId="0" applyNumberFormat="0" applyBorder="0" applyAlignment="0" applyProtection="0"/>
    <xf numFmtId="0" fontId="100" fillId="17" borderId="0" applyNumberFormat="0" applyBorder="0" applyAlignment="0" applyProtection="0"/>
    <xf numFmtId="0" fontId="49" fillId="17" borderId="0" applyNumberFormat="0" applyBorder="0" applyAlignment="0" applyProtection="0"/>
    <xf numFmtId="0" fontId="71" fillId="41" borderId="0" applyNumberFormat="0" applyBorder="0" applyAlignment="0" applyProtection="0"/>
    <xf numFmtId="0" fontId="100" fillId="21" borderId="0" applyNumberFormat="0" applyBorder="0" applyAlignment="0" applyProtection="0"/>
    <xf numFmtId="0" fontId="49" fillId="21" borderId="0" applyNumberFormat="0" applyBorder="0" applyAlignment="0" applyProtection="0"/>
    <xf numFmtId="0" fontId="71" fillId="42" borderId="0" applyNumberFormat="0" applyBorder="0" applyAlignment="0" applyProtection="0"/>
    <xf numFmtId="0" fontId="100" fillId="25" borderId="0" applyNumberFormat="0" applyBorder="0" applyAlignment="0" applyProtection="0"/>
    <xf numFmtId="0" fontId="49" fillId="25" borderId="0" applyNumberFormat="0" applyBorder="0" applyAlignment="0" applyProtection="0"/>
    <xf numFmtId="0" fontId="71" fillId="45" borderId="0" applyNumberFormat="0" applyBorder="0" applyAlignment="0" applyProtection="0"/>
    <xf numFmtId="0" fontId="100" fillId="29" borderId="0" applyNumberFormat="0" applyBorder="0" applyAlignment="0" applyProtection="0"/>
    <xf numFmtId="0" fontId="49" fillId="29" borderId="0" applyNumberFormat="0" applyBorder="0" applyAlignment="0" applyProtection="0"/>
    <xf numFmtId="0" fontId="71" fillId="46" borderId="0" applyNumberFormat="0" applyBorder="0" applyAlignment="0" applyProtection="0"/>
    <xf numFmtId="0" fontId="100" fillId="33" borderId="0" applyNumberFormat="0" applyBorder="0" applyAlignment="0" applyProtection="0"/>
    <xf numFmtId="0" fontId="49" fillId="33" borderId="0" applyNumberFormat="0" applyBorder="0" applyAlignment="0" applyProtection="0"/>
    <xf numFmtId="0" fontId="71" fillId="47" borderId="0" applyNumberFormat="0" applyBorder="0" applyAlignment="0" applyProtection="0"/>
    <xf numFmtId="0" fontId="100" fillId="10" borderId="0" applyNumberFormat="0" applyBorder="0" applyAlignment="0" applyProtection="0"/>
    <xf numFmtId="0" fontId="49" fillId="10" borderId="0" applyNumberFormat="0" applyBorder="0" applyAlignment="0" applyProtection="0"/>
    <xf numFmtId="0" fontId="71" fillId="48" borderId="0" applyNumberFormat="0" applyBorder="0" applyAlignment="0" applyProtection="0"/>
    <xf numFmtId="0" fontId="100" fillId="14" borderId="0" applyNumberFormat="0" applyBorder="0" applyAlignment="0" applyProtection="0"/>
    <xf numFmtId="0" fontId="49" fillId="14" borderId="0" applyNumberFormat="0" applyBorder="0" applyAlignment="0" applyProtection="0"/>
    <xf numFmtId="0" fontId="71" fillId="49" borderId="0" applyNumberFormat="0" applyBorder="0" applyAlignment="0" applyProtection="0"/>
    <xf numFmtId="0" fontId="100" fillId="18" borderId="0" applyNumberFormat="0" applyBorder="0" applyAlignment="0" applyProtection="0"/>
    <xf numFmtId="0" fontId="49" fillId="18" borderId="0" applyNumberFormat="0" applyBorder="0" applyAlignment="0" applyProtection="0"/>
    <xf numFmtId="0" fontId="71" fillId="50" borderId="0" applyNumberFormat="0" applyBorder="0" applyAlignment="0" applyProtection="0"/>
    <xf numFmtId="0" fontId="100" fillId="22" borderId="0" applyNumberFormat="0" applyBorder="0" applyAlignment="0" applyProtection="0"/>
    <xf numFmtId="0" fontId="49" fillId="22" borderId="0" applyNumberFormat="0" applyBorder="0" applyAlignment="0" applyProtection="0"/>
    <xf numFmtId="0" fontId="71" fillId="45" borderId="0" applyNumberFormat="0" applyBorder="0" applyAlignment="0" applyProtection="0"/>
    <xf numFmtId="0" fontId="100" fillId="26" borderId="0" applyNumberFormat="0" applyBorder="0" applyAlignment="0" applyProtection="0"/>
    <xf numFmtId="0" fontId="49" fillId="26" borderId="0" applyNumberFormat="0" applyBorder="0" applyAlignment="0" applyProtection="0"/>
    <xf numFmtId="0" fontId="71" fillId="46" borderId="0" applyNumberFormat="0" applyBorder="0" applyAlignment="0" applyProtection="0"/>
    <xf numFmtId="0" fontId="100" fillId="30" borderId="0" applyNumberFormat="0" applyBorder="0" applyAlignment="0" applyProtection="0"/>
    <xf numFmtId="0" fontId="49" fillId="30" borderId="0" applyNumberFormat="0" applyBorder="0" applyAlignment="0" applyProtection="0"/>
    <xf numFmtId="0" fontId="71" fillId="51" borderId="0" applyNumberFormat="0" applyBorder="0" applyAlignment="0" applyProtection="0"/>
    <xf numFmtId="0" fontId="90" fillId="4" borderId="0" applyNumberFormat="0" applyBorder="0" applyAlignment="0" applyProtection="0"/>
    <xf numFmtId="0" fontId="39" fillId="4" borderId="0" applyNumberFormat="0" applyBorder="0" applyAlignment="0" applyProtection="0"/>
    <xf numFmtId="0" fontId="72" fillId="35" borderId="0" applyNumberFormat="0" applyBorder="0" applyAlignment="0" applyProtection="0"/>
    <xf numFmtId="0" fontId="94" fillId="7" borderId="25" applyNumberFormat="0" applyAlignment="0" applyProtection="0"/>
    <xf numFmtId="0" fontId="43" fillId="7" borderId="25" applyNumberFormat="0" applyAlignment="0" applyProtection="0"/>
    <xf numFmtId="0" fontId="73" fillId="52" borderId="31" applyNumberFormat="0" applyAlignment="0" applyProtection="0"/>
    <xf numFmtId="0" fontId="96" fillId="8" borderId="28" applyNumberFormat="0" applyAlignment="0" applyProtection="0"/>
    <xf numFmtId="0" fontId="45" fillId="8" borderId="28" applyNumberFormat="0" applyAlignment="0" applyProtection="0"/>
    <xf numFmtId="0" fontId="74" fillId="53" borderId="32" applyNumberFormat="0" applyAlignment="0" applyProtection="0"/>
    <xf numFmtId="0" fontId="98" fillId="0" borderId="0" applyNumberFormat="0" applyFill="0" applyBorder="0" applyAlignment="0" applyProtection="0"/>
    <xf numFmtId="0" fontId="47" fillId="0" borderId="0" applyNumberFormat="0" applyFill="0" applyBorder="0" applyAlignment="0" applyProtection="0"/>
    <xf numFmtId="0" fontId="75" fillId="0" borderId="0" applyNumberFormat="0" applyFill="0" applyBorder="0" applyAlignment="0" applyProtection="0"/>
    <xf numFmtId="0" fontId="89" fillId="3" borderId="0" applyNumberFormat="0" applyBorder="0" applyAlignment="0" applyProtection="0"/>
    <xf numFmtId="0" fontId="38" fillId="3" borderId="0" applyNumberFormat="0" applyBorder="0" applyAlignment="0" applyProtection="0"/>
    <xf numFmtId="0" fontId="76" fillId="36" borderId="0" applyNumberFormat="0" applyBorder="0" applyAlignment="0" applyProtection="0"/>
    <xf numFmtId="0" fontId="86" fillId="0" borderId="22" applyNumberFormat="0" applyFill="0" applyAlignment="0" applyProtection="0"/>
    <xf numFmtId="0" fontId="35" fillId="0" borderId="22" applyNumberFormat="0" applyFill="0" applyAlignment="0" applyProtection="0"/>
    <xf numFmtId="0" fontId="77" fillId="0" borderId="33" applyNumberFormat="0" applyFill="0" applyAlignment="0" applyProtection="0"/>
    <xf numFmtId="0" fontId="87" fillId="0" borderId="23" applyNumberFormat="0" applyFill="0" applyAlignment="0" applyProtection="0"/>
    <xf numFmtId="0" fontId="36" fillId="0" borderId="23" applyNumberFormat="0" applyFill="0" applyAlignment="0" applyProtection="0"/>
    <xf numFmtId="0" fontId="78" fillId="0" borderId="34" applyNumberFormat="0" applyFill="0" applyAlignment="0" applyProtection="0"/>
    <xf numFmtId="0" fontId="88" fillId="0" borderId="24" applyNumberFormat="0" applyFill="0" applyAlignment="0" applyProtection="0"/>
    <xf numFmtId="0" fontId="37" fillId="0" borderId="24" applyNumberFormat="0" applyFill="0" applyAlignment="0" applyProtection="0"/>
    <xf numFmtId="0" fontId="79" fillId="0" borderId="35" applyNumberFormat="0" applyFill="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79" fillId="0" borderId="0" applyNumberFormat="0" applyFill="0" applyBorder="0" applyAlignment="0" applyProtection="0"/>
    <xf numFmtId="0" fontId="92" fillId="6" borderId="25" applyNumberFormat="0" applyAlignment="0" applyProtection="0"/>
    <xf numFmtId="0" fontId="41" fillId="6" borderId="25" applyNumberFormat="0" applyAlignment="0" applyProtection="0"/>
    <xf numFmtId="0" fontId="80" fillId="39" borderId="31" applyNumberFormat="0" applyAlignment="0" applyProtection="0"/>
    <xf numFmtId="0" fontId="95" fillId="0" borderId="27" applyNumberFormat="0" applyFill="0" applyAlignment="0" applyProtection="0"/>
    <xf numFmtId="0" fontId="44" fillId="0" borderId="27" applyNumberFormat="0" applyFill="0" applyAlignment="0" applyProtection="0"/>
    <xf numFmtId="0" fontId="81" fillId="0" borderId="36" applyNumberFormat="0" applyFill="0" applyAlignment="0" applyProtection="0"/>
    <xf numFmtId="0" fontId="91" fillId="5" borderId="0" applyNumberFormat="0" applyBorder="0" applyAlignment="0" applyProtection="0"/>
    <xf numFmtId="0" fontId="40" fillId="5" borderId="0" applyNumberFormat="0" applyBorder="0" applyAlignment="0" applyProtection="0"/>
    <xf numFmtId="0" fontId="82" fillId="54" borderId="0" applyNumberFormat="0" applyBorder="0" applyAlignment="0" applyProtection="0"/>
    <xf numFmtId="0" fontId="3" fillId="0" borderId="0"/>
    <xf numFmtId="0" fontId="3" fillId="9" borderId="29" applyNumberFormat="0" applyFont="0" applyAlignment="0" applyProtection="0"/>
    <xf numFmtId="0" fontId="7" fillId="55" borderId="37" applyNumberFormat="0" applyFont="0" applyAlignment="0" applyProtection="0"/>
    <xf numFmtId="0" fontId="93" fillId="7" borderId="26" applyNumberFormat="0" applyAlignment="0" applyProtection="0"/>
    <xf numFmtId="0" fontId="42" fillId="7" borderId="26" applyNumberFormat="0" applyAlignment="0" applyProtection="0"/>
    <xf numFmtId="0" fontId="83" fillId="52" borderId="38" applyNumberFormat="0" applyAlignment="0" applyProtection="0"/>
    <xf numFmtId="0" fontId="34" fillId="0" borderId="0" applyNumberFormat="0" applyFill="0" applyBorder="0" applyAlignment="0" applyProtection="0"/>
    <xf numFmtId="0" fontId="99" fillId="0" borderId="30"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97"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100" fillId="22"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73" fillId="52" borderId="31" applyNumberFormat="0" applyAlignment="0" applyProtection="0"/>
    <xf numFmtId="0" fontId="94" fillId="7" borderId="25" applyNumberFormat="0" applyAlignment="0" applyProtection="0"/>
    <xf numFmtId="0" fontId="94" fillId="7" borderId="25" applyNumberFormat="0" applyAlignment="0" applyProtection="0"/>
    <xf numFmtId="0" fontId="74" fillId="53" borderId="32" applyNumberFormat="0" applyAlignment="0" applyProtection="0"/>
    <xf numFmtId="0" fontId="74" fillId="53" borderId="32" applyNumberFormat="0" applyAlignment="0" applyProtection="0"/>
    <xf numFmtId="0" fontId="96" fillId="8" borderId="28"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76" fillId="36"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77" fillId="0" borderId="33"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87" fillId="0" borderId="23"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88" fillId="0" borderId="24"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80" fillId="39" borderId="31" applyNumberFormat="0" applyAlignment="0" applyProtection="0"/>
    <xf numFmtId="0" fontId="92" fillId="6" borderId="25" applyNumberFormat="0" applyAlignment="0" applyProtection="0"/>
    <xf numFmtId="0" fontId="92" fillId="6" borderId="25" applyNumberFormat="0" applyAlignment="0" applyProtection="0"/>
    <xf numFmtId="0" fontId="81" fillId="0" borderId="36" applyNumberFormat="0" applyFill="0" applyAlignment="0" applyProtection="0"/>
    <xf numFmtId="0" fontId="81" fillId="0" borderId="36" applyNumberFormat="0" applyFill="0" applyAlignment="0" applyProtection="0"/>
    <xf numFmtId="0" fontId="95" fillId="0" borderId="27"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82" fillId="5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7" fillId="55" borderId="37" applyNumberFormat="0" applyFont="0" applyAlignment="0" applyProtection="0"/>
    <xf numFmtId="0" fontId="7" fillId="55" borderId="37" applyNumberFormat="0" applyFont="0" applyAlignment="0" applyProtection="0"/>
    <xf numFmtId="0" fontId="83" fillId="52" borderId="38" applyNumberFormat="0" applyAlignment="0" applyProtection="0"/>
    <xf numFmtId="0" fontId="83" fillId="52" borderId="38" applyNumberFormat="0" applyAlignment="0" applyProtection="0"/>
    <xf numFmtId="0" fontId="93" fillId="7" borderId="26" applyNumberFormat="0" applyAlignment="0" applyProtection="0"/>
    <xf numFmtId="0" fontId="93" fillId="7" borderId="26" applyNumberFormat="0" applyAlignment="0" applyProtection="0"/>
    <xf numFmtId="0" fontId="84" fillId="0" borderId="39" applyNumberFormat="0" applyFill="0" applyAlignment="0" applyProtection="0"/>
    <xf numFmtId="0" fontId="84" fillId="0" borderId="39"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0" fillId="34" borderId="0" applyNumberFormat="0" applyBorder="0" applyAlignment="0" applyProtection="0"/>
    <xf numFmtId="0" fontId="3" fillId="11"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3" fillId="1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3" fillId="19"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3" fillId="23"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3" fillId="27"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3" fillId="31"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3" fillId="12"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3" fillId="16"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3" fillId="20"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3" fillId="24"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3" fillId="28"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3" fillId="32"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49" fillId="13"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49" fillId="17"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49" fillId="21"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49" fillId="2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49" fillId="29"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49" fillId="33"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49" fillId="10"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49" fillId="14"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49" fillId="18"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49" fillId="22"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49" fillId="2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49" fillId="30"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39" fillId="4"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43" fillId="7" borderId="25" applyNumberFormat="0" applyAlignment="0" applyProtection="0"/>
    <xf numFmtId="0" fontId="94" fillId="7" borderId="25" applyNumberFormat="0" applyAlignment="0" applyProtection="0"/>
    <xf numFmtId="0" fontId="74" fillId="53" borderId="32" applyNumberFormat="0" applyAlignment="0" applyProtection="0"/>
    <xf numFmtId="0" fontId="45" fillId="8" borderId="28"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47"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38" fillId="3"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35" fillId="0" borderId="22"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36" fillId="0" borderId="23"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37" fillId="0" borderId="24"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41" fillId="6" borderId="25" applyNumberFormat="0" applyAlignment="0" applyProtection="0"/>
    <xf numFmtId="0" fontId="92" fillId="6" borderId="25" applyNumberFormat="0" applyAlignment="0" applyProtection="0"/>
    <xf numFmtId="0" fontId="81" fillId="0" borderId="36" applyNumberFormat="0" applyFill="0" applyAlignment="0" applyProtection="0"/>
    <xf numFmtId="0" fontId="44" fillId="0" borderId="27"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40" fillId="5" borderId="0" applyNumberFormat="0" applyBorder="0" applyAlignment="0" applyProtection="0"/>
    <xf numFmtId="0" fontId="91" fillId="5" borderId="0" applyNumberFormat="0" applyBorder="0" applyAlignment="0" applyProtection="0"/>
    <xf numFmtId="0" fontId="7" fillId="0" borderId="0"/>
    <xf numFmtId="0" fontId="7" fillId="0" borderId="0"/>
    <xf numFmtId="0" fontId="7" fillId="0" borderId="0"/>
    <xf numFmtId="0" fontId="7" fillId="55" borderId="37" applyNumberFormat="0" applyFont="0" applyAlignment="0" applyProtection="0"/>
    <xf numFmtId="0" fontId="3" fillId="9" borderId="29" applyNumberFormat="0" applyFont="0" applyAlignment="0" applyProtection="0"/>
    <xf numFmtId="0" fontId="83" fillId="52" borderId="38" applyNumberFormat="0" applyAlignment="0" applyProtection="0"/>
    <xf numFmtId="0" fontId="42" fillId="7" borderId="26" applyNumberFormat="0" applyAlignment="0" applyProtection="0"/>
    <xf numFmtId="0" fontId="93" fillId="7" borderId="26" applyNumberFormat="0" applyAlignment="0" applyProtection="0"/>
    <xf numFmtId="0" fontId="34" fillId="0" borderId="0" applyNumberFormat="0" applyFill="0" applyBorder="0" applyAlignment="0" applyProtection="0"/>
    <xf numFmtId="0" fontId="84" fillId="0" borderId="39" applyNumberFormat="0" applyFill="0" applyAlignment="0" applyProtection="0"/>
    <xf numFmtId="0" fontId="48" fillId="0" borderId="30"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70" fillId="34"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94" fillId="7" borderId="25" applyNumberFormat="0" applyAlignment="0" applyProtection="0"/>
    <xf numFmtId="0" fontId="74" fillId="53" borderId="32"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92" fillId="6" borderId="25" applyNumberFormat="0" applyAlignment="0" applyProtection="0"/>
    <xf numFmtId="0" fontId="81" fillId="0" borderId="36"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91" fillId="5" borderId="0" applyNumberFormat="0" applyBorder="0" applyAlignment="0" applyProtection="0"/>
    <xf numFmtId="0" fontId="7" fillId="0" borderId="0"/>
    <xf numFmtId="0" fontId="7" fillId="55" borderId="37" applyNumberFormat="0" applyFont="0" applyAlignment="0" applyProtection="0"/>
    <xf numFmtId="0" fontId="83" fillId="52" borderId="38" applyNumberFormat="0" applyAlignment="0" applyProtection="0"/>
    <xf numFmtId="0" fontId="93" fillId="7" borderId="26" applyNumberFormat="0" applyAlignment="0" applyProtection="0"/>
    <xf numFmtId="0" fontId="84" fillId="0" borderId="39"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4" fontId="27" fillId="0" borderId="0" applyFont="0" applyFill="0" applyBorder="0" applyAlignment="0" applyProtection="0"/>
    <xf numFmtId="43" fontId="7" fillId="0" borderId="0" applyFont="0" applyFill="0" applyBorder="0" applyAlignment="0" applyProtection="0"/>
    <xf numFmtId="0" fontId="7" fillId="0" borderId="0"/>
    <xf numFmtId="0" fontId="3" fillId="0" borderId="0"/>
    <xf numFmtId="0" fontId="34" fillId="0" borderId="0" applyNumberFormat="0" applyFill="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25" applyNumberFormat="0" applyAlignment="0" applyProtection="0"/>
    <xf numFmtId="0" fontId="42" fillId="7" borderId="26" applyNumberFormat="0" applyAlignment="0" applyProtection="0"/>
    <xf numFmtId="0" fontId="43" fillId="7" borderId="25" applyNumberFormat="0" applyAlignment="0" applyProtection="0"/>
    <xf numFmtId="0" fontId="44" fillId="0" borderId="27" applyNumberFormat="0" applyFill="0" applyAlignment="0" applyProtection="0"/>
    <xf numFmtId="0" fontId="45" fillId="8" borderId="28" applyNumberFormat="0" applyAlignment="0" applyProtection="0"/>
    <xf numFmtId="0" fontId="46" fillId="0" borderId="0" applyNumberFormat="0" applyFill="0" applyBorder="0" applyAlignment="0" applyProtection="0"/>
    <xf numFmtId="0" fontId="3" fillId="9" borderId="29" applyNumberFormat="0" applyFont="0" applyAlignment="0" applyProtection="0"/>
    <xf numFmtId="0" fontId="47" fillId="0" borderId="0" applyNumberFormat="0" applyFill="0" applyBorder="0" applyAlignment="0" applyProtection="0"/>
    <xf numFmtId="0" fontId="48" fillId="0" borderId="30" applyNumberFormat="0" applyFill="0" applyAlignment="0" applyProtection="0"/>
    <xf numFmtId="0" fontId="4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9" fillId="33"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xf numFmtId="0" fontId="7" fillId="0" borderId="0"/>
    <xf numFmtId="0" fontId="7" fillId="0" borderId="0"/>
    <xf numFmtId="0" fontId="70" fillId="34" borderId="0" applyNumberFormat="0" applyBorder="0" applyAlignment="0" applyProtection="0"/>
    <xf numFmtId="0" fontId="7" fillId="0" borderId="0"/>
    <xf numFmtId="0" fontId="7" fillId="0" borderId="0"/>
    <xf numFmtId="0" fontId="71" fillId="46" borderId="0" applyNumberFormat="0" applyBorder="0" applyAlignment="0" applyProtection="0"/>
    <xf numFmtId="0" fontId="7" fillId="0" borderId="0"/>
    <xf numFmtId="0" fontId="70" fillId="35" borderId="0" applyNumberFormat="0" applyBorder="0" applyAlignment="0" applyProtection="0"/>
    <xf numFmtId="0" fontId="7" fillId="0" borderId="0"/>
    <xf numFmtId="0" fontId="7" fillId="0" borderId="0"/>
    <xf numFmtId="0" fontId="70" fillId="40"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1" fillId="44" borderId="0" applyNumberFormat="0" applyBorder="0" applyAlignment="0" applyProtection="0"/>
    <xf numFmtId="0" fontId="3" fillId="0" borderId="0"/>
    <xf numFmtId="0" fontId="70" fillId="43"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37" borderId="0" applyNumberFormat="0" applyBorder="0" applyAlignment="0" applyProtection="0"/>
    <xf numFmtId="0" fontId="3" fillId="0" borderId="0"/>
    <xf numFmtId="0" fontId="70" fillId="42" borderId="0" applyNumberFormat="0" applyBorder="0" applyAlignment="0" applyProtection="0"/>
    <xf numFmtId="0" fontId="70" fillId="41"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9" borderId="0" applyNumberFormat="0" applyBorder="0" applyAlignment="0" applyProtection="0"/>
    <xf numFmtId="0" fontId="3" fillId="0" borderId="0"/>
    <xf numFmtId="0" fontId="70" fillId="36"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3" fillId="0" borderId="0"/>
    <xf numFmtId="43" fontId="7" fillId="0" borderId="0" applyFont="0" applyFill="0" applyBorder="0" applyAlignment="0" applyProtection="0"/>
    <xf numFmtId="0" fontId="85" fillId="0" borderId="0" applyNumberFormat="0" applyFill="0" applyBorder="0" applyAlignment="0" applyProtection="0"/>
    <xf numFmtId="0" fontId="84" fillId="0" borderId="39" applyNumberFormat="0" applyFill="0" applyAlignment="0" applyProtection="0"/>
    <xf numFmtId="0" fontId="65" fillId="0" borderId="0" applyNumberFormat="0" applyFill="0" applyBorder="0" applyAlignment="0" applyProtection="0"/>
    <xf numFmtId="0" fontId="7" fillId="0" borderId="0"/>
    <xf numFmtId="0" fontId="7" fillId="0" borderId="0"/>
    <xf numFmtId="0" fontId="83" fillId="52" borderId="38" applyNumberFormat="0" applyAlignment="0" applyProtection="0"/>
    <xf numFmtId="0" fontId="7" fillId="55" borderId="37" applyNumberFormat="0" applyFont="0" applyAlignment="0" applyProtection="0"/>
    <xf numFmtId="0" fontId="82" fillId="54" borderId="0" applyNumberFormat="0" applyBorder="0" applyAlignment="0" applyProtection="0"/>
    <xf numFmtId="0" fontId="81" fillId="0" borderId="36" applyNumberFormat="0" applyFill="0" applyAlignment="0" applyProtection="0"/>
    <xf numFmtId="0" fontId="80" fillId="39" borderId="31" applyNumberFormat="0" applyAlignment="0" applyProtection="0"/>
    <xf numFmtId="0" fontId="79" fillId="0" borderId="0" applyNumberFormat="0" applyFill="0" applyBorder="0" applyAlignment="0" applyProtection="0"/>
    <xf numFmtId="0" fontId="79" fillId="0" borderId="35" applyNumberFormat="0" applyFill="0" applyAlignment="0" applyProtection="0"/>
    <xf numFmtId="0" fontId="78" fillId="0" borderId="34" applyNumberFormat="0" applyFill="0" applyAlignment="0" applyProtection="0"/>
    <xf numFmtId="0" fontId="77" fillId="0" borderId="33" applyNumberFormat="0" applyFill="0" applyAlignment="0" applyProtection="0"/>
    <xf numFmtId="0" fontId="76" fillId="36" borderId="0" applyNumberFormat="0" applyBorder="0" applyAlignment="0" applyProtection="0"/>
    <xf numFmtId="0" fontId="75" fillId="0" borderId="0" applyNumberFormat="0" applyFill="0" applyBorder="0" applyAlignment="0" applyProtection="0"/>
    <xf numFmtId="0" fontId="74" fillId="53" borderId="32" applyNumberFormat="0" applyAlignment="0" applyProtection="0"/>
    <xf numFmtId="0" fontId="73" fillId="52" borderId="31" applyNumberFormat="0" applyAlignment="0" applyProtection="0"/>
    <xf numFmtId="0" fontId="72" fillId="35" borderId="0" applyNumberFormat="0" applyBorder="0" applyAlignment="0" applyProtection="0"/>
    <xf numFmtId="0" fontId="71" fillId="51" borderId="0" applyNumberFormat="0" applyBorder="0" applyAlignment="0" applyProtection="0"/>
    <xf numFmtId="0" fontId="71" fillId="46" borderId="0" applyNumberFormat="0" applyBorder="0" applyAlignment="0" applyProtection="0"/>
    <xf numFmtId="0" fontId="71" fillId="45" borderId="0" applyNumberFormat="0" applyBorder="0" applyAlignment="0" applyProtection="0"/>
    <xf numFmtId="0" fontId="71" fillId="50" borderId="0" applyNumberFormat="0" applyBorder="0" applyAlignment="0" applyProtection="0"/>
    <xf numFmtId="0" fontId="71" fillId="49" borderId="0" applyNumberFormat="0" applyBorder="0" applyAlignment="0" applyProtection="0"/>
    <xf numFmtId="0" fontId="71" fillId="48" borderId="0" applyNumberFormat="0" applyBorder="0" applyAlignment="0" applyProtection="0"/>
    <xf numFmtId="0" fontId="71" fillId="47" borderId="0" applyNumberFormat="0" applyBorder="0" applyAlignment="0" applyProtection="0"/>
    <xf numFmtId="0" fontId="71" fillId="45" borderId="0" applyNumberFormat="0" applyBorder="0" applyAlignment="0" applyProtection="0"/>
    <xf numFmtId="0" fontId="71" fillId="42" borderId="0" applyNumberFormat="0" applyBorder="0" applyAlignment="0" applyProtection="0"/>
    <xf numFmtId="0" fontId="71" fillId="41" borderId="0" applyNumberFormat="0" applyBorder="0" applyAlignment="0" applyProtection="0"/>
    <xf numFmtId="0" fontId="7" fillId="0" borderId="0"/>
    <xf numFmtId="0" fontId="65" fillId="0" borderId="0" applyNumberFormat="0" applyFill="0" applyBorder="0" applyAlignment="0" applyProtection="0"/>
    <xf numFmtId="0" fontId="3" fillId="0" borderId="0"/>
    <xf numFmtId="0" fontId="3" fillId="0" borderId="0"/>
    <xf numFmtId="0" fontId="3" fillId="0" borderId="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65" fillId="0" borderId="0" applyNumberFormat="0" applyFill="0" applyBorder="0" applyAlignment="0" applyProtection="0"/>
    <xf numFmtId="0" fontId="3" fillId="0" borderId="0"/>
    <xf numFmtId="0" fontId="70" fillId="41" borderId="0" applyNumberFormat="0" applyBorder="0" applyAlignment="0" applyProtection="0"/>
    <xf numFmtId="0" fontId="70" fillId="36" borderId="0" applyNumberFormat="0" applyBorder="0" applyAlignment="0" applyProtection="0"/>
    <xf numFmtId="0" fontId="70" fillId="35"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42"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42"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1"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40"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41"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1"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40"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41"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7" fillId="0" borderId="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43" fontId="7" fillId="0" borderId="0" applyFont="0" applyFill="0" applyBorder="0" applyAlignment="0" applyProtection="0"/>
    <xf numFmtId="0" fontId="3" fillId="0" borderId="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65" fillId="0" borderId="0" applyNumberForma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65" fillId="0" borderId="0" applyNumberForma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7" fillId="0" borderId="0"/>
    <xf numFmtId="0" fontId="65" fillId="0" borderId="0" applyNumberFormat="0" applyFill="0" applyBorder="0" applyAlignment="0" applyProtection="0"/>
    <xf numFmtId="0" fontId="3" fillId="0" borderId="0"/>
    <xf numFmtId="0" fontId="3" fillId="0" borderId="0"/>
    <xf numFmtId="0" fontId="3" fillId="0" borderId="0"/>
    <xf numFmtId="0" fontId="27"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7" fillId="0" borderId="0"/>
    <xf numFmtId="0" fontId="7" fillId="0" borderId="0"/>
    <xf numFmtId="0" fontId="7" fillId="0" borderId="0"/>
    <xf numFmtId="0" fontId="18"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9" fontId="2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4" fillId="0" borderId="39" applyNumberFormat="0" applyFill="0" applyAlignment="0" applyProtection="0"/>
    <xf numFmtId="0" fontId="84"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01" fillId="0" borderId="0"/>
    <xf numFmtId="43" fontId="102" fillId="0" borderId="0" applyFont="0" applyFill="0" applyBorder="0" applyAlignment="0" applyProtection="0"/>
    <xf numFmtId="0" fontId="105" fillId="0" borderId="0"/>
    <xf numFmtId="8" fontId="15" fillId="0" borderId="0" applyFont="0" applyFill="0" applyBorder="0" applyAlignment="0" applyProtection="0"/>
    <xf numFmtId="9" fontId="15" fillId="0" borderId="0" applyFont="0" applyFill="0" applyBorder="0" applyAlignment="0" applyProtection="0"/>
    <xf numFmtId="0" fontId="15" fillId="0" borderId="0"/>
    <xf numFmtId="9" fontId="18" fillId="0" borderId="0" applyFont="0" applyFill="0" applyBorder="0" applyAlignment="0" applyProtection="0"/>
  </cellStyleXfs>
  <cellXfs count="697">
    <xf numFmtId="0" fontId="0" fillId="0" borderId="0" xfId="0"/>
    <xf numFmtId="0" fontId="7" fillId="0" borderId="0" xfId="0" applyFont="1" applyFill="1"/>
    <xf numFmtId="0" fontId="10" fillId="0" borderId="0" xfId="0" applyFont="1" applyFill="1"/>
    <xf numFmtId="0" fontId="10" fillId="0" borderId="0" xfId="0" applyFont="1" applyFill="1" applyAlignment="1">
      <alignment horizontal="center"/>
    </xf>
    <xf numFmtId="176" fontId="7" fillId="0" borderId="0" xfId="0" applyNumberFormat="1" applyFont="1" applyFill="1"/>
    <xf numFmtId="0" fontId="9" fillId="0" borderId="0" xfId="0" applyFont="1" applyFill="1"/>
    <xf numFmtId="0" fontId="6" fillId="0" borderId="0" xfId="0" applyFont="1" applyFill="1" applyAlignment="1"/>
    <xf numFmtId="174" fontId="7" fillId="0" borderId="0" xfId="0" applyNumberFormat="1" applyFont="1" applyFill="1"/>
    <xf numFmtId="167" fontId="7" fillId="0" borderId="0" xfId="0" applyNumberFormat="1" applyFont="1" applyFill="1"/>
    <xf numFmtId="14" fontId="8" fillId="0" borderId="0" xfId="0" applyNumberFormat="1" applyFont="1" applyFill="1"/>
    <xf numFmtId="14" fontId="8" fillId="0" borderId="0" xfId="0" applyNumberFormat="1" applyFont="1" applyFill="1" applyAlignment="1">
      <alignment horizontal="left"/>
    </xf>
    <xf numFmtId="0" fontId="8" fillId="0" borderId="0" xfId="0" applyFont="1" applyFill="1"/>
    <xf numFmtId="0" fontId="19" fillId="0" borderId="0" xfId="0" applyFont="1" applyFill="1"/>
    <xf numFmtId="188" fontId="19" fillId="0" borderId="0" xfId="0" applyNumberFormat="1" applyFont="1" applyFill="1"/>
    <xf numFmtId="0" fontId="20" fillId="0" borderId="0" xfId="0" applyFont="1" applyFill="1"/>
    <xf numFmtId="0" fontId="8" fillId="0" borderId="0" xfId="0" applyFont="1" applyFill="1" applyAlignment="1"/>
    <xf numFmtId="49" fontId="8" fillId="0" borderId="0" xfId="0" applyNumberFormat="1" applyFont="1" applyFill="1" applyAlignment="1"/>
    <xf numFmtId="5" fontId="7" fillId="0" borderId="0" xfId="0" applyNumberFormat="1" applyFont="1" applyFill="1"/>
    <xf numFmtId="0" fontId="6" fillId="0" borderId="7" xfId="0" applyFont="1" applyFill="1" applyBorder="1" applyAlignment="1">
      <alignment horizontal="center"/>
    </xf>
    <xf numFmtId="0" fontId="7" fillId="0" borderId="4" xfId="0" applyFont="1" applyFill="1" applyBorder="1" applyAlignment="1">
      <alignment vertical="justify"/>
    </xf>
    <xf numFmtId="5" fontId="7" fillId="0" borderId="4" xfId="0" applyNumberFormat="1" applyFont="1" applyFill="1" applyBorder="1"/>
    <xf numFmtId="5" fontId="7" fillId="0" borderId="4" xfId="0" applyNumberFormat="1" applyFont="1" applyFill="1" applyBorder="1" applyAlignment="1">
      <alignment wrapText="1"/>
    </xf>
    <xf numFmtId="0" fontId="7" fillId="0" borderId="0" xfId="0" applyFont="1" applyFill="1" applyAlignment="1"/>
    <xf numFmtId="0" fontId="7" fillId="0" borderId="0" xfId="0" applyFont="1" applyFill="1" applyBorder="1" applyAlignment="1">
      <alignment horizontal="center"/>
    </xf>
    <xf numFmtId="0" fontId="7" fillId="0" borderId="0" xfId="0" applyFont="1" applyFill="1" applyBorder="1"/>
    <xf numFmtId="3" fontId="7" fillId="0" borderId="0" xfId="23" applyNumberFormat="1" applyFont="1" applyFill="1"/>
    <xf numFmtId="164" fontId="7" fillId="0" borderId="0" xfId="1" applyNumberFormat="1" applyFont="1" applyFill="1" applyBorder="1"/>
    <xf numFmtId="0" fontId="7" fillId="0" borderId="0" xfId="0" applyFont="1" applyFill="1" applyAlignment="1">
      <alignment horizontal="right"/>
    </xf>
    <xf numFmtId="0" fontId="7" fillId="0" borderId="0" xfId="0" quotePrefix="1" applyFont="1" applyFill="1" applyAlignment="1">
      <alignment horizontal="right"/>
    </xf>
    <xf numFmtId="0" fontId="7" fillId="0" borderId="0" xfId="0" applyFont="1" applyFill="1" applyBorder="1" applyAlignment="1">
      <alignment horizontal="right"/>
    </xf>
    <xf numFmtId="0" fontId="17" fillId="0" borderId="0" xfId="0" applyFont="1" applyFill="1"/>
    <xf numFmtId="0" fontId="17" fillId="0" borderId="0" xfId="0" applyFont="1" applyFill="1" applyAlignment="1">
      <alignment horizontal="center"/>
    </xf>
    <xf numFmtId="0" fontId="9" fillId="0" borderId="0" xfId="0" applyFont="1" applyFill="1" applyAlignment="1">
      <alignment horizontal="center"/>
    </xf>
    <xf numFmtId="0" fontId="7" fillId="0" borderId="3" xfId="0" applyFont="1" applyFill="1" applyBorder="1" applyAlignment="1">
      <alignment horizontal="center" wrapText="1"/>
    </xf>
    <xf numFmtId="0" fontId="6" fillId="0" borderId="0" xfId="0" applyFont="1" applyFill="1"/>
    <xf numFmtId="1" fontId="6" fillId="0" borderId="4" xfId="0" applyNumberFormat="1" applyFont="1" applyFill="1" applyBorder="1" applyAlignment="1">
      <alignment horizontal="left" vertical="center"/>
    </xf>
    <xf numFmtId="0" fontId="6" fillId="0" borderId="6" xfId="0" applyFont="1" applyFill="1" applyBorder="1" applyAlignment="1">
      <alignment horizontal="center"/>
    </xf>
    <xf numFmtId="0" fontId="7" fillId="0" borderId="0" xfId="0" applyFont="1" applyFill="1" applyBorder="1" applyAlignment="1">
      <alignment horizontal="center" vertical="top"/>
    </xf>
    <xf numFmtId="0" fontId="7" fillId="0" borderId="14" xfId="0" applyFont="1" applyFill="1" applyBorder="1" applyAlignment="1">
      <alignment horizontal="center" vertical="justify"/>
    </xf>
    <xf numFmtId="1" fontId="7" fillId="0" borderId="0" xfId="0" applyNumberFormat="1" applyFont="1" applyFill="1" applyAlignment="1">
      <alignment horizontal="center"/>
    </xf>
    <xf numFmtId="0" fontId="7" fillId="0" borderId="0" xfId="0" applyFont="1" applyFill="1" applyBorder="1" applyAlignment="1">
      <alignment horizontal="center" vertical="justify"/>
    </xf>
    <xf numFmtId="0" fontId="6" fillId="0" borderId="17" xfId="0" applyFont="1" applyFill="1" applyBorder="1" applyAlignment="1">
      <alignment horizontal="left"/>
    </xf>
    <xf numFmtId="0" fontId="7" fillId="0" borderId="6" xfId="0" applyFont="1" applyFill="1" applyBorder="1" applyAlignment="1"/>
    <xf numFmtId="1" fontId="7" fillId="0" borderId="0" xfId="0" applyNumberFormat="1" applyFont="1" applyFill="1" applyAlignment="1">
      <alignment horizontal="center" vertical="center" wrapText="1"/>
    </xf>
    <xf numFmtId="164" fontId="7" fillId="0" borderId="0" xfId="1" applyNumberFormat="1" applyFont="1" applyFill="1"/>
    <xf numFmtId="0" fontId="7" fillId="0" borderId="0" xfId="0" quotePrefix="1" applyFont="1" applyFill="1"/>
    <xf numFmtId="0" fontId="7" fillId="0" borderId="0" xfId="14" applyFont="1" applyFill="1" applyBorder="1"/>
    <xf numFmtId="0" fontId="7" fillId="0" borderId="0" xfId="14" applyFont="1" applyFill="1" applyBorder="1" applyAlignment="1">
      <alignment horizontal="center"/>
    </xf>
    <xf numFmtId="1" fontId="7" fillId="0" borderId="0" xfId="14" applyNumberFormat="1" applyFont="1" applyFill="1" applyBorder="1" applyAlignment="1">
      <alignment horizontal="center"/>
    </xf>
    <xf numFmtId="0" fontId="7" fillId="0" borderId="0" xfId="19" applyFont="1" applyFill="1" applyAlignment="1"/>
    <xf numFmtId="1" fontId="7" fillId="0" borderId="0" xfId="19" applyNumberFormat="1" applyFont="1" applyFill="1" applyAlignment="1">
      <alignment horizontal="center"/>
    </xf>
    <xf numFmtId="0" fontId="7" fillId="0" borderId="0" xfId="19" applyNumberFormat="1" applyFont="1" applyFill="1" applyAlignment="1">
      <alignment horizontal="center"/>
    </xf>
    <xf numFmtId="164" fontId="7" fillId="0" borderId="0" xfId="1" applyNumberFormat="1" applyFont="1" applyFill="1" applyAlignment="1">
      <alignment horizontal="center"/>
    </xf>
    <xf numFmtId="0" fontId="7" fillId="0" borderId="0" xfId="19" applyFont="1" applyFill="1" applyAlignment="1">
      <alignment horizontal="center"/>
    </xf>
    <xf numFmtId="3" fontId="7" fillId="0" borderId="0" xfId="23" applyNumberFormat="1" applyFont="1" applyFill="1" applyBorder="1"/>
    <xf numFmtId="0" fontId="7" fillId="0" borderId="0" xfId="0" applyFont="1" applyFill="1" applyAlignment="1">
      <alignment horizontal="left"/>
    </xf>
    <xf numFmtId="176" fontId="7" fillId="0" borderId="0" xfId="0" applyNumberFormat="1" applyFont="1" applyFill="1" applyAlignment="1">
      <alignment horizontal="center"/>
    </xf>
    <xf numFmtId="176" fontId="7" fillId="0" borderId="0" xfId="0" applyNumberFormat="1" applyFont="1" applyFill="1" applyAlignment="1"/>
    <xf numFmtId="176" fontId="7" fillId="0" borderId="0" xfId="0" applyNumberFormat="1" applyFont="1" applyFill="1" applyAlignment="1">
      <alignment horizontal="right"/>
    </xf>
    <xf numFmtId="0" fontId="7" fillId="0" borderId="3" xfId="0" applyFont="1" applyFill="1" applyBorder="1" applyAlignment="1">
      <alignment horizontal="center"/>
    </xf>
    <xf numFmtId="0" fontId="7" fillId="0" borderId="0" xfId="0" quotePrefix="1" applyFont="1" applyFill="1" applyAlignment="1">
      <alignment horizontal="center"/>
    </xf>
    <xf numFmtId="176" fontId="7" fillId="0" borderId="0" xfId="0" applyNumberFormat="1" applyFont="1" applyFill="1" applyBorder="1" applyAlignment="1"/>
    <xf numFmtId="37" fontId="7" fillId="0" borderId="0" xfId="0" applyNumberFormat="1" applyFont="1" applyFill="1" applyAlignment="1">
      <alignment horizontal="center"/>
    </xf>
    <xf numFmtId="7" fontId="7" fillId="0" borderId="0" xfId="0" applyNumberFormat="1" applyFont="1" applyFill="1" applyAlignment="1">
      <alignment horizontal="center"/>
    </xf>
    <xf numFmtId="2" fontId="7" fillId="0" borderId="0" xfId="0" applyNumberFormat="1" applyFont="1" applyFill="1" applyAlignment="1">
      <alignment horizontal="center"/>
    </xf>
    <xf numFmtId="41" fontId="7" fillId="0" borderId="0" xfId="0" applyNumberFormat="1" applyFont="1" applyFill="1" applyAlignment="1"/>
    <xf numFmtId="186" fontId="7" fillId="0" borderId="0" xfId="0" applyNumberFormat="1" applyFont="1" applyFill="1" applyAlignment="1">
      <alignment horizontal="center"/>
    </xf>
    <xf numFmtId="189" fontId="7" fillId="0" borderId="0" xfId="0" applyNumberFormat="1" applyFont="1" applyFill="1"/>
    <xf numFmtId="186" fontId="7" fillId="0" borderId="0" xfId="0" applyNumberFormat="1" applyFont="1" applyFill="1"/>
    <xf numFmtId="0" fontId="10" fillId="0" borderId="0" xfId="0" applyFont="1" applyFill="1" applyAlignment="1">
      <alignment horizontal="left"/>
    </xf>
    <xf numFmtId="176" fontId="7" fillId="0" borderId="0" xfId="0" quotePrefix="1" applyNumberFormat="1" applyFont="1" applyFill="1" applyAlignment="1">
      <alignment horizontal="center"/>
    </xf>
    <xf numFmtId="5" fontId="7" fillId="0" borderId="0" xfId="0" applyNumberFormat="1" applyFont="1" applyFill="1" applyAlignment="1">
      <alignment horizontal="center"/>
    </xf>
    <xf numFmtId="0" fontId="7" fillId="0" borderId="0" xfId="0" applyFont="1" applyFill="1" applyAlignment="1">
      <alignment wrapText="1"/>
    </xf>
    <xf numFmtId="5" fontId="7" fillId="0" borderId="0" xfId="5" applyNumberFormat="1" applyFont="1" applyFill="1" applyBorder="1" applyAlignment="1">
      <alignment horizontal="right"/>
    </xf>
    <xf numFmtId="0" fontId="6" fillId="0" borderId="0" xfId="0" applyNumberFormat="1" applyFont="1" applyFill="1" applyBorder="1" applyProtection="1">
      <protection locked="0"/>
    </xf>
    <xf numFmtId="5" fontId="6" fillId="0" borderId="0" xfId="5" applyNumberFormat="1" applyFont="1" applyFill="1" applyBorder="1" applyAlignment="1">
      <alignment horizontal="right"/>
    </xf>
    <xf numFmtId="0" fontId="7" fillId="0" borderId="0" xfId="0" applyNumberFormat="1" applyFont="1" applyFill="1" applyBorder="1" applyProtection="1">
      <protection locked="0"/>
    </xf>
    <xf numFmtId="0" fontId="7" fillId="0" borderId="0" xfId="0" applyNumberFormat="1" applyFont="1" applyFill="1" applyBorder="1" applyAlignment="1" applyProtection="1">
      <alignment horizontal="right"/>
      <protection locked="0"/>
    </xf>
    <xf numFmtId="0" fontId="7" fillId="0" borderId="0" xfId="0" applyFont="1" applyFill="1" applyAlignment="1">
      <alignment horizontal="center"/>
    </xf>
    <xf numFmtId="176" fontId="7" fillId="0" borderId="3" xfId="0" applyNumberFormat="1" applyFont="1" applyFill="1" applyBorder="1" applyAlignment="1">
      <alignment horizontal="center"/>
    </xf>
    <xf numFmtId="0" fontId="6" fillId="0" borderId="0" xfId="0" applyFont="1" applyFill="1" applyAlignment="1">
      <alignment horizontal="center"/>
    </xf>
    <xf numFmtId="0" fontId="6" fillId="0" borderId="0" xfId="14" applyFont="1" applyFill="1" applyBorder="1" applyAlignment="1">
      <alignment horizontal="center"/>
    </xf>
    <xf numFmtId="0" fontId="7" fillId="0" borderId="0" xfId="0" applyFont="1" applyFill="1" applyAlignment="1">
      <alignment horizontal="center" vertical="top" wrapText="1"/>
    </xf>
    <xf numFmtId="44" fontId="7" fillId="0" borderId="0" xfId="5" applyFont="1" applyFill="1"/>
    <xf numFmtId="0" fontId="7" fillId="0" borderId="0" xfId="0" applyFont="1" applyFill="1" applyAlignment="1">
      <alignment vertical="top"/>
    </xf>
    <xf numFmtId="0" fontId="7" fillId="0" borderId="0" xfId="0" applyFont="1" applyFill="1" applyAlignment="1">
      <alignment horizontal="left" vertical="top"/>
    </xf>
    <xf numFmtId="10" fontId="7" fillId="0" borderId="4" xfId="0" applyNumberFormat="1" applyFont="1" applyFill="1" applyBorder="1"/>
    <xf numFmtId="181" fontId="7" fillId="0" borderId="0" xfId="13" applyFont="1" applyFill="1" applyAlignment="1" applyProtection="1">
      <alignment horizontal="left"/>
    </xf>
    <xf numFmtId="14" fontId="7" fillId="0" borderId="0" xfId="13" applyNumberFormat="1" applyFont="1" applyFill="1" applyAlignment="1" applyProtection="1">
      <alignment horizontal="center"/>
    </xf>
    <xf numFmtId="37" fontId="7" fillId="0" borderId="0" xfId="13" applyNumberFormat="1" applyFont="1" applyFill="1" applyBorder="1" applyProtection="1"/>
    <xf numFmtId="177" fontId="7" fillId="0" borderId="0" xfId="13" applyNumberFormat="1" applyFont="1" applyFill="1" applyBorder="1" applyProtection="1"/>
    <xf numFmtId="172" fontId="7" fillId="0" borderId="0" xfId="13" applyNumberFormat="1" applyFont="1" applyFill="1" applyAlignment="1" applyProtection="1">
      <alignment horizontal="center"/>
    </xf>
    <xf numFmtId="172" fontId="7" fillId="0" borderId="0" xfId="13" applyNumberFormat="1" applyFont="1" applyFill="1" applyProtection="1"/>
    <xf numFmtId="182" fontId="7" fillId="0" borderId="0" xfId="13" applyNumberFormat="1" applyFont="1" applyFill="1" applyBorder="1" applyProtection="1"/>
    <xf numFmtId="182" fontId="7" fillId="0" borderId="0" xfId="13" applyNumberFormat="1" applyFont="1" applyFill="1" applyProtection="1"/>
    <xf numFmtId="180" fontId="7" fillId="0" borderId="0" xfId="13" applyNumberFormat="1" applyFont="1" applyFill="1" applyProtection="1"/>
    <xf numFmtId="166" fontId="7" fillId="0" borderId="0" xfId="5" applyNumberFormat="1" applyFont="1" applyFill="1" applyBorder="1"/>
    <xf numFmtId="166" fontId="7" fillId="0" borderId="4" xfId="5" applyNumberFormat="1" applyFont="1" applyFill="1" applyBorder="1"/>
    <xf numFmtId="0" fontId="10" fillId="0" borderId="7" xfId="0" applyFont="1" applyFill="1" applyBorder="1" applyAlignment="1">
      <alignment horizontal="left"/>
    </xf>
    <xf numFmtId="176" fontId="7" fillId="0" borderId="0" xfId="0" applyNumberFormat="1" applyFont="1" applyFill="1" applyProtection="1"/>
    <xf numFmtId="176" fontId="7" fillId="0" borderId="0" xfId="0" applyNumberFormat="1" applyFont="1" applyFill="1" applyAlignment="1" applyProtection="1">
      <alignment horizontal="left"/>
    </xf>
    <xf numFmtId="176" fontId="7" fillId="0" borderId="8" xfId="0" applyNumberFormat="1" applyFont="1" applyFill="1" applyBorder="1" applyProtection="1"/>
    <xf numFmtId="176" fontId="7" fillId="0" borderId="10" xfId="0" applyNumberFormat="1" applyFont="1" applyFill="1" applyBorder="1" applyProtection="1"/>
    <xf numFmtId="176" fontId="7" fillId="0" borderId="0" xfId="0" applyNumberFormat="1" applyFont="1" applyFill="1" applyBorder="1" applyProtection="1"/>
    <xf numFmtId="164" fontId="7" fillId="0" borderId="8" xfId="1" applyNumberFormat="1" applyFont="1" applyFill="1" applyBorder="1" applyProtection="1"/>
    <xf numFmtId="164" fontId="7" fillId="0" borderId="0" xfId="1" applyNumberFormat="1" applyFont="1" applyFill="1" applyProtection="1"/>
    <xf numFmtId="164" fontId="7" fillId="0" borderId="10" xfId="1" applyNumberFormat="1" applyFont="1" applyFill="1" applyBorder="1" applyProtection="1"/>
    <xf numFmtId="191" fontId="7" fillId="0" borderId="0" xfId="0" applyNumberFormat="1" applyFont="1" applyFill="1" applyProtection="1"/>
    <xf numFmtId="176" fontId="7" fillId="0" borderId="3" xfId="0" applyNumberFormat="1" applyFont="1" applyFill="1" applyBorder="1" applyProtection="1"/>
    <xf numFmtId="176" fontId="7" fillId="0" borderId="9" xfId="0" applyNumberFormat="1" applyFont="1" applyFill="1" applyBorder="1" applyProtection="1"/>
    <xf numFmtId="0" fontId="7" fillId="0" borderId="3" xfId="0" applyFont="1" applyFill="1" applyBorder="1"/>
    <xf numFmtId="176" fontId="7" fillId="0" borderId="0" xfId="1" applyNumberFormat="1" applyFont="1" applyFill="1" applyAlignment="1"/>
    <xf numFmtId="176" fontId="7" fillId="0" borderId="0" xfId="1" applyNumberFormat="1" applyFont="1" applyFill="1" applyBorder="1" applyAlignment="1"/>
    <xf numFmtId="164" fontId="7" fillId="0" borderId="0" xfId="1" applyNumberFormat="1" applyFont="1" applyFill="1" applyAlignment="1"/>
    <xf numFmtId="164" fontId="7" fillId="0" borderId="0" xfId="1" applyNumberFormat="1" applyFont="1" applyFill="1" applyBorder="1" applyAlignment="1"/>
    <xf numFmtId="187" fontId="7" fillId="0" borderId="0" xfId="0" applyNumberFormat="1" applyFont="1" applyFill="1" applyAlignment="1">
      <alignment horizontal="center"/>
    </xf>
    <xf numFmtId="44" fontId="7" fillId="0" borderId="0" xfId="5" applyFont="1" applyFill="1" applyAlignment="1">
      <alignment horizontal="center"/>
    </xf>
    <xf numFmtId="0" fontId="7" fillId="0" borderId="0" xfId="0" quotePrefix="1" applyFont="1" applyFill="1" applyAlignment="1"/>
    <xf numFmtId="0" fontId="7" fillId="0" borderId="0" xfId="0" applyFont="1" applyFill="1" applyAlignment="1">
      <alignment horizontal="center" wrapText="1"/>
    </xf>
    <xf numFmtId="176" fontId="9" fillId="0" borderId="0" xfId="0" applyNumberFormat="1" applyFont="1" applyFill="1" applyAlignment="1"/>
    <xf numFmtId="8" fontId="7" fillId="0" borderId="0" xfId="0" applyNumberFormat="1" applyFont="1" applyFill="1" applyAlignment="1">
      <alignment horizontal="center" vertical="top"/>
    </xf>
    <xf numFmtId="1" fontId="7" fillId="0" borderId="3" xfId="0" quotePrefix="1" applyNumberFormat="1" applyFont="1" applyFill="1" applyBorder="1"/>
    <xf numFmtId="8" fontId="7" fillId="0" borderId="3" xfId="0" quotePrefix="1" applyNumberFormat="1" applyFont="1" applyFill="1" applyBorder="1" applyAlignment="1">
      <alignment horizontal="left"/>
    </xf>
    <xf numFmtId="186" fontId="7" fillId="0" borderId="3" xfId="0" quotePrefix="1" applyNumberFormat="1" applyFont="1" applyFill="1" applyBorder="1" applyAlignment="1">
      <alignment horizontal="left"/>
    </xf>
    <xf numFmtId="1" fontId="7"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Fill="1" applyAlignment="1">
      <alignment horizontal="left" wrapText="1" indent="1"/>
    </xf>
    <xf numFmtId="0" fontId="7" fillId="0" borderId="0" xfId="7" applyFont="1" applyFill="1"/>
    <xf numFmtId="40" fontId="7" fillId="0" borderId="0" xfId="2" applyFont="1" applyFill="1"/>
    <xf numFmtId="0" fontId="7" fillId="0" borderId="0" xfId="7" applyFont="1" applyFill="1" applyAlignment="1">
      <alignment horizontal="center"/>
    </xf>
    <xf numFmtId="0" fontId="7" fillId="0" borderId="0" xfId="7" applyFont="1" applyFill="1" applyAlignment="1"/>
    <xf numFmtId="0" fontId="6" fillId="0" borderId="1" xfId="25" applyFont="1" applyFill="1" applyAlignment="1">
      <alignment horizontal="center" wrapText="1"/>
    </xf>
    <xf numFmtId="10" fontId="7" fillId="0" borderId="0" xfId="23" applyNumberFormat="1" applyFont="1" applyFill="1"/>
    <xf numFmtId="40" fontId="7" fillId="0" borderId="0" xfId="2" applyFont="1" applyFill="1" applyAlignment="1">
      <alignment horizontal="center"/>
    </xf>
    <xf numFmtId="43" fontId="7" fillId="0" borderId="0" xfId="1" applyNumberFormat="1" applyFont="1" applyFill="1" applyAlignment="1">
      <alignment horizontal="center"/>
    </xf>
    <xf numFmtId="4" fontId="7" fillId="0" borderId="0" xfId="7" applyNumberFormat="1" applyFont="1" applyFill="1"/>
    <xf numFmtId="164" fontId="7" fillId="0" borderId="4" xfId="1" applyNumberFormat="1" applyFont="1" applyFill="1" applyBorder="1"/>
    <xf numFmtId="176" fontId="7" fillId="0" borderId="0" xfId="0" quotePrefix="1" applyNumberFormat="1" applyFont="1" applyFill="1" applyAlignment="1" applyProtection="1">
      <alignment horizontal="left"/>
    </xf>
    <xf numFmtId="176" fontId="6" fillId="0" borderId="0" xfId="0" applyNumberFormat="1" applyFont="1" applyFill="1" applyAlignment="1" applyProtection="1">
      <alignment horizontal="left"/>
    </xf>
    <xf numFmtId="49" fontId="7" fillId="0" borderId="0" xfId="15" applyNumberFormat="1" applyFont="1" applyFill="1"/>
    <xf numFmtId="44" fontId="7" fillId="0" borderId="0" xfId="5" applyFont="1" applyFill="1" applyBorder="1"/>
    <xf numFmtId="49" fontId="7" fillId="0" borderId="0" xfId="15" applyNumberFormat="1" applyFont="1" applyFill="1" applyAlignment="1">
      <alignment wrapText="1"/>
    </xf>
    <xf numFmtId="1" fontId="6" fillId="0" borderId="1" xfId="25" applyNumberFormat="1" applyFont="1" applyFill="1" applyAlignment="1">
      <alignment horizontal="center" wrapText="1"/>
    </xf>
    <xf numFmtId="0" fontId="6" fillId="0" borderId="1" xfId="14" applyFont="1" applyFill="1" applyBorder="1" applyAlignment="1">
      <alignment horizontal="center" wrapText="1"/>
    </xf>
    <xf numFmtId="0" fontId="7" fillId="0" borderId="0" xfId="19" applyFont="1" applyFill="1" applyAlignment="1">
      <alignment horizontal="right"/>
    </xf>
    <xf numFmtId="0" fontId="6" fillId="0" borderId="0" xfId="7" applyFont="1" applyFill="1" applyAlignment="1">
      <alignment horizontal="left"/>
    </xf>
    <xf numFmtId="0" fontId="7" fillId="0" borderId="0" xfId="0" applyFont="1" applyFill="1" applyAlignment="1">
      <alignment horizontal="center"/>
    </xf>
    <xf numFmtId="0" fontId="6" fillId="0" borderId="0" xfId="0" applyFont="1" applyFill="1" applyAlignment="1">
      <alignment horizontal="center"/>
    </xf>
    <xf numFmtId="0" fontId="7" fillId="0" borderId="0" xfId="0" applyFont="1" applyFill="1" applyAlignment="1">
      <alignment horizontal="center" vertical="top"/>
    </xf>
    <xf numFmtId="0" fontId="7" fillId="0" borderId="0" xfId="0" applyFont="1" applyFill="1" applyBorder="1" applyAlignment="1">
      <alignment horizontal="center"/>
    </xf>
    <xf numFmtId="0" fontId="30" fillId="0" borderId="0" xfId="0" applyFont="1" applyFill="1"/>
    <xf numFmtId="0" fontId="6" fillId="0" borderId="0" xfId="7" applyFont="1" applyFill="1" applyBorder="1" applyAlignment="1">
      <alignment horizontal="center"/>
    </xf>
    <xf numFmtId="40" fontId="6" fillId="0" borderId="1" xfId="2" applyFont="1" applyFill="1" applyBorder="1" applyAlignment="1">
      <alignment horizontal="center" wrapText="1"/>
    </xf>
    <xf numFmtId="43" fontId="7" fillId="0" borderId="0" xfId="1" applyNumberFormat="1" applyFont="1" applyFill="1" applyAlignment="1"/>
    <xf numFmtId="164" fontId="11" fillId="0" borderId="0" xfId="1" applyNumberFormat="1" applyFont="1" applyFill="1"/>
    <xf numFmtId="0" fontId="7" fillId="0" borderId="0" xfId="0" applyFont="1" applyFill="1" applyAlignment="1">
      <alignment horizontal="center"/>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7" fillId="0" borderId="0" xfId="0" applyFont="1" applyFill="1" applyAlignment="1">
      <alignment horizontal="right"/>
    </xf>
    <xf numFmtId="0" fontId="7"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0" fontId="6" fillId="0" borderId="0" xfId="7" applyFont="1" applyFill="1" applyAlignment="1">
      <alignment horizontal="center"/>
    </xf>
    <xf numFmtId="192" fontId="7" fillId="0" borderId="0" xfId="0" applyNumberFormat="1" applyFont="1" applyFill="1" applyAlignment="1" applyProtection="1">
      <alignment horizontal="right"/>
    </xf>
    <xf numFmtId="6" fontId="7" fillId="0" borderId="4" xfId="0" applyNumberFormat="1" applyFont="1" applyFill="1" applyBorder="1" applyAlignment="1">
      <alignment vertical="justify"/>
    </xf>
    <xf numFmtId="6" fontId="7" fillId="0" borderId="4" xfId="0" applyNumberFormat="1" applyFont="1" applyFill="1" applyBorder="1"/>
    <xf numFmtId="38" fontId="7" fillId="0" borderId="4" xfId="0" applyNumberFormat="1" applyFont="1" applyFill="1" applyBorder="1" applyAlignment="1">
      <alignment vertical="justify"/>
    </xf>
    <xf numFmtId="166" fontId="7" fillId="0" borderId="0" xfId="5" applyNumberFormat="1" applyFont="1" applyFill="1" applyBorder="1" applyProtection="1"/>
    <xf numFmtId="49" fontId="7" fillId="0" borderId="0" xfId="15" applyNumberFormat="1" applyFont="1" applyFill="1" applyProtection="1">
      <protection locked="0"/>
    </xf>
    <xf numFmtId="44" fontId="7" fillId="0" borderId="0" xfId="5" applyFont="1" applyFill="1" applyProtection="1">
      <protection locked="0"/>
    </xf>
    <xf numFmtId="0" fontId="6" fillId="0" borderId="1" xfId="25" applyFont="1" applyFill="1" applyAlignment="1" applyProtection="1">
      <alignment horizontal="center" wrapText="1"/>
      <protection locked="0"/>
    </xf>
    <xf numFmtId="40" fontId="7" fillId="0" borderId="0" xfId="2" applyFont="1" applyFill="1" applyAlignment="1" applyProtection="1">
      <alignment horizontal="center"/>
      <protection locked="0"/>
    </xf>
    <xf numFmtId="0" fontId="7" fillId="0" borderId="0" xfId="0" applyFont="1" applyFill="1" applyAlignment="1" applyProtection="1">
      <alignment wrapText="1"/>
      <protection locked="0"/>
    </xf>
    <xf numFmtId="0" fontId="7" fillId="0" borderId="0" xfId="0" applyFont="1" applyFill="1" applyAlignment="1">
      <alignment horizontal="center"/>
    </xf>
    <xf numFmtId="176" fontId="7" fillId="0" borderId="0" xfId="0" applyNumberFormat="1" applyFont="1" applyFill="1" applyAlignment="1">
      <alignment horizontal="center"/>
    </xf>
    <xf numFmtId="0" fontId="7"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horizontal="left"/>
    </xf>
    <xf numFmtId="0" fontId="6" fillId="0" borderId="0" xfId="0" applyFont="1" applyFill="1" applyAlignment="1" applyProtection="1">
      <alignment horizontal="right"/>
    </xf>
    <xf numFmtId="164" fontId="6" fillId="0" borderId="0" xfId="1" applyNumberFormat="1" applyFont="1" applyFill="1" applyAlignment="1" applyProtection="1">
      <alignment horizontal="right"/>
    </xf>
    <xf numFmtId="0" fontId="6" fillId="0" borderId="0" xfId="0" applyFont="1" applyFill="1" applyProtection="1"/>
    <xf numFmtId="164" fontId="7" fillId="0" borderId="0" xfId="1" applyNumberFormat="1" applyFont="1" applyFill="1" applyAlignment="1" applyProtection="1">
      <alignment horizontal="right"/>
    </xf>
    <xf numFmtId="0" fontId="7" fillId="0" borderId="0" xfId="0" applyFont="1" applyFill="1" applyAlignment="1" applyProtection="1">
      <alignment horizontal="right"/>
    </xf>
    <xf numFmtId="170" fontId="7" fillId="0" borderId="0" xfId="1" applyNumberFormat="1" applyFont="1" applyFill="1" applyAlignment="1" applyProtection="1">
      <alignment horizontal="right"/>
    </xf>
    <xf numFmtId="0" fontId="7" fillId="0" borderId="0" xfId="0" quotePrefix="1" applyFont="1" applyFill="1" applyAlignment="1" applyProtection="1">
      <alignment horizontal="right"/>
    </xf>
    <xf numFmtId="175" fontId="7" fillId="0" borderId="0" xfId="1" applyNumberFormat="1" applyFont="1" applyFill="1" applyAlignment="1" applyProtection="1">
      <alignment horizontal="right"/>
    </xf>
    <xf numFmtId="164" fontId="7" fillId="0" borderId="0" xfId="0" applyNumberFormat="1" applyFont="1" applyFill="1" applyProtection="1"/>
    <xf numFmtId="37" fontId="7" fillId="0" borderId="0" xfId="0" applyNumberFormat="1" applyFont="1" applyFill="1" applyAlignment="1" applyProtection="1">
      <alignment horizontal="right"/>
    </xf>
    <xf numFmtId="3" fontId="7" fillId="0" borderId="0" xfId="0" applyNumberFormat="1" applyFont="1" applyFill="1" applyProtection="1"/>
    <xf numFmtId="37" fontId="7" fillId="0" borderId="0" xfId="0" applyNumberFormat="1" applyFont="1" applyFill="1" applyProtection="1"/>
    <xf numFmtId="173" fontId="7" fillId="0" borderId="0" xfId="0" applyNumberFormat="1" applyFont="1" applyFill="1" applyProtection="1"/>
    <xf numFmtId="41" fontId="7" fillId="0" borderId="0" xfId="0" applyNumberFormat="1" applyFont="1" applyFill="1" applyProtection="1"/>
    <xf numFmtId="37" fontId="9" fillId="0" borderId="0" xfId="0" applyNumberFormat="1" applyFont="1" applyFill="1" applyProtection="1"/>
    <xf numFmtId="164" fontId="7" fillId="0" borderId="0" xfId="0" applyNumberFormat="1" applyFont="1" applyFill="1" applyBorder="1" applyProtection="1"/>
    <xf numFmtId="0" fontId="10" fillId="0" borderId="0" xfId="0" applyFont="1" applyFill="1" applyProtection="1"/>
    <xf numFmtId="0" fontId="6" fillId="0" borderId="0" xfId="0" applyNumberFormat="1" applyFont="1" applyFill="1" applyBorder="1" applyProtection="1"/>
    <xf numFmtId="5" fontId="6" fillId="0" borderId="0" xfId="5" applyNumberFormat="1" applyFont="1" applyFill="1" applyBorder="1" applyAlignment="1" applyProtection="1">
      <alignment horizontal="right"/>
    </xf>
    <xf numFmtId="0" fontId="7" fillId="0" borderId="0" xfId="0" applyNumberFormat="1" applyFont="1" applyFill="1" applyBorder="1" applyProtection="1"/>
    <xf numFmtId="176" fontId="9" fillId="0" borderId="0" xfId="0" applyNumberFormat="1" applyFont="1" applyFill="1" applyBorder="1" applyProtection="1"/>
    <xf numFmtId="0" fontId="7" fillId="0" borderId="0" xfId="0" applyNumberFormat="1" applyFont="1" applyFill="1" applyBorder="1" applyAlignment="1" applyProtection="1">
      <alignment horizontal="right"/>
    </xf>
    <xf numFmtId="5" fontId="7" fillId="0" borderId="0" xfId="5" applyNumberFormat="1" applyFont="1" applyFill="1" applyBorder="1" applyAlignment="1" applyProtection="1">
      <alignment horizontal="right"/>
    </xf>
    <xf numFmtId="0" fontId="7" fillId="0" borderId="0" xfId="0" applyFont="1" applyFill="1" applyBorder="1" applyProtection="1"/>
    <xf numFmtId="0" fontId="7" fillId="0" borderId="0" xfId="0" applyFont="1" applyFill="1" applyBorder="1" applyAlignment="1" applyProtection="1">
      <alignment horizontal="right"/>
    </xf>
    <xf numFmtId="0" fontId="0" fillId="0" borderId="0" xfId="0" applyProtection="1"/>
    <xf numFmtId="5" fontId="7" fillId="0" borderId="4" xfId="5" applyNumberFormat="1" applyFont="1" applyFill="1" applyBorder="1" applyAlignment="1" applyProtection="1">
      <alignment horizontal="right"/>
    </xf>
    <xf numFmtId="10" fontId="7" fillId="0" borderId="0" xfId="18" applyNumberFormat="1" applyFont="1" applyFill="1" applyBorder="1" applyProtection="1"/>
    <xf numFmtId="0" fontId="7" fillId="0" borderId="0" xfId="0" applyFont="1" applyFill="1" applyBorder="1" applyAlignment="1" applyProtection="1">
      <alignment horizontal="left"/>
    </xf>
    <xf numFmtId="176" fontId="50" fillId="0" borderId="0" xfId="0" applyNumberFormat="1" applyFont="1" applyFill="1" applyProtection="1"/>
    <xf numFmtId="0" fontId="6" fillId="0" borderId="0" xfId="0" applyFont="1" applyFill="1" applyAlignment="1" applyProtection="1"/>
    <xf numFmtId="0" fontId="7" fillId="0" borderId="0" xfId="25" applyFont="1" applyFill="1" applyBorder="1" applyAlignment="1" applyProtection="1">
      <alignment horizontal="center" wrapText="1"/>
    </xf>
    <xf numFmtId="0" fontId="7" fillId="0" borderId="1" xfId="25" applyFont="1" applyFill="1" applyAlignment="1" applyProtection="1">
      <alignment horizontal="center" wrapText="1"/>
    </xf>
    <xf numFmtId="43" fontId="7" fillId="0" borderId="1" xfId="1" applyFont="1" applyFill="1" applyBorder="1" applyAlignment="1" applyProtection="1">
      <alignment horizontal="center" wrapText="1"/>
    </xf>
    <xf numFmtId="0" fontId="7" fillId="0" borderId="0" xfId="19" applyFont="1" applyFill="1" applyAlignment="1" applyProtection="1"/>
    <xf numFmtId="0" fontId="7" fillId="0" borderId="0" xfId="19" applyFont="1" applyFill="1" applyBorder="1" applyAlignment="1" applyProtection="1"/>
    <xf numFmtId="166" fontId="7" fillId="0" borderId="21" xfId="1" applyNumberFormat="1" applyFont="1" applyFill="1" applyBorder="1" applyProtection="1"/>
    <xf numFmtId="43" fontId="7" fillId="0" borderId="0" xfId="1" applyFont="1" applyFill="1" applyBorder="1" applyProtection="1"/>
    <xf numFmtId="43" fontId="7" fillId="0" borderId="0" xfId="1" applyFont="1" applyFill="1" applyProtection="1"/>
    <xf numFmtId="10" fontId="7" fillId="0" borderId="0" xfId="0" applyNumberFormat="1" applyFont="1" applyFill="1" applyAlignment="1" applyProtection="1">
      <alignment horizontal="left"/>
    </xf>
    <xf numFmtId="166" fontId="7" fillId="0" borderId="0" xfId="0" applyNumberFormat="1" applyFont="1" applyFill="1" applyProtection="1"/>
    <xf numFmtId="10" fontId="7" fillId="0" borderId="0" xfId="0" applyNumberFormat="1" applyFont="1" applyFill="1" applyProtection="1"/>
    <xf numFmtId="0" fontId="7" fillId="0" borderId="0" xfId="0" quotePrefix="1" applyFont="1" applyFill="1" applyAlignment="1" applyProtection="1">
      <alignment horizontal="center"/>
    </xf>
    <xf numFmtId="166" fontId="7" fillId="0" borderId="4" xfId="0" applyNumberFormat="1" applyFont="1" applyFill="1" applyBorder="1" applyProtection="1"/>
    <xf numFmtId="49" fontId="18" fillId="0" borderId="0" xfId="4872" applyNumberFormat="1" applyAlignment="1">
      <alignment horizontal="center"/>
    </xf>
    <xf numFmtId="43" fontId="18" fillId="0" borderId="3" xfId="1" applyFont="1" applyBorder="1" applyAlignment="1">
      <alignment horizontal="right"/>
    </xf>
    <xf numFmtId="44" fontId="18" fillId="0" borderId="0" xfId="5" applyFont="1" applyAlignment="1">
      <alignment horizontal="right"/>
    </xf>
    <xf numFmtId="43" fontId="18" fillId="0" borderId="0" xfId="1" applyFont="1" applyAlignment="1">
      <alignment horizontal="right"/>
    </xf>
    <xf numFmtId="49" fontId="18" fillId="0" borderId="0" xfId="4872" applyNumberFormat="1"/>
    <xf numFmtId="0" fontId="50" fillId="0" borderId="0" xfId="0" applyFont="1" applyFill="1" applyProtection="1"/>
    <xf numFmtId="0" fontId="7" fillId="0" borderId="0" xfId="0" applyFont="1" applyFill="1"/>
    <xf numFmtId="0" fontId="7" fillId="0" borderId="0" xfId="0" applyFont="1" applyFill="1" applyAlignment="1">
      <alignment horizontal="left"/>
    </xf>
    <xf numFmtId="164" fontId="7" fillId="0" borderId="3" xfId="1" applyNumberFormat="1" applyFont="1" applyFill="1" applyBorder="1"/>
    <xf numFmtId="41" fontId="6" fillId="0" borderId="0" xfId="0" applyNumberFormat="1" applyFont="1" applyFill="1" applyAlignment="1" applyProtection="1">
      <alignment horizontal="center"/>
    </xf>
    <xf numFmtId="42" fontId="7" fillId="0" borderId="0" xfId="0" applyNumberFormat="1" applyFont="1" applyFill="1" applyProtection="1"/>
    <xf numFmtId="41" fontId="7" fillId="0" borderId="0" xfId="0" applyNumberFormat="1" applyFont="1" applyFill="1" applyAlignment="1" applyProtection="1">
      <alignment horizontal="right"/>
    </xf>
    <xf numFmtId="41" fontId="7" fillId="0" borderId="0" xfId="0" applyNumberFormat="1" applyFont="1" applyFill="1" applyBorder="1" applyProtection="1"/>
    <xf numFmtId="199" fontId="7" fillId="0" borderId="0" xfId="18" applyNumberFormat="1" applyFont="1" applyFill="1" applyProtection="1"/>
    <xf numFmtId="41" fontId="11" fillId="0" borderId="0" xfId="0" applyNumberFormat="1" applyFont="1" applyFill="1" applyProtection="1"/>
    <xf numFmtId="0" fontId="7" fillId="0" borderId="0" xfId="0" quotePrefix="1" applyFont="1" applyFill="1" applyBorder="1" applyAlignment="1" applyProtection="1">
      <alignment horizontal="right"/>
    </xf>
    <xf numFmtId="0" fontId="6" fillId="0" borderId="0" xfId="0" applyFont="1" applyFill="1" applyBorder="1" applyProtection="1"/>
    <xf numFmtId="42" fontId="7" fillId="0" borderId="0" xfId="0" applyNumberFormat="1" applyFont="1" applyFill="1" applyBorder="1" applyProtection="1"/>
    <xf numFmtId="167" fontId="7" fillId="0" borderId="0" xfId="0" applyNumberFormat="1" applyFont="1" applyFill="1" applyBorder="1" applyProtection="1"/>
    <xf numFmtId="174" fontId="7" fillId="0" borderId="0" xfId="0" applyNumberFormat="1" applyFont="1" applyFill="1" applyBorder="1" applyProtection="1"/>
    <xf numFmtId="0" fontId="6" fillId="0" borderId="0" xfId="0" applyFont="1" applyFill="1" applyAlignment="1" applyProtection="1">
      <alignment horizontal="centerContinuous"/>
    </xf>
    <xf numFmtId="164" fontId="6" fillId="0" borderId="0" xfId="1" applyNumberFormat="1" applyFont="1" applyFill="1" applyAlignment="1" applyProtection="1">
      <alignment horizontal="centerContinuous"/>
    </xf>
    <xf numFmtId="16" fontId="7" fillId="0" borderId="0" xfId="0" applyNumberFormat="1" applyFont="1" applyFill="1" applyProtection="1"/>
    <xf numFmtId="193" fontId="7" fillId="0" borderId="0" xfId="1" applyNumberFormat="1" applyFont="1" applyFill="1" applyAlignment="1" applyProtection="1">
      <alignment horizontal="right"/>
    </xf>
    <xf numFmtId="198" fontId="7" fillId="0" borderId="0" xfId="0" applyNumberFormat="1" applyFont="1" applyFill="1" applyProtection="1"/>
    <xf numFmtId="170" fontId="7" fillId="0" borderId="0" xfId="0" applyNumberFormat="1" applyFont="1" applyFill="1" applyProtection="1"/>
    <xf numFmtId="165" fontId="7" fillId="0" borderId="0" xfId="1" applyNumberFormat="1" applyFont="1" applyFill="1" applyAlignment="1" applyProtection="1">
      <alignment horizontal="right"/>
    </xf>
    <xf numFmtId="184" fontId="7" fillId="0" borderId="0" xfId="1" applyNumberFormat="1" applyFont="1" applyFill="1" applyAlignment="1" applyProtection="1">
      <alignment horizontal="right"/>
    </xf>
    <xf numFmtId="0" fontId="28" fillId="0" borderId="0" xfId="0" applyFont="1" applyFill="1" applyAlignment="1" applyProtection="1">
      <alignment horizontal="center"/>
    </xf>
    <xf numFmtId="0" fontId="7" fillId="0" borderId="3" xfId="0" applyFont="1" applyFill="1" applyBorder="1" applyAlignment="1" applyProtection="1">
      <alignment horizontal="right"/>
    </xf>
    <xf numFmtId="0" fontId="28" fillId="0" borderId="3" xfId="0" applyFont="1" applyFill="1" applyBorder="1" applyAlignment="1" applyProtection="1">
      <alignment horizontal="center"/>
    </xf>
    <xf numFmtId="0" fontId="7" fillId="0" borderId="11" xfId="0" applyFont="1" applyFill="1" applyBorder="1" applyAlignment="1" applyProtection="1">
      <alignment horizontal="right"/>
    </xf>
    <xf numFmtId="0" fontId="7" fillId="0" borderId="12" xfId="0" applyFont="1" applyFill="1" applyBorder="1" applyAlignment="1" applyProtection="1">
      <alignment horizontal="center"/>
    </xf>
    <xf numFmtId="0" fontId="7" fillId="0" borderId="13" xfId="0" applyFont="1" applyFill="1" applyBorder="1" applyAlignment="1" applyProtection="1">
      <alignment horizontal="right"/>
    </xf>
    <xf numFmtId="0" fontId="7" fillId="0" borderId="14" xfId="0" applyFont="1" applyFill="1" applyBorder="1" applyProtection="1"/>
    <xf numFmtId="0" fontId="9" fillId="0" borderId="0"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0" xfId="0" applyFont="1" applyFill="1" applyAlignment="1" applyProtection="1">
      <alignment horizontal="center"/>
    </xf>
    <xf numFmtId="0" fontId="7" fillId="0" borderId="13" xfId="0"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14"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1" fontId="7" fillId="0" borderId="0" xfId="0" applyNumberFormat="1" applyFont="1" applyFill="1" applyBorder="1" applyAlignment="1" applyProtection="1">
      <alignment horizontal="center"/>
    </xf>
    <xf numFmtId="1" fontId="7" fillId="0" borderId="14" xfId="0" applyNumberFormat="1" applyFont="1" applyFill="1" applyBorder="1" applyAlignment="1" applyProtection="1">
      <alignment horizontal="center"/>
    </xf>
    <xf numFmtId="1" fontId="7" fillId="0" borderId="0" xfId="0" applyNumberFormat="1" applyFont="1" applyFill="1" applyAlignment="1" applyProtection="1">
      <alignment horizontal="left"/>
    </xf>
    <xf numFmtId="1" fontId="7" fillId="0" borderId="0" xfId="0" applyNumberFormat="1" applyFont="1" applyFill="1" applyAlignment="1" applyProtection="1">
      <alignment horizontal="center"/>
    </xf>
    <xf numFmtId="1" fontId="7" fillId="0" borderId="4" xfId="0" applyNumberFormat="1" applyFont="1" applyFill="1" applyBorder="1" applyAlignment="1" applyProtection="1">
      <alignment horizontal="center"/>
    </xf>
    <xf numFmtId="177" fontId="7" fillId="0" borderId="0" xfId="0" applyNumberFormat="1" applyFont="1" applyFill="1" applyBorder="1" applyAlignment="1" applyProtection="1">
      <alignment horizontal="center"/>
    </xf>
    <xf numFmtId="0" fontId="7" fillId="0" borderId="16"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3" xfId="0" applyFont="1" applyFill="1" applyBorder="1" applyAlignment="1" applyProtection="1">
      <alignment horizontal="center"/>
    </xf>
    <xf numFmtId="0" fontId="7" fillId="0" borderId="3" xfId="0" applyFont="1" applyFill="1" applyBorder="1" applyProtection="1"/>
    <xf numFmtId="0" fontId="7" fillId="0" borderId="15" xfId="0" applyFont="1" applyFill="1" applyBorder="1" applyAlignment="1" applyProtection="1">
      <alignment horizontal="center"/>
    </xf>
    <xf numFmtId="0" fontId="9" fillId="0" borderId="13" xfId="0" applyFont="1" applyFill="1" applyBorder="1" applyAlignment="1" applyProtection="1">
      <alignment horizontal="center"/>
    </xf>
    <xf numFmtId="0" fontId="7" fillId="0" borderId="16" xfId="0" applyFont="1" applyFill="1" applyBorder="1" applyAlignment="1" applyProtection="1">
      <alignment horizontal="right"/>
    </xf>
    <xf numFmtId="1" fontId="7" fillId="0" borderId="3" xfId="0" applyNumberFormat="1" applyFont="1" applyFill="1" applyBorder="1" applyAlignment="1" applyProtection="1">
      <alignment horizontal="center"/>
    </xf>
    <xf numFmtId="1" fontId="7" fillId="0" borderId="15" xfId="0" applyNumberFormat="1" applyFont="1" applyFill="1" applyBorder="1" applyAlignment="1" applyProtection="1">
      <alignment horizontal="center"/>
    </xf>
    <xf numFmtId="0" fontId="7" fillId="0" borderId="0" xfId="0" applyFont="1" applyFill="1" applyBorder="1" applyAlignment="1" applyProtection="1"/>
    <xf numFmtId="0" fontId="6" fillId="0" borderId="13" xfId="0" applyFont="1" applyFill="1" applyBorder="1" applyAlignment="1" applyProtection="1">
      <alignment horizontal="right"/>
    </xf>
    <xf numFmtId="0" fontId="10" fillId="0" borderId="0" xfId="0" applyFont="1" applyFill="1" applyBorder="1" applyAlignment="1" applyProtection="1">
      <alignment horizontal="center"/>
    </xf>
    <xf numFmtId="0" fontId="9" fillId="0" borderId="12" xfId="0" applyFont="1" applyFill="1" applyBorder="1" applyAlignment="1" applyProtection="1">
      <alignment horizontal="center"/>
    </xf>
    <xf numFmtId="0" fontId="6" fillId="0" borderId="13" xfId="0" applyFont="1" applyFill="1" applyBorder="1" applyAlignment="1" applyProtection="1">
      <alignment horizontal="right" vertical="center"/>
    </xf>
    <xf numFmtId="14" fontId="7" fillId="0" borderId="0" xfId="0" applyNumberFormat="1" applyFont="1" applyFill="1" applyBorder="1" applyAlignment="1" applyProtection="1">
      <alignment wrapText="1"/>
    </xf>
    <xf numFmtId="14" fontId="7" fillId="0" borderId="0" xfId="0" applyNumberFormat="1" applyFont="1" applyFill="1" applyAlignment="1" applyProtection="1">
      <alignment horizontal="center"/>
    </xf>
    <xf numFmtId="0" fontId="7" fillId="0" borderId="3" xfId="0" applyFont="1" applyFill="1" applyBorder="1" applyAlignment="1" applyProtection="1">
      <alignment horizontal="centerContinuous"/>
    </xf>
    <xf numFmtId="41" fontId="7" fillId="0" borderId="3" xfId="0" applyNumberFormat="1" applyFont="1" applyFill="1" applyBorder="1" applyAlignment="1" applyProtection="1">
      <alignment horizontal="centerContinuous"/>
    </xf>
    <xf numFmtId="41" fontId="7" fillId="0" borderId="3" xfId="0" applyNumberFormat="1" applyFont="1" applyFill="1" applyBorder="1" applyAlignment="1" applyProtection="1">
      <alignment horizontal="center"/>
    </xf>
    <xf numFmtId="0" fontId="9" fillId="0" borderId="0" xfId="0" applyFont="1" applyFill="1" applyAlignment="1" applyProtection="1">
      <alignment horizontal="right"/>
    </xf>
    <xf numFmtId="41" fontId="9" fillId="0" borderId="0" xfId="0" applyNumberFormat="1" applyFont="1" applyFill="1" applyAlignment="1" applyProtection="1">
      <alignment horizontal="right"/>
    </xf>
    <xf numFmtId="168" fontId="7" fillId="0" borderId="0" xfId="0" applyNumberFormat="1" applyFont="1" applyFill="1" applyProtection="1"/>
    <xf numFmtId="169" fontId="7" fillId="0" borderId="0" xfId="0" applyNumberFormat="1" applyFont="1" applyFill="1" applyProtection="1"/>
    <xf numFmtId="168" fontId="9" fillId="0" borderId="0" xfId="0" applyNumberFormat="1" applyFont="1" applyFill="1" applyProtection="1"/>
    <xf numFmtId="169" fontId="9" fillId="0" borderId="0" xfId="0" applyNumberFormat="1" applyFont="1" applyFill="1" applyProtection="1"/>
    <xf numFmtId="0" fontId="21" fillId="0" borderId="0" xfId="0" applyFont="1" applyFill="1" applyProtection="1"/>
    <xf numFmtId="168" fontId="6" fillId="0" borderId="0" xfId="0" applyNumberFormat="1" applyFont="1" applyFill="1" applyAlignment="1" applyProtection="1">
      <alignment horizontal="left"/>
    </xf>
    <xf numFmtId="169" fontId="7" fillId="0" borderId="4" xfId="0" applyNumberFormat="1" applyFont="1" applyFill="1" applyBorder="1" applyProtection="1"/>
    <xf numFmtId="168" fontId="7" fillId="0" borderId="0" xfId="0" applyNumberFormat="1" applyFont="1" applyFill="1" applyAlignment="1" applyProtection="1">
      <alignment horizontal="left"/>
    </xf>
    <xf numFmtId="0" fontId="10" fillId="0" borderId="0" xfId="0" applyFont="1" applyFill="1" applyBorder="1" applyProtection="1"/>
    <xf numFmtId="168" fontId="7" fillId="0" borderId="0" xfId="0" applyNumberFormat="1" applyFont="1" applyFill="1" applyBorder="1" applyAlignment="1" applyProtection="1">
      <alignment horizontal="right"/>
    </xf>
    <xf numFmtId="169" fontId="6" fillId="0" borderId="0" xfId="0" applyNumberFormat="1" applyFont="1" applyFill="1" applyBorder="1" applyProtection="1"/>
    <xf numFmtId="165" fontId="7" fillId="0" borderId="0" xfId="0" applyNumberFormat="1" applyFont="1" applyFill="1" applyBorder="1" applyProtection="1"/>
    <xf numFmtId="0" fontId="6" fillId="0" borderId="0" xfId="0" applyFont="1" applyFill="1" applyBorder="1" applyAlignment="1" applyProtection="1">
      <alignment horizontal="left"/>
    </xf>
    <xf numFmtId="1" fontId="7" fillId="0" borderId="0" xfId="18" applyNumberFormat="1" applyFont="1" applyFill="1" applyBorder="1" applyProtection="1"/>
    <xf numFmtId="0" fontId="7" fillId="0" borderId="4" xfId="0" applyFont="1" applyFill="1" applyBorder="1" applyAlignment="1" applyProtection="1">
      <alignment horizontal="right"/>
    </xf>
    <xf numFmtId="176" fontId="7" fillId="0" borderId="0" xfId="5" applyNumberFormat="1" applyFont="1" applyFill="1" applyBorder="1" applyProtection="1"/>
    <xf numFmtId="3" fontId="7" fillId="0" borderId="0" xfId="0" applyNumberFormat="1" applyFont="1" applyFill="1" applyBorder="1" applyProtection="1"/>
    <xf numFmtId="171" fontId="7" fillId="0" borderId="0" xfId="0" applyNumberFormat="1" applyFont="1" applyFill="1" applyBorder="1" applyProtection="1"/>
    <xf numFmtId="169" fontId="7" fillId="0" borderId="0" xfId="0" applyNumberFormat="1" applyFont="1" applyFill="1" applyBorder="1" applyProtection="1"/>
    <xf numFmtId="10" fontId="7" fillId="0" borderId="0" xfId="18" applyNumberFormat="1" applyFont="1" applyFill="1" applyProtection="1"/>
    <xf numFmtId="0" fontId="7" fillId="0" borderId="0" xfId="14" applyFont="1" applyFill="1" applyBorder="1" applyProtection="1"/>
    <xf numFmtId="0" fontId="7" fillId="0" borderId="0" xfId="14" applyFont="1" applyFill="1" applyBorder="1" applyAlignment="1" applyProtection="1">
      <alignment horizontal="center"/>
    </xf>
    <xf numFmtId="0" fontId="6" fillId="0" borderId="0" xfId="14" applyFont="1" applyFill="1" applyBorder="1" applyAlignment="1" applyProtection="1">
      <alignment horizontal="center"/>
    </xf>
    <xf numFmtId="0" fontId="6" fillId="0" borderId="0" xfId="14" applyFont="1" applyFill="1" applyBorder="1" applyProtection="1"/>
    <xf numFmtId="1" fontId="7" fillId="0" borderId="0" xfId="14" applyNumberFormat="1" applyFont="1" applyFill="1" applyBorder="1" applyAlignment="1" applyProtection="1">
      <alignment horizontal="center"/>
    </xf>
    <xf numFmtId="1" fontId="6" fillId="0" borderId="0" xfId="14" applyNumberFormat="1" applyFont="1" applyFill="1" applyBorder="1" applyAlignment="1" applyProtection="1">
      <alignment horizontal="center"/>
    </xf>
    <xf numFmtId="0" fontId="6" fillId="0" borderId="3" xfId="14" applyFont="1" applyFill="1" applyBorder="1" applyAlignment="1" applyProtection="1">
      <alignment horizontal="center"/>
    </xf>
    <xf numFmtId="0" fontId="6" fillId="0" borderId="0" xfId="25" applyFont="1" applyFill="1" applyBorder="1" applyAlignment="1" applyProtection="1">
      <alignment horizontal="center" wrapText="1"/>
    </xf>
    <xf numFmtId="1" fontId="6" fillId="0" borderId="0" xfId="25" applyNumberFormat="1" applyFont="1" applyFill="1" applyBorder="1" applyAlignment="1" applyProtection="1">
      <alignment horizontal="center" wrapText="1"/>
    </xf>
    <xf numFmtId="3" fontId="6" fillId="0" borderId="0" xfId="25" applyNumberFormat="1" applyFont="1" applyFill="1" applyBorder="1" applyAlignment="1" applyProtection="1">
      <alignment horizontal="center" wrapText="1"/>
    </xf>
    <xf numFmtId="0" fontId="6" fillId="0" borderId="3" xfId="9" applyFont="1" applyFill="1" applyBorder="1" applyAlignment="1" applyProtection="1">
      <alignment horizontal="center" wrapText="1"/>
    </xf>
    <xf numFmtId="0" fontId="6" fillId="0" borderId="3" xfId="14" applyFont="1" applyFill="1" applyBorder="1" applyAlignment="1" applyProtection="1">
      <alignment horizontal="center" wrapText="1"/>
    </xf>
    <xf numFmtId="1" fontId="7" fillId="0" borderId="0" xfId="19" applyNumberFormat="1" applyFont="1" applyFill="1" applyAlignment="1" applyProtection="1">
      <alignment horizontal="center"/>
    </xf>
    <xf numFmtId="0" fontId="7" fillId="0" borderId="0" xfId="19" applyNumberFormat="1" applyFont="1" applyFill="1" applyAlignment="1" applyProtection="1">
      <alignment horizontal="center"/>
    </xf>
    <xf numFmtId="0" fontId="6" fillId="0" borderId="0" xfId="19" applyFont="1" applyFill="1" applyAlignment="1" applyProtection="1">
      <alignment horizontal="right"/>
    </xf>
    <xf numFmtId="0" fontId="7" fillId="0" borderId="0" xfId="19" applyFont="1" applyFill="1" applyAlignment="1" applyProtection="1">
      <alignment horizontal="center"/>
    </xf>
    <xf numFmtId="3" fontId="7" fillId="0" borderId="0" xfId="23" applyNumberFormat="1" applyFont="1" applyFill="1" applyProtection="1"/>
    <xf numFmtId="3" fontId="7" fillId="0" borderId="0" xfId="14" applyNumberFormat="1" applyFont="1" applyFill="1" applyBorder="1" applyProtection="1"/>
    <xf numFmtId="0" fontId="6" fillId="0" borderId="0" xfId="19" applyFont="1" applyFill="1" applyAlignment="1" applyProtection="1">
      <alignment horizontal="center"/>
    </xf>
    <xf numFmtId="3" fontId="6" fillId="0" borderId="0" xfId="23" applyNumberFormat="1" applyFont="1" applyFill="1" applyAlignment="1" applyProtection="1">
      <alignment horizontal="center" wrapText="1"/>
    </xf>
    <xf numFmtId="3" fontId="7" fillId="0" borderId="0" xfId="23" applyNumberFormat="1" applyFont="1" applyFill="1" applyAlignment="1" applyProtection="1">
      <alignment horizontal="right"/>
    </xf>
    <xf numFmtId="3" fontId="7" fillId="0" borderId="3" xfId="23" applyNumberFormat="1" applyFont="1" applyFill="1" applyBorder="1" applyAlignment="1" applyProtection="1">
      <alignment horizontal="right"/>
    </xf>
    <xf numFmtId="3" fontId="7" fillId="0" borderId="0" xfId="19" applyNumberFormat="1" applyFont="1" applyFill="1" applyAlignment="1" applyProtection="1">
      <alignment horizontal="right"/>
    </xf>
    <xf numFmtId="3" fontId="7" fillId="0" borderId="20" xfId="19" applyNumberFormat="1" applyFont="1" applyFill="1" applyBorder="1" applyAlignment="1" applyProtection="1">
      <alignment horizontal="right"/>
    </xf>
    <xf numFmtId="3" fontId="7" fillId="0" borderId="0" xfId="19" applyNumberFormat="1" applyFont="1" applyFill="1" applyAlignment="1" applyProtection="1">
      <alignment horizontal="center"/>
    </xf>
    <xf numFmtId="3" fontId="7" fillId="0" borderId="0" xfId="19" applyNumberFormat="1" applyFont="1" applyFill="1" applyBorder="1" applyAlignment="1" applyProtection="1">
      <alignment horizontal="center"/>
    </xf>
    <xf numFmtId="0" fontId="6" fillId="0" borderId="1" xfId="19" applyFont="1" applyFill="1" applyBorder="1" applyAlignment="1" applyProtection="1">
      <alignment horizontal="center"/>
    </xf>
    <xf numFmtId="1" fontId="6" fillId="0" borderId="1" xfId="19" applyNumberFormat="1" applyFont="1" applyFill="1" applyBorder="1" applyAlignment="1" applyProtection="1">
      <alignment horizontal="center"/>
    </xf>
    <xf numFmtId="0" fontId="6" fillId="0" borderId="0" xfId="9" applyFont="1" applyFill="1" applyAlignment="1" applyProtection="1">
      <alignment horizontal="right"/>
    </xf>
    <xf numFmtId="3" fontId="7" fillId="0" borderId="4" xfId="23" applyNumberFormat="1" applyFont="1" applyFill="1" applyBorder="1" applyProtection="1"/>
    <xf numFmtId="3" fontId="7" fillId="0" borderId="0" xfId="23" applyNumberFormat="1" applyFont="1" applyFill="1" applyBorder="1" applyProtection="1"/>
    <xf numFmtId="3" fontId="7" fillId="0" borderId="4" xfId="14" applyNumberFormat="1" applyFont="1" applyFill="1" applyBorder="1" applyProtection="1"/>
    <xf numFmtId="0" fontId="7" fillId="0" borderId="0" xfId="14" applyFont="1" applyFill="1" applyBorder="1" applyAlignment="1" applyProtection="1">
      <alignment horizontal="right"/>
    </xf>
    <xf numFmtId="164" fontId="7" fillId="0" borderId="4" xfId="3" applyNumberFormat="1" applyFont="1" applyFill="1" applyBorder="1" applyAlignment="1" applyProtection="1">
      <alignment horizontal="center"/>
    </xf>
    <xf numFmtId="0" fontId="7" fillId="0" borderId="0" xfId="19" applyFont="1" applyFill="1" applyAlignment="1" applyProtection="1">
      <alignment horizontal="left"/>
    </xf>
    <xf numFmtId="0" fontId="7" fillId="0" borderId="0" xfId="9" applyFont="1" applyFill="1" applyBorder="1" applyAlignment="1" applyProtection="1">
      <alignment horizontal="center"/>
    </xf>
    <xf numFmtId="0" fontId="7" fillId="0" borderId="0" xfId="9" applyFont="1" applyFill="1" applyAlignment="1" applyProtection="1">
      <alignment horizontal="left"/>
    </xf>
    <xf numFmtId="0" fontId="7" fillId="0" borderId="0" xfId="19" applyNumberFormat="1" applyFont="1" applyFill="1" applyAlignment="1" applyProtection="1"/>
    <xf numFmtId="0" fontId="7" fillId="0" borderId="0" xfId="9" applyFont="1" applyFill="1" applyProtection="1"/>
    <xf numFmtId="0" fontId="7" fillId="0" borderId="0" xfId="9" applyFont="1" applyFill="1" applyAlignment="1" applyProtection="1">
      <alignment horizontal="center"/>
    </xf>
    <xf numFmtId="1" fontId="7" fillId="0" borderId="0" xfId="9" applyNumberFormat="1" applyFont="1" applyFill="1" applyAlignment="1" applyProtection="1">
      <alignment horizontal="center"/>
    </xf>
    <xf numFmtId="3" fontId="7" fillId="0" borderId="0" xfId="9" applyNumberFormat="1" applyFont="1" applyFill="1" applyAlignment="1" applyProtection="1"/>
    <xf numFmtId="166" fontId="7" fillId="0" borderId="0" xfId="6" applyNumberFormat="1" applyFont="1" applyFill="1" applyAlignment="1" applyProtection="1"/>
    <xf numFmtId="0" fontId="7" fillId="0" borderId="0" xfId="0" quotePrefix="1" applyFont="1" applyFill="1" applyProtection="1"/>
    <xf numFmtId="164" fontId="7" fillId="0" borderId="0" xfId="1" applyNumberFormat="1" applyFont="1" applyFill="1" applyAlignment="1" applyProtection="1"/>
    <xf numFmtId="0" fontId="7" fillId="0" borderId="0" xfId="0" applyFont="1" applyFill="1" applyAlignment="1" applyProtection="1"/>
    <xf numFmtId="0" fontId="9" fillId="0" borderId="0" xfId="0" applyFont="1" applyFill="1" applyProtection="1"/>
    <xf numFmtId="170" fontId="11" fillId="0" borderId="0" xfId="1" applyNumberFormat="1" applyFont="1" applyFill="1" applyBorder="1" applyAlignment="1" applyProtection="1"/>
    <xf numFmtId="193" fontId="11" fillId="0" borderId="0" xfId="1" applyNumberFormat="1" applyFont="1" applyFill="1" applyBorder="1" applyAlignment="1" applyProtection="1"/>
    <xf numFmtId="165" fontId="7" fillId="0" borderId="0" xfId="0" applyNumberFormat="1" applyFont="1" applyFill="1" applyAlignment="1" applyProtection="1">
      <alignment horizontal="right"/>
    </xf>
    <xf numFmtId="165" fontId="11" fillId="0" borderId="0" xfId="1" applyNumberFormat="1" applyFont="1" applyFill="1" applyBorder="1" applyAlignment="1" applyProtection="1"/>
    <xf numFmtId="165" fontId="7" fillId="0" borderId="0" xfId="1" applyNumberFormat="1" applyFont="1" applyFill="1" applyBorder="1" applyAlignment="1" applyProtection="1"/>
    <xf numFmtId="164" fontId="7" fillId="0" borderId="0" xfId="0" applyNumberFormat="1" applyFont="1" applyFill="1" applyAlignment="1" applyProtection="1">
      <alignment horizontal="right"/>
    </xf>
    <xf numFmtId="41" fontId="7" fillId="0" borderId="0" xfId="0" applyNumberFormat="1" applyFont="1" applyFill="1" applyAlignment="1" applyProtection="1"/>
    <xf numFmtId="0" fontId="7" fillId="0" borderId="0" xfId="0" quotePrefix="1" applyFont="1" applyFill="1" applyAlignment="1" applyProtection="1"/>
    <xf numFmtId="43" fontId="7" fillId="0" borderId="0" xfId="0" applyNumberFormat="1" applyFont="1" applyFill="1" applyAlignment="1" applyProtection="1"/>
    <xf numFmtId="185" fontId="7" fillId="0" borderId="0" xfId="0" applyNumberFormat="1" applyFont="1" applyFill="1" applyAlignment="1" applyProtection="1"/>
    <xf numFmtId="0" fontId="10" fillId="0" borderId="17" xfId="0" applyFont="1" applyFill="1" applyBorder="1" applyAlignment="1" applyProtection="1">
      <alignment horizontal="left"/>
    </xf>
    <xf numFmtId="0" fontId="10" fillId="0" borderId="7" xfId="0" applyFont="1" applyFill="1" applyBorder="1" applyAlignment="1" applyProtection="1">
      <alignment horizontal="left"/>
    </xf>
    <xf numFmtId="0" fontId="6" fillId="0" borderId="7" xfId="0" applyFont="1" applyFill="1" applyBorder="1" applyAlignment="1" applyProtection="1">
      <alignment horizontal="center"/>
    </xf>
    <xf numFmtId="0" fontId="6" fillId="0" borderId="6" xfId="0" applyFont="1" applyFill="1" applyBorder="1" applyAlignment="1" applyProtection="1">
      <alignment horizontal="center"/>
    </xf>
    <xf numFmtId="0" fontId="7" fillId="0" borderId="0" xfId="0" applyFont="1" applyFill="1" applyAlignment="1" applyProtection="1">
      <alignment horizontal="center" vertical="justify"/>
    </xf>
    <xf numFmtId="0" fontId="7" fillId="0" borderId="18" xfId="0" applyFont="1" applyFill="1" applyBorder="1" applyAlignment="1" applyProtection="1">
      <alignment horizontal="center" vertical="justify"/>
    </xf>
    <xf numFmtId="0" fontId="7" fillId="0" borderId="4" xfId="0" applyFont="1" applyFill="1" applyBorder="1" applyAlignment="1" applyProtection="1">
      <alignment vertical="justify"/>
    </xf>
    <xf numFmtId="5" fontId="7" fillId="0" borderId="6" xfId="0" applyNumberFormat="1" applyFont="1" applyFill="1" applyBorder="1" applyAlignment="1" applyProtection="1">
      <alignment vertical="justify"/>
    </xf>
    <xf numFmtId="5" fontId="7" fillId="0" borderId="4" xfId="0" applyNumberFormat="1" applyFont="1" applyFill="1" applyBorder="1" applyProtection="1"/>
    <xf numFmtId="5" fontId="7" fillId="0" borderId="4" xfId="0" applyNumberFormat="1" applyFont="1" applyFill="1" applyBorder="1" applyAlignment="1" applyProtection="1">
      <alignment wrapText="1"/>
    </xf>
    <xf numFmtId="0" fontId="7" fillId="0" borderId="19" xfId="0" applyFont="1" applyFill="1" applyBorder="1" applyAlignment="1" applyProtection="1">
      <alignment horizontal="center" vertical="justify"/>
    </xf>
    <xf numFmtId="164" fontId="7" fillId="0" borderId="4" xfId="0" applyNumberFormat="1" applyFont="1" applyFill="1" applyBorder="1" applyAlignment="1" applyProtection="1">
      <alignment vertical="justify"/>
    </xf>
    <xf numFmtId="0" fontId="7" fillId="0" borderId="20" xfId="0" applyFont="1" applyFill="1" applyBorder="1" applyAlignment="1" applyProtection="1">
      <alignment horizontal="center" vertical="justify"/>
    </xf>
    <xf numFmtId="5" fontId="7" fillId="0" borderId="4" xfId="0" applyNumberFormat="1" applyFont="1" applyFill="1" applyBorder="1" applyAlignment="1" applyProtection="1">
      <alignment vertical="justify"/>
    </xf>
    <xf numFmtId="0" fontId="7" fillId="0" borderId="0" xfId="0" applyFont="1" applyFill="1" applyBorder="1" applyAlignment="1" applyProtection="1">
      <alignment horizontal="center" vertical="justify"/>
    </xf>
    <xf numFmtId="0" fontId="7" fillId="0" borderId="0" xfId="0" applyFont="1" applyFill="1" applyBorder="1" applyAlignment="1" applyProtection="1">
      <alignment vertical="justify"/>
    </xf>
    <xf numFmtId="5" fontId="7" fillId="0" borderId="7" xfId="0" applyNumberFormat="1" applyFont="1" applyFill="1" applyBorder="1" applyAlignment="1" applyProtection="1">
      <alignment vertical="justify"/>
    </xf>
    <xf numFmtId="5" fontId="7" fillId="0" borderId="7" xfId="0" applyNumberFormat="1" applyFont="1" applyFill="1" applyBorder="1" applyProtection="1"/>
    <xf numFmtId="5" fontId="7" fillId="0" borderId="7" xfId="0" applyNumberFormat="1" applyFont="1" applyFill="1" applyBorder="1" applyAlignment="1" applyProtection="1">
      <alignment wrapText="1"/>
    </xf>
    <xf numFmtId="1" fontId="10" fillId="0" borderId="17" xfId="0" applyNumberFormat="1" applyFont="1" applyFill="1" applyBorder="1" applyAlignment="1" applyProtection="1">
      <alignment horizontal="left" vertical="center"/>
    </xf>
    <xf numFmtId="1" fontId="10" fillId="0" borderId="7" xfId="0" applyNumberFormat="1" applyFont="1" applyFill="1" applyBorder="1" applyAlignment="1" applyProtection="1">
      <alignment horizontal="left" vertical="center" wrapText="1"/>
    </xf>
    <xf numFmtId="5" fontId="7" fillId="0" borderId="6" xfId="0" applyNumberFormat="1" applyFont="1" applyFill="1" applyBorder="1" applyAlignment="1" applyProtection="1">
      <alignment wrapText="1"/>
    </xf>
    <xf numFmtId="5" fontId="7" fillId="0" borderId="4" xfId="0" applyNumberFormat="1" applyFont="1" applyFill="1" applyBorder="1" applyAlignment="1" applyProtection="1">
      <alignment vertical="justify" wrapText="1"/>
    </xf>
    <xf numFmtId="0" fontId="7" fillId="0" borderId="17" xfId="0" applyFont="1" applyFill="1" applyBorder="1" applyAlignment="1" applyProtection="1">
      <alignment vertical="justify"/>
    </xf>
    <xf numFmtId="5" fontId="7" fillId="0" borderId="5" xfId="0" applyNumberFormat="1" applyFont="1" applyFill="1" applyBorder="1" applyAlignment="1" applyProtection="1">
      <alignment vertical="justify"/>
    </xf>
    <xf numFmtId="5" fontId="7" fillId="0" borderId="7" xfId="0" applyNumberFormat="1" applyFont="1" applyFill="1" applyBorder="1" applyAlignment="1" applyProtection="1">
      <alignment vertical="justify" wrapText="1"/>
    </xf>
    <xf numFmtId="1" fontId="10" fillId="0" borderId="17" xfId="0" applyNumberFormat="1" applyFont="1" applyFill="1" applyBorder="1" applyAlignment="1" applyProtection="1">
      <alignment horizontal="left"/>
    </xf>
    <xf numFmtId="1" fontId="10" fillId="0" borderId="7" xfId="0" applyNumberFormat="1" applyFont="1" applyFill="1" applyBorder="1" applyAlignment="1" applyProtection="1">
      <alignment horizontal="left"/>
    </xf>
    <xf numFmtId="5" fontId="7" fillId="0" borderId="6" xfId="0" applyNumberFormat="1" applyFont="1" applyFill="1" applyBorder="1" applyAlignment="1" applyProtection="1">
      <alignment vertical="justify" wrapText="1"/>
    </xf>
    <xf numFmtId="0" fontId="7" fillId="0" borderId="20" xfId="0" applyFont="1" applyFill="1" applyBorder="1" applyAlignment="1" applyProtection="1">
      <alignment vertical="justify"/>
    </xf>
    <xf numFmtId="0" fontId="7" fillId="0" borderId="4" xfId="0" applyFont="1" applyFill="1" applyBorder="1" applyAlignment="1" applyProtection="1">
      <alignment vertical="top" wrapText="1"/>
    </xf>
    <xf numFmtId="0" fontId="7" fillId="0" borderId="7" xfId="0" applyFont="1" applyFill="1" applyBorder="1" applyProtection="1"/>
    <xf numFmtId="0" fontId="6" fillId="0" borderId="17" xfId="0" applyFont="1" applyFill="1" applyBorder="1" applyAlignment="1" applyProtection="1"/>
    <xf numFmtId="0" fontId="7" fillId="0" borderId="6" xfId="0" applyFont="1" applyFill="1" applyBorder="1" applyProtection="1"/>
    <xf numFmtId="0" fontId="6" fillId="0" borderId="0" xfId="0" applyFont="1" applyFill="1" applyBorder="1" applyAlignment="1" applyProtection="1"/>
    <xf numFmtId="0" fontId="6" fillId="0" borderId="17" xfId="0" applyFont="1" applyFill="1" applyBorder="1" applyAlignment="1" applyProtection="1">
      <alignment horizontal="left"/>
    </xf>
    <xf numFmtId="0" fontId="7" fillId="0" borderId="6" xfId="0" applyFont="1" applyFill="1" applyBorder="1" applyAlignment="1" applyProtection="1"/>
    <xf numFmtId="5" fontId="7" fillId="0" borderId="0" xfId="0" applyNumberFormat="1" applyFont="1" applyFill="1" applyProtection="1"/>
    <xf numFmtId="5" fontId="7" fillId="0" borderId="0" xfId="0" applyNumberFormat="1" applyFont="1" applyFill="1" applyBorder="1" applyAlignment="1" applyProtection="1">
      <alignment horizontal="center"/>
    </xf>
    <xf numFmtId="5" fontId="7" fillId="0" borderId="0" xfId="0" applyNumberFormat="1" applyFont="1" applyFill="1" applyBorder="1" applyProtection="1"/>
    <xf numFmtId="5" fontId="7"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9" fillId="0" borderId="0" xfId="0" applyFont="1" applyFill="1" applyBorder="1" applyAlignment="1" applyProtection="1">
      <alignment horizontal="left"/>
    </xf>
    <xf numFmtId="0" fontId="7" fillId="0" borderId="0" xfId="0" quotePrefix="1" applyFont="1" applyFill="1" applyBorder="1" applyAlignment="1" applyProtection="1">
      <alignment horizontal="left"/>
    </xf>
    <xf numFmtId="0" fontId="7" fillId="0" borderId="0" xfId="0" applyFont="1" applyFill="1" applyBorder="1" applyAlignment="1" applyProtection="1">
      <alignment vertical="top" wrapText="1"/>
    </xf>
    <xf numFmtId="5" fontId="7" fillId="0" borderId="0" xfId="0" quotePrefix="1" applyNumberFormat="1" applyFont="1" applyFill="1" applyBorder="1" applyAlignment="1" applyProtection="1">
      <alignment horizontal="left"/>
    </xf>
    <xf numFmtId="1"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top"/>
    </xf>
    <xf numFmtId="0" fontId="7" fillId="0" borderId="11" xfId="0" applyFont="1" applyFill="1" applyBorder="1" applyProtection="1"/>
    <xf numFmtId="0" fontId="7" fillId="0" borderId="5" xfId="0" applyFont="1" applyFill="1" applyBorder="1" applyProtection="1"/>
    <xf numFmtId="0" fontId="7" fillId="0" borderId="12" xfId="0" applyFont="1" applyFill="1" applyBorder="1" applyProtection="1"/>
    <xf numFmtId="0" fontId="7" fillId="0" borderId="13" xfId="0" applyFont="1" applyFill="1" applyBorder="1" applyProtection="1"/>
    <xf numFmtId="0" fontId="7" fillId="0" borderId="5" xfId="0" applyFont="1" applyFill="1" applyBorder="1" applyAlignment="1" applyProtection="1">
      <alignment horizontal="center"/>
    </xf>
    <xf numFmtId="49" fontId="7" fillId="0" borderId="0" xfId="0" applyNumberFormat="1" applyFont="1" applyFill="1" applyBorder="1" applyAlignment="1" applyProtection="1">
      <alignment horizontal="center"/>
    </xf>
    <xf numFmtId="0" fontId="7" fillId="0" borderId="15" xfId="0" applyFont="1" applyFill="1" applyBorder="1" applyProtection="1"/>
    <xf numFmtId="0" fontId="7" fillId="0" borderId="13" xfId="0" applyFont="1" applyFill="1" applyBorder="1" applyAlignment="1" applyProtection="1"/>
    <xf numFmtId="186" fontId="6" fillId="0" borderId="3" xfId="0" applyNumberFormat="1" applyFont="1" applyFill="1" applyBorder="1" applyAlignment="1" applyProtection="1">
      <alignment horizontal="center" wrapText="1"/>
    </xf>
    <xf numFmtId="186" fontId="9" fillId="0" borderId="0" xfId="0" applyNumberFormat="1" applyFont="1" applyFill="1" applyProtection="1"/>
    <xf numFmtId="176" fontId="7" fillId="0" borderId="0" xfId="5" applyNumberFormat="1" applyFont="1" applyFill="1" applyProtection="1"/>
    <xf numFmtId="176" fontId="7" fillId="0" borderId="0" xfId="5" applyNumberFormat="1" applyFont="1" applyFill="1" applyAlignment="1" applyProtection="1">
      <alignment wrapText="1"/>
    </xf>
    <xf numFmtId="6" fontId="7" fillId="0" borderId="0" xfId="0" applyNumberFormat="1" applyFont="1" applyFill="1" applyProtection="1"/>
    <xf numFmtId="0" fontId="6" fillId="0" borderId="0" xfId="0" applyFont="1" applyFill="1" applyBorder="1" applyAlignment="1" applyProtection="1">
      <alignment horizontal="right"/>
    </xf>
    <xf numFmtId="176" fontId="6" fillId="0" borderId="0" xfId="5" applyNumberFormat="1" applyFont="1" applyFill="1" applyProtection="1"/>
    <xf numFmtId="176" fontId="6" fillId="0" borderId="0" xfId="0" applyNumberFormat="1" applyFont="1" applyFill="1" applyProtection="1"/>
    <xf numFmtId="186" fontId="6" fillId="0" borderId="0" xfId="0" applyNumberFormat="1" applyFont="1" applyFill="1" applyProtection="1"/>
    <xf numFmtId="176" fontId="6" fillId="0" borderId="4" xfId="0" applyNumberFormat="1" applyFont="1" applyFill="1" applyBorder="1" applyProtection="1"/>
    <xf numFmtId="10" fontId="6" fillId="0" borderId="4" xfId="18" applyNumberFormat="1" applyFont="1" applyFill="1" applyBorder="1" applyProtection="1"/>
    <xf numFmtId="186" fontId="6" fillId="0" borderId="0" xfId="0" quotePrefix="1" applyNumberFormat="1" applyFont="1" applyFill="1" applyProtection="1"/>
    <xf numFmtId="186" fontId="6" fillId="0" borderId="0" xfId="0" applyNumberFormat="1" applyFont="1" applyFill="1" applyAlignment="1" applyProtection="1">
      <alignment horizontal="right"/>
    </xf>
    <xf numFmtId="176" fontId="6" fillId="0" borderId="0" xfId="0" applyNumberFormat="1" applyFont="1" applyFill="1" applyBorder="1" applyProtection="1"/>
    <xf numFmtId="186" fontId="7" fillId="0" borderId="0" xfId="31" applyNumberFormat="1" applyFont="1" applyFill="1" applyProtection="1"/>
    <xf numFmtId="186" fontId="26" fillId="0" borderId="0" xfId="31" applyNumberFormat="1" applyFont="1" applyFill="1" applyAlignment="1" applyProtection="1">
      <alignment horizontal="right"/>
    </xf>
    <xf numFmtId="176" fontId="7" fillId="0" borderId="0" xfId="31" applyNumberFormat="1" applyFont="1" applyFill="1" applyProtection="1"/>
    <xf numFmtId="186" fontId="7" fillId="0" borderId="0" xfId="0" applyNumberFormat="1" applyFont="1" applyFill="1" applyProtection="1"/>
    <xf numFmtId="0" fontId="7" fillId="0" borderId="0" xfId="31" applyFont="1" applyFill="1" applyProtection="1"/>
    <xf numFmtId="186" fontId="7" fillId="0" borderId="0" xfId="31" applyNumberFormat="1" applyFont="1" applyFill="1" applyAlignment="1" applyProtection="1">
      <alignment horizontal="right"/>
    </xf>
    <xf numFmtId="176" fontId="7" fillId="0" borderId="0" xfId="31" applyNumberFormat="1" applyFont="1" applyFill="1" applyAlignment="1" applyProtection="1">
      <alignment horizontal="right"/>
    </xf>
    <xf numFmtId="176" fontId="6" fillId="0" borderId="21" xfId="31" applyNumberFormat="1" applyFont="1" applyFill="1" applyBorder="1" applyProtection="1"/>
    <xf numFmtId="0" fontId="7" fillId="0" borderId="0" xfId="15" applyNumberFormat="1" applyFont="1" applyFill="1"/>
    <xf numFmtId="43" fontId="18" fillId="0" borderId="0" xfId="1" applyFont="1" applyBorder="1" applyAlignment="1">
      <alignment horizontal="right"/>
    </xf>
    <xf numFmtId="0" fontId="18" fillId="0" borderId="0" xfId="4872" applyNumberFormat="1" applyAlignment="1">
      <alignment horizontal="center"/>
    </xf>
    <xf numFmtId="0" fontId="7" fillId="0" borderId="0" xfId="15" applyNumberFormat="1" applyFont="1" applyFill="1" applyAlignment="1">
      <alignment horizontal="center"/>
    </xf>
    <xf numFmtId="0" fontId="6" fillId="0" borderId="0" xfId="7" applyFont="1" applyFill="1" applyAlignment="1">
      <alignment horizontal="center"/>
    </xf>
    <xf numFmtId="0" fontId="6" fillId="0" borderId="0" xfId="14" applyFont="1" applyFill="1" applyBorder="1" applyAlignment="1" applyProtection="1">
      <alignment horizontal="center"/>
    </xf>
    <xf numFmtId="10" fontId="7" fillId="0" borderId="0" xfId="18" applyNumberFormat="1" applyFont="1" applyFill="1"/>
    <xf numFmtId="43" fontId="7" fillId="0" borderId="0" xfId="1" applyNumberFormat="1" applyFont="1" applyFill="1"/>
    <xf numFmtId="43" fontId="7" fillId="0" borderId="0" xfId="7" applyNumberFormat="1" applyFont="1" applyFill="1"/>
    <xf numFmtId="0" fontId="7" fillId="0" borderId="0" xfId="19" applyFont="1" applyFill="1" applyBorder="1" applyAlignment="1" applyProtection="1">
      <alignment vertical="center"/>
    </xf>
    <xf numFmtId="0" fontId="7" fillId="0" borderId="0" xfId="19" applyFont="1" applyFill="1" applyAlignment="1" applyProtection="1">
      <alignment vertical="center"/>
    </xf>
    <xf numFmtId="0" fontId="7" fillId="0" borderId="0" xfId="14" applyFont="1" applyFill="1" applyBorder="1" applyAlignment="1" applyProtection="1">
      <alignment horizontal="center" vertical="center"/>
    </xf>
    <xf numFmtId="2" fontId="7" fillId="0" borderId="0" xfId="19" applyNumberFormat="1" applyFont="1" applyFill="1" applyBorder="1" applyAlignment="1" applyProtection="1">
      <alignment horizontal="center" vertical="center"/>
    </xf>
    <xf numFmtId="194" fontId="7" fillId="0" borderId="0" xfId="19" applyNumberFormat="1" applyFont="1" applyFill="1" applyBorder="1" applyAlignment="1" applyProtection="1">
      <alignment horizontal="center" vertical="center"/>
    </xf>
    <xf numFmtId="1" fontId="7" fillId="0" borderId="0" xfId="19" applyNumberFormat="1" applyFont="1" applyFill="1" applyBorder="1" applyAlignment="1" applyProtection="1">
      <alignment horizontal="center" vertical="center"/>
    </xf>
    <xf numFmtId="1" fontId="7" fillId="0" borderId="0" xfId="19" applyNumberFormat="1" applyFont="1" applyFill="1" applyAlignment="1" applyProtection="1">
      <alignment horizontal="center" vertical="center"/>
    </xf>
    <xf numFmtId="3" fontId="7" fillId="0" borderId="0" xfId="23" applyNumberFormat="1" applyFont="1" applyFill="1" applyProtection="1">
      <protection locked="0"/>
    </xf>
    <xf numFmtId="0" fontId="7" fillId="0" borderId="0" xfId="19" applyNumberFormat="1" applyFont="1" applyFill="1" applyBorder="1" applyAlignment="1" applyProtection="1">
      <alignment horizontal="center" vertical="center"/>
    </xf>
    <xf numFmtId="0" fontId="7" fillId="0" borderId="0" xfId="19" applyNumberFormat="1" applyFont="1" applyFill="1" applyAlignment="1" applyProtection="1">
      <alignment horizontal="center" vertical="center"/>
    </xf>
    <xf numFmtId="164" fontId="7" fillId="0" borderId="0" xfId="1" applyNumberFormat="1" applyFont="1" applyFill="1" applyBorder="1" applyAlignment="1" applyProtection="1">
      <alignment vertical="center"/>
    </xf>
    <xf numFmtId="164" fontId="7" fillId="0" borderId="0" xfId="1" applyNumberFormat="1" applyFont="1" applyFill="1" applyBorder="1" applyAlignment="1" applyProtection="1">
      <alignment horizontal="center" vertical="center"/>
    </xf>
    <xf numFmtId="164" fontId="7" fillId="0" borderId="0" xfId="1" applyNumberFormat="1" applyFont="1" applyFill="1" applyAlignment="1" applyProtection="1">
      <alignment vertical="center"/>
    </xf>
    <xf numFmtId="164" fontId="11" fillId="0" borderId="0" xfId="1" applyNumberFormat="1" applyFont="1" applyFill="1" applyAlignment="1" applyProtection="1">
      <alignment vertical="center"/>
    </xf>
    <xf numFmtId="164" fontId="11" fillId="0" borderId="0" xfId="1" applyNumberFormat="1" applyFont="1" applyFill="1" applyBorder="1" applyAlignment="1" applyProtection="1">
      <alignment vertical="center"/>
    </xf>
    <xf numFmtId="164" fontId="7" fillId="0" borderId="3" xfId="1" applyNumberFormat="1" applyFont="1" applyFill="1" applyBorder="1" applyAlignment="1" applyProtection="1">
      <alignment vertical="center"/>
    </xf>
    <xf numFmtId="164" fontId="11" fillId="0" borderId="3" xfId="1" applyNumberFormat="1" applyFont="1" applyFill="1" applyBorder="1" applyAlignment="1" applyProtection="1">
      <alignment vertical="center"/>
    </xf>
    <xf numFmtId="164" fontId="7" fillId="0" borderId="0" xfId="1" applyNumberFormat="1" applyFont="1" applyFill="1" applyAlignment="1" applyProtection="1">
      <alignment horizontal="center" vertical="center"/>
    </xf>
    <xf numFmtId="37" fontId="18" fillId="0" borderId="0" xfId="13" applyNumberFormat="1" applyFont="1" applyBorder="1" applyProtection="1"/>
    <xf numFmtId="177" fontId="18" fillId="0" borderId="0" xfId="13" applyNumberFormat="1" applyFont="1" applyFill="1" applyBorder="1" applyProtection="1"/>
    <xf numFmtId="182" fontId="18" fillId="0" borderId="0" xfId="13" applyNumberFormat="1" applyFont="1" applyFill="1" applyBorder="1" applyProtection="1"/>
    <xf numFmtId="181" fontId="18" fillId="0" borderId="0" xfId="13" applyFont="1" applyFill="1" applyAlignment="1" applyProtection="1">
      <alignment horizontal="left"/>
    </xf>
    <xf numFmtId="190" fontId="18" fillId="0" borderId="0" xfId="13" applyNumberFormat="1" applyFont="1" applyFill="1" applyAlignment="1" applyProtection="1">
      <alignment horizontal="center"/>
    </xf>
    <xf numFmtId="37" fontId="18" fillId="0" borderId="0" xfId="13" applyNumberFormat="1" applyFont="1" applyFill="1" applyBorder="1" applyProtection="1"/>
    <xf numFmtId="164" fontId="7" fillId="0" borderId="3" xfId="1" applyNumberFormat="1" applyFont="1" applyFill="1" applyBorder="1" applyAlignment="1" applyProtection="1">
      <alignment horizontal="center" vertical="center"/>
    </xf>
    <xf numFmtId="0" fontId="7" fillId="0" borderId="0" xfId="0" applyFont="1" applyFill="1" applyAlignment="1">
      <alignment horizontal="center"/>
    </xf>
    <xf numFmtId="164" fontId="11" fillId="0" borderId="3" xfId="1" applyNumberFormat="1" applyFont="1" applyFill="1" applyBorder="1"/>
    <xf numFmtId="0" fontId="7" fillId="0" borderId="0" xfId="0" applyFont="1" applyFill="1" applyAlignment="1" applyProtection="1">
      <alignment horizontal="center"/>
    </xf>
    <xf numFmtId="0" fontId="6" fillId="0" borderId="0" xfId="0" applyFont="1" applyFill="1" applyAlignment="1" applyProtection="1">
      <alignment horizontal="center"/>
    </xf>
    <xf numFmtId="0" fontId="6" fillId="0" borderId="0" xfId="14"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0" xfId="7" applyFont="1" applyFill="1" applyProtection="1"/>
    <xf numFmtId="0" fontId="6" fillId="0" borderId="0" xfId="14" applyNumberFormat="1" applyFont="1" applyFill="1" applyBorder="1" applyAlignment="1" applyProtection="1">
      <alignment horizontal="center"/>
    </xf>
    <xf numFmtId="0" fontId="6" fillId="0" borderId="0" xfId="7" applyFont="1" applyFill="1" applyAlignment="1" applyProtection="1">
      <alignment horizontal="center"/>
    </xf>
    <xf numFmtId="40" fontId="7" fillId="0" borderId="0" xfId="2" applyFont="1" applyFill="1" applyProtection="1"/>
    <xf numFmtId="0" fontId="7" fillId="0" borderId="0" xfId="7" applyFont="1" applyFill="1" applyAlignment="1" applyProtection="1">
      <alignment horizontal="center"/>
    </xf>
    <xf numFmtId="0" fontId="7" fillId="0" borderId="0" xfId="7" applyNumberFormat="1" applyFont="1" applyFill="1" applyAlignment="1" applyProtection="1">
      <alignment horizontal="center"/>
    </xf>
    <xf numFmtId="0" fontId="6" fillId="0" borderId="0" xfId="7" applyFont="1" applyFill="1" applyBorder="1" applyAlignment="1" applyProtection="1">
      <alignment horizontal="center"/>
    </xf>
    <xf numFmtId="0" fontId="6" fillId="0" borderId="1" xfId="25" applyFont="1" applyFill="1" applyAlignment="1" applyProtection="1">
      <alignment horizontal="center" wrapText="1"/>
    </xf>
    <xf numFmtId="0" fontId="6" fillId="0" borderId="1" xfId="25" applyNumberFormat="1" applyFont="1" applyFill="1" applyAlignment="1" applyProtection="1">
      <alignment horizontal="center" wrapText="1"/>
    </xf>
    <xf numFmtId="40" fontId="6" fillId="0" borderId="1" xfId="2" applyFont="1" applyFill="1" applyBorder="1" applyAlignment="1" applyProtection="1">
      <alignment horizontal="center" wrapText="1"/>
    </xf>
    <xf numFmtId="0" fontId="15" fillId="0" borderId="0" xfId="19" applyFont="1" applyFill="1" applyAlignment="1" applyProtection="1"/>
    <xf numFmtId="0" fontId="15" fillId="0" borderId="0" xfId="19" applyFont="1" applyFill="1" applyAlignment="1" applyProtection="1">
      <alignment horizontal="center"/>
    </xf>
    <xf numFmtId="0" fontId="15" fillId="0" borderId="0" xfId="19" applyNumberFormat="1" applyFont="1" applyFill="1" applyAlignment="1" applyProtection="1"/>
    <xf numFmtId="40" fontId="15" fillId="0" borderId="0" xfId="23" applyNumberFormat="1" applyFont="1" applyFill="1" applyProtection="1"/>
    <xf numFmtId="10" fontId="15" fillId="0" borderId="0" xfId="23" applyNumberFormat="1" applyFont="1" applyFill="1" applyAlignment="1" applyProtection="1">
      <alignment horizontal="center"/>
    </xf>
    <xf numFmtId="40" fontId="15" fillId="0" borderId="0" xfId="2" applyFont="1" applyFill="1" applyProtection="1"/>
    <xf numFmtId="40" fontId="15" fillId="0" borderId="0" xfId="2" applyFont="1" applyFill="1" applyAlignment="1" applyProtection="1">
      <alignment horizontal="center"/>
    </xf>
    <xf numFmtId="40" fontId="7" fillId="0" borderId="0" xfId="0" applyNumberFormat="1" applyFont="1" applyFill="1" applyProtection="1"/>
    <xf numFmtId="40" fontId="7" fillId="0" borderId="0" xfId="7" applyNumberFormat="1" applyFont="1" applyFill="1" applyProtection="1"/>
    <xf numFmtId="0" fontId="15" fillId="0" borderId="0" xfId="19" quotePrefix="1" applyNumberFormat="1" applyFont="1" applyFill="1" applyAlignment="1" applyProtection="1"/>
    <xf numFmtId="10" fontId="7" fillId="0" borderId="0" xfId="23" applyNumberFormat="1" applyFont="1" applyFill="1" applyAlignment="1" applyProtection="1">
      <alignment horizontal="center"/>
    </xf>
    <xf numFmtId="43" fontId="7" fillId="0" borderId="0" xfId="1" applyNumberFormat="1" applyFont="1" applyFill="1" applyAlignment="1" applyProtection="1">
      <alignment horizontal="center"/>
    </xf>
    <xf numFmtId="40" fontId="7" fillId="0" borderId="0" xfId="2" applyFont="1" applyFill="1" applyAlignment="1" applyProtection="1">
      <alignment horizontal="center"/>
    </xf>
    <xf numFmtId="164" fontId="7" fillId="0" borderId="0" xfId="1" applyNumberFormat="1" applyFont="1" applyFill="1" applyAlignment="1" applyProtection="1">
      <alignment horizontal="center"/>
    </xf>
    <xf numFmtId="164" fontId="7" fillId="0" borderId="4" xfId="1" applyNumberFormat="1" applyFont="1" applyFill="1" applyBorder="1" applyProtection="1"/>
    <xf numFmtId="4" fontId="7" fillId="0" borderId="0" xfId="7" applyNumberFormat="1" applyFont="1" applyFill="1" applyAlignment="1" applyProtection="1">
      <alignment horizontal="center"/>
    </xf>
    <xf numFmtId="4" fontId="7" fillId="0" borderId="0" xfId="7" applyNumberFormat="1" applyFont="1" applyFill="1" applyProtection="1"/>
    <xf numFmtId="164" fontId="7" fillId="0" borderId="4" xfId="1" applyNumberFormat="1" applyFont="1" applyFill="1" applyBorder="1" applyAlignment="1" applyProtection="1">
      <alignment horizontal="center"/>
    </xf>
    <xf numFmtId="164" fontId="7" fillId="0" borderId="0" xfId="7" applyNumberFormat="1" applyFont="1" applyFill="1" applyProtection="1"/>
    <xf numFmtId="164" fontId="7" fillId="0" borderId="0" xfId="7" applyNumberFormat="1" applyFont="1" applyFill="1" applyAlignment="1" applyProtection="1">
      <alignment horizontal="center"/>
    </xf>
    <xf numFmtId="164" fontId="7" fillId="0" borderId="0" xfId="2" applyNumberFormat="1" applyFont="1" applyFill="1" applyProtection="1"/>
    <xf numFmtId="181" fontId="18" fillId="0" borderId="0" xfId="13" applyFont="1" applyFill="1" applyAlignment="1" applyProtection="1">
      <alignment horizontal="centerContinuous"/>
    </xf>
    <xf numFmtId="14" fontId="18" fillId="0" borderId="0" xfId="13" applyNumberFormat="1" applyFont="1" applyFill="1" applyAlignment="1" applyProtection="1">
      <alignment horizontal="centerContinuous"/>
    </xf>
    <xf numFmtId="181" fontId="7" fillId="0" borderId="0" xfId="13" applyFont="1" applyFill="1" applyProtection="1"/>
    <xf numFmtId="197" fontId="18" fillId="0" borderId="0" xfId="13" applyNumberFormat="1" applyFont="1" applyFill="1" applyAlignment="1" applyProtection="1">
      <alignment horizontal="centerContinuous"/>
    </xf>
    <xf numFmtId="181" fontId="18" fillId="0" borderId="0" xfId="13" applyFont="1" applyFill="1" applyProtection="1"/>
    <xf numFmtId="181" fontId="18" fillId="0" borderId="0" xfId="13" quotePrefix="1" applyFont="1" applyFill="1" applyAlignment="1" applyProtection="1">
      <alignment horizontal="center"/>
    </xf>
    <xf numFmtId="181" fontId="18" fillId="0" borderId="0" xfId="13" applyFont="1" applyFill="1" applyAlignment="1" applyProtection="1"/>
    <xf numFmtId="14" fontId="18" fillId="0" borderId="0" xfId="13" applyNumberFormat="1" applyFont="1" applyFill="1" applyAlignment="1" applyProtection="1"/>
    <xf numFmtId="181" fontId="18" fillId="0" borderId="0" xfId="13" applyFont="1" applyFill="1" applyAlignment="1" applyProtection="1">
      <alignment horizontal="center"/>
    </xf>
    <xf numFmtId="2" fontId="18" fillId="0" borderId="0" xfId="13" applyNumberFormat="1" applyFont="1" applyFill="1" applyAlignment="1" applyProtection="1">
      <alignment horizontal="center"/>
    </xf>
    <xf numFmtId="14" fontId="18" fillId="0" borderId="0" xfId="13" applyNumberFormat="1" applyFont="1" applyFill="1" applyAlignment="1" applyProtection="1">
      <alignment horizontal="center"/>
    </xf>
    <xf numFmtId="181" fontId="18" fillId="0" borderId="3" xfId="13" applyFont="1" applyFill="1" applyBorder="1" applyAlignment="1" applyProtection="1">
      <alignment horizontal="center"/>
    </xf>
    <xf numFmtId="14" fontId="18" fillId="0" borderId="3" xfId="13" applyNumberFormat="1" applyFont="1" applyFill="1" applyBorder="1" applyAlignment="1" applyProtection="1">
      <alignment horizontal="center"/>
    </xf>
    <xf numFmtId="181" fontId="31" fillId="0" borderId="0" xfId="13" applyFont="1" applyFill="1" applyAlignment="1" applyProtection="1">
      <alignment horizontal="left"/>
    </xf>
    <xf numFmtId="14" fontId="18" fillId="0" borderId="0" xfId="13" applyNumberFormat="1" applyFont="1" applyFill="1" applyProtection="1"/>
    <xf numFmtId="180" fontId="32" fillId="0" borderId="0" xfId="18" applyNumberFormat="1" applyFont="1" applyFill="1" applyProtection="1"/>
    <xf numFmtId="172" fontId="18" fillId="0" borderId="0" xfId="13" applyNumberFormat="1" applyFont="1" applyFill="1" applyBorder="1" applyProtection="1"/>
    <xf numFmtId="39" fontId="18" fillId="0" borderId="0" xfId="13" applyNumberFormat="1" applyFont="1" applyFill="1" applyProtection="1"/>
    <xf numFmtId="10" fontId="18" fillId="0" borderId="0" xfId="18" applyNumberFormat="1" applyFont="1" applyFill="1" applyProtection="1"/>
    <xf numFmtId="183" fontId="18" fillId="0" borderId="0" xfId="13" applyNumberFormat="1" applyFont="1" applyFill="1" applyBorder="1" applyAlignment="1" applyProtection="1">
      <alignment horizontal="center"/>
    </xf>
    <xf numFmtId="172" fontId="18" fillId="0" borderId="0" xfId="13" applyNumberFormat="1" applyFont="1" applyFill="1" applyProtection="1"/>
    <xf numFmtId="182" fontId="18" fillId="0" borderId="0" xfId="13" applyNumberFormat="1" applyFont="1" applyFill="1" applyProtection="1"/>
    <xf numFmtId="37" fontId="18" fillId="0" borderId="0" xfId="13" applyNumberFormat="1" applyFont="1" applyFill="1" applyProtection="1"/>
    <xf numFmtId="177" fontId="18" fillId="0" borderId="0" xfId="13" applyNumberFormat="1" applyFont="1" applyFill="1" applyProtection="1"/>
    <xf numFmtId="180" fontId="32" fillId="0" borderId="0" xfId="7103" applyNumberFormat="1" applyFont="1" applyFill="1" applyProtection="1"/>
    <xf numFmtId="37" fontId="18" fillId="0" borderId="3" xfId="13" applyNumberFormat="1" applyFont="1" applyFill="1" applyBorder="1" applyProtection="1"/>
    <xf numFmtId="177" fontId="18" fillId="0" borderId="3" xfId="13" applyNumberFormat="1" applyFont="1" applyFill="1" applyBorder="1" applyProtection="1"/>
    <xf numFmtId="172" fontId="18" fillId="0" borderId="3" xfId="13" applyNumberFormat="1" applyFont="1" applyFill="1" applyBorder="1" applyProtection="1"/>
    <xf numFmtId="182" fontId="18" fillId="0" borderId="3" xfId="13" applyNumberFormat="1" applyFont="1" applyFill="1" applyBorder="1" applyProtection="1"/>
    <xf numFmtId="39" fontId="18" fillId="0" borderId="3" xfId="13" applyNumberFormat="1" applyFont="1" applyFill="1" applyBorder="1" applyProtection="1"/>
    <xf numFmtId="10" fontId="18" fillId="0" borderId="3" xfId="13" applyNumberFormat="1" applyFont="1" applyFill="1" applyBorder="1" applyProtection="1"/>
    <xf numFmtId="183" fontId="18" fillId="0" borderId="3" xfId="13" applyNumberFormat="1" applyFont="1" applyFill="1" applyBorder="1" applyAlignment="1" applyProtection="1">
      <alignment horizontal="center"/>
    </xf>
    <xf numFmtId="190" fontId="18" fillId="0" borderId="0" xfId="13" applyNumberFormat="1" applyFont="1" applyFill="1" applyProtection="1"/>
    <xf numFmtId="10" fontId="18" fillId="0" borderId="0" xfId="13" applyNumberFormat="1" applyFont="1" applyFill="1" applyProtection="1"/>
    <xf numFmtId="180" fontId="18" fillId="0" borderId="0" xfId="13" applyNumberFormat="1" applyFont="1" applyFill="1" applyAlignment="1" applyProtection="1">
      <alignment horizontal="center"/>
    </xf>
    <xf numFmtId="183" fontId="18" fillId="0" borderId="0" xfId="13" applyNumberFormat="1" applyFont="1" applyFill="1" applyAlignment="1" applyProtection="1">
      <alignment horizontal="center"/>
    </xf>
    <xf numFmtId="0" fontId="18" fillId="0" borderId="0" xfId="0" applyFont="1" applyFill="1" applyAlignment="1" applyProtection="1">
      <alignment horizontal="left"/>
    </xf>
    <xf numFmtId="180" fontId="18" fillId="0" borderId="3" xfId="13" applyNumberFormat="1" applyFont="1" applyFill="1" applyBorder="1" applyProtection="1"/>
    <xf numFmtId="172" fontId="18" fillId="0" borderId="0" xfId="13" applyNumberFormat="1" applyFont="1" applyFill="1" applyAlignment="1" applyProtection="1">
      <alignment horizontal="left"/>
    </xf>
    <xf numFmtId="182" fontId="18" fillId="0" borderId="0" xfId="13" applyNumberFormat="1" applyFont="1" applyFill="1" applyAlignment="1" applyProtection="1">
      <alignment horizontal="left"/>
    </xf>
    <xf numFmtId="194" fontId="18" fillId="0" borderId="0" xfId="13" applyNumberFormat="1" applyFont="1" applyFill="1" applyProtection="1"/>
    <xf numFmtId="183" fontId="18" fillId="0" borderId="0" xfId="13" applyNumberFormat="1" applyFont="1" applyFill="1" applyProtection="1"/>
    <xf numFmtId="5" fontId="18" fillId="0" borderId="9" xfId="13" applyNumberFormat="1" applyFont="1" applyFill="1" applyBorder="1" applyProtection="1"/>
    <xf numFmtId="179" fontId="18" fillId="0" borderId="9" xfId="13" applyNumberFormat="1" applyFont="1" applyFill="1" applyBorder="1" applyProtection="1"/>
    <xf numFmtId="179" fontId="18" fillId="0" borderId="0" xfId="13" applyNumberFormat="1" applyFont="1" applyFill="1" applyBorder="1" applyProtection="1"/>
    <xf numFmtId="178" fontId="18" fillId="0" borderId="9" xfId="13" applyNumberFormat="1" applyFont="1" applyFill="1" applyBorder="1" applyProtection="1"/>
    <xf numFmtId="180" fontId="18" fillId="0" borderId="9" xfId="13" applyNumberFormat="1" applyFont="1" applyFill="1" applyBorder="1" applyAlignment="1" applyProtection="1">
      <alignment horizontal="right"/>
    </xf>
    <xf numFmtId="5" fontId="18" fillId="0" borderId="0" xfId="13" applyNumberFormat="1" applyFont="1" applyFill="1" applyProtection="1"/>
    <xf numFmtId="179" fontId="18" fillId="0" borderId="0" xfId="13" applyNumberFormat="1" applyFont="1" applyFill="1" applyProtection="1"/>
    <xf numFmtId="180" fontId="18" fillId="0" borderId="0" xfId="13" applyNumberFormat="1" applyFont="1" applyFill="1" applyProtection="1"/>
    <xf numFmtId="14" fontId="7" fillId="0" borderId="0" xfId="13" applyNumberFormat="1" applyFont="1" applyFill="1" applyProtection="1"/>
    <xf numFmtId="3" fontId="9" fillId="0" borderId="0" xfId="0" applyNumberFormat="1" applyFont="1" applyFill="1" applyBorder="1" applyProtection="1"/>
    <xf numFmtId="0" fontId="7" fillId="0" borderId="0" xfId="57" applyFont="1" applyProtection="1"/>
    <xf numFmtId="0" fontId="7" fillId="0" borderId="0" xfId="0" applyFont="1" applyFill="1" applyBorder="1" applyAlignment="1" applyProtection="1">
      <alignment horizontal="center" wrapText="1"/>
    </xf>
    <xf numFmtId="0" fontId="7" fillId="0" borderId="3" xfId="0" applyFont="1" applyFill="1" applyBorder="1" applyAlignment="1" applyProtection="1">
      <alignment horizontal="center" wrapText="1"/>
    </xf>
    <xf numFmtId="166" fontId="7" fillId="0" borderId="0" xfId="5" applyNumberFormat="1" applyFont="1" applyFill="1" applyProtection="1"/>
    <xf numFmtId="3" fontId="7" fillId="0" borderId="0" xfId="5" applyNumberFormat="1" applyFont="1" applyFill="1" applyProtection="1"/>
    <xf numFmtId="6" fontId="7" fillId="0" borderId="0" xfId="5" applyNumberFormat="1" applyFont="1" applyFill="1" applyProtection="1"/>
    <xf numFmtId="38" fontId="7" fillId="0" borderId="0" xfId="5" applyNumberFormat="1" applyFont="1" applyFill="1" applyProtection="1"/>
    <xf numFmtId="166" fontId="7" fillId="0" borderId="4" xfId="5" applyNumberFormat="1" applyFont="1" applyFill="1" applyBorder="1" applyProtection="1"/>
    <xf numFmtId="44" fontId="9" fillId="0" borderId="0" xfId="5" applyFont="1" applyFill="1" applyBorder="1" applyAlignment="1" applyProtection="1">
      <alignment horizontal="center"/>
    </xf>
    <xf numFmtId="164" fontId="7" fillId="0" borderId="0" xfId="1" applyNumberFormat="1" applyFont="1" applyFill="1" applyBorder="1" applyAlignment="1" applyProtection="1">
      <alignment horizontal="center"/>
    </xf>
    <xf numFmtId="164" fontId="7" fillId="0" borderId="3" xfId="1" applyNumberFormat="1" applyFont="1" applyFill="1" applyBorder="1" applyAlignment="1" applyProtection="1">
      <alignment horizontal="center"/>
    </xf>
    <xf numFmtId="6" fontId="7" fillId="0" borderId="0" xfId="5" applyNumberFormat="1" applyFont="1" applyFill="1" applyBorder="1" applyAlignment="1" applyProtection="1"/>
    <xf numFmtId="6" fontId="7" fillId="0" borderId="0" xfId="5" applyNumberFormat="1" applyFont="1" applyFill="1" applyBorder="1" applyAlignment="1" applyProtection="1">
      <alignment horizontal="right"/>
    </xf>
    <xf numFmtId="44" fontId="7" fillId="0" borderId="0" xfId="0" applyNumberFormat="1" applyFont="1" applyFill="1" applyBorder="1" applyProtection="1"/>
    <xf numFmtId="43" fontId="7" fillId="0" borderId="0" xfId="0" applyNumberFormat="1" applyFont="1" applyFill="1" applyAlignment="1" applyProtection="1">
      <alignment horizontal="center"/>
    </xf>
    <xf numFmtId="43" fontId="7" fillId="0" borderId="0" xfId="0" applyNumberFormat="1" applyFont="1" applyFill="1" applyProtection="1"/>
    <xf numFmtId="49" fontId="6" fillId="0" borderId="2" xfId="0" applyNumberFormat="1" applyFont="1" applyFill="1" applyBorder="1" applyAlignment="1" applyProtection="1">
      <alignment horizontal="center"/>
    </xf>
    <xf numFmtId="0" fontId="10" fillId="0" borderId="2" xfId="0" applyFont="1" applyFill="1" applyBorder="1" applyAlignment="1" applyProtection="1">
      <alignment horizontal="center" wrapText="1"/>
    </xf>
    <xf numFmtId="43" fontId="6" fillId="0" borderId="2"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14" fontId="0" fillId="0" borderId="0" xfId="0" applyNumberFormat="1" applyProtection="1"/>
    <xf numFmtId="49" fontId="0" fillId="0" borderId="0" xfId="0" applyNumberFormat="1" applyProtection="1"/>
    <xf numFmtId="49" fontId="0" fillId="0" borderId="0" xfId="0" applyNumberFormat="1" applyAlignment="1" applyProtection="1">
      <alignment horizontal="center"/>
    </xf>
    <xf numFmtId="43" fontId="0" fillId="0" borderId="0" xfId="4" applyFont="1" applyProtection="1"/>
    <xf numFmtId="49" fontId="101" fillId="0" borderId="0" xfId="7099" applyNumberFormat="1" applyFill="1" applyProtection="1"/>
    <xf numFmtId="49" fontId="0" fillId="0" borderId="0" xfId="0" applyNumberFormat="1" applyFill="1" applyAlignment="1" applyProtection="1">
      <alignment horizontal="center"/>
    </xf>
    <xf numFmtId="0" fontId="103" fillId="0" borderId="0" xfId="7099" applyFont="1" applyProtection="1"/>
    <xf numFmtId="0" fontId="101" fillId="0" borderId="0" xfId="7099" applyProtection="1"/>
    <xf numFmtId="0" fontId="104" fillId="0" borderId="0" xfId="7099" applyFont="1" applyProtection="1"/>
    <xf numFmtId="49" fontId="7" fillId="0" borderId="0" xfId="0" applyNumberFormat="1" applyFont="1" applyFill="1" applyProtection="1"/>
    <xf numFmtId="14" fontId="7" fillId="0" borderId="0" xfId="16" applyNumberFormat="1" applyFont="1" applyFill="1" applyAlignment="1" applyProtection="1">
      <alignment horizontal="center"/>
    </xf>
    <xf numFmtId="49" fontId="7" fillId="0" borderId="0" xfId="16" applyNumberFormat="1" applyFont="1" applyFill="1" applyAlignment="1" applyProtection="1">
      <alignment horizontal="center"/>
    </xf>
    <xf numFmtId="49" fontId="7" fillId="0" borderId="0" xfId="16" applyNumberFormat="1" applyFont="1" applyFill="1" applyBorder="1" applyProtection="1"/>
    <xf numFmtId="49" fontId="7" fillId="0" borderId="0" xfId="0" applyNumberFormat="1" applyFont="1" applyFill="1" applyAlignment="1" applyProtection="1">
      <alignment horizontal="center"/>
    </xf>
    <xf numFmtId="195" fontId="7" fillId="0" borderId="0" xfId="16" applyNumberFormat="1" applyFont="1" applyFill="1" applyProtection="1"/>
    <xf numFmtId="49" fontId="7" fillId="0" borderId="0" xfId="16" applyNumberFormat="1" applyFont="1" applyFill="1" applyProtection="1"/>
    <xf numFmtId="39" fontId="7" fillId="0" borderId="0" xfId="0" applyNumberFormat="1" applyFont="1" applyFill="1" applyProtection="1"/>
    <xf numFmtId="43" fontId="7" fillId="0" borderId="5" xfId="0" applyNumberFormat="1" applyFont="1" applyFill="1" applyBorder="1" applyProtection="1"/>
    <xf numFmtId="166" fontId="11" fillId="0" borderId="0" xfId="5" applyNumberFormat="1" applyFont="1" applyFill="1" applyBorder="1" applyProtection="1"/>
    <xf numFmtId="0" fontId="7" fillId="0" borderId="16" xfId="0" applyFont="1" applyFill="1" applyBorder="1" applyProtection="1"/>
    <xf numFmtId="43" fontId="7" fillId="0" borderId="3" xfId="0" applyNumberFormat="1" applyFont="1" applyFill="1" applyBorder="1" applyProtection="1"/>
    <xf numFmtId="164" fontId="7" fillId="0" borderId="20" xfId="0" applyNumberFormat="1" applyFont="1" applyFill="1" applyBorder="1" applyAlignment="1" applyProtection="1">
      <alignment vertical="justify"/>
    </xf>
    <xf numFmtId="41" fontId="6" fillId="0" borderId="0" xfId="14" applyNumberFormat="1" applyFont="1" applyFill="1" applyBorder="1" applyAlignment="1" applyProtection="1">
      <alignment horizontal="center"/>
    </xf>
    <xf numFmtId="1" fontId="6" fillId="0" borderId="1" xfId="25" applyNumberFormat="1" applyFont="1" applyFill="1" applyAlignment="1" applyProtection="1">
      <alignment horizontal="center" wrapText="1"/>
    </xf>
    <xf numFmtId="41" fontId="6" fillId="0" borderId="1" xfId="25" applyNumberFormat="1" applyFont="1" applyFill="1" applyAlignment="1" applyProtection="1">
      <alignment horizontal="center" wrapText="1"/>
    </xf>
    <xf numFmtId="41" fontId="6" fillId="0" borderId="1" xfId="0" applyNumberFormat="1" applyFont="1" applyFill="1" applyBorder="1" applyAlignment="1" applyProtection="1">
      <alignment horizontal="center" wrapText="1"/>
    </xf>
    <xf numFmtId="41" fontId="6" fillId="0" borderId="1" xfId="14" applyNumberFormat="1" applyFont="1" applyFill="1" applyBorder="1" applyAlignment="1" applyProtection="1">
      <alignment horizontal="center" wrapText="1"/>
    </xf>
    <xf numFmtId="1" fontId="7" fillId="0" borderId="0" xfId="17" applyNumberFormat="1" applyFont="1" applyFill="1" applyAlignment="1" applyProtection="1">
      <alignment horizontal="center"/>
    </xf>
    <xf numFmtId="41" fontId="7" fillId="0" borderId="0" xfId="23" applyNumberFormat="1" applyFont="1" applyFill="1" applyProtection="1"/>
    <xf numFmtId="41" fontId="7" fillId="0" borderId="0" xfId="23" applyNumberFormat="1" applyFont="1" applyFill="1" applyBorder="1" applyProtection="1"/>
    <xf numFmtId="41" fontId="7" fillId="0" borderId="0" xfId="14" applyNumberFormat="1" applyFont="1" applyFill="1" applyBorder="1" applyProtection="1"/>
    <xf numFmtId="41" fontId="7" fillId="0" borderId="4" xfId="5" applyNumberFormat="1" applyFont="1" applyFill="1" applyBorder="1" applyAlignment="1" applyProtection="1"/>
    <xf numFmtId="41" fontId="50" fillId="0" borderId="0" xfId="14" applyNumberFormat="1" applyFont="1" applyFill="1" applyBorder="1" applyProtection="1"/>
    <xf numFmtId="5" fontId="7" fillId="0" borderId="0" xfId="1" applyNumberFormat="1" applyFont="1" applyFill="1" applyProtection="1"/>
    <xf numFmtId="38" fontId="7" fillId="0" borderId="0" xfId="0" applyNumberFormat="1" applyFont="1" applyFill="1" applyProtection="1"/>
    <xf numFmtId="38" fontId="7" fillId="0" borderId="0" xfId="1" applyNumberFormat="1" applyFont="1" applyFill="1" applyProtection="1"/>
    <xf numFmtId="38" fontId="9" fillId="0" borderId="0" xfId="1" applyNumberFormat="1" applyFont="1" applyFill="1" applyProtection="1"/>
    <xf numFmtId="43" fontId="7" fillId="0" borderId="0" xfId="1" applyFont="1" applyFill="1" applyAlignment="1" applyProtection="1">
      <alignment horizontal="left"/>
    </xf>
    <xf numFmtId="6" fontId="7" fillId="0" borderId="0" xfId="1" applyNumberFormat="1" applyFont="1" applyFill="1" applyProtection="1"/>
    <xf numFmtId="38" fontId="9" fillId="0" borderId="0" xfId="1" applyNumberFormat="1" applyFont="1" applyFill="1" applyBorder="1" applyProtection="1"/>
    <xf numFmtId="176" fontId="7" fillId="0" borderId="0" xfId="1" applyNumberFormat="1" applyFont="1" applyFill="1" applyProtection="1"/>
    <xf numFmtId="0" fontId="6" fillId="0" borderId="0" xfId="0" applyFont="1" applyFill="1" applyAlignment="1" applyProtection="1">
      <alignment horizontal="left"/>
    </xf>
    <xf numFmtId="0" fontId="7" fillId="0" borderId="0" xfId="0" applyFont="1" applyFill="1" applyBorder="1" applyAlignment="1" applyProtection="1">
      <alignment horizontal="center"/>
    </xf>
    <xf numFmtId="177" fontId="0" fillId="0" borderId="0" xfId="0" applyNumberFormat="1" applyFill="1" applyAlignment="1" applyProtection="1">
      <alignment horizontal="center"/>
    </xf>
    <xf numFmtId="0" fontId="0" fillId="0" borderId="0" xfId="0" applyFill="1" applyAlignment="1" applyProtection="1">
      <alignment horizontal="center"/>
    </xf>
    <xf numFmtId="42" fontId="7" fillId="0" borderId="3" xfId="0" applyNumberFormat="1" applyFont="1" applyFill="1" applyBorder="1" applyProtection="1"/>
    <xf numFmtId="3" fontId="7" fillId="0" borderId="0" xfId="23" applyNumberFormat="1" applyFont="1" applyFill="1" applyAlignment="1" applyProtection="1">
      <alignment horizontal="right"/>
      <protection locked="0"/>
    </xf>
    <xf numFmtId="164" fontId="7" fillId="0" borderId="3" xfId="1" applyNumberFormat="1" applyFont="1" applyFill="1" applyBorder="1" applyAlignment="1" applyProtection="1"/>
    <xf numFmtId="164" fontId="11" fillId="0" borderId="0" xfId="1" applyNumberFormat="1" applyFont="1" applyFill="1" applyAlignment="1" applyProtection="1">
      <alignment horizontal="right"/>
    </xf>
    <xf numFmtId="5" fontId="7" fillId="0" borderId="0" xfId="5" applyNumberFormat="1" applyFont="1" applyFill="1" applyAlignment="1" applyProtection="1">
      <alignment horizontal="right"/>
    </xf>
    <xf numFmtId="5" fontId="7" fillId="0" borderId="3" xfId="5" applyNumberFormat="1" applyFont="1" applyFill="1" applyBorder="1" applyAlignment="1" applyProtection="1">
      <alignment horizontal="right"/>
    </xf>
    <xf numFmtId="164" fontId="0" fillId="0" borderId="0" xfId="1" applyNumberFormat="1" applyFont="1" applyFill="1" applyProtection="1"/>
    <xf numFmtId="164" fontId="0" fillId="0" borderId="3" xfId="1" applyNumberFormat="1" applyFont="1" applyFill="1" applyBorder="1" applyProtection="1"/>
    <xf numFmtId="0" fontId="0" fillId="0" borderId="0" xfId="0" applyFill="1" applyProtection="1"/>
    <xf numFmtId="164" fontId="7" fillId="0" borderId="0" xfId="1" applyNumberFormat="1" applyFont="1" applyFill="1" applyBorder="1" applyAlignment="1" applyProtection="1">
      <alignment horizontal="center" wrapText="1"/>
    </xf>
    <xf numFmtId="0" fontId="7" fillId="0" borderId="0" xfId="0" applyFont="1" applyFill="1" applyBorder="1" applyAlignment="1" applyProtection="1">
      <alignment horizontal="center"/>
    </xf>
    <xf numFmtId="0" fontId="18" fillId="0" borderId="0" xfId="4872" applyNumberFormat="1" applyFill="1" applyAlignment="1">
      <alignment horizontal="center"/>
    </xf>
    <xf numFmtId="0" fontId="29" fillId="0" borderId="0" xfId="0" applyFont="1" applyFill="1" applyAlignment="1">
      <alignment horizontal="center"/>
    </xf>
    <xf numFmtId="0" fontId="8" fillId="0" borderId="0" xfId="0" applyFont="1" applyFill="1" applyAlignment="1">
      <alignment horizontal="center"/>
    </xf>
    <xf numFmtId="188" fontId="8" fillId="0" borderId="0" xfId="0" applyNumberFormat="1" applyFont="1" applyFill="1" applyAlignment="1">
      <alignment horizontal="center"/>
    </xf>
    <xf numFmtId="0" fontId="8" fillId="0" borderId="0" xfId="0" applyFont="1" applyFill="1" applyAlignment="1" applyProtection="1">
      <alignment horizontal="center"/>
      <protection locked="0"/>
    </xf>
    <xf numFmtId="188" fontId="8" fillId="0" borderId="0" xfId="0" applyNumberFormat="1" applyFont="1" applyFill="1" applyAlignment="1" applyProtection="1">
      <alignment horizontal="center"/>
      <protection locked="0"/>
    </xf>
    <xf numFmtId="0" fontId="9"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176" fontId="7" fillId="0" borderId="3" xfId="0" applyNumberFormat="1" applyFont="1" applyFill="1" applyBorder="1" applyAlignment="1">
      <alignment horizontal="left"/>
    </xf>
    <xf numFmtId="176" fontId="7" fillId="0" borderId="3" xfId="0" applyNumberFormat="1" applyFont="1" applyFill="1" applyBorder="1" applyAlignment="1">
      <alignment horizontal="center"/>
    </xf>
    <xf numFmtId="176" fontId="7" fillId="0" borderId="0" xfId="0" applyNumberFormat="1" applyFont="1" applyFill="1" applyAlignment="1">
      <alignment horizontal="center"/>
    </xf>
    <xf numFmtId="176" fontId="7" fillId="0" borderId="0" xfId="0" applyNumberFormat="1" applyFont="1" applyFill="1" applyAlignment="1">
      <alignment horizontal="left"/>
    </xf>
    <xf numFmtId="176" fontId="7" fillId="0" borderId="0" xfId="0" applyNumberFormat="1" applyFont="1" applyFill="1" applyAlignment="1">
      <alignment horizontal="left" vertical="top"/>
    </xf>
    <xf numFmtId="0" fontId="7" fillId="0" borderId="0" xfId="0" applyFont="1" applyFill="1" applyAlignment="1" applyProtection="1">
      <alignment horizontal="center"/>
    </xf>
    <xf numFmtId="0" fontId="33" fillId="0" borderId="0" xfId="0" applyFont="1" applyFill="1" applyAlignment="1" applyProtection="1">
      <alignment horizontal="center"/>
    </xf>
    <xf numFmtId="0" fontId="6" fillId="0" borderId="0" xfId="0" applyFont="1" applyFill="1" applyAlignment="1" applyProtection="1">
      <alignment horizontal="center"/>
    </xf>
    <xf numFmtId="0" fontId="7" fillId="0" borderId="17"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6" xfId="0" applyFont="1" applyFill="1" applyBorder="1" applyAlignment="1" applyProtection="1">
      <alignment horizontal="center"/>
    </xf>
    <xf numFmtId="0" fontId="6" fillId="0" borderId="0" xfId="14" applyFont="1" applyFill="1" applyBorder="1" applyAlignment="1" applyProtection="1">
      <alignment horizontal="center"/>
    </xf>
    <xf numFmtId="0" fontId="6" fillId="0" borderId="0" xfId="14" applyFont="1" applyFill="1" applyBorder="1" applyAlignment="1">
      <alignment horizontal="center"/>
    </xf>
    <xf numFmtId="0" fontId="6" fillId="0" borderId="0" xfId="14" applyFont="1" applyFill="1" applyBorder="1" applyAlignment="1" applyProtection="1">
      <alignment horizontal="center" vertical="center"/>
    </xf>
    <xf numFmtId="0" fontId="28" fillId="0" borderId="0" xfId="0" applyFont="1" applyFill="1" applyAlignment="1">
      <alignment horizontal="left" vertical="top" wrapText="1"/>
    </xf>
    <xf numFmtId="0" fontId="7" fillId="0" borderId="0" xfId="0" applyFont="1" applyFill="1" applyAlignment="1" applyProtection="1">
      <alignment horizontal="left" vertical="top" wrapText="1" readingOrder="1"/>
      <protection locked="0"/>
    </xf>
    <xf numFmtId="0" fontId="7" fillId="0" borderId="0" xfId="0" applyFont="1" applyFill="1" applyAlignment="1" applyProtection="1">
      <alignment horizontal="left" vertical="center" wrapText="1" readingOrder="1"/>
    </xf>
    <xf numFmtId="176" fontId="6"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4" xfId="0" applyFont="1" applyFill="1" applyBorder="1" applyAlignment="1" applyProtection="1">
      <alignment horizontal="center"/>
    </xf>
    <xf numFmtId="0" fontId="7" fillId="0" borderId="13"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6" xfId="0" applyFont="1" applyFill="1" applyBorder="1" applyAlignment="1" applyProtection="1">
      <alignment horizontal="left" wrapText="1"/>
    </xf>
    <xf numFmtId="0" fontId="7" fillId="0" borderId="3" xfId="0" applyFont="1" applyFill="1" applyBorder="1" applyAlignment="1" applyProtection="1">
      <alignment horizontal="left" wrapText="1"/>
    </xf>
    <xf numFmtId="181" fontId="31" fillId="0" borderId="0" xfId="13" applyFont="1" applyFill="1" applyAlignment="1" applyProtection="1">
      <alignment horizontal="center"/>
    </xf>
    <xf numFmtId="197" fontId="18" fillId="0" borderId="0" xfId="13" applyNumberFormat="1" applyFont="1" applyFill="1" applyAlignment="1" applyProtection="1">
      <alignment horizontal="center"/>
    </xf>
    <xf numFmtId="0" fontId="6" fillId="0" borderId="17" xfId="7" applyFont="1" applyFill="1" applyBorder="1" applyAlignment="1" applyProtection="1">
      <alignment horizontal="center"/>
    </xf>
    <xf numFmtId="0" fontId="6" fillId="0" borderId="7" xfId="7" applyFont="1" applyFill="1" applyBorder="1" applyAlignment="1" applyProtection="1">
      <alignment horizontal="center"/>
    </xf>
    <xf numFmtId="0" fontId="6" fillId="0" borderId="6" xfId="7" applyFont="1" applyFill="1" applyBorder="1" applyAlignment="1" applyProtection="1">
      <alignment horizontal="center"/>
    </xf>
    <xf numFmtId="0" fontId="6" fillId="0" borderId="0" xfId="7" applyFont="1" applyFill="1" applyAlignment="1" applyProtection="1">
      <alignment horizontal="center"/>
    </xf>
    <xf numFmtId="0" fontId="6" fillId="0" borderId="17" xfId="7" applyFont="1" applyFill="1" applyBorder="1" applyAlignment="1">
      <alignment horizontal="center"/>
    </xf>
    <xf numFmtId="0" fontId="6" fillId="0" borderId="7" xfId="7" applyFont="1" applyFill="1" applyBorder="1" applyAlignment="1">
      <alignment horizontal="center"/>
    </xf>
    <xf numFmtId="0" fontId="6" fillId="0" borderId="6" xfId="7" applyFont="1" applyFill="1" applyBorder="1" applyAlignment="1">
      <alignment horizontal="center"/>
    </xf>
    <xf numFmtId="0" fontId="6" fillId="0" borderId="0" xfId="7" applyFont="1" applyFill="1" applyAlignment="1">
      <alignment horizontal="center"/>
    </xf>
  </cellXfs>
  <cellStyles count="7106">
    <cellStyle name="20% - Accent1 10" xfId="641"/>
    <cellStyle name="20% - Accent1 10 2" xfId="4222"/>
    <cellStyle name="20% - Accent1 11" xfId="642"/>
    <cellStyle name="20% - Accent1 11 2" xfId="4223"/>
    <cellStyle name="20% - Accent1 12" xfId="799"/>
    <cellStyle name="20% - Accent1 13" xfId="800"/>
    <cellStyle name="20% - Accent1 13 2" xfId="3846"/>
    <cellStyle name="20% - Accent1 13 2 2" xfId="5926"/>
    <cellStyle name="20% - Accent1 13 3" xfId="5925"/>
    <cellStyle name="20% - Accent1 14" xfId="922"/>
    <cellStyle name="20% - Accent1 2" xfId="69"/>
    <cellStyle name="20% - Accent1 2 10" xfId="1668"/>
    <cellStyle name="20% - Accent1 2 10 2" xfId="4224"/>
    <cellStyle name="20% - Accent1 2 11" xfId="1667"/>
    <cellStyle name="20% - Accent1 2 11 2" xfId="4225"/>
    <cellStyle name="20% - Accent1 2 12" xfId="1877"/>
    <cellStyle name="20% - Accent1 2 12 2" xfId="4226"/>
    <cellStyle name="20% - Accent1 2 13" xfId="2252"/>
    <cellStyle name="20% - Accent1 2 13 2" xfId="4227"/>
    <cellStyle name="20% - Accent1 2 14" xfId="2415"/>
    <cellStyle name="20% - Accent1 2 14 2" xfId="4228"/>
    <cellStyle name="20% - Accent1 2 15" xfId="2998"/>
    <cellStyle name="20% - Accent1 2 15 2" xfId="4229"/>
    <cellStyle name="20% - Accent1 2 16" xfId="3633"/>
    <cellStyle name="20% - Accent1 2 16 2" xfId="4230"/>
    <cellStyle name="20% - Accent1 2 2" xfId="113"/>
    <cellStyle name="20% - Accent1 2 2 2" xfId="172"/>
    <cellStyle name="20% - Accent1 2 2 3" xfId="336"/>
    <cellStyle name="20% - Accent1 2 2 4" xfId="2158"/>
    <cellStyle name="20% - Accent1 2 2 5" xfId="2532"/>
    <cellStyle name="20% - Accent1 2 2 6" xfId="2904"/>
    <cellStyle name="20% - Accent1 2 2 7" xfId="3276"/>
    <cellStyle name="20% - Accent1 2 2 8" xfId="4231"/>
    <cellStyle name="20% - Accent1 2 3" xfId="278"/>
    <cellStyle name="20% - Accent1 2 3 2" xfId="1334"/>
    <cellStyle name="20% - Accent1 2 4" xfId="359"/>
    <cellStyle name="20% - Accent1 2 5" xfId="520"/>
    <cellStyle name="20% - Accent1 2 6" xfId="643"/>
    <cellStyle name="20% - Accent1 2 7" xfId="644"/>
    <cellStyle name="20% - Accent1 2 8" xfId="801"/>
    <cellStyle name="20% - Accent1 2 8 2" xfId="1397"/>
    <cellStyle name="20% - Accent1 2 9" xfId="923"/>
    <cellStyle name="20% - Accent1 2 9 2" xfId="1388"/>
    <cellStyle name="20% - Accent1 3" xfId="213"/>
    <cellStyle name="20% - Accent1 3 10" xfId="3676"/>
    <cellStyle name="20% - Accent1 3 10 2" xfId="4232"/>
    <cellStyle name="20% - Accent1 3 2" xfId="1449"/>
    <cellStyle name="20% - Accent1 3 2 2" xfId="1824"/>
    <cellStyle name="20% - Accent1 3 2 3" xfId="2199"/>
    <cellStyle name="20% - Accent1 3 2 4" xfId="2573"/>
    <cellStyle name="20% - Accent1 3 2 5" xfId="2945"/>
    <cellStyle name="20% - Accent1 3 2 6" xfId="3317"/>
    <cellStyle name="20% - Accent1 3 2 7" xfId="4233"/>
    <cellStyle name="20% - Accent1 3 3" xfId="1576"/>
    <cellStyle name="20% - Accent1 3 3 2" xfId="1901"/>
    <cellStyle name="20% - Accent1 3 3 3" xfId="2276"/>
    <cellStyle name="20% - Accent1 3 3 4" xfId="2649"/>
    <cellStyle name="20% - Accent1 3 3 5" xfId="3022"/>
    <cellStyle name="20% - Accent1 3 3 6" xfId="3393"/>
    <cellStyle name="20% - Accent1 3 3 7" xfId="4234"/>
    <cellStyle name="20% - Accent1 3 4" xfId="1713"/>
    <cellStyle name="20% - Accent1 3 4 2" xfId="1945"/>
    <cellStyle name="20% - Accent1 3 4 3" xfId="2320"/>
    <cellStyle name="20% - Accent1 3 4 4" xfId="2693"/>
    <cellStyle name="20% - Accent1 3 4 5" xfId="3066"/>
    <cellStyle name="20% - Accent1 3 4 6" xfId="3437"/>
    <cellStyle name="20% - Accent1 3 5" xfId="2048"/>
    <cellStyle name="20% - Accent1 3 6" xfId="2422"/>
    <cellStyle name="20% - Accent1 3 7" xfId="2794"/>
    <cellStyle name="20% - Accent1 3 8" xfId="3165"/>
    <cellStyle name="20% - Accent1 3 9" xfId="3540"/>
    <cellStyle name="20% - Accent1 3 9 2" xfId="4235"/>
    <cellStyle name="20% - Accent1 4" xfId="236"/>
    <cellStyle name="20% - Accent1 4 10" xfId="3720"/>
    <cellStyle name="20% - Accent1 4 10 2" xfId="4237"/>
    <cellStyle name="20% - Accent1 4 11" xfId="1295"/>
    <cellStyle name="20% - Accent1 4 11 2" xfId="4145"/>
    <cellStyle name="20% - Accent1 4 11 2 2" xfId="5307"/>
    <cellStyle name="20% - Accent1 4 11 2 2 2" xfId="5929"/>
    <cellStyle name="20% - Accent1 4 11 2 3" xfId="5617"/>
    <cellStyle name="20% - Accent1 4 11 2 3 2" xfId="5930"/>
    <cellStyle name="20% - Accent1 4 11 2 4" xfId="4239"/>
    <cellStyle name="20% - Accent1 4 11 2 4 2" xfId="5931"/>
    <cellStyle name="20% - Accent1 4 11 2 5" xfId="5928"/>
    <cellStyle name="20% - Accent1 4 11 3" xfId="5306"/>
    <cellStyle name="20% - Accent1 4 11 3 2" xfId="5932"/>
    <cellStyle name="20% - Accent1 4 11 4" xfId="5616"/>
    <cellStyle name="20% - Accent1 4 11 4 2" xfId="5933"/>
    <cellStyle name="20% - Accent1 4 11 5" xfId="4238"/>
    <cellStyle name="20% - Accent1 4 11 5 2" xfId="5934"/>
    <cellStyle name="20% - Accent1 4 11 6" xfId="5927"/>
    <cellStyle name="20% - Accent1 4 12" xfId="4240"/>
    <cellStyle name="20% - Accent1 4 12 2" xfId="5308"/>
    <cellStyle name="20% - Accent1 4 12 2 2" xfId="5936"/>
    <cellStyle name="20% - Accent1 4 12 3" xfId="5618"/>
    <cellStyle name="20% - Accent1 4 12 3 2" xfId="5937"/>
    <cellStyle name="20% - Accent1 4 12 4" xfId="5935"/>
    <cellStyle name="20% - Accent1 4 13" xfId="5305"/>
    <cellStyle name="20% - Accent1 4 13 2" xfId="5938"/>
    <cellStyle name="20% - Accent1 4 14" xfId="5615"/>
    <cellStyle name="20% - Accent1 4 14 2" xfId="5939"/>
    <cellStyle name="20% - Accent1 4 15" xfId="4236"/>
    <cellStyle name="20% - Accent1 4 15 2" xfId="5940"/>
    <cellStyle name="20% - Accent1 4 2" xfId="1494"/>
    <cellStyle name="20% - Accent1 4 2 2" xfId="4241"/>
    <cellStyle name="20% - Accent1 4 3" xfId="1619"/>
    <cellStyle name="20% - Accent1 4 3 2" xfId="4242"/>
    <cellStyle name="20% - Accent1 4 4" xfId="1805"/>
    <cellStyle name="20% - Accent1 4 5" xfId="2141"/>
    <cellStyle name="20% - Accent1 4 6" xfId="2515"/>
    <cellStyle name="20% - Accent1 4 7" xfId="2887"/>
    <cellStyle name="20% - Accent1 4 8" xfId="3258"/>
    <cellStyle name="20% - Accent1 4 9" xfId="3583"/>
    <cellStyle name="20% - Accent1 4 9 2" xfId="4243"/>
    <cellStyle name="20% - Accent1 5" xfId="360"/>
    <cellStyle name="20% - Accent1 5 2" xfId="1868"/>
    <cellStyle name="20% - Accent1 5 3" xfId="2243"/>
    <cellStyle name="20% - Accent1 5 4" xfId="2617"/>
    <cellStyle name="20% - Accent1 5 5" xfId="2989"/>
    <cellStyle name="20% - Accent1 5 6" xfId="3361"/>
    <cellStyle name="20% - Accent1 5 7" xfId="4244"/>
    <cellStyle name="20% - Accent1 6" xfId="361"/>
    <cellStyle name="20% - Accent1 6 10" xfId="5309"/>
    <cellStyle name="20% - Accent1 6 10 2" xfId="5942"/>
    <cellStyle name="20% - Accent1 6 11" xfId="5619"/>
    <cellStyle name="20% - Accent1 6 11 2" xfId="5943"/>
    <cellStyle name="20% - Accent1 6 12" xfId="4245"/>
    <cellStyle name="20% - Accent1 6 12 2" xfId="5944"/>
    <cellStyle name="20% - Accent1 6 13" xfId="5941"/>
    <cellStyle name="20% - Accent1 6 2" xfId="1970"/>
    <cellStyle name="20% - Accent1 6 2 2" xfId="4246"/>
    <cellStyle name="20% - Accent1 6 3" xfId="2345"/>
    <cellStyle name="20% - Accent1 6 3 2" xfId="4247"/>
    <cellStyle name="20% - Accent1 6 4" xfId="2718"/>
    <cellStyle name="20% - Accent1 6 4 2" xfId="4248"/>
    <cellStyle name="20% - Accent1 6 5" xfId="3091"/>
    <cellStyle name="20% - Accent1 6 5 2" xfId="4249"/>
    <cellStyle name="20% - Accent1 6 6" xfId="3462"/>
    <cellStyle name="20% - Accent1 6 6 2" xfId="4250"/>
    <cellStyle name="20% - Accent1 6 7" xfId="3768"/>
    <cellStyle name="20% - Accent1 6 7 2" xfId="4251"/>
    <cellStyle name="20% - Accent1 6 8" xfId="1358"/>
    <cellStyle name="20% - Accent1 6 8 2" xfId="4158"/>
    <cellStyle name="20% - Accent1 6 8 2 2" xfId="5311"/>
    <cellStyle name="20% - Accent1 6 8 2 2 2" xfId="5947"/>
    <cellStyle name="20% - Accent1 6 8 2 3" xfId="5621"/>
    <cellStyle name="20% - Accent1 6 8 2 3 2" xfId="5948"/>
    <cellStyle name="20% - Accent1 6 8 2 4" xfId="4253"/>
    <cellStyle name="20% - Accent1 6 8 2 4 2" xfId="5949"/>
    <cellStyle name="20% - Accent1 6 8 2 5" xfId="5946"/>
    <cellStyle name="20% - Accent1 6 8 3" xfId="5310"/>
    <cellStyle name="20% - Accent1 6 8 3 2" xfId="5950"/>
    <cellStyle name="20% - Accent1 6 8 4" xfId="5620"/>
    <cellStyle name="20% - Accent1 6 8 4 2" xfId="5951"/>
    <cellStyle name="20% - Accent1 6 8 5" xfId="4252"/>
    <cellStyle name="20% - Accent1 6 8 5 2" xfId="5952"/>
    <cellStyle name="20% - Accent1 6 8 6" xfId="5945"/>
    <cellStyle name="20% - Accent1 6 9" xfId="3818"/>
    <cellStyle name="20% - Accent1 6 9 2" xfId="5312"/>
    <cellStyle name="20% - Accent1 6 9 2 2" xfId="5954"/>
    <cellStyle name="20% - Accent1 6 9 3" xfId="5622"/>
    <cellStyle name="20% - Accent1 6 9 3 2" xfId="5955"/>
    <cellStyle name="20% - Accent1 6 9 4" xfId="4254"/>
    <cellStyle name="20% - Accent1 6 9 4 2" xfId="5956"/>
    <cellStyle name="20% - Accent1 6 9 5" xfId="5953"/>
    <cellStyle name="20% - Accent1 7" xfId="362"/>
    <cellStyle name="20% - Accent1 7 2" xfId="4255"/>
    <cellStyle name="20% - Accent1 8" xfId="521"/>
    <cellStyle name="20% - Accent1 8 2" xfId="1373"/>
    <cellStyle name="20% - Accent1 8 2 2" xfId="4173"/>
    <cellStyle name="20% - Accent1 8 2 2 2" xfId="5315"/>
    <cellStyle name="20% - Accent1 8 2 2 2 2" xfId="5960"/>
    <cellStyle name="20% - Accent1 8 2 2 3" xfId="5625"/>
    <cellStyle name="20% - Accent1 8 2 2 3 2" xfId="5961"/>
    <cellStyle name="20% - Accent1 8 2 2 4" xfId="4258"/>
    <cellStyle name="20% - Accent1 8 2 2 4 2" xfId="5962"/>
    <cellStyle name="20% - Accent1 8 2 2 5" xfId="5959"/>
    <cellStyle name="20% - Accent1 8 2 3" xfId="5314"/>
    <cellStyle name="20% - Accent1 8 2 3 2" xfId="5963"/>
    <cellStyle name="20% - Accent1 8 2 4" xfId="5624"/>
    <cellStyle name="20% - Accent1 8 2 4 2" xfId="5964"/>
    <cellStyle name="20% - Accent1 8 2 5" xfId="4257"/>
    <cellStyle name="20% - Accent1 8 2 5 2" xfId="5965"/>
    <cellStyle name="20% - Accent1 8 2 6" xfId="5958"/>
    <cellStyle name="20% - Accent1 8 3" xfId="3832"/>
    <cellStyle name="20% - Accent1 8 3 2" xfId="5316"/>
    <cellStyle name="20% - Accent1 8 3 2 2" xfId="5967"/>
    <cellStyle name="20% - Accent1 8 3 3" xfId="5626"/>
    <cellStyle name="20% - Accent1 8 3 3 2" xfId="5968"/>
    <cellStyle name="20% - Accent1 8 3 4" xfId="4259"/>
    <cellStyle name="20% - Accent1 8 3 4 2" xfId="5969"/>
    <cellStyle name="20% - Accent1 8 3 5" xfId="5966"/>
    <cellStyle name="20% - Accent1 8 4" xfId="5313"/>
    <cellStyle name="20% - Accent1 8 4 2" xfId="5970"/>
    <cellStyle name="20% - Accent1 8 5" xfId="5623"/>
    <cellStyle name="20% - Accent1 8 5 2" xfId="5971"/>
    <cellStyle name="20% - Accent1 8 6" xfId="4256"/>
    <cellStyle name="20% - Accent1 8 6 2" xfId="5972"/>
    <cellStyle name="20% - Accent1 8 7" xfId="5957"/>
    <cellStyle name="20% - Accent1 9" xfId="522"/>
    <cellStyle name="20% - Accent1 9 2" xfId="4260"/>
    <cellStyle name="20% - Accent2 10" xfId="645"/>
    <cellStyle name="20% - Accent2 10 2" xfId="4261"/>
    <cellStyle name="20% - Accent2 11" xfId="646"/>
    <cellStyle name="20% - Accent2 11 2" xfId="4262"/>
    <cellStyle name="20% - Accent2 12" xfId="802"/>
    <cellStyle name="20% - Accent2 13" xfId="803"/>
    <cellStyle name="20% - Accent2 13 2" xfId="3847"/>
    <cellStyle name="20% - Accent2 13 2 2" xfId="5974"/>
    <cellStyle name="20% - Accent2 13 3" xfId="5973"/>
    <cellStyle name="20% - Accent2 14" xfId="924"/>
    <cellStyle name="20% - Accent2 2" xfId="70"/>
    <cellStyle name="20% - Accent2 2 10" xfId="1669"/>
    <cellStyle name="20% - Accent2 2 10 2" xfId="4263"/>
    <cellStyle name="20% - Accent2 2 11" xfId="1666"/>
    <cellStyle name="20% - Accent2 2 11 2" xfId="4264"/>
    <cellStyle name="20% - Accent2 2 12" xfId="1706"/>
    <cellStyle name="20% - Accent2 2 12 2" xfId="4265"/>
    <cellStyle name="20% - Accent2 2 13" xfId="2041"/>
    <cellStyle name="20% - Accent2 2 13 2" xfId="4266"/>
    <cellStyle name="20% - Accent2 2 14" xfId="2416"/>
    <cellStyle name="20% - Accent2 2 14 2" xfId="4267"/>
    <cellStyle name="20% - Accent2 2 15" xfId="2788"/>
    <cellStyle name="20% - Accent2 2 15 2" xfId="4268"/>
    <cellStyle name="20% - Accent2 2 16" xfId="3634"/>
    <cellStyle name="20% - Accent2 2 16 2" xfId="4269"/>
    <cellStyle name="20% - Accent2 2 2" xfId="114"/>
    <cellStyle name="20% - Accent2 2 2 2" xfId="176"/>
    <cellStyle name="20% - Accent2 2 2 3" xfId="340"/>
    <cellStyle name="20% - Accent2 2 2 4" xfId="2162"/>
    <cellStyle name="20% - Accent2 2 2 5" xfId="2536"/>
    <cellStyle name="20% - Accent2 2 2 6" xfId="2908"/>
    <cellStyle name="20% - Accent2 2 2 7" xfId="3280"/>
    <cellStyle name="20% - Accent2 2 2 8" xfId="4270"/>
    <cellStyle name="20% - Accent2 2 3" xfId="279"/>
    <cellStyle name="20% - Accent2 2 3 2" xfId="1338"/>
    <cellStyle name="20% - Accent2 2 4" xfId="363"/>
    <cellStyle name="20% - Accent2 2 5" xfId="523"/>
    <cellStyle name="20% - Accent2 2 6" xfId="647"/>
    <cellStyle name="20% - Accent2 2 7" xfId="648"/>
    <cellStyle name="20% - Accent2 2 8" xfId="804"/>
    <cellStyle name="20% - Accent2 2 8 2" xfId="1398"/>
    <cellStyle name="20% - Accent2 2 9" xfId="925"/>
    <cellStyle name="20% - Accent2 2 9 2" xfId="1393"/>
    <cellStyle name="20% - Accent2 3" xfId="217"/>
    <cellStyle name="20% - Accent2 3 10" xfId="3677"/>
    <cellStyle name="20% - Accent2 3 10 2" xfId="4271"/>
    <cellStyle name="20% - Accent2 3 2" xfId="1450"/>
    <cellStyle name="20% - Accent2 3 2 2" xfId="1828"/>
    <cellStyle name="20% - Accent2 3 2 3" xfId="2203"/>
    <cellStyle name="20% - Accent2 3 2 4" xfId="2577"/>
    <cellStyle name="20% - Accent2 3 2 5" xfId="2949"/>
    <cellStyle name="20% - Accent2 3 2 6" xfId="3321"/>
    <cellStyle name="20% - Accent2 3 2 7" xfId="4272"/>
    <cellStyle name="20% - Accent2 3 3" xfId="1577"/>
    <cellStyle name="20% - Accent2 3 3 2" xfId="1905"/>
    <cellStyle name="20% - Accent2 3 3 3" xfId="2280"/>
    <cellStyle name="20% - Accent2 3 3 4" xfId="2653"/>
    <cellStyle name="20% - Accent2 3 3 5" xfId="3026"/>
    <cellStyle name="20% - Accent2 3 3 6" xfId="3397"/>
    <cellStyle name="20% - Accent2 3 3 7" xfId="4273"/>
    <cellStyle name="20% - Accent2 3 4" xfId="1714"/>
    <cellStyle name="20% - Accent2 3 4 2" xfId="1949"/>
    <cellStyle name="20% - Accent2 3 4 3" xfId="2324"/>
    <cellStyle name="20% - Accent2 3 4 4" xfId="2697"/>
    <cellStyle name="20% - Accent2 3 4 5" xfId="3070"/>
    <cellStyle name="20% - Accent2 3 4 6" xfId="3441"/>
    <cellStyle name="20% - Accent2 3 5" xfId="2049"/>
    <cellStyle name="20% - Accent2 3 6" xfId="2423"/>
    <cellStyle name="20% - Accent2 3 7" xfId="2795"/>
    <cellStyle name="20% - Accent2 3 8" xfId="3166"/>
    <cellStyle name="20% - Accent2 3 9" xfId="3541"/>
    <cellStyle name="20% - Accent2 3 9 2" xfId="4274"/>
    <cellStyle name="20% - Accent2 4" xfId="237"/>
    <cellStyle name="20% - Accent2 4 10" xfId="3721"/>
    <cellStyle name="20% - Accent2 4 10 2" xfId="4276"/>
    <cellStyle name="20% - Accent2 4 11" xfId="1299"/>
    <cellStyle name="20% - Accent2 4 11 2" xfId="4147"/>
    <cellStyle name="20% - Accent2 4 11 2 2" xfId="5319"/>
    <cellStyle name="20% - Accent2 4 11 2 2 2" xfId="5977"/>
    <cellStyle name="20% - Accent2 4 11 2 3" xfId="5629"/>
    <cellStyle name="20% - Accent2 4 11 2 3 2" xfId="5978"/>
    <cellStyle name="20% - Accent2 4 11 2 4" xfId="4278"/>
    <cellStyle name="20% - Accent2 4 11 2 4 2" xfId="5979"/>
    <cellStyle name="20% - Accent2 4 11 2 5" xfId="5976"/>
    <cellStyle name="20% - Accent2 4 11 3" xfId="5318"/>
    <cellStyle name="20% - Accent2 4 11 3 2" xfId="5980"/>
    <cellStyle name="20% - Accent2 4 11 4" xfId="5628"/>
    <cellStyle name="20% - Accent2 4 11 4 2" xfId="5981"/>
    <cellStyle name="20% - Accent2 4 11 5" xfId="4277"/>
    <cellStyle name="20% - Accent2 4 11 5 2" xfId="5982"/>
    <cellStyle name="20% - Accent2 4 11 6" xfId="5975"/>
    <cellStyle name="20% - Accent2 4 12" xfId="4279"/>
    <cellStyle name="20% - Accent2 4 12 2" xfId="5320"/>
    <cellStyle name="20% - Accent2 4 12 2 2" xfId="5984"/>
    <cellStyle name="20% - Accent2 4 12 3" xfId="5630"/>
    <cellStyle name="20% - Accent2 4 12 3 2" xfId="5985"/>
    <cellStyle name="20% - Accent2 4 12 4" xfId="5983"/>
    <cellStyle name="20% - Accent2 4 13" xfId="5317"/>
    <cellStyle name="20% - Accent2 4 13 2" xfId="5986"/>
    <cellStyle name="20% - Accent2 4 14" xfId="5627"/>
    <cellStyle name="20% - Accent2 4 14 2" xfId="5987"/>
    <cellStyle name="20% - Accent2 4 15" xfId="4275"/>
    <cellStyle name="20% - Accent2 4 15 2" xfId="5988"/>
    <cellStyle name="20% - Accent2 4 2" xfId="1495"/>
    <cellStyle name="20% - Accent2 4 2 2" xfId="4280"/>
    <cellStyle name="20% - Accent2 4 3" xfId="1620"/>
    <cellStyle name="20% - Accent2 4 3 2" xfId="4281"/>
    <cellStyle name="20% - Accent2 4 4" xfId="1804"/>
    <cellStyle name="20% - Accent2 4 5" xfId="2140"/>
    <cellStyle name="20% - Accent2 4 6" xfId="2514"/>
    <cellStyle name="20% - Accent2 4 7" xfId="2886"/>
    <cellStyle name="20% - Accent2 4 8" xfId="3257"/>
    <cellStyle name="20% - Accent2 4 9" xfId="3584"/>
    <cellStyle name="20% - Accent2 4 9 2" xfId="4282"/>
    <cellStyle name="20% - Accent2 5" xfId="364"/>
    <cellStyle name="20% - Accent2 5 2" xfId="1881"/>
    <cellStyle name="20% - Accent2 5 3" xfId="2256"/>
    <cellStyle name="20% - Accent2 5 4" xfId="2629"/>
    <cellStyle name="20% - Accent2 5 5" xfId="3002"/>
    <cellStyle name="20% - Accent2 5 6" xfId="3373"/>
    <cellStyle name="20% - Accent2 5 7" xfId="4283"/>
    <cellStyle name="20% - Accent2 6" xfId="365"/>
    <cellStyle name="20% - Accent2 6 10" xfId="5321"/>
    <cellStyle name="20% - Accent2 6 10 2" xfId="5990"/>
    <cellStyle name="20% - Accent2 6 11" xfId="5631"/>
    <cellStyle name="20% - Accent2 6 11 2" xfId="5991"/>
    <cellStyle name="20% - Accent2 6 12" xfId="4284"/>
    <cellStyle name="20% - Accent2 6 12 2" xfId="5992"/>
    <cellStyle name="20% - Accent2 6 13" xfId="5989"/>
    <cellStyle name="20% - Accent2 6 2" xfId="1971"/>
    <cellStyle name="20% - Accent2 6 2 2" xfId="4285"/>
    <cellStyle name="20% - Accent2 6 3" xfId="2346"/>
    <cellStyle name="20% - Accent2 6 3 2" xfId="4286"/>
    <cellStyle name="20% - Accent2 6 4" xfId="2719"/>
    <cellStyle name="20% - Accent2 6 4 2" xfId="4287"/>
    <cellStyle name="20% - Accent2 6 5" xfId="3092"/>
    <cellStyle name="20% - Accent2 6 5 2" xfId="4288"/>
    <cellStyle name="20% - Accent2 6 6" xfId="3463"/>
    <cellStyle name="20% - Accent2 6 6 2" xfId="4289"/>
    <cellStyle name="20% - Accent2 6 7" xfId="3769"/>
    <cellStyle name="20% - Accent2 6 7 2" xfId="4290"/>
    <cellStyle name="20% - Accent2 6 8" xfId="1359"/>
    <cellStyle name="20% - Accent2 6 8 2" xfId="4159"/>
    <cellStyle name="20% - Accent2 6 8 2 2" xfId="5323"/>
    <cellStyle name="20% - Accent2 6 8 2 2 2" xfId="5995"/>
    <cellStyle name="20% - Accent2 6 8 2 3" xfId="5633"/>
    <cellStyle name="20% - Accent2 6 8 2 3 2" xfId="5996"/>
    <cellStyle name="20% - Accent2 6 8 2 4" xfId="4292"/>
    <cellStyle name="20% - Accent2 6 8 2 4 2" xfId="5997"/>
    <cellStyle name="20% - Accent2 6 8 2 5" xfId="5994"/>
    <cellStyle name="20% - Accent2 6 8 3" xfId="5322"/>
    <cellStyle name="20% - Accent2 6 8 3 2" xfId="5998"/>
    <cellStyle name="20% - Accent2 6 8 4" xfId="5632"/>
    <cellStyle name="20% - Accent2 6 8 4 2" xfId="5999"/>
    <cellStyle name="20% - Accent2 6 8 5" xfId="4291"/>
    <cellStyle name="20% - Accent2 6 8 5 2" xfId="6000"/>
    <cellStyle name="20% - Accent2 6 8 6" xfId="5993"/>
    <cellStyle name="20% - Accent2 6 9" xfId="3819"/>
    <cellStyle name="20% - Accent2 6 9 2" xfId="5324"/>
    <cellStyle name="20% - Accent2 6 9 2 2" xfId="6002"/>
    <cellStyle name="20% - Accent2 6 9 3" xfId="5634"/>
    <cellStyle name="20% - Accent2 6 9 3 2" xfId="6003"/>
    <cellStyle name="20% - Accent2 6 9 4" xfId="4293"/>
    <cellStyle name="20% - Accent2 6 9 4 2" xfId="6004"/>
    <cellStyle name="20% - Accent2 6 9 5" xfId="6001"/>
    <cellStyle name="20% - Accent2 7" xfId="366"/>
    <cellStyle name="20% - Accent2 7 2" xfId="4294"/>
    <cellStyle name="20% - Accent2 8" xfId="524"/>
    <cellStyle name="20% - Accent2 8 2" xfId="1375"/>
    <cellStyle name="20% - Accent2 8 2 2" xfId="4175"/>
    <cellStyle name="20% - Accent2 8 2 2 2" xfId="5327"/>
    <cellStyle name="20% - Accent2 8 2 2 2 2" xfId="6008"/>
    <cellStyle name="20% - Accent2 8 2 2 3" xfId="5637"/>
    <cellStyle name="20% - Accent2 8 2 2 3 2" xfId="6009"/>
    <cellStyle name="20% - Accent2 8 2 2 4" xfId="4297"/>
    <cellStyle name="20% - Accent2 8 2 2 4 2" xfId="6010"/>
    <cellStyle name="20% - Accent2 8 2 2 5" xfId="6007"/>
    <cellStyle name="20% - Accent2 8 2 3" xfId="5326"/>
    <cellStyle name="20% - Accent2 8 2 3 2" xfId="6011"/>
    <cellStyle name="20% - Accent2 8 2 4" xfId="5636"/>
    <cellStyle name="20% - Accent2 8 2 4 2" xfId="6012"/>
    <cellStyle name="20% - Accent2 8 2 5" xfId="4296"/>
    <cellStyle name="20% - Accent2 8 2 5 2" xfId="6013"/>
    <cellStyle name="20% - Accent2 8 2 6" xfId="6006"/>
    <cellStyle name="20% - Accent2 8 3" xfId="3833"/>
    <cellStyle name="20% - Accent2 8 3 2" xfId="5328"/>
    <cellStyle name="20% - Accent2 8 3 2 2" xfId="6015"/>
    <cellStyle name="20% - Accent2 8 3 3" xfId="5638"/>
    <cellStyle name="20% - Accent2 8 3 3 2" xfId="6016"/>
    <cellStyle name="20% - Accent2 8 3 4" xfId="4298"/>
    <cellStyle name="20% - Accent2 8 3 4 2" xfId="6017"/>
    <cellStyle name="20% - Accent2 8 3 5" xfId="6014"/>
    <cellStyle name="20% - Accent2 8 4" xfId="5325"/>
    <cellStyle name="20% - Accent2 8 4 2" xfId="6018"/>
    <cellStyle name="20% - Accent2 8 5" xfId="5635"/>
    <cellStyle name="20% - Accent2 8 5 2" xfId="6019"/>
    <cellStyle name="20% - Accent2 8 6" xfId="4295"/>
    <cellStyle name="20% - Accent2 8 6 2" xfId="6020"/>
    <cellStyle name="20% - Accent2 8 7" xfId="6005"/>
    <cellStyle name="20% - Accent2 9" xfId="525"/>
    <cellStyle name="20% - Accent2 9 2" xfId="4299"/>
    <cellStyle name="20% - Accent3 10" xfId="649"/>
    <cellStyle name="20% - Accent3 10 2" xfId="4300"/>
    <cellStyle name="20% - Accent3 11" xfId="650"/>
    <cellStyle name="20% - Accent3 11 2" xfId="4301"/>
    <cellStyle name="20% - Accent3 12" xfId="805"/>
    <cellStyle name="20% - Accent3 13" xfId="806"/>
    <cellStyle name="20% - Accent3 13 2" xfId="3848"/>
    <cellStyle name="20% - Accent3 13 2 2" xfId="6022"/>
    <cellStyle name="20% - Accent3 13 3" xfId="6021"/>
    <cellStyle name="20% - Accent3 14" xfId="926"/>
    <cellStyle name="20% - Accent3 2" xfId="71"/>
    <cellStyle name="20% - Accent3 2 10" xfId="1670"/>
    <cellStyle name="20% - Accent3 2 10 2" xfId="4302"/>
    <cellStyle name="20% - Accent3 2 11" xfId="1665"/>
    <cellStyle name="20% - Accent3 2 11 2" xfId="4303"/>
    <cellStyle name="20% - Accent3 2 12" xfId="1707"/>
    <cellStyle name="20% - Accent3 2 12 2" xfId="4304"/>
    <cellStyle name="20% - Accent3 2 13" xfId="2042"/>
    <cellStyle name="20% - Accent3 2 13 2" xfId="4305"/>
    <cellStyle name="20% - Accent3 2 14" xfId="2417"/>
    <cellStyle name="20% - Accent3 2 14 2" xfId="4306"/>
    <cellStyle name="20% - Accent3 2 15" xfId="2789"/>
    <cellStyle name="20% - Accent3 2 15 2" xfId="4307"/>
    <cellStyle name="20% - Accent3 2 16" xfId="3635"/>
    <cellStyle name="20% - Accent3 2 16 2" xfId="4308"/>
    <cellStyle name="20% - Accent3 2 2" xfId="115"/>
    <cellStyle name="20% - Accent3 2 2 2" xfId="180"/>
    <cellStyle name="20% - Accent3 2 2 3" xfId="344"/>
    <cellStyle name="20% - Accent3 2 2 4" xfId="2166"/>
    <cellStyle name="20% - Accent3 2 2 5" xfId="2540"/>
    <cellStyle name="20% - Accent3 2 2 6" xfId="2912"/>
    <cellStyle name="20% - Accent3 2 2 7" xfId="3284"/>
    <cellStyle name="20% - Accent3 2 2 8" xfId="4309"/>
    <cellStyle name="20% - Accent3 2 3" xfId="280"/>
    <cellStyle name="20% - Accent3 2 3 2" xfId="1342"/>
    <cellStyle name="20% - Accent3 2 4" xfId="367"/>
    <cellStyle name="20% - Accent3 2 5" xfId="526"/>
    <cellStyle name="20% - Accent3 2 6" xfId="651"/>
    <cellStyle name="20% - Accent3 2 7" xfId="652"/>
    <cellStyle name="20% - Accent3 2 8" xfId="807"/>
    <cellStyle name="20% - Accent3 2 8 2" xfId="1399"/>
    <cellStyle name="20% - Accent3 2 9" xfId="927"/>
    <cellStyle name="20% - Accent3 2 9 2" xfId="1492"/>
    <cellStyle name="20% - Accent3 3" xfId="221"/>
    <cellStyle name="20% - Accent3 3 10" xfId="3678"/>
    <cellStyle name="20% - Accent3 3 10 2" xfId="4310"/>
    <cellStyle name="20% - Accent3 3 2" xfId="1451"/>
    <cellStyle name="20% - Accent3 3 2 2" xfId="1832"/>
    <cellStyle name="20% - Accent3 3 2 3" xfId="2207"/>
    <cellStyle name="20% - Accent3 3 2 4" xfId="2581"/>
    <cellStyle name="20% - Accent3 3 2 5" xfId="2953"/>
    <cellStyle name="20% - Accent3 3 2 6" xfId="3325"/>
    <cellStyle name="20% - Accent3 3 2 7" xfId="4311"/>
    <cellStyle name="20% - Accent3 3 3" xfId="1578"/>
    <cellStyle name="20% - Accent3 3 3 2" xfId="1909"/>
    <cellStyle name="20% - Accent3 3 3 3" xfId="2284"/>
    <cellStyle name="20% - Accent3 3 3 4" xfId="2657"/>
    <cellStyle name="20% - Accent3 3 3 5" xfId="3030"/>
    <cellStyle name="20% - Accent3 3 3 6" xfId="3401"/>
    <cellStyle name="20% - Accent3 3 3 7" xfId="4312"/>
    <cellStyle name="20% - Accent3 3 4" xfId="1715"/>
    <cellStyle name="20% - Accent3 3 4 2" xfId="1953"/>
    <cellStyle name="20% - Accent3 3 4 3" xfId="2328"/>
    <cellStyle name="20% - Accent3 3 4 4" xfId="2701"/>
    <cellStyle name="20% - Accent3 3 4 5" xfId="3074"/>
    <cellStyle name="20% - Accent3 3 4 6" xfId="3445"/>
    <cellStyle name="20% - Accent3 3 5" xfId="2050"/>
    <cellStyle name="20% - Accent3 3 6" xfId="2424"/>
    <cellStyle name="20% - Accent3 3 7" xfId="2796"/>
    <cellStyle name="20% - Accent3 3 8" xfId="3167"/>
    <cellStyle name="20% - Accent3 3 9" xfId="3542"/>
    <cellStyle name="20% - Accent3 3 9 2" xfId="4313"/>
    <cellStyle name="20% - Accent3 4" xfId="238"/>
    <cellStyle name="20% - Accent3 4 10" xfId="3722"/>
    <cellStyle name="20% - Accent3 4 10 2" xfId="4315"/>
    <cellStyle name="20% - Accent3 4 11" xfId="1303"/>
    <cellStyle name="20% - Accent3 4 11 2" xfId="4149"/>
    <cellStyle name="20% - Accent3 4 11 2 2" xfId="5331"/>
    <cellStyle name="20% - Accent3 4 11 2 2 2" xfId="6025"/>
    <cellStyle name="20% - Accent3 4 11 2 3" xfId="5641"/>
    <cellStyle name="20% - Accent3 4 11 2 3 2" xfId="6026"/>
    <cellStyle name="20% - Accent3 4 11 2 4" xfId="4317"/>
    <cellStyle name="20% - Accent3 4 11 2 4 2" xfId="6027"/>
    <cellStyle name="20% - Accent3 4 11 2 5" xfId="6024"/>
    <cellStyle name="20% - Accent3 4 11 3" xfId="5330"/>
    <cellStyle name="20% - Accent3 4 11 3 2" xfId="6028"/>
    <cellStyle name="20% - Accent3 4 11 4" xfId="5640"/>
    <cellStyle name="20% - Accent3 4 11 4 2" xfId="6029"/>
    <cellStyle name="20% - Accent3 4 11 5" xfId="4316"/>
    <cellStyle name="20% - Accent3 4 11 5 2" xfId="6030"/>
    <cellStyle name="20% - Accent3 4 11 6" xfId="6023"/>
    <cellStyle name="20% - Accent3 4 12" xfId="4318"/>
    <cellStyle name="20% - Accent3 4 12 2" xfId="5332"/>
    <cellStyle name="20% - Accent3 4 12 2 2" xfId="6032"/>
    <cellStyle name="20% - Accent3 4 12 3" xfId="5642"/>
    <cellStyle name="20% - Accent3 4 12 3 2" xfId="6033"/>
    <cellStyle name="20% - Accent3 4 12 4" xfId="6031"/>
    <cellStyle name="20% - Accent3 4 13" xfId="5329"/>
    <cellStyle name="20% - Accent3 4 13 2" xfId="6034"/>
    <cellStyle name="20% - Accent3 4 14" xfId="5639"/>
    <cellStyle name="20% - Accent3 4 14 2" xfId="6035"/>
    <cellStyle name="20% - Accent3 4 15" xfId="4314"/>
    <cellStyle name="20% - Accent3 4 15 2" xfId="6036"/>
    <cellStyle name="20% - Accent3 4 2" xfId="1496"/>
    <cellStyle name="20% - Accent3 4 2 2" xfId="4319"/>
    <cellStyle name="20% - Accent3 4 3" xfId="1621"/>
    <cellStyle name="20% - Accent3 4 3 2" xfId="4320"/>
    <cellStyle name="20% - Accent3 4 4" xfId="1803"/>
    <cellStyle name="20% - Accent3 4 5" xfId="2139"/>
    <cellStyle name="20% - Accent3 4 6" xfId="2513"/>
    <cellStyle name="20% - Accent3 4 7" xfId="2885"/>
    <cellStyle name="20% - Accent3 4 8" xfId="3256"/>
    <cellStyle name="20% - Accent3 4 9" xfId="3585"/>
    <cellStyle name="20% - Accent3 4 9 2" xfId="4321"/>
    <cellStyle name="20% - Accent3 5" xfId="368"/>
    <cellStyle name="20% - Accent3 5 2" xfId="1867"/>
    <cellStyle name="20% - Accent3 5 3" xfId="2242"/>
    <cellStyle name="20% - Accent3 5 4" xfId="2616"/>
    <cellStyle name="20% - Accent3 5 5" xfId="2988"/>
    <cellStyle name="20% - Accent3 5 6" xfId="3360"/>
    <cellStyle name="20% - Accent3 5 7" xfId="4322"/>
    <cellStyle name="20% - Accent3 6" xfId="369"/>
    <cellStyle name="20% - Accent3 6 10" xfId="5333"/>
    <cellStyle name="20% - Accent3 6 10 2" xfId="6038"/>
    <cellStyle name="20% - Accent3 6 11" xfId="5643"/>
    <cellStyle name="20% - Accent3 6 11 2" xfId="6039"/>
    <cellStyle name="20% - Accent3 6 12" xfId="4323"/>
    <cellStyle name="20% - Accent3 6 12 2" xfId="6040"/>
    <cellStyle name="20% - Accent3 6 13" xfId="6037"/>
    <cellStyle name="20% - Accent3 6 2" xfId="1972"/>
    <cellStyle name="20% - Accent3 6 2 2" xfId="4324"/>
    <cellStyle name="20% - Accent3 6 3" xfId="2347"/>
    <cellStyle name="20% - Accent3 6 3 2" xfId="4325"/>
    <cellStyle name="20% - Accent3 6 4" xfId="2720"/>
    <cellStyle name="20% - Accent3 6 4 2" xfId="4326"/>
    <cellStyle name="20% - Accent3 6 5" xfId="3093"/>
    <cellStyle name="20% - Accent3 6 5 2" xfId="4327"/>
    <cellStyle name="20% - Accent3 6 6" xfId="3464"/>
    <cellStyle name="20% - Accent3 6 6 2" xfId="4328"/>
    <cellStyle name="20% - Accent3 6 7" xfId="3770"/>
    <cellStyle name="20% - Accent3 6 7 2" xfId="4329"/>
    <cellStyle name="20% - Accent3 6 8" xfId="1362"/>
    <cellStyle name="20% - Accent3 6 8 2" xfId="4162"/>
    <cellStyle name="20% - Accent3 6 8 2 2" xfId="5335"/>
    <cellStyle name="20% - Accent3 6 8 2 2 2" xfId="6043"/>
    <cellStyle name="20% - Accent3 6 8 2 3" xfId="5645"/>
    <cellStyle name="20% - Accent3 6 8 2 3 2" xfId="6044"/>
    <cellStyle name="20% - Accent3 6 8 2 4" xfId="4331"/>
    <cellStyle name="20% - Accent3 6 8 2 4 2" xfId="6045"/>
    <cellStyle name="20% - Accent3 6 8 2 5" xfId="6042"/>
    <cellStyle name="20% - Accent3 6 8 3" xfId="5334"/>
    <cellStyle name="20% - Accent3 6 8 3 2" xfId="6046"/>
    <cellStyle name="20% - Accent3 6 8 4" xfId="5644"/>
    <cellStyle name="20% - Accent3 6 8 4 2" xfId="6047"/>
    <cellStyle name="20% - Accent3 6 8 5" xfId="4330"/>
    <cellStyle name="20% - Accent3 6 8 5 2" xfId="6048"/>
    <cellStyle name="20% - Accent3 6 8 6" xfId="6041"/>
    <cellStyle name="20% - Accent3 6 9" xfId="3820"/>
    <cellStyle name="20% - Accent3 6 9 2" xfId="5336"/>
    <cellStyle name="20% - Accent3 6 9 2 2" xfId="6050"/>
    <cellStyle name="20% - Accent3 6 9 3" xfId="5646"/>
    <cellStyle name="20% - Accent3 6 9 3 2" xfId="6051"/>
    <cellStyle name="20% - Accent3 6 9 4" xfId="4332"/>
    <cellStyle name="20% - Accent3 6 9 4 2" xfId="6052"/>
    <cellStyle name="20% - Accent3 6 9 5" xfId="6049"/>
    <cellStyle name="20% - Accent3 7" xfId="370"/>
    <cellStyle name="20% - Accent3 7 2" xfId="4333"/>
    <cellStyle name="20% - Accent3 8" xfId="527"/>
    <cellStyle name="20% - Accent3 8 2" xfId="1377"/>
    <cellStyle name="20% - Accent3 8 2 2" xfId="4177"/>
    <cellStyle name="20% - Accent3 8 2 2 2" xfId="5339"/>
    <cellStyle name="20% - Accent3 8 2 2 2 2" xfId="6056"/>
    <cellStyle name="20% - Accent3 8 2 2 3" xfId="5649"/>
    <cellStyle name="20% - Accent3 8 2 2 3 2" xfId="6057"/>
    <cellStyle name="20% - Accent3 8 2 2 4" xfId="4336"/>
    <cellStyle name="20% - Accent3 8 2 2 4 2" xfId="6058"/>
    <cellStyle name="20% - Accent3 8 2 2 5" xfId="6055"/>
    <cellStyle name="20% - Accent3 8 2 3" xfId="5338"/>
    <cellStyle name="20% - Accent3 8 2 3 2" xfId="6059"/>
    <cellStyle name="20% - Accent3 8 2 4" xfId="5648"/>
    <cellStyle name="20% - Accent3 8 2 4 2" xfId="6060"/>
    <cellStyle name="20% - Accent3 8 2 5" xfId="4335"/>
    <cellStyle name="20% - Accent3 8 2 5 2" xfId="6061"/>
    <cellStyle name="20% - Accent3 8 2 6" xfId="6054"/>
    <cellStyle name="20% - Accent3 8 3" xfId="3834"/>
    <cellStyle name="20% - Accent3 8 3 2" xfId="5340"/>
    <cellStyle name="20% - Accent3 8 3 2 2" xfId="6063"/>
    <cellStyle name="20% - Accent3 8 3 3" xfId="5650"/>
    <cellStyle name="20% - Accent3 8 3 3 2" xfId="6064"/>
    <cellStyle name="20% - Accent3 8 3 4" xfId="4337"/>
    <cellStyle name="20% - Accent3 8 3 4 2" xfId="6065"/>
    <cellStyle name="20% - Accent3 8 3 5" xfId="6062"/>
    <cellStyle name="20% - Accent3 8 4" xfId="5337"/>
    <cellStyle name="20% - Accent3 8 4 2" xfId="6066"/>
    <cellStyle name="20% - Accent3 8 5" xfId="5647"/>
    <cellStyle name="20% - Accent3 8 5 2" xfId="6067"/>
    <cellStyle name="20% - Accent3 8 6" xfId="4334"/>
    <cellStyle name="20% - Accent3 8 6 2" xfId="6068"/>
    <cellStyle name="20% - Accent3 8 7" xfId="6053"/>
    <cellStyle name="20% - Accent3 9" xfId="528"/>
    <cellStyle name="20% - Accent3 9 2" xfId="4338"/>
    <cellStyle name="20% - Accent4 10" xfId="653"/>
    <cellStyle name="20% - Accent4 10 2" xfId="4339"/>
    <cellStyle name="20% - Accent4 11" xfId="654"/>
    <cellStyle name="20% - Accent4 11 2" xfId="4340"/>
    <cellStyle name="20% - Accent4 12" xfId="808"/>
    <cellStyle name="20% - Accent4 13" xfId="809"/>
    <cellStyle name="20% - Accent4 13 2" xfId="3849"/>
    <cellStyle name="20% - Accent4 13 2 2" xfId="6070"/>
    <cellStyle name="20% - Accent4 13 3" xfId="6069"/>
    <cellStyle name="20% - Accent4 14" xfId="928"/>
    <cellStyle name="20% - Accent4 2" xfId="72"/>
    <cellStyle name="20% - Accent4 2 10" xfId="1671"/>
    <cellStyle name="20% - Accent4 2 10 2" xfId="4341"/>
    <cellStyle name="20% - Accent4 2 11" xfId="1968"/>
    <cellStyle name="20% - Accent4 2 11 2" xfId="4342"/>
    <cellStyle name="20% - Accent4 2 12" xfId="1708"/>
    <cellStyle name="20% - Accent4 2 12 2" xfId="4343"/>
    <cellStyle name="20% - Accent4 2 13" xfId="2043"/>
    <cellStyle name="20% - Accent4 2 13 2" xfId="4344"/>
    <cellStyle name="20% - Accent4 2 14" xfId="3089"/>
    <cellStyle name="20% - Accent4 2 14 2" xfId="4345"/>
    <cellStyle name="20% - Accent4 2 15" xfId="3460"/>
    <cellStyle name="20% - Accent4 2 15 2" xfId="4346"/>
    <cellStyle name="20% - Accent4 2 16" xfId="3636"/>
    <cellStyle name="20% - Accent4 2 16 2" xfId="4347"/>
    <cellStyle name="20% - Accent4 2 2" xfId="116"/>
    <cellStyle name="20% - Accent4 2 2 2" xfId="184"/>
    <cellStyle name="20% - Accent4 2 2 3" xfId="348"/>
    <cellStyle name="20% - Accent4 2 2 4" xfId="2170"/>
    <cellStyle name="20% - Accent4 2 2 5" xfId="2544"/>
    <cellStyle name="20% - Accent4 2 2 6" xfId="2916"/>
    <cellStyle name="20% - Accent4 2 2 7" xfId="3288"/>
    <cellStyle name="20% - Accent4 2 2 8" xfId="4348"/>
    <cellStyle name="20% - Accent4 2 3" xfId="281"/>
    <cellStyle name="20% - Accent4 2 3 2" xfId="1346"/>
    <cellStyle name="20% - Accent4 2 4" xfId="371"/>
    <cellStyle name="20% - Accent4 2 5" xfId="529"/>
    <cellStyle name="20% - Accent4 2 6" xfId="655"/>
    <cellStyle name="20% - Accent4 2 7" xfId="656"/>
    <cellStyle name="20% - Accent4 2 8" xfId="810"/>
    <cellStyle name="20% - Accent4 2 8 2" xfId="1400"/>
    <cellStyle name="20% - Accent4 2 9" xfId="929"/>
    <cellStyle name="20% - Accent4 2 9 2" xfId="1447"/>
    <cellStyle name="20% - Accent4 3" xfId="225"/>
    <cellStyle name="20% - Accent4 3 10" xfId="3679"/>
    <cellStyle name="20% - Accent4 3 10 2" xfId="4349"/>
    <cellStyle name="20% - Accent4 3 2" xfId="1452"/>
    <cellStyle name="20% - Accent4 3 2 2" xfId="1836"/>
    <cellStyle name="20% - Accent4 3 2 3" xfId="2211"/>
    <cellStyle name="20% - Accent4 3 2 4" xfId="2585"/>
    <cellStyle name="20% - Accent4 3 2 5" xfId="2957"/>
    <cellStyle name="20% - Accent4 3 2 6" xfId="3329"/>
    <cellStyle name="20% - Accent4 3 2 7" xfId="4350"/>
    <cellStyle name="20% - Accent4 3 3" xfId="1579"/>
    <cellStyle name="20% - Accent4 3 3 2" xfId="1913"/>
    <cellStyle name="20% - Accent4 3 3 3" xfId="2288"/>
    <cellStyle name="20% - Accent4 3 3 4" xfId="2661"/>
    <cellStyle name="20% - Accent4 3 3 5" xfId="3034"/>
    <cellStyle name="20% - Accent4 3 3 6" xfId="3405"/>
    <cellStyle name="20% - Accent4 3 3 7" xfId="4351"/>
    <cellStyle name="20% - Accent4 3 4" xfId="1716"/>
    <cellStyle name="20% - Accent4 3 4 2" xfId="1957"/>
    <cellStyle name="20% - Accent4 3 4 3" xfId="2332"/>
    <cellStyle name="20% - Accent4 3 4 4" xfId="2705"/>
    <cellStyle name="20% - Accent4 3 4 5" xfId="3078"/>
    <cellStyle name="20% - Accent4 3 4 6" xfId="3449"/>
    <cellStyle name="20% - Accent4 3 5" xfId="2051"/>
    <cellStyle name="20% - Accent4 3 6" xfId="2425"/>
    <cellStyle name="20% - Accent4 3 7" xfId="2797"/>
    <cellStyle name="20% - Accent4 3 8" xfId="3168"/>
    <cellStyle name="20% - Accent4 3 9" xfId="3543"/>
    <cellStyle name="20% - Accent4 3 9 2" xfId="4352"/>
    <cellStyle name="20% - Accent4 4" xfId="239"/>
    <cellStyle name="20% - Accent4 4 10" xfId="3723"/>
    <cellStyle name="20% - Accent4 4 10 2" xfId="4354"/>
    <cellStyle name="20% - Accent4 4 11" xfId="1307"/>
    <cellStyle name="20% - Accent4 4 11 2" xfId="4151"/>
    <cellStyle name="20% - Accent4 4 11 2 2" xfId="5343"/>
    <cellStyle name="20% - Accent4 4 11 2 2 2" xfId="6073"/>
    <cellStyle name="20% - Accent4 4 11 2 3" xfId="5653"/>
    <cellStyle name="20% - Accent4 4 11 2 3 2" xfId="6074"/>
    <cellStyle name="20% - Accent4 4 11 2 4" xfId="4356"/>
    <cellStyle name="20% - Accent4 4 11 2 4 2" xfId="6075"/>
    <cellStyle name="20% - Accent4 4 11 2 5" xfId="6072"/>
    <cellStyle name="20% - Accent4 4 11 3" xfId="5342"/>
    <cellStyle name="20% - Accent4 4 11 3 2" xfId="6076"/>
    <cellStyle name="20% - Accent4 4 11 4" xfId="5652"/>
    <cellStyle name="20% - Accent4 4 11 4 2" xfId="6077"/>
    <cellStyle name="20% - Accent4 4 11 5" xfId="4355"/>
    <cellStyle name="20% - Accent4 4 11 5 2" xfId="6078"/>
    <cellStyle name="20% - Accent4 4 11 6" xfId="6071"/>
    <cellStyle name="20% - Accent4 4 12" xfId="4357"/>
    <cellStyle name="20% - Accent4 4 12 2" xfId="5344"/>
    <cellStyle name="20% - Accent4 4 12 2 2" xfId="6080"/>
    <cellStyle name="20% - Accent4 4 12 3" xfId="5654"/>
    <cellStyle name="20% - Accent4 4 12 3 2" xfId="6081"/>
    <cellStyle name="20% - Accent4 4 12 4" xfId="6079"/>
    <cellStyle name="20% - Accent4 4 13" xfId="5341"/>
    <cellStyle name="20% - Accent4 4 13 2" xfId="6082"/>
    <cellStyle name="20% - Accent4 4 14" xfId="5651"/>
    <cellStyle name="20% - Accent4 4 14 2" xfId="6083"/>
    <cellStyle name="20% - Accent4 4 15" xfId="4353"/>
    <cellStyle name="20% - Accent4 4 15 2" xfId="6084"/>
    <cellStyle name="20% - Accent4 4 2" xfId="1497"/>
    <cellStyle name="20% - Accent4 4 2 2" xfId="4358"/>
    <cellStyle name="20% - Accent4 4 3" xfId="1622"/>
    <cellStyle name="20% - Accent4 4 3 2" xfId="4359"/>
    <cellStyle name="20% - Accent4 4 4" xfId="1802"/>
    <cellStyle name="20% - Accent4 4 5" xfId="2138"/>
    <cellStyle name="20% - Accent4 4 6" xfId="2512"/>
    <cellStyle name="20% - Accent4 4 7" xfId="2884"/>
    <cellStyle name="20% - Accent4 4 8" xfId="3255"/>
    <cellStyle name="20% - Accent4 4 9" xfId="3586"/>
    <cellStyle name="20% - Accent4 4 9 2" xfId="4360"/>
    <cellStyle name="20% - Accent4 5" xfId="372"/>
    <cellStyle name="20% - Accent4 5 2" xfId="1866"/>
    <cellStyle name="20% - Accent4 5 3" xfId="2241"/>
    <cellStyle name="20% - Accent4 5 4" xfId="2615"/>
    <cellStyle name="20% - Accent4 5 5" xfId="2987"/>
    <cellStyle name="20% - Accent4 5 6" xfId="3359"/>
    <cellStyle name="20% - Accent4 5 7" xfId="4361"/>
    <cellStyle name="20% - Accent4 6" xfId="373"/>
    <cellStyle name="20% - Accent4 6 10" xfId="5345"/>
    <cellStyle name="20% - Accent4 6 10 2" xfId="6086"/>
    <cellStyle name="20% - Accent4 6 11" xfId="5655"/>
    <cellStyle name="20% - Accent4 6 11 2" xfId="6087"/>
    <cellStyle name="20% - Accent4 6 12" xfId="4362"/>
    <cellStyle name="20% - Accent4 6 12 2" xfId="6088"/>
    <cellStyle name="20% - Accent4 6 13" xfId="6085"/>
    <cellStyle name="20% - Accent4 6 2" xfId="1973"/>
    <cellStyle name="20% - Accent4 6 2 2" xfId="4363"/>
    <cellStyle name="20% - Accent4 6 3" xfId="2348"/>
    <cellStyle name="20% - Accent4 6 3 2" xfId="4364"/>
    <cellStyle name="20% - Accent4 6 4" xfId="2721"/>
    <cellStyle name="20% - Accent4 6 4 2" xfId="4365"/>
    <cellStyle name="20% - Accent4 6 5" xfId="3094"/>
    <cellStyle name="20% - Accent4 6 5 2" xfId="4366"/>
    <cellStyle name="20% - Accent4 6 6" xfId="3465"/>
    <cellStyle name="20% - Accent4 6 6 2" xfId="4367"/>
    <cellStyle name="20% - Accent4 6 7" xfId="3771"/>
    <cellStyle name="20% - Accent4 6 7 2" xfId="4368"/>
    <cellStyle name="20% - Accent4 6 8" xfId="1368"/>
    <cellStyle name="20% - Accent4 6 8 2" xfId="4168"/>
    <cellStyle name="20% - Accent4 6 8 2 2" xfId="5347"/>
    <cellStyle name="20% - Accent4 6 8 2 2 2" xfId="6091"/>
    <cellStyle name="20% - Accent4 6 8 2 3" xfId="5657"/>
    <cellStyle name="20% - Accent4 6 8 2 3 2" xfId="6092"/>
    <cellStyle name="20% - Accent4 6 8 2 4" xfId="4370"/>
    <cellStyle name="20% - Accent4 6 8 2 4 2" xfId="6093"/>
    <cellStyle name="20% - Accent4 6 8 2 5" xfId="6090"/>
    <cellStyle name="20% - Accent4 6 8 3" xfId="5346"/>
    <cellStyle name="20% - Accent4 6 8 3 2" xfId="6094"/>
    <cellStyle name="20% - Accent4 6 8 4" xfId="5656"/>
    <cellStyle name="20% - Accent4 6 8 4 2" xfId="6095"/>
    <cellStyle name="20% - Accent4 6 8 5" xfId="4369"/>
    <cellStyle name="20% - Accent4 6 8 5 2" xfId="6096"/>
    <cellStyle name="20% - Accent4 6 8 6" xfId="6089"/>
    <cellStyle name="20% - Accent4 6 9" xfId="3821"/>
    <cellStyle name="20% - Accent4 6 9 2" xfId="5348"/>
    <cellStyle name="20% - Accent4 6 9 2 2" xfId="6098"/>
    <cellStyle name="20% - Accent4 6 9 3" xfId="5658"/>
    <cellStyle name="20% - Accent4 6 9 3 2" xfId="6099"/>
    <cellStyle name="20% - Accent4 6 9 4" xfId="4371"/>
    <cellStyle name="20% - Accent4 6 9 4 2" xfId="6100"/>
    <cellStyle name="20% - Accent4 6 9 5" xfId="6097"/>
    <cellStyle name="20% - Accent4 7" xfId="374"/>
    <cellStyle name="20% - Accent4 7 2" xfId="4372"/>
    <cellStyle name="20% - Accent4 8" xfId="530"/>
    <cellStyle name="20% - Accent4 8 2" xfId="1379"/>
    <cellStyle name="20% - Accent4 8 2 2" xfId="4179"/>
    <cellStyle name="20% - Accent4 8 2 2 2" xfId="5351"/>
    <cellStyle name="20% - Accent4 8 2 2 2 2" xfId="6104"/>
    <cellStyle name="20% - Accent4 8 2 2 3" xfId="5661"/>
    <cellStyle name="20% - Accent4 8 2 2 3 2" xfId="6105"/>
    <cellStyle name="20% - Accent4 8 2 2 4" xfId="4375"/>
    <cellStyle name="20% - Accent4 8 2 2 4 2" xfId="6106"/>
    <cellStyle name="20% - Accent4 8 2 2 5" xfId="6103"/>
    <cellStyle name="20% - Accent4 8 2 3" xfId="5350"/>
    <cellStyle name="20% - Accent4 8 2 3 2" xfId="6107"/>
    <cellStyle name="20% - Accent4 8 2 4" xfId="5660"/>
    <cellStyle name="20% - Accent4 8 2 4 2" xfId="6108"/>
    <cellStyle name="20% - Accent4 8 2 5" xfId="4374"/>
    <cellStyle name="20% - Accent4 8 2 5 2" xfId="6109"/>
    <cellStyle name="20% - Accent4 8 2 6" xfId="6102"/>
    <cellStyle name="20% - Accent4 8 3" xfId="3835"/>
    <cellStyle name="20% - Accent4 8 3 2" xfId="5352"/>
    <cellStyle name="20% - Accent4 8 3 2 2" xfId="6111"/>
    <cellStyle name="20% - Accent4 8 3 3" xfId="5662"/>
    <cellStyle name="20% - Accent4 8 3 3 2" xfId="6112"/>
    <cellStyle name="20% - Accent4 8 3 4" xfId="4376"/>
    <cellStyle name="20% - Accent4 8 3 4 2" xfId="6113"/>
    <cellStyle name="20% - Accent4 8 3 5" xfId="6110"/>
    <cellStyle name="20% - Accent4 8 4" xfId="5349"/>
    <cellStyle name="20% - Accent4 8 4 2" xfId="6114"/>
    <cellStyle name="20% - Accent4 8 5" xfId="5659"/>
    <cellStyle name="20% - Accent4 8 5 2" xfId="6115"/>
    <cellStyle name="20% - Accent4 8 6" xfId="4373"/>
    <cellStyle name="20% - Accent4 8 6 2" xfId="6116"/>
    <cellStyle name="20% - Accent4 8 7" xfId="6101"/>
    <cellStyle name="20% - Accent4 9" xfId="531"/>
    <cellStyle name="20% - Accent4 9 2" xfId="4377"/>
    <cellStyle name="20% - Accent5 10" xfId="657"/>
    <cellStyle name="20% - Accent5 10 2" xfId="4378"/>
    <cellStyle name="20% - Accent5 11" xfId="658"/>
    <cellStyle name="20% - Accent5 11 2" xfId="4379"/>
    <cellStyle name="20% - Accent5 12" xfId="811"/>
    <cellStyle name="20% - Accent5 13" xfId="812"/>
    <cellStyle name="20% - Accent5 13 2" xfId="3850"/>
    <cellStyle name="20% - Accent5 13 2 2" xfId="6118"/>
    <cellStyle name="20% - Accent5 13 3" xfId="6117"/>
    <cellStyle name="20% - Accent5 14" xfId="930"/>
    <cellStyle name="20% - Accent5 2" xfId="73"/>
    <cellStyle name="20% - Accent5 2 10" xfId="1672"/>
    <cellStyle name="20% - Accent5 2 10 2" xfId="4380"/>
    <cellStyle name="20% - Accent5 2 11" xfId="1924"/>
    <cellStyle name="20% - Accent5 2 11 2" xfId="4381"/>
    <cellStyle name="20% - Accent5 2 12" xfId="2343"/>
    <cellStyle name="20% - Accent5 2 12 2" xfId="4382"/>
    <cellStyle name="20% - Accent5 2 13" xfId="2716"/>
    <cellStyle name="20% - Accent5 2 13 2" xfId="4383"/>
    <cellStyle name="20% - Accent5 2 14" xfId="3045"/>
    <cellStyle name="20% - Accent5 2 14 2" xfId="4384"/>
    <cellStyle name="20% - Accent5 2 15" xfId="3416"/>
    <cellStyle name="20% - Accent5 2 15 2" xfId="4385"/>
    <cellStyle name="20% - Accent5 2 16" xfId="3637"/>
    <cellStyle name="20% - Accent5 2 16 2" xfId="4386"/>
    <cellStyle name="20% - Accent5 2 2" xfId="117"/>
    <cellStyle name="20% - Accent5 2 2 2" xfId="188"/>
    <cellStyle name="20% - Accent5 2 2 3" xfId="352"/>
    <cellStyle name="20% - Accent5 2 2 4" xfId="2174"/>
    <cellStyle name="20% - Accent5 2 2 5" xfId="2548"/>
    <cellStyle name="20% - Accent5 2 2 6" xfId="2920"/>
    <cellStyle name="20% - Accent5 2 2 7" xfId="3292"/>
    <cellStyle name="20% - Accent5 2 2 8" xfId="4387"/>
    <cellStyle name="20% - Accent5 2 3" xfId="282"/>
    <cellStyle name="20% - Accent5 2 3 2" xfId="1350"/>
    <cellStyle name="20% - Accent5 2 4" xfId="375"/>
    <cellStyle name="20% - Accent5 2 5" xfId="532"/>
    <cellStyle name="20% - Accent5 2 6" xfId="659"/>
    <cellStyle name="20% - Accent5 2 7" xfId="660"/>
    <cellStyle name="20% - Accent5 2 8" xfId="813"/>
    <cellStyle name="20% - Accent5 2 8 2" xfId="1401"/>
    <cellStyle name="20% - Accent5 2 9" xfId="931"/>
    <cellStyle name="20% - Accent5 2 9 2" xfId="1441"/>
    <cellStyle name="20% - Accent5 3" xfId="229"/>
    <cellStyle name="20% - Accent5 3 10" xfId="3680"/>
    <cellStyle name="20% - Accent5 3 10 2" xfId="4388"/>
    <cellStyle name="20% - Accent5 3 2" xfId="1453"/>
    <cellStyle name="20% - Accent5 3 2 2" xfId="1840"/>
    <cellStyle name="20% - Accent5 3 2 3" xfId="2215"/>
    <cellStyle name="20% - Accent5 3 2 4" xfId="2589"/>
    <cellStyle name="20% - Accent5 3 2 5" xfId="2961"/>
    <cellStyle name="20% - Accent5 3 2 6" xfId="3333"/>
    <cellStyle name="20% - Accent5 3 2 7" xfId="4389"/>
    <cellStyle name="20% - Accent5 3 3" xfId="1580"/>
    <cellStyle name="20% - Accent5 3 3 2" xfId="1917"/>
    <cellStyle name="20% - Accent5 3 3 3" xfId="2292"/>
    <cellStyle name="20% - Accent5 3 3 4" xfId="2665"/>
    <cellStyle name="20% - Accent5 3 3 5" xfId="3038"/>
    <cellStyle name="20% - Accent5 3 3 6" xfId="3409"/>
    <cellStyle name="20% - Accent5 3 3 7" xfId="4390"/>
    <cellStyle name="20% - Accent5 3 4" xfId="1717"/>
    <cellStyle name="20% - Accent5 3 4 2" xfId="1961"/>
    <cellStyle name="20% - Accent5 3 4 3" xfId="2336"/>
    <cellStyle name="20% - Accent5 3 4 4" xfId="2709"/>
    <cellStyle name="20% - Accent5 3 4 5" xfId="3082"/>
    <cellStyle name="20% - Accent5 3 4 6" xfId="3453"/>
    <cellStyle name="20% - Accent5 3 5" xfId="2052"/>
    <cellStyle name="20% - Accent5 3 6" xfId="2426"/>
    <cellStyle name="20% - Accent5 3 7" xfId="2798"/>
    <cellStyle name="20% - Accent5 3 8" xfId="3169"/>
    <cellStyle name="20% - Accent5 3 9" xfId="3544"/>
    <cellStyle name="20% - Accent5 3 9 2" xfId="4391"/>
    <cellStyle name="20% - Accent5 4" xfId="240"/>
    <cellStyle name="20% - Accent5 4 10" xfId="3724"/>
    <cellStyle name="20% - Accent5 4 10 2" xfId="4393"/>
    <cellStyle name="20% - Accent5 4 11" xfId="1311"/>
    <cellStyle name="20% - Accent5 4 11 2" xfId="4153"/>
    <cellStyle name="20% - Accent5 4 11 2 2" xfId="5355"/>
    <cellStyle name="20% - Accent5 4 11 2 2 2" xfId="6121"/>
    <cellStyle name="20% - Accent5 4 11 2 3" xfId="5665"/>
    <cellStyle name="20% - Accent5 4 11 2 3 2" xfId="6122"/>
    <cellStyle name="20% - Accent5 4 11 2 4" xfId="4395"/>
    <cellStyle name="20% - Accent5 4 11 2 4 2" xfId="6123"/>
    <cellStyle name="20% - Accent5 4 11 2 5" xfId="6120"/>
    <cellStyle name="20% - Accent5 4 11 3" xfId="5354"/>
    <cellStyle name="20% - Accent5 4 11 3 2" xfId="6124"/>
    <cellStyle name="20% - Accent5 4 11 4" xfId="5664"/>
    <cellStyle name="20% - Accent5 4 11 4 2" xfId="6125"/>
    <cellStyle name="20% - Accent5 4 11 5" xfId="4394"/>
    <cellStyle name="20% - Accent5 4 11 5 2" xfId="6126"/>
    <cellStyle name="20% - Accent5 4 11 6" xfId="6119"/>
    <cellStyle name="20% - Accent5 4 12" xfId="4396"/>
    <cellStyle name="20% - Accent5 4 12 2" xfId="5356"/>
    <cellStyle name="20% - Accent5 4 12 2 2" xfId="6128"/>
    <cellStyle name="20% - Accent5 4 12 3" xfId="5666"/>
    <cellStyle name="20% - Accent5 4 12 3 2" xfId="6129"/>
    <cellStyle name="20% - Accent5 4 12 4" xfId="6127"/>
    <cellStyle name="20% - Accent5 4 13" xfId="5353"/>
    <cellStyle name="20% - Accent5 4 13 2" xfId="6130"/>
    <cellStyle name="20% - Accent5 4 14" xfId="5663"/>
    <cellStyle name="20% - Accent5 4 14 2" xfId="6131"/>
    <cellStyle name="20% - Accent5 4 15" xfId="4392"/>
    <cellStyle name="20% - Accent5 4 15 2" xfId="6132"/>
    <cellStyle name="20% - Accent5 4 2" xfId="1498"/>
    <cellStyle name="20% - Accent5 4 2 2" xfId="4397"/>
    <cellStyle name="20% - Accent5 4 3" xfId="1623"/>
    <cellStyle name="20% - Accent5 4 3 2" xfId="4398"/>
    <cellStyle name="20% - Accent5 4 4" xfId="1801"/>
    <cellStyle name="20% - Accent5 4 5" xfId="2137"/>
    <cellStyle name="20% - Accent5 4 6" xfId="2511"/>
    <cellStyle name="20% - Accent5 4 7" xfId="2883"/>
    <cellStyle name="20% - Accent5 4 8" xfId="3254"/>
    <cellStyle name="20% - Accent5 4 9" xfId="3587"/>
    <cellStyle name="20% - Accent5 4 9 2" xfId="4399"/>
    <cellStyle name="20% - Accent5 5" xfId="376"/>
    <cellStyle name="20% - Accent5 5 2" xfId="1865"/>
    <cellStyle name="20% - Accent5 5 3" xfId="2240"/>
    <cellStyle name="20% - Accent5 5 4" xfId="2614"/>
    <cellStyle name="20% - Accent5 5 5" xfId="2986"/>
    <cellStyle name="20% - Accent5 5 6" xfId="3358"/>
    <cellStyle name="20% - Accent5 5 7" xfId="4400"/>
    <cellStyle name="20% - Accent5 6" xfId="377"/>
    <cellStyle name="20% - Accent5 6 10" xfId="5357"/>
    <cellStyle name="20% - Accent5 6 10 2" xfId="6134"/>
    <cellStyle name="20% - Accent5 6 11" xfId="5667"/>
    <cellStyle name="20% - Accent5 6 11 2" xfId="6135"/>
    <cellStyle name="20% - Accent5 6 12" xfId="4401"/>
    <cellStyle name="20% - Accent5 6 12 2" xfId="6136"/>
    <cellStyle name="20% - Accent5 6 13" xfId="6133"/>
    <cellStyle name="20% - Accent5 6 2" xfId="1974"/>
    <cellStyle name="20% - Accent5 6 2 2" xfId="4402"/>
    <cellStyle name="20% - Accent5 6 3" xfId="2349"/>
    <cellStyle name="20% - Accent5 6 3 2" xfId="4403"/>
    <cellStyle name="20% - Accent5 6 4" xfId="2722"/>
    <cellStyle name="20% - Accent5 6 4 2" xfId="4404"/>
    <cellStyle name="20% - Accent5 6 5" xfId="3095"/>
    <cellStyle name="20% - Accent5 6 5 2" xfId="4405"/>
    <cellStyle name="20% - Accent5 6 6" xfId="3466"/>
    <cellStyle name="20% - Accent5 6 6 2" xfId="4406"/>
    <cellStyle name="20% - Accent5 6 7" xfId="3772"/>
    <cellStyle name="20% - Accent5 6 7 2" xfId="4407"/>
    <cellStyle name="20% - Accent5 6 8" xfId="1370"/>
    <cellStyle name="20% - Accent5 6 8 2" xfId="4170"/>
    <cellStyle name="20% - Accent5 6 8 2 2" xfId="5359"/>
    <cellStyle name="20% - Accent5 6 8 2 2 2" xfId="6139"/>
    <cellStyle name="20% - Accent5 6 8 2 3" xfId="5669"/>
    <cellStyle name="20% - Accent5 6 8 2 3 2" xfId="6140"/>
    <cellStyle name="20% - Accent5 6 8 2 4" xfId="4409"/>
    <cellStyle name="20% - Accent5 6 8 2 4 2" xfId="6141"/>
    <cellStyle name="20% - Accent5 6 8 2 5" xfId="6138"/>
    <cellStyle name="20% - Accent5 6 8 3" xfId="5358"/>
    <cellStyle name="20% - Accent5 6 8 3 2" xfId="6142"/>
    <cellStyle name="20% - Accent5 6 8 4" xfId="5668"/>
    <cellStyle name="20% - Accent5 6 8 4 2" xfId="6143"/>
    <cellStyle name="20% - Accent5 6 8 5" xfId="4408"/>
    <cellStyle name="20% - Accent5 6 8 5 2" xfId="6144"/>
    <cellStyle name="20% - Accent5 6 8 6" xfId="6137"/>
    <cellStyle name="20% - Accent5 6 9" xfId="3822"/>
    <cellStyle name="20% - Accent5 6 9 2" xfId="5360"/>
    <cellStyle name="20% - Accent5 6 9 2 2" xfId="6146"/>
    <cellStyle name="20% - Accent5 6 9 3" xfId="5670"/>
    <cellStyle name="20% - Accent5 6 9 3 2" xfId="6147"/>
    <cellStyle name="20% - Accent5 6 9 4" xfId="4410"/>
    <cellStyle name="20% - Accent5 6 9 4 2" xfId="6148"/>
    <cellStyle name="20% - Accent5 6 9 5" xfId="6145"/>
    <cellStyle name="20% - Accent5 7" xfId="378"/>
    <cellStyle name="20% - Accent5 7 2" xfId="4411"/>
    <cellStyle name="20% - Accent5 8" xfId="533"/>
    <cellStyle name="20% - Accent5 8 2" xfId="1381"/>
    <cellStyle name="20% - Accent5 8 2 2" xfId="4181"/>
    <cellStyle name="20% - Accent5 8 2 2 2" xfId="5363"/>
    <cellStyle name="20% - Accent5 8 2 2 2 2" xfId="6152"/>
    <cellStyle name="20% - Accent5 8 2 2 3" xfId="5673"/>
    <cellStyle name="20% - Accent5 8 2 2 3 2" xfId="6153"/>
    <cellStyle name="20% - Accent5 8 2 2 4" xfId="4414"/>
    <cellStyle name="20% - Accent5 8 2 2 4 2" xfId="6154"/>
    <cellStyle name="20% - Accent5 8 2 2 5" xfId="6151"/>
    <cellStyle name="20% - Accent5 8 2 3" xfId="5362"/>
    <cellStyle name="20% - Accent5 8 2 3 2" xfId="6155"/>
    <cellStyle name="20% - Accent5 8 2 4" xfId="5672"/>
    <cellStyle name="20% - Accent5 8 2 4 2" xfId="6156"/>
    <cellStyle name="20% - Accent5 8 2 5" xfId="4413"/>
    <cellStyle name="20% - Accent5 8 2 5 2" xfId="6157"/>
    <cellStyle name="20% - Accent5 8 2 6" xfId="6150"/>
    <cellStyle name="20% - Accent5 8 3" xfId="3836"/>
    <cellStyle name="20% - Accent5 8 3 2" xfId="5364"/>
    <cellStyle name="20% - Accent5 8 3 2 2" xfId="6159"/>
    <cellStyle name="20% - Accent5 8 3 3" xfId="5674"/>
    <cellStyle name="20% - Accent5 8 3 3 2" xfId="6160"/>
    <cellStyle name="20% - Accent5 8 3 4" xfId="4415"/>
    <cellStyle name="20% - Accent5 8 3 4 2" xfId="6161"/>
    <cellStyle name="20% - Accent5 8 3 5" xfId="6158"/>
    <cellStyle name="20% - Accent5 8 4" xfId="5361"/>
    <cellStyle name="20% - Accent5 8 4 2" xfId="6162"/>
    <cellStyle name="20% - Accent5 8 5" xfId="5671"/>
    <cellStyle name="20% - Accent5 8 5 2" xfId="6163"/>
    <cellStyle name="20% - Accent5 8 6" xfId="4412"/>
    <cellStyle name="20% - Accent5 8 6 2" xfId="6164"/>
    <cellStyle name="20% - Accent5 8 7" xfId="6149"/>
    <cellStyle name="20% - Accent5 9" xfId="534"/>
    <cellStyle name="20% - Accent5 9 2" xfId="4416"/>
    <cellStyle name="20% - Accent6 10" xfId="661"/>
    <cellStyle name="20% - Accent6 10 2" xfId="4417"/>
    <cellStyle name="20% - Accent6 11" xfId="662"/>
    <cellStyle name="20% - Accent6 11 2" xfId="4418"/>
    <cellStyle name="20% - Accent6 12" xfId="814"/>
    <cellStyle name="20% - Accent6 13" xfId="815"/>
    <cellStyle name="20% - Accent6 13 2" xfId="3851"/>
    <cellStyle name="20% - Accent6 13 2 2" xfId="6166"/>
    <cellStyle name="20% - Accent6 13 3" xfId="6165"/>
    <cellStyle name="20% - Accent6 14" xfId="932"/>
    <cellStyle name="20% - Accent6 2" xfId="74"/>
    <cellStyle name="20% - Accent6 2 10" xfId="1673"/>
    <cellStyle name="20% - Accent6 2 10 2" xfId="4419"/>
    <cellStyle name="20% - Accent6 2 11" xfId="1847"/>
    <cellStyle name="20% - Accent6 2 11 2" xfId="4420"/>
    <cellStyle name="20% - Accent6 2 12" xfId="2299"/>
    <cellStyle name="20% - Accent6 2 12 2" xfId="4421"/>
    <cellStyle name="20% - Accent6 2 13" xfId="2672"/>
    <cellStyle name="20% - Accent6 2 13 2" xfId="4422"/>
    <cellStyle name="20% - Accent6 2 14" xfId="2968"/>
    <cellStyle name="20% - Accent6 2 14 2" xfId="4423"/>
    <cellStyle name="20% - Accent6 2 15" xfId="3340"/>
    <cellStyle name="20% - Accent6 2 15 2" xfId="4424"/>
    <cellStyle name="20% - Accent6 2 16" xfId="3638"/>
    <cellStyle name="20% - Accent6 2 16 2" xfId="4425"/>
    <cellStyle name="20% - Accent6 2 2" xfId="118"/>
    <cellStyle name="20% - Accent6 2 2 2" xfId="192"/>
    <cellStyle name="20% - Accent6 2 2 3" xfId="356"/>
    <cellStyle name="20% - Accent6 2 2 4" xfId="2178"/>
    <cellStyle name="20% - Accent6 2 2 5" xfId="2552"/>
    <cellStyle name="20% - Accent6 2 2 6" xfId="2924"/>
    <cellStyle name="20% - Accent6 2 2 7" xfId="3296"/>
    <cellStyle name="20% - Accent6 2 2 8" xfId="4426"/>
    <cellStyle name="20% - Accent6 2 3" xfId="283"/>
    <cellStyle name="20% - Accent6 2 3 2" xfId="1354"/>
    <cellStyle name="20% - Accent6 2 4" xfId="379"/>
    <cellStyle name="20% - Accent6 2 5" xfId="535"/>
    <cellStyle name="20% - Accent6 2 6" xfId="663"/>
    <cellStyle name="20% - Accent6 2 7" xfId="664"/>
    <cellStyle name="20% - Accent6 2 8" xfId="816"/>
    <cellStyle name="20% - Accent6 2 8 2" xfId="1402"/>
    <cellStyle name="20% - Accent6 2 9" xfId="933"/>
    <cellStyle name="20% - Accent6 2 9 2" xfId="1490"/>
    <cellStyle name="20% - Accent6 3" xfId="233"/>
    <cellStyle name="20% - Accent6 3 10" xfId="3681"/>
    <cellStyle name="20% - Accent6 3 10 2" xfId="4427"/>
    <cellStyle name="20% - Accent6 3 2" xfId="1454"/>
    <cellStyle name="20% - Accent6 3 2 2" xfId="1844"/>
    <cellStyle name="20% - Accent6 3 2 3" xfId="2219"/>
    <cellStyle name="20% - Accent6 3 2 4" xfId="2593"/>
    <cellStyle name="20% - Accent6 3 2 5" xfId="2965"/>
    <cellStyle name="20% - Accent6 3 2 6" xfId="3337"/>
    <cellStyle name="20% - Accent6 3 2 7" xfId="4428"/>
    <cellStyle name="20% - Accent6 3 3" xfId="1581"/>
    <cellStyle name="20% - Accent6 3 3 2" xfId="1921"/>
    <cellStyle name="20% - Accent6 3 3 3" xfId="2296"/>
    <cellStyle name="20% - Accent6 3 3 4" xfId="2669"/>
    <cellStyle name="20% - Accent6 3 3 5" xfId="3042"/>
    <cellStyle name="20% - Accent6 3 3 6" xfId="3413"/>
    <cellStyle name="20% - Accent6 3 3 7" xfId="4429"/>
    <cellStyle name="20% - Accent6 3 4" xfId="1718"/>
    <cellStyle name="20% - Accent6 3 4 2" xfId="1965"/>
    <cellStyle name="20% - Accent6 3 4 3" xfId="2340"/>
    <cellStyle name="20% - Accent6 3 4 4" xfId="2713"/>
    <cellStyle name="20% - Accent6 3 4 5" xfId="3086"/>
    <cellStyle name="20% - Accent6 3 4 6" xfId="3457"/>
    <cellStyle name="20% - Accent6 3 5" xfId="2053"/>
    <cellStyle name="20% - Accent6 3 6" xfId="2427"/>
    <cellStyle name="20% - Accent6 3 7" xfId="2799"/>
    <cellStyle name="20% - Accent6 3 8" xfId="3170"/>
    <cellStyle name="20% - Accent6 3 9" xfId="3545"/>
    <cellStyle name="20% - Accent6 3 9 2" xfId="4430"/>
    <cellStyle name="20% - Accent6 4" xfId="241"/>
    <cellStyle name="20% - Accent6 4 10" xfId="3725"/>
    <cellStyle name="20% - Accent6 4 10 2" xfId="4432"/>
    <cellStyle name="20% - Accent6 4 11" xfId="1315"/>
    <cellStyle name="20% - Accent6 4 11 2" xfId="4155"/>
    <cellStyle name="20% - Accent6 4 11 2 2" xfId="5367"/>
    <cellStyle name="20% - Accent6 4 11 2 2 2" xfId="6169"/>
    <cellStyle name="20% - Accent6 4 11 2 3" xfId="5677"/>
    <cellStyle name="20% - Accent6 4 11 2 3 2" xfId="6170"/>
    <cellStyle name="20% - Accent6 4 11 2 4" xfId="4434"/>
    <cellStyle name="20% - Accent6 4 11 2 4 2" xfId="6171"/>
    <cellStyle name="20% - Accent6 4 11 2 5" xfId="6168"/>
    <cellStyle name="20% - Accent6 4 11 3" xfId="5366"/>
    <cellStyle name="20% - Accent6 4 11 3 2" xfId="6172"/>
    <cellStyle name="20% - Accent6 4 11 4" xfId="5676"/>
    <cellStyle name="20% - Accent6 4 11 4 2" xfId="6173"/>
    <cellStyle name="20% - Accent6 4 11 5" xfId="4433"/>
    <cellStyle name="20% - Accent6 4 11 5 2" xfId="6174"/>
    <cellStyle name="20% - Accent6 4 11 6" xfId="6167"/>
    <cellStyle name="20% - Accent6 4 12" xfId="4435"/>
    <cellStyle name="20% - Accent6 4 12 2" xfId="5368"/>
    <cellStyle name="20% - Accent6 4 12 2 2" xfId="6176"/>
    <cellStyle name="20% - Accent6 4 12 3" xfId="5678"/>
    <cellStyle name="20% - Accent6 4 12 3 2" xfId="6177"/>
    <cellStyle name="20% - Accent6 4 12 4" xfId="6175"/>
    <cellStyle name="20% - Accent6 4 13" xfId="5365"/>
    <cellStyle name="20% - Accent6 4 13 2" xfId="6178"/>
    <cellStyle name="20% - Accent6 4 14" xfId="5675"/>
    <cellStyle name="20% - Accent6 4 14 2" xfId="6179"/>
    <cellStyle name="20% - Accent6 4 15" xfId="4431"/>
    <cellStyle name="20% - Accent6 4 15 2" xfId="6180"/>
    <cellStyle name="20% - Accent6 4 2" xfId="1499"/>
    <cellStyle name="20% - Accent6 4 2 2" xfId="4436"/>
    <cellStyle name="20% - Accent6 4 3" xfId="1624"/>
    <cellStyle name="20% - Accent6 4 3 2" xfId="4437"/>
    <cellStyle name="20% - Accent6 4 4" xfId="1800"/>
    <cellStyle name="20% - Accent6 4 5" xfId="2136"/>
    <cellStyle name="20% - Accent6 4 6" xfId="2510"/>
    <cellStyle name="20% - Accent6 4 7" xfId="2882"/>
    <cellStyle name="20% - Accent6 4 8" xfId="3253"/>
    <cellStyle name="20% - Accent6 4 9" xfId="3588"/>
    <cellStyle name="20% - Accent6 4 9 2" xfId="4438"/>
    <cellStyle name="20% - Accent6 5" xfId="380"/>
    <cellStyle name="20% - Accent6 5 2" xfId="1864"/>
    <cellStyle name="20% - Accent6 5 3" xfId="2239"/>
    <cellStyle name="20% - Accent6 5 4" xfId="2613"/>
    <cellStyle name="20% - Accent6 5 5" xfId="2985"/>
    <cellStyle name="20% - Accent6 5 6" xfId="3357"/>
    <cellStyle name="20% - Accent6 5 7" xfId="4439"/>
    <cellStyle name="20% - Accent6 6" xfId="381"/>
    <cellStyle name="20% - Accent6 6 10" xfId="5369"/>
    <cellStyle name="20% - Accent6 6 10 2" xfId="6182"/>
    <cellStyle name="20% - Accent6 6 11" xfId="5679"/>
    <cellStyle name="20% - Accent6 6 11 2" xfId="6183"/>
    <cellStyle name="20% - Accent6 6 12" xfId="4440"/>
    <cellStyle name="20% - Accent6 6 12 2" xfId="6184"/>
    <cellStyle name="20% - Accent6 6 13" xfId="6181"/>
    <cellStyle name="20% - Accent6 6 2" xfId="1975"/>
    <cellStyle name="20% - Accent6 6 2 2" xfId="4441"/>
    <cellStyle name="20% - Accent6 6 3" xfId="2350"/>
    <cellStyle name="20% - Accent6 6 3 2" xfId="4442"/>
    <cellStyle name="20% - Accent6 6 4" xfId="2723"/>
    <cellStyle name="20% - Accent6 6 4 2" xfId="4443"/>
    <cellStyle name="20% - Accent6 6 5" xfId="3096"/>
    <cellStyle name="20% - Accent6 6 5 2" xfId="4444"/>
    <cellStyle name="20% - Accent6 6 6" xfId="3467"/>
    <cellStyle name="20% - Accent6 6 6 2" xfId="4445"/>
    <cellStyle name="20% - Accent6 6 7" xfId="3773"/>
    <cellStyle name="20% - Accent6 6 7 2" xfId="4446"/>
    <cellStyle name="20% - Accent6 6 8" xfId="1366"/>
    <cellStyle name="20% - Accent6 6 8 2" xfId="4166"/>
    <cellStyle name="20% - Accent6 6 8 2 2" xfId="5371"/>
    <cellStyle name="20% - Accent6 6 8 2 2 2" xfId="6187"/>
    <cellStyle name="20% - Accent6 6 8 2 3" xfId="5681"/>
    <cellStyle name="20% - Accent6 6 8 2 3 2" xfId="6188"/>
    <cellStyle name="20% - Accent6 6 8 2 4" xfId="4448"/>
    <cellStyle name="20% - Accent6 6 8 2 4 2" xfId="6189"/>
    <cellStyle name="20% - Accent6 6 8 2 5" xfId="6186"/>
    <cellStyle name="20% - Accent6 6 8 3" xfId="5370"/>
    <cellStyle name="20% - Accent6 6 8 3 2" xfId="6190"/>
    <cellStyle name="20% - Accent6 6 8 4" xfId="5680"/>
    <cellStyle name="20% - Accent6 6 8 4 2" xfId="6191"/>
    <cellStyle name="20% - Accent6 6 8 5" xfId="4447"/>
    <cellStyle name="20% - Accent6 6 8 5 2" xfId="6192"/>
    <cellStyle name="20% - Accent6 6 8 6" xfId="6185"/>
    <cellStyle name="20% - Accent6 6 9" xfId="3823"/>
    <cellStyle name="20% - Accent6 6 9 2" xfId="5372"/>
    <cellStyle name="20% - Accent6 6 9 2 2" xfId="6194"/>
    <cellStyle name="20% - Accent6 6 9 3" xfId="5682"/>
    <cellStyle name="20% - Accent6 6 9 3 2" xfId="6195"/>
    <cellStyle name="20% - Accent6 6 9 4" xfId="4449"/>
    <cellStyle name="20% - Accent6 6 9 4 2" xfId="6196"/>
    <cellStyle name="20% - Accent6 6 9 5" xfId="6193"/>
    <cellStyle name="20% - Accent6 7" xfId="382"/>
    <cellStyle name="20% - Accent6 7 2" xfId="4450"/>
    <cellStyle name="20% - Accent6 8" xfId="536"/>
    <cellStyle name="20% - Accent6 8 2" xfId="1383"/>
    <cellStyle name="20% - Accent6 8 2 2" xfId="4183"/>
    <cellStyle name="20% - Accent6 8 2 2 2" xfId="5375"/>
    <cellStyle name="20% - Accent6 8 2 2 2 2" xfId="6200"/>
    <cellStyle name="20% - Accent6 8 2 2 3" xfId="5685"/>
    <cellStyle name="20% - Accent6 8 2 2 3 2" xfId="6201"/>
    <cellStyle name="20% - Accent6 8 2 2 4" xfId="4453"/>
    <cellStyle name="20% - Accent6 8 2 2 4 2" xfId="6202"/>
    <cellStyle name="20% - Accent6 8 2 2 5" xfId="6199"/>
    <cellStyle name="20% - Accent6 8 2 3" xfId="5374"/>
    <cellStyle name="20% - Accent6 8 2 3 2" xfId="6203"/>
    <cellStyle name="20% - Accent6 8 2 4" xfId="5684"/>
    <cellStyle name="20% - Accent6 8 2 4 2" xfId="6204"/>
    <cellStyle name="20% - Accent6 8 2 5" xfId="4452"/>
    <cellStyle name="20% - Accent6 8 2 5 2" xfId="6205"/>
    <cellStyle name="20% - Accent6 8 2 6" xfId="6198"/>
    <cellStyle name="20% - Accent6 8 3" xfId="3837"/>
    <cellStyle name="20% - Accent6 8 3 2" xfId="5376"/>
    <cellStyle name="20% - Accent6 8 3 2 2" xfId="6207"/>
    <cellStyle name="20% - Accent6 8 3 3" xfId="5686"/>
    <cellStyle name="20% - Accent6 8 3 3 2" xfId="6208"/>
    <cellStyle name="20% - Accent6 8 3 4" xfId="4454"/>
    <cellStyle name="20% - Accent6 8 3 4 2" xfId="6209"/>
    <cellStyle name="20% - Accent6 8 3 5" xfId="6206"/>
    <cellStyle name="20% - Accent6 8 4" xfId="5373"/>
    <cellStyle name="20% - Accent6 8 4 2" xfId="6210"/>
    <cellStyle name="20% - Accent6 8 5" xfId="5683"/>
    <cellStyle name="20% - Accent6 8 5 2" xfId="6211"/>
    <cellStyle name="20% - Accent6 8 6" xfId="4451"/>
    <cellStyle name="20% - Accent6 8 6 2" xfId="6212"/>
    <cellStyle name="20% - Accent6 8 7" xfId="6197"/>
    <cellStyle name="20% - Accent6 9" xfId="537"/>
    <cellStyle name="20% - Accent6 9 2" xfId="4455"/>
    <cellStyle name="40% - Accent1 10" xfId="665"/>
    <cellStyle name="40% - Accent1 10 2" xfId="4456"/>
    <cellStyle name="40% - Accent1 11" xfId="666"/>
    <cellStyle name="40% - Accent1 11 2" xfId="4457"/>
    <cellStyle name="40% - Accent1 12" xfId="817"/>
    <cellStyle name="40% - Accent1 13" xfId="818"/>
    <cellStyle name="40% - Accent1 13 2" xfId="3852"/>
    <cellStyle name="40% - Accent1 13 2 2" xfId="6214"/>
    <cellStyle name="40% - Accent1 13 3" xfId="6213"/>
    <cellStyle name="40% - Accent1 14" xfId="934"/>
    <cellStyle name="40% - Accent1 2" xfId="75"/>
    <cellStyle name="40% - Accent1 2 10" xfId="1674"/>
    <cellStyle name="40% - Accent1 2 10 2" xfId="4458"/>
    <cellStyle name="40% - Accent1 2 11" xfId="1794"/>
    <cellStyle name="40% - Accent1 2 11 2" xfId="4459"/>
    <cellStyle name="40% - Accent1 2 12" xfId="2222"/>
    <cellStyle name="40% - Accent1 2 12 2" xfId="4460"/>
    <cellStyle name="40% - Accent1 2 13" xfId="2596"/>
    <cellStyle name="40% - Accent1 2 13 2" xfId="4461"/>
    <cellStyle name="40% - Accent1 2 14" xfId="2876"/>
    <cellStyle name="40% - Accent1 2 14 2" xfId="4462"/>
    <cellStyle name="40% - Accent1 2 15" xfId="3247"/>
    <cellStyle name="40% - Accent1 2 15 2" xfId="4463"/>
    <cellStyle name="40% - Accent1 2 16" xfId="3639"/>
    <cellStyle name="40% - Accent1 2 16 2" xfId="4464"/>
    <cellStyle name="40% - Accent1 2 2" xfId="119"/>
    <cellStyle name="40% - Accent1 2 2 2" xfId="173"/>
    <cellStyle name="40% - Accent1 2 2 3" xfId="337"/>
    <cellStyle name="40% - Accent1 2 2 4" xfId="2159"/>
    <cellStyle name="40% - Accent1 2 2 5" xfId="2533"/>
    <cellStyle name="40% - Accent1 2 2 6" xfId="2905"/>
    <cellStyle name="40% - Accent1 2 2 7" xfId="3277"/>
    <cellStyle name="40% - Accent1 2 2 8" xfId="4465"/>
    <cellStyle name="40% - Accent1 2 3" xfId="284"/>
    <cellStyle name="40% - Accent1 2 3 2" xfId="1335"/>
    <cellStyle name="40% - Accent1 2 4" xfId="383"/>
    <cellStyle name="40% - Accent1 2 5" xfId="538"/>
    <cellStyle name="40% - Accent1 2 6" xfId="667"/>
    <cellStyle name="40% - Accent1 2 7" xfId="668"/>
    <cellStyle name="40% - Accent1 2 8" xfId="819"/>
    <cellStyle name="40% - Accent1 2 8 2" xfId="1403"/>
    <cellStyle name="40% - Accent1 2 9" xfId="935"/>
    <cellStyle name="40% - Accent1 2 9 2" xfId="1396"/>
    <cellStyle name="40% - Accent1 3" xfId="214"/>
    <cellStyle name="40% - Accent1 3 10" xfId="3682"/>
    <cellStyle name="40% - Accent1 3 10 2" xfId="4466"/>
    <cellStyle name="40% - Accent1 3 2" xfId="1455"/>
    <cellStyle name="40% - Accent1 3 2 2" xfId="1825"/>
    <cellStyle name="40% - Accent1 3 2 3" xfId="2200"/>
    <cellStyle name="40% - Accent1 3 2 4" xfId="2574"/>
    <cellStyle name="40% - Accent1 3 2 5" xfId="2946"/>
    <cellStyle name="40% - Accent1 3 2 6" xfId="3318"/>
    <cellStyle name="40% - Accent1 3 2 7" xfId="4467"/>
    <cellStyle name="40% - Accent1 3 3" xfId="1582"/>
    <cellStyle name="40% - Accent1 3 3 2" xfId="1902"/>
    <cellStyle name="40% - Accent1 3 3 3" xfId="2277"/>
    <cellStyle name="40% - Accent1 3 3 4" xfId="2650"/>
    <cellStyle name="40% - Accent1 3 3 5" xfId="3023"/>
    <cellStyle name="40% - Accent1 3 3 6" xfId="3394"/>
    <cellStyle name="40% - Accent1 3 3 7" xfId="4468"/>
    <cellStyle name="40% - Accent1 3 4" xfId="1719"/>
    <cellStyle name="40% - Accent1 3 4 2" xfId="1946"/>
    <cellStyle name="40% - Accent1 3 4 3" xfId="2321"/>
    <cellStyle name="40% - Accent1 3 4 4" xfId="2694"/>
    <cellStyle name="40% - Accent1 3 4 5" xfId="3067"/>
    <cellStyle name="40% - Accent1 3 4 6" xfId="3438"/>
    <cellStyle name="40% - Accent1 3 5" xfId="2054"/>
    <cellStyle name="40% - Accent1 3 6" xfId="2428"/>
    <cellStyle name="40% - Accent1 3 7" xfId="2800"/>
    <cellStyle name="40% - Accent1 3 8" xfId="3171"/>
    <cellStyle name="40% - Accent1 3 9" xfId="3546"/>
    <cellStyle name="40% - Accent1 3 9 2" xfId="4469"/>
    <cellStyle name="40% - Accent1 4" xfId="242"/>
    <cellStyle name="40% - Accent1 4 10" xfId="3726"/>
    <cellStyle name="40% - Accent1 4 10 2" xfId="4471"/>
    <cellStyle name="40% - Accent1 4 11" xfId="1296"/>
    <cellStyle name="40% - Accent1 4 11 2" xfId="4146"/>
    <cellStyle name="40% - Accent1 4 11 2 2" xfId="5379"/>
    <cellStyle name="40% - Accent1 4 11 2 2 2" xfId="6217"/>
    <cellStyle name="40% - Accent1 4 11 2 3" xfId="5689"/>
    <cellStyle name="40% - Accent1 4 11 2 3 2" xfId="6218"/>
    <cellStyle name="40% - Accent1 4 11 2 4" xfId="4473"/>
    <cellStyle name="40% - Accent1 4 11 2 4 2" xfId="6219"/>
    <cellStyle name="40% - Accent1 4 11 2 5" xfId="6216"/>
    <cellStyle name="40% - Accent1 4 11 3" xfId="5378"/>
    <cellStyle name="40% - Accent1 4 11 3 2" xfId="6220"/>
    <cellStyle name="40% - Accent1 4 11 4" xfId="5688"/>
    <cellStyle name="40% - Accent1 4 11 4 2" xfId="6221"/>
    <cellStyle name="40% - Accent1 4 11 5" xfId="4472"/>
    <cellStyle name="40% - Accent1 4 11 5 2" xfId="6222"/>
    <cellStyle name="40% - Accent1 4 11 6" xfId="6215"/>
    <cellStyle name="40% - Accent1 4 12" xfId="4474"/>
    <cellStyle name="40% - Accent1 4 12 2" xfId="5380"/>
    <cellStyle name="40% - Accent1 4 12 2 2" xfId="6224"/>
    <cellStyle name="40% - Accent1 4 12 3" xfId="5690"/>
    <cellStyle name="40% - Accent1 4 12 3 2" xfId="6225"/>
    <cellStyle name="40% - Accent1 4 12 4" xfId="6223"/>
    <cellStyle name="40% - Accent1 4 13" xfId="5377"/>
    <cellStyle name="40% - Accent1 4 13 2" xfId="6226"/>
    <cellStyle name="40% - Accent1 4 14" xfId="5687"/>
    <cellStyle name="40% - Accent1 4 14 2" xfId="6227"/>
    <cellStyle name="40% - Accent1 4 15" xfId="4470"/>
    <cellStyle name="40% - Accent1 4 15 2" xfId="6228"/>
    <cellStyle name="40% - Accent1 4 2" xfId="1500"/>
    <cellStyle name="40% - Accent1 4 2 2" xfId="4475"/>
    <cellStyle name="40% - Accent1 4 3" xfId="1625"/>
    <cellStyle name="40% - Accent1 4 3 2" xfId="4476"/>
    <cellStyle name="40% - Accent1 4 4" xfId="1799"/>
    <cellStyle name="40% - Accent1 4 5" xfId="2135"/>
    <cellStyle name="40% - Accent1 4 6" xfId="2509"/>
    <cellStyle name="40% - Accent1 4 7" xfId="2881"/>
    <cellStyle name="40% - Accent1 4 8" xfId="3252"/>
    <cellStyle name="40% - Accent1 4 9" xfId="3589"/>
    <cellStyle name="40% - Accent1 4 9 2" xfId="4477"/>
    <cellStyle name="40% - Accent1 5" xfId="384"/>
    <cellStyle name="40% - Accent1 5 2" xfId="1863"/>
    <cellStyle name="40% - Accent1 5 3" xfId="2238"/>
    <cellStyle name="40% - Accent1 5 4" xfId="2612"/>
    <cellStyle name="40% - Accent1 5 5" xfId="2984"/>
    <cellStyle name="40% - Accent1 5 6" xfId="3356"/>
    <cellStyle name="40% - Accent1 5 7" xfId="4478"/>
    <cellStyle name="40% - Accent1 6" xfId="385"/>
    <cellStyle name="40% - Accent1 6 10" xfId="5381"/>
    <cellStyle name="40% - Accent1 6 10 2" xfId="6230"/>
    <cellStyle name="40% - Accent1 6 11" xfId="5691"/>
    <cellStyle name="40% - Accent1 6 11 2" xfId="6231"/>
    <cellStyle name="40% - Accent1 6 12" xfId="4479"/>
    <cellStyle name="40% - Accent1 6 12 2" xfId="6232"/>
    <cellStyle name="40% - Accent1 6 13" xfId="6229"/>
    <cellStyle name="40% - Accent1 6 2" xfId="1976"/>
    <cellStyle name="40% - Accent1 6 2 2" xfId="4480"/>
    <cellStyle name="40% - Accent1 6 3" xfId="2351"/>
    <cellStyle name="40% - Accent1 6 3 2" xfId="4481"/>
    <cellStyle name="40% - Accent1 6 4" xfId="2724"/>
    <cellStyle name="40% - Accent1 6 4 2" xfId="4482"/>
    <cellStyle name="40% - Accent1 6 5" xfId="3097"/>
    <cellStyle name="40% - Accent1 6 5 2" xfId="4483"/>
    <cellStyle name="40% - Accent1 6 6" xfId="3468"/>
    <cellStyle name="40% - Accent1 6 6 2" xfId="4484"/>
    <cellStyle name="40% - Accent1 6 7" xfId="3774"/>
    <cellStyle name="40% - Accent1 6 7 2" xfId="4485"/>
    <cellStyle name="40% - Accent1 6 8" xfId="1357"/>
    <cellStyle name="40% - Accent1 6 8 2" xfId="4157"/>
    <cellStyle name="40% - Accent1 6 8 2 2" xfId="5383"/>
    <cellStyle name="40% - Accent1 6 8 2 2 2" xfId="6235"/>
    <cellStyle name="40% - Accent1 6 8 2 3" xfId="5693"/>
    <cellStyle name="40% - Accent1 6 8 2 3 2" xfId="6236"/>
    <cellStyle name="40% - Accent1 6 8 2 4" xfId="4487"/>
    <cellStyle name="40% - Accent1 6 8 2 4 2" xfId="6237"/>
    <cellStyle name="40% - Accent1 6 8 2 5" xfId="6234"/>
    <cellStyle name="40% - Accent1 6 8 3" xfId="5382"/>
    <cellStyle name="40% - Accent1 6 8 3 2" xfId="6238"/>
    <cellStyle name="40% - Accent1 6 8 4" xfId="5692"/>
    <cellStyle name="40% - Accent1 6 8 4 2" xfId="6239"/>
    <cellStyle name="40% - Accent1 6 8 5" xfId="4486"/>
    <cellStyle name="40% - Accent1 6 8 5 2" xfId="6240"/>
    <cellStyle name="40% - Accent1 6 8 6" xfId="6233"/>
    <cellStyle name="40% - Accent1 6 9" xfId="3824"/>
    <cellStyle name="40% - Accent1 6 9 2" xfId="5384"/>
    <cellStyle name="40% - Accent1 6 9 2 2" xfId="6242"/>
    <cellStyle name="40% - Accent1 6 9 3" xfId="5694"/>
    <cellStyle name="40% - Accent1 6 9 3 2" xfId="6243"/>
    <cellStyle name="40% - Accent1 6 9 4" xfId="4488"/>
    <cellStyle name="40% - Accent1 6 9 4 2" xfId="6244"/>
    <cellStyle name="40% - Accent1 6 9 5" xfId="6241"/>
    <cellStyle name="40% - Accent1 7" xfId="386"/>
    <cellStyle name="40% - Accent1 7 2" xfId="4489"/>
    <cellStyle name="40% - Accent1 8" xfId="539"/>
    <cellStyle name="40% - Accent1 8 2" xfId="1374"/>
    <cellStyle name="40% - Accent1 8 2 2" xfId="4174"/>
    <cellStyle name="40% - Accent1 8 2 2 2" xfId="5387"/>
    <cellStyle name="40% - Accent1 8 2 2 2 2" xfId="6248"/>
    <cellStyle name="40% - Accent1 8 2 2 3" xfId="5697"/>
    <cellStyle name="40% - Accent1 8 2 2 3 2" xfId="6249"/>
    <cellStyle name="40% - Accent1 8 2 2 4" xfId="4492"/>
    <cellStyle name="40% - Accent1 8 2 2 4 2" xfId="6250"/>
    <cellStyle name="40% - Accent1 8 2 2 5" xfId="6247"/>
    <cellStyle name="40% - Accent1 8 2 3" xfId="5386"/>
    <cellStyle name="40% - Accent1 8 2 3 2" xfId="6251"/>
    <cellStyle name="40% - Accent1 8 2 4" xfId="5696"/>
    <cellStyle name="40% - Accent1 8 2 4 2" xfId="6252"/>
    <cellStyle name="40% - Accent1 8 2 5" xfId="4491"/>
    <cellStyle name="40% - Accent1 8 2 5 2" xfId="6253"/>
    <cellStyle name="40% - Accent1 8 2 6" xfId="6246"/>
    <cellStyle name="40% - Accent1 8 3" xfId="3838"/>
    <cellStyle name="40% - Accent1 8 3 2" xfId="5388"/>
    <cellStyle name="40% - Accent1 8 3 2 2" xfId="6255"/>
    <cellStyle name="40% - Accent1 8 3 3" xfId="5698"/>
    <cellStyle name="40% - Accent1 8 3 3 2" xfId="6256"/>
    <cellStyle name="40% - Accent1 8 3 4" xfId="4493"/>
    <cellStyle name="40% - Accent1 8 3 4 2" xfId="6257"/>
    <cellStyle name="40% - Accent1 8 3 5" xfId="6254"/>
    <cellStyle name="40% - Accent1 8 4" xfId="5385"/>
    <cellStyle name="40% - Accent1 8 4 2" xfId="6258"/>
    <cellStyle name="40% - Accent1 8 5" xfId="5695"/>
    <cellStyle name="40% - Accent1 8 5 2" xfId="6259"/>
    <cellStyle name="40% - Accent1 8 6" xfId="4490"/>
    <cellStyle name="40% - Accent1 8 6 2" xfId="6260"/>
    <cellStyle name="40% - Accent1 8 7" xfId="6245"/>
    <cellStyle name="40% - Accent1 9" xfId="540"/>
    <cellStyle name="40% - Accent1 9 2" xfId="4494"/>
    <cellStyle name="40% - Accent2 10" xfId="669"/>
    <cellStyle name="40% - Accent2 10 2" xfId="4495"/>
    <cellStyle name="40% - Accent2 11" xfId="670"/>
    <cellStyle name="40% - Accent2 11 2" xfId="4496"/>
    <cellStyle name="40% - Accent2 12" xfId="820"/>
    <cellStyle name="40% - Accent2 13" xfId="821"/>
    <cellStyle name="40% - Accent2 13 2" xfId="3853"/>
    <cellStyle name="40% - Accent2 13 2 2" xfId="6262"/>
    <cellStyle name="40% - Accent2 13 3" xfId="6261"/>
    <cellStyle name="40% - Accent2 14" xfId="936"/>
    <cellStyle name="40% - Accent2 2" xfId="76"/>
    <cellStyle name="40% - Accent2 2 10" xfId="1675"/>
    <cellStyle name="40% - Accent2 2 10 2" xfId="4497"/>
    <cellStyle name="40% - Accent2 2 11" xfId="1664"/>
    <cellStyle name="40% - Accent2 2 11 2" xfId="4498"/>
    <cellStyle name="40% - Accent2 2 12" xfId="2130"/>
    <cellStyle name="40% - Accent2 2 12 2" xfId="4499"/>
    <cellStyle name="40% - Accent2 2 13" xfId="2504"/>
    <cellStyle name="40% - Accent2 2 13 2" xfId="4500"/>
    <cellStyle name="40% - Accent2 2 14" xfId="2418"/>
    <cellStyle name="40% - Accent2 2 14 2" xfId="4501"/>
    <cellStyle name="40% - Accent2 2 15" xfId="2790"/>
    <cellStyle name="40% - Accent2 2 15 2" xfId="4502"/>
    <cellStyle name="40% - Accent2 2 16" xfId="3640"/>
    <cellStyle name="40% - Accent2 2 16 2" xfId="4503"/>
    <cellStyle name="40% - Accent2 2 2" xfId="120"/>
    <cellStyle name="40% - Accent2 2 2 2" xfId="177"/>
    <cellStyle name="40% - Accent2 2 2 3" xfId="341"/>
    <cellStyle name="40% - Accent2 2 2 4" xfId="2163"/>
    <cellStyle name="40% - Accent2 2 2 5" xfId="2537"/>
    <cellStyle name="40% - Accent2 2 2 6" xfId="2909"/>
    <cellStyle name="40% - Accent2 2 2 7" xfId="3281"/>
    <cellStyle name="40% - Accent2 2 2 8" xfId="4504"/>
    <cellStyle name="40% - Accent2 2 3" xfId="285"/>
    <cellStyle name="40% - Accent2 2 3 2" xfId="1339"/>
    <cellStyle name="40% - Accent2 2 4" xfId="387"/>
    <cellStyle name="40% - Accent2 2 5" xfId="541"/>
    <cellStyle name="40% - Accent2 2 6" xfId="671"/>
    <cellStyle name="40% - Accent2 2 7" xfId="672"/>
    <cellStyle name="40% - Accent2 2 8" xfId="822"/>
    <cellStyle name="40% - Accent2 2 8 2" xfId="1404"/>
    <cellStyle name="40% - Accent2 2 9" xfId="937"/>
    <cellStyle name="40% - Accent2 2 9 2" xfId="1446"/>
    <cellStyle name="40% - Accent2 3" xfId="218"/>
    <cellStyle name="40% - Accent2 3 10" xfId="3683"/>
    <cellStyle name="40% - Accent2 3 10 2" xfId="4505"/>
    <cellStyle name="40% - Accent2 3 2" xfId="1456"/>
    <cellStyle name="40% - Accent2 3 2 2" xfId="1829"/>
    <cellStyle name="40% - Accent2 3 2 3" xfId="2204"/>
    <cellStyle name="40% - Accent2 3 2 4" xfId="2578"/>
    <cellStyle name="40% - Accent2 3 2 5" xfId="2950"/>
    <cellStyle name="40% - Accent2 3 2 6" xfId="3322"/>
    <cellStyle name="40% - Accent2 3 2 7" xfId="4506"/>
    <cellStyle name="40% - Accent2 3 3" xfId="1583"/>
    <cellStyle name="40% - Accent2 3 3 2" xfId="1906"/>
    <cellStyle name="40% - Accent2 3 3 3" xfId="2281"/>
    <cellStyle name="40% - Accent2 3 3 4" xfId="2654"/>
    <cellStyle name="40% - Accent2 3 3 5" xfId="3027"/>
    <cellStyle name="40% - Accent2 3 3 6" xfId="3398"/>
    <cellStyle name="40% - Accent2 3 3 7" xfId="4507"/>
    <cellStyle name="40% - Accent2 3 4" xfId="1720"/>
    <cellStyle name="40% - Accent2 3 4 2" xfId="1950"/>
    <cellStyle name="40% - Accent2 3 4 3" xfId="2325"/>
    <cellStyle name="40% - Accent2 3 4 4" xfId="2698"/>
    <cellStyle name="40% - Accent2 3 4 5" xfId="3071"/>
    <cellStyle name="40% - Accent2 3 4 6" xfId="3442"/>
    <cellStyle name="40% - Accent2 3 5" xfId="2055"/>
    <cellStyle name="40% - Accent2 3 6" xfId="2429"/>
    <cellStyle name="40% - Accent2 3 7" xfId="2801"/>
    <cellStyle name="40% - Accent2 3 8" xfId="3172"/>
    <cellStyle name="40% - Accent2 3 9" xfId="3547"/>
    <cellStyle name="40% - Accent2 3 9 2" xfId="4508"/>
    <cellStyle name="40% - Accent2 4" xfId="243"/>
    <cellStyle name="40% - Accent2 4 10" xfId="3727"/>
    <cellStyle name="40% - Accent2 4 10 2" xfId="4510"/>
    <cellStyle name="40% - Accent2 4 11" xfId="1300"/>
    <cellStyle name="40% - Accent2 4 11 2" xfId="4148"/>
    <cellStyle name="40% - Accent2 4 11 2 2" xfId="5391"/>
    <cellStyle name="40% - Accent2 4 11 2 2 2" xfId="6265"/>
    <cellStyle name="40% - Accent2 4 11 2 3" xfId="5701"/>
    <cellStyle name="40% - Accent2 4 11 2 3 2" xfId="6266"/>
    <cellStyle name="40% - Accent2 4 11 2 4" xfId="4512"/>
    <cellStyle name="40% - Accent2 4 11 2 4 2" xfId="6267"/>
    <cellStyle name="40% - Accent2 4 11 2 5" xfId="6264"/>
    <cellStyle name="40% - Accent2 4 11 3" xfId="5390"/>
    <cellStyle name="40% - Accent2 4 11 3 2" xfId="6268"/>
    <cellStyle name="40% - Accent2 4 11 4" xfId="5700"/>
    <cellStyle name="40% - Accent2 4 11 4 2" xfId="6269"/>
    <cellStyle name="40% - Accent2 4 11 5" xfId="4511"/>
    <cellStyle name="40% - Accent2 4 11 5 2" xfId="6270"/>
    <cellStyle name="40% - Accent2 4 11 6" xfId="6263"/>
    <cellStyle name="40% - Accent2 4 12" xfId="4513"/>
    <cellStyle name="40% - Accent2 4 12 2" xfId="5392"/>
    <cellStyle name="40% - Accent2 4 12 2 2" xfId="6272"/>
    <cellStyle name="40% - Accent2 4 12 3" xfId="5702"/>
    <cellStyle name="40% - Accent2 4 12 3 2" xfId="6273"/>
    <cellStyle name="40% - Accent2 4 12 4" xfId="6271"/>
    <cellStyle name="40% - Accent2 4 13" xfId="5389"/>
    <cellStyle name="40% - Accent2 4 13 2" xfId="6274"/>
    <cellStyle name="40% - Accent2 4 14" xfId="5699"/>
    <cellStyle name="40% - Accent2 4 14 2" xfId="6275"/>
    <cellStyle name="40% - Accent2 4 15" xfId="4509"/>
    <cellStyle name="40% - Accent2 4 15 2" xfId="6276"/>
    <cellStyle name="40% - Accent2 4 2" xfId="1501"/>
    <cellStyle name="40% - Accent2 4 2 2" xfId="4514"/>
    <cellStyle name="40% - Accent2 4 3" xfId="1626"/>
    <cellStyle name="40% - Accent2 4 3 2" xfId="4515"/>
    <cellStyle name="40% - Accent2 4 4" xfId="1756"/>
    <cellStyle name="40% - Accent2 4 5" xfId="2091"/>
    <cellStyle name="40% - Accent2 4 6" xfId="2465"/>
    <cellStyle name="40% - Accent2 4 7" xfId="2837"/>
    <cellStyle name="40% - Accent2 4 8" xfId="3208"/>
    <cellStyle name="40% - Accent2 4 9" xfId="3590"/>
    <cellStyle name="40% - Accent2 4 9 2" xfId="4516"/>
    <cellStyle name="40% - Accent2 5" xfId="388"/>
    <cellStyle name="40% - Accent2 5 2" xfId="1862"/>
    <cellStyle name="40% - Accent2 5 3" xfId="2237"/>
    <cellStyle name="40% - Accent2 5 4" xfId="2611"/>
    <cellStyle name="40% - Accent2 5 5" xfId="2983"/>
    <cellStyle name="40% - Accent2 5 6" xfId="3355"/>
    <cellStyle name="40% - Accent2 5 7" xfId="4517"/>
    <cellStyle name="40% - Accent2 6" xfId="389"/>
    <cellStyle name="40% - Accent2 6 10" xfId="5393"/>
    <cellStyle name="40% - Accent2 6 10 2" xfId="6278"/>
    <cellStyle name="40% - Accent2 6 11" xfId="5703"/>
    <cellStyle name="40% - Accent2 6 11 2" xfId="6279"/>
    <cellStyle name="40% - Accent2 6 12" xfId="4518"/>
    <cellStyle name="40% - Accent2 6 12 2" xfId="6280"/>
    <cellStyle name="40% - Accent2 6 13" xfId="6277"/>
    <cellStyle name="40% - Accent2 6 2" xfId="1977"/>
    <cellStyle name="40% - Accent2 6 2 2" xfId="4519"/>
    <cellStyle name="40% - Accent2 6 3" xfId="2352"/>
    <cellStyle name="40% - Accent2 6 3 2" xfId="4520"/>
    <cellStyle name="40% - Accent2 6 4" xfId="2725"/>
    <cellStyle name="40% - Accent2 6 4 2" xfId="4521"/>
    <cellStyle name="40% - Accent2 6 5" xfId="3098"/>
    <cellStyle name="40% - Accent2 6 5 2" xfId="4522"/>
    <cellStyle name="40% - Accent2 6 6" xfId="3469"/>
    <cellStyle name="40% - Accent2 6 6 2" xfId="4523"/>
    <cellStyle name="40% - Accent2 6 7" xfId="3775"/>
    <cellStyle name="40% - Accent2 6 7 2" xfId="4524"/>
    <cellStyle name="40% - Accent2 6 8" xfId="1364"/>
    <cellStyle name="40% - Accent2 6 8 2" xfId="4164"/>
    <cellStyle name="40% - Accent2 6 8 2 2" xfId="5395"/>
    <cellStyle name="40% - Accent2 6 8 2 2 2" xfId="6283"/>
    <cellStyle name="40% - Accent2 6 8 2 3" xfId="5705"/>
    <cellStyle name="40% - Accent2 6 8 2 3 2" xfId="6284"/>
    <cellStyle name="40% - Accent2 6 8 2 4" xfId="4526"/>
    <cellStyle name="40% - Accent2 6 8 2 4 2" xfId="6285"/>
    <cellStyle name="40% - Accent2 6 8 2 5" xfId="6282"/>
    <cellStyle name="40% - Accent2 6 8 3" xfId="5394"/>
    <cellStyle name="40% - Accent2 6 8 3 2" xfId="6286"/>
    <cellStyle name="40% - Accent2 6 8 4" xfId="5704"/>
    <cellStyle name="40% - Accent2 6 8 4 2" xfId="6287"/>
    <cellStyle name="40% - Accent2 6 8 5" xfId="4525"/>
    <cellStyle name="40% - Accent2 6 8 5 2" xfId="6288"/>
    <cellStyle name="40% - Accent2 6 8 6" xfId="6281"/>
    <cellStyle name="40% - Accent2 6 9" xfId="3825"/>
    <cellStyle name="40% - Accent2 6 9 2" xfId="5396"/>
    <cellStyle name="40% - Accent2 6 9 2 2" xfId="6290"/>
    <cellStyle name="40% - Accent2 6 9 3" xfId="5706"/>
    <cellStyle name="40% - Accent2 6 9 3 2" xfId="6291"/>
    <cellStyle name="40% - Accent2 6 9 4" xfId="4527"/>
    <cellStyle name="40% - Accent2 6 9 4 2" xfId="6292"/>
    <cellStyle name="40% - Accent2 6 9 5" xfId="6289"/>
    <cellStyle name="40% - Accent2 7" xfId="390"/>
    <cellStyle name="40% - Accent2 7 2" xfId="4528"/>
    <cellStyle name="40% - Accent2 8" xfId="542"/>
    <cellStyle name="40% - Accent2 8 2" xfId="1376"/>
    <cellStyle name="40% - Accent2 8 2 2" xfId="4176"/>
    <cellStyle name="40% - Accent2 8 2 2 2" xfId="5399"/>
    <cellStyle name="40% - Accent2 8 2 2 2 2" xfId="6296"/>
    <cellStyle name="40% - Accent2 8 2 2 3" xfId="5709"/>
    <cellStyle name="40% - Accent2 8 2 2 3 2" xfId="6297"/>
    <cellStyle name="40% - Accent2 8 2 2 4" xfId="4531"/>
    <cellStyle name="40% - Accent2 8 2 2 4 2" xfId="6298"/>
    <cellStyle name="40% - Accent2 8 2 2 5" xfId="6295"/>
    <cellStyle name="40% - Accent2 8 2 3" xfId="5398"/>
    <cellStyle name="40% - Accent2 8 2 3 2" xfId="6299"/>
    <cellStyle name="40% - Accent2 8 2 4" xfId="5708"/>
    <cellStyle name="40% - Accent2 8 2 4 2" xfId="6300"/>
    <cellStyle name="40% - Accent2 8 2 5" xfId="4530"/>
    <cellStyle name="40% - Accent2 8 2 5 2" xfId="6301"/>
    <cellStyle name="40% - Accent2 8 2 6" xfId="6294"/>
    <cellStyle name="40% - Accent2 8 3" xfId="3839"/>
    <cellStyle name="40% - Accent2 8 3 2" xfId="5400"/>
    <cellStyle name="40% - Accent2 8 3 2 2" xfId="6303"/>
    <cellStyle name="40% - Accent2 8 3 3" xfId="5710"/>
    <cellStyle name="40% - Accent2 8 3 3 2" xfId="6304"/>
    <cellStyle name="40% - Accent2 8 3 4" xfId="4532"/>
    <cellStyle name="40% - Accent2 8 3 4 2" xfId="6305"/>
    <cellStyle name="40% - Accent2 8 3 5" xfId="6302"/>
    <cellStyle name="40% - Accent2 8 4" xfId="5397"/>
    <cellStyle name="40% - Accent2 8 4 2" xfId="6306"/>
    <cellStyle name="40% - Accent2 8 5" xfId="5707"/>
    <cellStyle name="40% - Accent2 8 5 2" xfId="6307"/>
    <cellStyle name="40% - Accent2 8 6" xfId="4529"/>
    <cellStyle name="40% - Accent2 8 6 2" xfId="6308"/>
    <cellStyle name="40% - Accent2 8 7" xfId="6293"/>
    <cellStyle name="40% - Accent2 9" xfId="543"/>
    <cellStyle name="40% - Accent2 9 2" xfId="4533"/>
    <cellStyle name="40% - Accent3 10" xfId="673"/>
    <cellStyle name="40% - Accent3 10 2" xfId="4534"/>
    <cellStyle name="40% - Accent3 11" xfId="674"/>
    <cellStyle name="40% - Accent3 11 2" xfId="4535"/>
    <cellStyle name="40% - Accent3 12" xfId="823"/>
    <cellStyle name="40% - Accent3 13" xfId="824"/>
    <cellStyle name="40% - Accent3 13 2" xfId="3854"/>
    <cellStyle name="40% - Accent3 13 2 2" xfId="6310"/>
    <cellStyle name="40% - Accent3 13 3" xfId="6309"/>
    <cellStyle name="40% - Accent3 14" xfId="938"/>
    <cellStyle name="40% - Accent3 2" xfId="77"/>
    <cellStyle name="40% - Accent3 2 10" xfId="1676"/>
    <cellStyle name="40% - Accent3 2 10 2" xfId="4536"/>
    <cellStyle name="40% - Accent3 2 11" xfId="2011"/>
    <cellStyle name="40% - Accent3 2 11 2" xfId="4537"/>
    <cellStyle name="40% - Accent3 2 12" xfId="1709"/>
    <cellStyle name="40% - Accent3 2 12 2" xfId="4538"/>
    <cellStyle name="40% - Accent3 2 13" xfId="2044"/>
    <cellStyle name="40% - Accent3 2 13 2" xfId="4539"/>
    <cellStyle name="40% - Accent3 2 14" xfId="3132"/>
    <cellStyle name="40% - Accent3 2 14 2" xfId="4540"/>
    <cellStyle name="40% - Accent3 2 15" xfId="3503"/>
    <cellStyle name="40% - Accent3 2 15 2" xfId="4541"/>
    <cellStyle name="40% - Accent3 2 16" xfId="3641"/>
    <cellStyle name="40% - Accent3 2 16 2" xfId="4542"/>
    <cellStyle name="40% - Accent3 2 2" xfId="121"/>
    <cellStyle name="40% - Accent3 2 2 2" xfId="181"/>
    <cellStyle name="40% - Accent3 2 2 3" xfId="345"/>
    <cellStyle name="40% - Accent3 2 2 4" xfId="2167"/>
    <cellStyle name="40% - Accent3 2 2 5" xfId="2541"/>
    <cellStyle name="40% - Accent3 2 2 6" xfId="2913"/>
    <cellStyle name="40% - Accent3 2 2 7" xfId="3285"/>
    <cellStyle name="40% - Accent3 2 2 8" xfId="4543"/>
    <cellStyle name="40% - Accent3 2 3" xfId="286"/>
    <cellStyle name="40% - Accent3 2 3 2" xfId="1343"/>
    <cellStyle name="40% - Accent3 2 4" xfId="391"/>
    <cellStyle name="40% - Accent3 2 5" xfId="544"/>
    <cellStyle name="40% - Accent3 2 6" xfId="675"/>
    <cellStyle name="40% - Accent3 2 7" xfId="676"/>
    <cellStyle name="40% - Accent3 2 8" xfId="825"/>
    <cellStyle name="40% - Accent3 2 8 2" xfId="1405"/>
    <cellStyle name="40% - Accent3 2 9" xfId="939"/>
    <cellStyle name="40% - Accent3 2 9 2" xfId="1445"/>
    <cellStyle name="40% - Accent3 3" xfId="222"/>
    <cellStyle name="40% - Accent3 3 10" xfId="3684"/>
    <cellStyle name="40% - Accent3 3 10 2" xfId="4544"/>
    <cellStyle name="40% - Accent3 3 2" xfId="1457"/>
    <cellStyle name="40% - Accent3 3 2 2" xfId="1833"/>
    <cellStyle name="40% - Accent3 3 2 3" xfId="2208"/>
    <cellStyle name="40% - Accent3 3 2 4" xfId="2582"/>
    <cellStyle name="40% - Accent3 3 2 5" xfId="2954"/>
    <cellStyle name="40% - Accent3 3 2 6" xfId="3326"/>
    <cellStyle name="40% - Accent3 3 2 7" xfId="4545"/>
    <cellStyle name="40% - Accent3 3 3" xfId="1584"/>
    <cellStyle name="40% - Accent3 3 3 2" xfId="1910"/>
    <cellStyle name="40% - Accent3 3 3 3" xfId="2285"/>
    <cellStyle name="40% - Accent3 3 3 4" xfId="2658"/>
    <cellStyle name="40% - Accent3 3 3 5" xfId="3031"/>
    <cellStyle name="40% - Accent3 3 3 6" xfId="3402"/>
    <cellStyle name="40% - Accent3 3 3 7" xfId="4546"/>
    <cellStyle name="40% - Accent3 3 4" xfId="1721"/>
    <cellStyle name="40% - Accent3 3 4 2" xfId="1954"/>
    <cellStyle name="40% - Accent3 3 4 3" xfId="2329"/>
    <cellStyle name="40% - Accent3 3 4 4" xfId="2702"/>
    <cellStyle name="40% - Accent3 3 4 5" xfId="3075"/>
    <cellStyle name="40% - Accent3 3 4 6" xfId="3446"/>
    <cellStyle name="40% - Accent3 3 5" xfId="2056"/>
    <cellStyle name="40% - Accent3 3 6" xfId="2430"/>
    <cellStyle name="40% - Accent3 3 7" xfId="2802"/>
    <cellStyle name="40% - Accent3 3 8" xfId="3173"/>
    <cellStyle name="40% - Accent3 3 9" xfId="3548"/>
    <cellStyle name="40% - Accent3 3 9 2" xfId="4547"/>
    <cellStyle name="40% - Accent3 4" xfId="244"/>
    <cellStyle name="40% - Accent3 4 10" xfId="3728"/>
    <cellStyle name="40% - Accent3 4 10 2" xfId="4549"/>
    <cellStyle name="40% - Accent3 4 11" xfId="1304"/>
    <cellStyle name="40% - Accent3 4 11 2" xfId="4150"/>
    <cellStyle name="40% - Accent3 4 11 2 2" xfId="5403"/>
    <cellStyle name="40% - Accent3 4 11 2 2 2" xfId="6313"/>
    <cellStyle name="40% - Accent3 4 11 2 3" xfId="5713"/>
    <cellStyle name="40% - Accent3 4 11 2 3 2" xfId="6314"/>
    <cellStyle name="40% - Accent3 4 11 2 4" xfId="4551"/>
    <cellStyle name="40% - Accent3 4 11 2 4 2" xfId="6315"/>
    <cellStyle name="40% - Accent3 4 11 2 5" xfId="6312"/>
    <cellStyle name="40% - Accent3 4 11 3" xfId="5402"/>
    <cellStyle name="40% - Accent3 4 11 3 2" xfId="6316"/>
    <cellStyle name="40% - Accent3 4 11 4" xfId="5712"/>
    <cellStyle name="40% - Accent3 4 11 4 2" xfId="6317"/>
    <cellStyle name="40% - Accent3 4 11 5" xfId="4550"/>
    <cellStyle name="40% - Accent3 4 11 5 2" xfId="6318"/>
    <cellStyle name="40% - Accent3 4 11 6" xfId="6311"/>
    <cellStyle name="40% - Accent3 4 12" xfId="4552"/>
    <cellStyle name="40% - Accent3 4 12 2" xfId="5404"/>
    <cellStyle name="40% - Accent3 4 12 2 2" xfId="6320"/>
    <cellStyle name="40% - Accent3 4 12 3" xfId="5714"/>
    <cellStyle name="40% - Accent3 4 12 3 2" xfId="6321"/>
    <cellStyle name="40% - Accent3 4 12 4" xfId="6319"/>
    <cellStyle name="40% - Accent3 4 13" xfId="5401"/>
    <cellStyle name="40% - Accent3 4 13 2" xfId="6322"/>
    <cellStyle name="40% - Accent3 4 14" xfId="5711"/>
    <cellStyle name="40% - Accent3 4 14 2" xfId="6323"/>
    <cellStyle name="40% - Accent3 4 15" xfId="4548"/>
    <cellStyle name="40% - Accent3 4 15 2" xfId="6324"/>
    <cellStyle name="40% - Accent3 4 2" xfId="1502"/>
    <cellStyle name="40% - Accent3 4 2 2" xfId="4553"/>
    <cellStyle name="40% - Accent3 4 3" xfId="1627"/>
    <cellStyle name="40% - Accent3 4 3 2" xfId="4554"/>
    <cellStyle name="40% - Accent3 4 4" xfId="1798"/>
    <cellStyle name="40% - Accent3 4 5" xfId="2134"/>
    <cellStyle name="40% - Accent3 4 6" xfId="2508"/>
    <cellStyle name="40% - Accent3 4 7" xfId="2880"/>
    <cellStyle name="40% - Accent3 4 8" xfId="3251"/>
    <cellStyle name="40% - Accent3 4 9" xfId="3591"/>
    <cellStyle name="40% - Accent3 4 9 2" xfId="4555"/>
    <cellStyle name="40% - Accent3 5" xfId="392"/>
    <cellStyle name="40% - Accent3 5 2" xfId="1861"/>
    <cellStyle name="40% - Accent3 5 3" xfId="2236"/>
    <cellStyle name="40% - Accent3 5 4" xfId="2610"/>
    <cellStyle name="40% - Accent3 5 5" xfId="2982"/>
    <cellStyle name="40% - Accent3 5 6" xfId="3354"/>
    <cellStyle name="40% - Accent3 5 7" xfId="4556"/>
    <cellStyle name="40% - Accent3 6" xfId="393"/>
    <cellStyle name="40% - Accent3 6 10" xfId="5405"/>
    <cellStyle name="40% - Accent3 6 10 2" xfId="6326"/>
    <cellStyle name="40% - Accent3 6 11" xfId="5715"/>
    <cellStyle name="40% - Accent3 6 11 2" xfId="6327"/>
    <cellStyle name="40% - Accent3 6 12" xfId="4557"/>
    <cellStyle name="40% - Accent3 6 12 2" xfId="6328"/>
    <cellStyle name="40% - Accent3 6 13" xfId="6325"/>
    <cellStyle name="40% - Accent3 6 2" xfId="1978"/>
    <cellStyle name="40% - Accent3 6 2 2" xfId="4558"/>
    <cellStyle name="40% - Accent3 6 3" xfId="2353"/>
    <cellStyle name="40% - Accent3 6 3 2" xfId="4559"/>
    <cellStyle name="40% - Accent3 6 4" xfId="2726"/>
    <cellStyle name="40% - Accent3 6 4 2" xfId="4560"/>
    <cellStyle name="40% - Accent3 6 5" xfId="3099"/>
    <cellStyle name="40% - Accent3 6 5 2" xfId="4561"/>
    <cellStyle name="40% - Accent3 6 6" xfId="3470"/>
    <cellStyle name="40% - Accent3 6 6 2" xfId="4562"/>
    <cellStyle name="40% - Accent3 6 7" xfId="3776"/>
    <cellStyle name="40% - Accent3 6 7 2" xfId="4563"/>
    <cellStyle name="40% - Accent3 6 8" xfId="1360"/>
    <cellStyle name="40% - Accent3 6 8 2" xfId="4160"/>
    <cellStyle name="40% - Accent3 6 8 2 2" xfId="5407"/>
    <cellStyle name="40% - Accent3 6 8 2 2 2" xfId="6331"/>
    <cellStyle name="40% - Accent3 6 8 2 3" xfId="5717"/>
    <cellStyle name="40% - Accent3 6 8 2 3 2" xfId="6332"/>
    <cellStyle name="40% - Accent3 6 8 2 4" xfId="4565"/>
    <cellStyle name="40% - Accent3 6 8 2 4 2" xfId="6333"/>
    <cellStyle name="40% - Accent3 6 8 2 5" xfId="6330"/>
    <cellStyle name="40% - Accent3 6 8 3" xfId="5406"/>
    <cellStyle name="40% - Accent3 6 8 3 2" xfId="6334"/>
    <cellStyle name="40% - Accent3 6 8 4" xfId="5716"/>
    <cellStyle name="40% - Accent3 6 8 4 2" xfId="6335"/>
    <cellStyle name="40% - Accent3 6 8 5" xfId="4564"/>
    <cellStyle name="40% - Accent3 6 8 5 2" xfId="6336"/>
    <cellStyle name="40% - Accent3 6 8 6" xfId="6329"/>
    <cellStyle name="40% - Accent3 6 9" xfId="3826"/>
    <cellStyle name="40% - Accent3 6 9 2" xfId="5408"/>
    <cellStyle name="40% - Accent3 6 9 2 2" xfId="6338"/>
    <cellStyle name="40% - Accent3 6 9 3" xfId="5718"/>
    <cellStyle name="40% - Accent3 6 9 3 2" xfId="6339"/>
    <cellStyle name="40% - Accent3 6 9 4" xfId="4566"/>
    <cellStyle name="40% - Accent3 6 9 4 2" xfId="6340"/>
    <cellStyle name="40% - Accent3 6 9 5" xfId="6337"/>
    <cellStyle name="40% - Accent3 7" xfId="394"/>
    <cellStyle name="40% - Accent3 7 2" xfId="4567"/>
    <cellStyle name="40% - Accent3 8" xfId="545"/>
    <cellStyle name="40% - Accent3 8 2" xfId="1378"/>
    <cellStyle name="40% - Accent3 8 2 2" xfId="4178"/>
    <cellStyle name="40% - Accent3 8 2 2 2" xfId="5411"/>
    <cellStyle name="40% - Accent3 8 2 2 2 2" xfId="6344"/>
    <cellStyle name="40% - Accent3 8 2 2 3" xfId="5721"/>
    <cellStyle name="40% - Accent3 8 2 2 3 2" xfId="6345"/>
    <cellStyle name="40% - Accent3 8 2 2 4" xfId="4570"/>
    <cellStyle name="40% - Accent3 8 2 2 4 2" xfId="6346"/>
    <cellStyle name="40% - Accent3 8 2 2 5" xfId="6343"/>
    <cellStyle name="40% - Accent3 8 2 3" xfId="5410"/>
    <cellStyle name="40% - Accent3 8 2 3 2" xfId="6347"/>
    <cellStyle name="40% - Accent3 8 2 4" xfId="5720"/>
    <cellStyle name="40% - Accent3 8 2 4 2" xfId="6348"/>
    <cellStyle name="40% - Accent3 8 2 5" xfId="4569"/>
    <cellStyle name="40% - Accent3 8 2 5 2" xfId="6349"/>
    <cellStyle name="40% - Accent3 8 2 6" xfId="6342"/>
    <cellStyle name="40% - Accent3 8 3" xfId="3840"/>
    <cellStyle name="40% - Accent3 8 3 2" xfId="5412"/>
    <cellStyle name="40% - Accent3 8 3 2 2" xfId="6351"/>
    <cellStyle name="40% - Accent3 8 3 3" xfId="5722"/>
    <cellStyle name="40% - Accent3 8 3 3 2" xfId="6352"/>
    <cellStyle name="40% - Accent3 8 3 4" xfId="4571"/>
    <cellStyle name="40% - Accent3 8 3 4 2" xfId="6353"/>
    <cellStyle name="40% - Accent3 8 3 5" xfId="6350"/>
    <cellStyle name="40% - Accent3 8 4" xfId="5409"/>
    <cellStyle name="40% - Accent3 8 4 2" xfId="6354"/>
    <cellStyle name="40% - Accent3 8 5" xfId="5719"/>
    <cellStyle name="40% - Accent3 8 5 2" xfId="6355"/>
    <cellStyle name="40% - Accent3 8 6" xfId="4568"/>
    <cellStyle name="40% - Accent3 8 6 2" xfId="6356"/>
    <cellStyle name="40% - Accent3 8 7" xfId="6341"/>
    <cellStyle name="40% - Accent3 9" xfId="546"/>
    <cellStyle name="40% - Accent3 9 2" xfId="4572"/>
    <cellStyle name="40% - Accent4 10" xfId="677"/>
    <cellStyle name="40% - Accent4 10 2" xfId="4573"/>
    <cellStyle name="40% - Accent4 11" xfId="678"/>
    <cellStyle name="40% - Accent4 11 2" xfId="4574"/>
    <cellStyle name="40% - Accent4 12" xfId="826"/>
    <cellStyle name="40% - Accent4 13" xfId="827"/>
    <cellStyle name="40% - Accent4 13 2" xfId="3855"/>
    <cellStyle name="40% - Accent4 13 2 2" xfId="6358"/>
    <cellStyle name="40% - Accent4 13 3" xfId="6357"/>
    <cellStyle name="40% - Accent4 14" xfId="940"/>
    <cellStyle name="40% - Accent4 2" xfId="78"/>
    <cellStyle name="40% - Accent4 2 10" xfId="1677"/>
    <cellStyle name="40% - Accent4 2 10 2" xfId="4575"/>
    <cellStyle name="40% - Accent4 2 11" xfId="2012"/>
    <cellStyle name="40% - Accent4 2 11 2" xfId="4576"/>
    <cellStyle name="40% - Accent4 2 12" xfId="2386"/>
    <cellStyle name="40% - Accent4 2 12 2" xfId="4577"/>
    <cellStyle name="40% - Accent4 2 13" xfId="2759"/>
    <cellStyle name="40% - Accent4 2 13 2" xfId="4578"/>
    <cellStyle name="40% - Accent4 2 14" xfId="3133"/>
    <cellStyle name="40% - Accent4 2 14 2" xfId="4579"/>
    <cellStyle name="40% - Accent4 2 15" xfId="3504"/>
    <cellStyle name="40% - Accent4 2 15 2" xfId="4580"/>
    <cellStyle name="40% - Accent4 2 16" xfId="3642"/>
    <cellStyle name="40% - Accent4 2 16 2" xfId="4581"/>
    <cellStyle name="40% - Accent4 2 2" xfId="122"/>
    <cellStyle name="40% - Accent4 2 2 2" xfId="185"/>
    <cellStyle name="40% - Accent4 2 2 3" xfId="349"/>
    <cellStyle name="40% - Accent4 2 2 4" xfId="2171"/>
    <cellStyle name="40% - Accent4 2 2 5" xfId="2545"/>
    <cellStyle name="40% - Accent4 2 2 6" xfId="2917"/>
    <cellStyle name="40% - Accent4 2 2 7" xfId="3289"/>
    <cellStyle name="40% - Accent4 2 2 8" xfId="4582"/>
    <cellStyle name="40% - Accent4 2 3" xfId="287"/>
    <cellStyle name="40% - Accent4 2 3 2" xfId="1347"/>
    <cellStyle name="40% - Accent4 2 4" xfId="395"/>
    <cellStyle name="40% - Accent4 2 5" xfId="547"/>
    <cellStyle name="40% - Accent4 2 6" xfId="679"/>
    <cellStyle name="40% - Accent4 2 7" xfId="680"/>
    <cellStyle name="40% - Accent4 2 8" xfId="828"/>
    <cellStyle name="40% - Accent4 2 8 2" xfId="1406"/>
    <cellStyle name="40% - Accent4 2 9" xfId="941"/>
    <cellStyle name="40% - Accent4 2 9 2" xfId="1443"/>
    <cellStyle name="40% - Accent4 3" xfId="226"/>
    <cellStyle name="40% - Accent4 3 10" xfId="3685"/>
    <cellStyle name="40% - Accent4 3 10 2" xfId="4583"/>
    <cellStyle name="40% - Accent4 3 2" xfId="1458"/>
    <cellStyle name="40% - Accent4 3 2 2" xfId="1837"/>
    <cellStyle name="40% - Accent4 3 2 3" xfId="2212"/>
    <cellStyle name="40% - Accent4 3 2 4" xfId="2586"/>
    <cellStyle name="40% - Accent4 3 2 5" xfId="2958"/>
    <cellStyle name="40% - Accent4 3 2 6" xfId="3330"/>
    <cellStyle name="40% - Accent4 3 2 7" xfId="4584"/>
    <cellStyle name="40% - Accent4 3 3" xfId="1585"/>
    <cellStyle name="40% - Accent4 3 3 2" xfId="1914"/>
    <cellStyle name="40% - Accent4 3 3 3" xfId="2289"/>
    <cellStyle name="40% - Accent4 3 3 4" xfId="2662"/>
    <cellStyle name="40% - Accent4 3 3 5" xfId="3035"/>
    <cellStyle name="40% - Accent4 3 3 6" xfId="3406"/>
    <cellStyle name="40% - Accent4 3 3 7" xfId="4585"/>
    <cellStyle name="40% - Accent4 3 4" xfId="1722"/>
    <cellStyle name="40% - Accent4 3 4 2" xfId="1958"/>
    <cellStyle name="40% - Accent4 3 4 3" xfId="2333"/>
    <cellStyle name="40% - Accent4 3 4 4" xfId="2706"/>
    <cellStyle name="40% - Accent4 3 4 5" xfId="3079"/>
    <cellStyle name="40% - Accent4 3 4 6" xfId="3450"/>
    <cellStyle name="40% - Accent4 3 5" xfId="2057"/>
    <cellStyle name="40% - Accent4 3 6" xfId="2431"/>
    <cellStyle name="40% - Accent4 3 7" xfId="2803"/>
    <cellStyle name="40% - Accent4 3 8" xfId="3174"/>
    <cellStyle name="40% - Accent4 3 9" xfId="3549"/>
    <cellStyle name="40% - Accent4 3 9 2" xfId="4586"/>
    <cellStyle name="40% - Accent4 4" xfId="245"/>
    <cellStyle name="40% - Accent4 4 10" xfId="3729"/>
    <cellStyle name="40% - Accent4 4 10 2" xfId="4588"/>
    <cellStyle name="40% - Accent4 4 11" xfId="1308"/>
    <cellStyle name="40% - Accent4 4 11 2" xfId="4152"/>
    <cellStyle name="40% - Accent4 4 11 2 2" xfId="5415"/>
    <cellStyle name="40% - Accent4 4 11 2 2 2" xfId="6361"/>
    <cellStyle name="40% - Accent4 4 11 2 3" xfId="5725"/>
    <cellStyle name="40% - Accent4 4 11 2 3 2" xfId="6362"/>
    <cellStyle name="40% - Accent4 4 11 2 4" xfId="4590"/>
    <cellStyle name="40% - Accent4 4 11 2 4 2" xfId="6363"/>
    <cellStyle name="40% - Accent4 4 11 2 5" xfId="6360"/>
    <cellStyle name="40% - Accent4 4 11 3" xfId="5414"/>
    <cellStyle name="40% - Accent4 4 11 3 2" xfId="6364"/>
    <cellStyle name="40% - Accent4 4 11 4" xfId="5724"/>
    <cellStyle name="40% - Accent4 4 11 4 2" xfId="6365"/>
    <cellStyle name="40% - Accent4 4 11 5" xfId="4589"/>
    <cellStyle name="40% - Accent4 4 11 5 2" xfId="6366"/>
    <cellStyle name="40% - Accent4 4 11 6" xfId="6359"/>
    <cellStyle name="40% - Accent4 4 12" xfId="4591"/>
    <cellStyle name="40% - Accent4 4 12 2" xfId="5416"/>
    <cellStyle name="40% - Accent4 4 12 2 2" xfId="6368"/>
    <cellStyle name="40% - Accent4 4 12 3" xfId="5726"/>
    <cellStyle name="40% - Accent4 4 12 3 2" xfId="6369"/>
    <cellStyle name="40% - Accent4 4 12 4" xfId="6367"/>
    <cellStyle name="40% - Accent4 4 13" xfId="5413"/>
    <cellStyle name="40% - Accent4 4 13 2" xfId="6370"/>
    <cellStyle name="40% - Accent4 4 14" xfId="5723"/>
    <cellStyle name="40% - Accent4 4 14 2" xfId="6371"/>
    <cellStyle name="40% - Accent4 4 15" xfId="4587"/>
    <cellStyle name="40% - Accent4 4 15 2" xfId="6372"/>
    <cellStyle name="40% - Accent4 4 2" xfId="1503"/>
    <cellStyle name="40% - Accent4 4 2 2" xfId="4592"/>
    <cellStyle name="40% - Accent4 4 3" xfId="1628"/>
    <cellStyle name="40% - Accent4 4 3 2" xfId="4593"/>
    <cellStyle name="40% - Accent4 4 4" xfId="1753"/>
    <cellStyle name="40% - Accent4 4 5" xfId="2088"/>
    <cellStyle name="40% - Accent4 4 6" xfId="2462"/>
    <cellStyle name="40% - Accent4 4 7" xfId="2834"/>
    <cellStyle name="40% - Accent4 4 8" xfId="3205"/>
    <cellStyle name="40% - Accent4 4 9" xfId="3592"/>
    <cellStyle name="40% - Accent4 4 9 2" xfId="4594"/>
    <cellStyle name="40% - Accent4 5" xfId="396"/>
    <cellStyle name="40% - Accent4 5 2" xfId="1767"/>
    <cellStyle name="40% - Accent4 5 3" xfId="2102"/>
    <cellStyle name="40% - Accent4 5 4" xfId="2476"/>
    <cellStyle name="40% - Accent4 5 5" xfId="2848"/>
    <cellStyle name="40% - Accent4 5 6" xfId="3219"/>
    <cellStyle name="40% - Accent4 5 7" xfId="4595"/>
    <cellStyle name="40% - Accent4 6" xfId="397"/>
    <cellStyle name="40% - Accent4 6 10" xfId="5417"/>
    <cellStyle name="40% - Accent4 6 10 2" xfId="6374"/>
    <cellStyle name="40% - Accent4 6 11" xfId="5727"/>
    <cellStyle name="40% - Accent4 6 11 2" xfId="6375"/>
    <cellStyle name="40% - Accent4 6 12" xfId="4596"/>
    <cellStyle name="40% - Accent4 6 12 2" xfId="6376"/>
    <cellStyle name="40% - Accent4 6 13" xfId="6373"/>
    <cellStyle name="40% - Accent4 6 2" xfId="1979"/>
    <cellStyle name="40% - Accent4 6 2 2" xfId="4597"/>
    <cellStyle name="40% - Accent4 6 3" xfId="2354"/>
    <cellStyle name="40% - Accent4 6 3 2" xfId="4598"/>
    <cellStyle name="40% - Accent4 6 4" xfId="2727"/>
    <cellStyle name="40% - Accent4 6 4 2" xfId="4599"/>
    <cellStyle name="40% - Accent4 6 5" xfId="3100"/>
    <cellStyle name="40% - Accent4 6 5 2" xfId="4600"/>
    <cellStyle name="40% - Accent4 6 6" xfId="3471"/>
    <cellStyle name="40% - Accent4 6 6 2" xfId="4601"/>
    <cellStyle name="40% - Accent4 6 7" xfId="3777"/>
    <cellStyle name="40% - Accent4 6 7 2" xfId="4602"/>
    <cellStyle name="40% - Accent4 6 8" xfId="1367"/>
    <cellStyle name="40% - Accent4 6 8 2" xfId="4167"/>
    <cellStyle name="40% - Accent4 6 8 2 2" xfId="5419"/>
    <cellStyle name="40% - Accent4 6 8 2 2 2" xfId="6379"/>
    <cellStyle name="40% - Accent4 6 8 2 3" xfId="5729"/>
    <cellStyle name="40% - Accent4 6 8 2 3 2" xfId="6380"/>
    <cellStyle name="40% - Accent4 6 8 2 4" xfId="4604"/>
    <cellStyle name="40% - Accent4 6 8 2 4 2" xfId="6381"/>
    <cellStyle name="40% - Accent4 6 8 2 5" xfId="6378"/>
    <cellStyle name="40% - Accent4 6 8 3" xfId="5418"/>
    <cellStyle name="40% - Accent4 6 8 3 2" xfId="6382"/>
    <cellStyle name="40% - Accent4 6 8 4" xfId="5728"/>
    <cellStyle name="40% - Accent4 6 8 4 2" xfId="6383"/>
    <cellStyle name="40% - Accent4 6 8 5" xfId="4603"/>
    <cellStyle name="40% - Accent4 6 8 5 2" xfId="6384"/>
    <cellStyle name="40% - Accent4 6 8 6" xfId="6377"/>
    <cellStyle name="40% - Accent4 6 9" xfId="3827"/>
    <cellStyle name="40% - Accent4 6 9 2" xfId="5420"/>
    <cellStyle name="40% - Accent4 6 9 2 2" xfId="6386"/>
    <cellStyle name="40% - Accent4 6 9 3" xfId="5730"/>
    <cellStyle name="40% - Accent4 6 9 3 2" xfId="6387"/>
    <cellStyle name="40% - Accent4 6 9 4" xfId="4605"/>
    <cellStyle name="40% - Accent4 6 9 4 2" xfId="6388"/>
    <cellStyle name="40% - Accent4 6 9 5" xfId="6385"/>
    <cellStyle name="40% - Accent4 7" xfId="398"/>
    <cellStyle name="40% - Accent4 7 2" xfId="4606"/>
    <cellStyle name="40% - Accent4 8" xfId="548"/>
    <cellStyle name="40% - Accent4 8 2" xfId="1380"/>
    <cellStyle name="40% - Accent4 8 2 2" xfId="4180"/>
    <cellStyle name="40% - Accent4 8 2 2 2" xfId="5423"/>
    <cellStyle name="40% - Accent4 8 2 2 2 2" xfId="6392"/>
    <cellStyle name="40% - Accent4 8 2 2 3" xfId="5733"/>
    <cellStyle name="40% - Accent4 8 2 2 3 2" xfId="6393"/>
    <cellStyle name="40% - Accent4 8 2 2 4" xfId="4609"/>
    <cellStyle name="40% - Accent4 8 2 2 4 2" xfId="6394"/>
    <cellStyle name="40% - Accent4 8 2 2 5" xfId="6391"/>
    <cellStyle name="40% - Accent4 8 2 3" xfId="5422"/>
    <cellStyle name="40% - Accent4 8 2 3 2" xfId="6395"/>
    <cellStyle name="40% - Accent4 8 2 4" xfId="5732"/>
    <cellStyle name="40% - Accent4 8 2 4 2" xfId="6396"/>
    <cellStyle name="40% - Accent4 8 2 5" xfId="4608"/>
    <cellStyle name="40% - Accent4 8 2 5 2" xfId="6397"/>
    <cellStyle name="40% - Accent4 8 2 6" xfId="6390"/>
    <cellStyle name="40% - Accent4 8 3" xfId="3841"/>
    <cellStyle name="40% - Accent4 8 3 2" xfId="5424"/>
    <cellStyle name="40% - Accent4 8 3 2 2" xfId="6399"/>
    <cellStyle name="40% - Accent4 8 3 3" xfId="5734"/>
    <cellStyle name="40% - Accent4 8 3 3 2" xfId="6400"/>
    <cellStyle name="40% - Accent4 8 3 4" xfId="4610"/>
    <cellStyle name="40% - Accent4 8 3 4 2" xfId="6401"/>
    <cellStyle name="40% - Accent4 8 3 5" xfId="6398"/>
    <cellStyle name="40% - Accent4 8 4" xfId="5421"/>
    <cellStyle name="40% - Accent4 8 4 2" xfId="6402"/>
    <cellStyle name="40% - Accent4 8 5" xfId="5731"/>
    <cellStyle name="40% - Accent4 8 5 2" xfId="6403"/>
    <cellStyle name="40% - Accent4 8 6" xfId="4607"/>
    <cellStyle name="40% - Accent4 8 6 2" xfId="6404"/>
    <cellStyle name="40% - Accent4 8 7" xfId="6389"/>
    <cellStyle name="40% - Accent4 9" xfId="549"/>
    <cellStyle name="40% - Accent4 9 2" xfId="4611"/>
    <cellStyle name="40% - Accent5 10" xfId="681"/>
    <cellStyle name="40% - Accent5 10 2" xfId="4612"/>
    <cellStyle name="40% - Accent5 11" xfId="682"/>
    <cellStyle name="40% - Accent5 11 2" xfId="4613"/>
    <cellStyle name="40% - Accent5 12" xfId="829"/>
    <cellStyle name="40% - Accent5 13" xfId="830"/>
    <cellStyle name="40% - Accent5 13 2" xfId="3856"/>
    <cellStyle name="40% - Accent5 13 2 2" xfId="6406"/>
    <cellStyle name="40% - Accent5 13 3" xfId="6405"/>
    <cellStyle name="40% - Accent5 14" xfId="942"/>
    <cellStyle name="40% - Accent5 2" xfId="79"/>
    <cellStyle name="40% - Accent5 2 10" xfId="1678"/>
    <cellStyle name="40% - Accent5 2 10 2" xfId="4614"/>
    <cellStyle name="40% - Accent5 2 11" xfId="2013"/>
    <cellStyle name="40% - Accent5 2 11 2" xfId="4615"/>
    <cellStyle name="40% - Accent5 2 12" xfId="2387"/>
    <cellStyle name="40% - Accent5 2 12 2" xfId="4616"/>
    <cellStyle name="40% - Accent5 2 13" xfId="2760"/>
    <cellStyle name="40% - Accent5 2 13 2" xfId="4617"/>
    <cellStyle name="40% - Accent5 2 14" xfId="3134"/>
    <cellStyle name="40% - Accent5 2 14 2" xfId="4618"/>
    <cellStyle name="40% - Accent5 2 15" xfId="3505"/>
    <cellStyle name="40% - Accent5 2 15 2" xfId="4619"/>
    <cellStyle name="40% - Accent5 2 16" xfId="3643"/>
    <cellStyle name="40% - Accent5 2 16 2" xfId="4620"/>
    <cellStyle name="40% - Accent5 2 2" xfId="123"/>
    <cellStyle name="40% - Accent5 2 2 2" xfId="189"/>
    <cellStyle name="40% - Accent5 2 2 3" xfId="353"/>
    <cellStyle name="40% - Accent5 2 2 4" xfId="2175"/>
    <cellStyle name="40% - Accent5 2 2 5" xfId="2549"/>
    <cellStyle name="40% - Accent5 2 2 6" xfId="2921"/>
    <cellStyle name="40% - Accent5 2 2 7" xfId="3293"/>
    <cellStyle name="40% - Accent5 2 2 8" xfId="4621"/>
    <cellStyle name="40% - Accent5 2 3" xfId="288"/>
    <cellStyle name="40% - Accent5 2 3 2" xfId="1351"/>
    <cellStyle name="40% - Accent5 2 4" xfId="399"/>
    <cellStyle name="40% - Accent5 2 5" xfId="550"/>
    <cellStyle name="40% - Accent5 2 6" xfId="683"/>
    <cellStyle name="40% - Accent5 2 7" xfId="684"/>
    <cellStyle name="40% - Accent5 2 8" xfId="831"/>
    <cellStyle name="40% - Accent5 2 8 2" xfId="1407"/>
    <cellStyle name="40% - Accent5 2 9" xfId="943"/>
    <cellStyle name="40% - Accent5 2 9 2" xfId="1442"/>
    <cellStyle name="40% - Accent5 3" xfId="230"/>
    <cellStyle name="40% - Accent5 3 10" xfId="3686"/>
    <cellStyle name="40% - Accent5 3 10 2" xfId="4622"/>
    <cellStyle name="40% - Accent5 3 2" xfId="1459"/>
    <cellStyle name="40% - Accent5 3 2 2" xfId="1841"/>
    <cellStyle name="40% - Accent5 3 2 3" xfId="2216"/>
    <cellStyle name="40% - Accent5 3 2 4" xfId="2590"/>
    <cellStyle name="40% - Accent5 3 2 5" xfId="2962"/>
    <cellStyle name="40% - Accent5 3 2 6" xfId="3334"/>
    <cellStyle name="40% - Accent5 3 2 7" xfId="4623"/>
    <cellStyle name="40% - Accent5 3 3" xfId="1586"/>
    <cellStyle name="40% - Accent5 3 3 2" xfId="1918"/>
    <cellStyle name="40% - Accent5 3 3 3" xfId="2293"/>
    <cellStyle name="40% - Accent5 3 3 4" xfId="2666"/>
    <cellStyle name="40% - Accent5 3 3 5" xfId="3039"/>
    <cellStyle name="40% - Accent5 3 3 6" xfId="3410"/>
    <cellStyle name="40% - Accent5 3 3 7" xfId="4624"/>
    <cellStyle name="40% - Accent5 3 4" xfId="1723"/>
    <cellStyle name="40% - Accent5 3 4 2" xfId="1962"/>
    <cellStyle name="40% - Accent5 3 4 3" xfId="2337"/>
    <cellStyle name="40% - Accent5 3 4 4" xfId="2710"/>
    <cellStyle name="40% - Accent5 3 4 5" xfId="3083"/>
    <cellStyle name="40% - Accent5 3 4 6" xfId="3454"/>
    <cellStyle name="40% - Accent5 3 5" xfId="2058"/>
    <cellStyle name="40% - Accent5 3 6" xfId="2432"/>
    <cellStyle name="40% - Accent5 3 7" xfId="2804"/>
    <cellStyle name="40% - Accent5 3 8" xfId="3175"/>
    <cellStyle name="40% - Accent5 3 9" xfId="3550"/>
    <cellStyle name="40% - Accent5 3 9 2" xfId="4625"/>
    <cellStyle name="40% - Accent5 4" xfId="246"/>
    <cellStyle name="40% - Accent5 4 10" xfId="3730"/>
    <cellStyle name="40% - Accent5 4 10 2" xfId="4627"/>
    <cellStyle name="40% - Accent5 4 11" xfId="1312"/>
    <cellStyle name="40% - Accent5 4 11 2" xfId="4154"/>
    <cellStyle name="40% - Accent5 4 11 2 2" xfId="5427"/>
    <cellStyle name="40% - Accent5 4 11 2 2 2" xfId="6409"/>
    <cellStyle name="40% - Accent5 4 11 2 3" xfId="5737"/>
    <cellStyle name="40% - Accent5 4 11 2 3 2" xfId="6410"/>
    <cellStyle name="40% - Accent5 4 11 2 4" xfId="4629"/>
    <cellStyle name="40% - Accent5 4 11 2 4 2" xfId="6411"/>
    <cellStyle name="40% - Accent5 4 11 2 5" xfId="6408"/>
    <cellStyle name="40% - Accent5 4 11 3" xfId="5426"/>
    <cellStyle name="40% - Accent5 4 11 3 2" xfId="6412"/>
    <cellStyle name="40% - Accent5 4 11 4" xfId="5736"/>
    <cellStyle name="40% - Accent5 4 11 4 2" xfId="6413"/>
    <cellStyle name="40% - Accent5 4 11 5" xfId="4628"/>
    <cellStyle name="40% - Accent5 4 11 5 2" xfId="6414"/>
    <cellStyle name="40% - Accent5 4 11 6" xfId="6407"/>
    <cellStyle name="40% - Accent5 4 12" xfId="4630"/>
    <cellStyle name="40% - Accent5 4 12 2" xfId="5428"/>
    <cellStyle name="40% - Accent5 4 12 2 2" xfId="6416"/>
    <cellStyle name="40% - Accent5 4 12 3" xfId="5738"/>
    <cellStyle name="40% - Accent5 4 12 3 2" xfId="6417"/>
    <cellStyle name="40% - Accent5 4 12 4" xfId="6415"/>
    <cellStyle name="40% - Accent5 4 13" xfId="5425"/>
    <cellStyle name="40% - Accent5 4 13 2" xfId="6418"/>
    <cellStyle name="40% - Accent5 4 14" xfId="5735"/>
    <cellStyle name="40% - Accent5 4 14 2" xfId="6419"/>
    <cellStyle name="40% - Accent5 4 15" xfId="4626"/>
    <cellStyle name="40% - Accent5 4 15 2" xfId="6420"/>
    <cellStyle name="40% - Accent5 4 2" xfId="1504"/>
    <cellStyle name="40% - Accent5 4 2 2" xfId="4631"/>
    <cellStyle name="40% - Accent5 4 3" xfId="1629"/>
    <cellStyle name="40% - Accent5 4 3 2" xfId="4632"/>
    <cellStyle name="40% - Accent5 4 4" xfId="1752"/>
    <cellStyle name="40% - Accent5 4 5" xfId="2087"/>
    <cellStyle name="40% - Accent5 4 6" xfId="2461"/>
    <cellStyle name="40% - Accent5 4 7" xfId="2833"/>
    <cellStyle name="40% - Accent5 4 8" xfId="3204"/>
    <cellStyle name="40% - Accent5 4 9" xfId="3593"/>
    <cellStyle name="40% - Accent5 4 9 2" xfId="4633"/>
    <cellStyle name="40% - Accent5 5" xfId="400"/>
    <cellStyle name="40% - Accent5 5 2" xfId="1876"/>
    <cellStyle name="40% - Accent5 5 3" xfId="2251"/>
    <cellStyle name="40% - Accent5 5 4" xfId="2625"/>
    <cellStyle name="40% - Accent5 5 5" xfId="2997"/>
    <cellStyle name="40% - Accent5 5 6" xfId="3369"/>
    <cellStyle name="40% - Accent5 5 7" xfId="4634"/>
    <cellStyle name="40% - Accent5 6" xfId="401"/>
    <cellStyle name="40% - Accent5 6 10" xfId="5429"/>
    <cellStyle name="40% - Accent5 6 10 2" xfId="6422"/>
    <cellStyle name="40% - Accent5 6 11" xfId="5739"/>
    <cellStyle name="40% - Accent5 6 11 2" xfId="6423"/>
    <cellStyle name="40% - Accent5 6 12" xfId="4635"/>
    <cellStyle name="40% - Accent5 6 12 2" xfId="6424"/>
    <cellStyle name="40% - Accent5 6 13" xfId="6421"/>
    <cellStyle name="40% - Accent5 6 2" xfId="1980"/>
    <cellStyle name="40% - Accent5 6 2 2" xfId="4636"/>
    <cellStyle name="40% - Accent5 6 3" xfId="2355"/>
    <cellStyle name="40% - Accent5 6 3 2" xfId="4637"/>
    <cellStyle name="40% - Accent5 6 4" xfId="2728"/>
    <cellStyle name="40% - Accent5 6 4 2" xfId="4638"/>
    <cellStyle name="40% - Accent5 6 5" xfId="3101"/>
    <cellStyle name="40% - Accent5 6 5 2" xfId="4639"/>
    <cellStyle name="40% - Accent5 6 6" xfId="3472"/>
    <cellStyle name="40% - Accent5 6 6 2" xfId="4640"/>
    <cellStyle name="40% - Accent5 6 7" xfId="3778"/>
    <cellStyle name="40% - Accent5 6 7 2" xfId="4641"/>
    <cellStyle name="40% - Accent5 6 8" xfId="1369"/>
    <cellStyle name="40% - Accent5 6 8 2" xfId="4169"/>
    <cellStyle name="40% - Accent5 6 8 2 2" xfId="5431"/>
    <cellStyle name="40% - Accent5 6 8 2 2 2" xfId="6427"/>
    <cellStyle name="40% - Accent5 6 8 2 3" xfId="5741"/>
    <cellStyle name="40% - Accent5 6 8 2 3 2" xfId="6428"/>
    <cellStyle name="40% - Accent5 6 8 2 4" xfId="4643"/>
    <cellStyle name="40% - Accent5 6 8 2 4 2" xfId="6429"/>
    <cellStyle name="40% - Accent5 6 8 2 5" xfId="6426"/>
    <cellStyle name="40% - Accent5 6 8 3" xfId="5430"/>
    <cellStyle name="40% - Accent5 6 8 3 2" xfId="6430"/>
    <cellStyle name="40% - Accent5 6 8 4" xfId="5740"/>
    <cellStyle name="40% - Accent5 6 8 4 2" xfId="6431"/>
    <cellStyle name="40% - Accent5 6 8 5" xfId="4642"/>
    <cellStyle name="40% - Accent5 6 8 5 2" xfId="6432"/>
    <cellStyle name="40% - Accent5 6 8 6" xfId="6425"/>
    <cellStyle name="40% - Accent5 6 9" xfId="3828"/>
    <cellStyle name="40% - Accent5 6 9 2" xfId="5432"/>
    <cellStyle name="40% - Accent5 6 9 2 2" xfId="6434"/>
    <cellStyle name="40% - Accent5 6 9 3" xfId="5742"/>
    <cellStyle name="40% - Accent5 6 9 3 2" xfId="6435"/>
    <cellStyle name="40% - Accent5 6 9 4" xfId="4644"/>
    <cellStyle name="40% - Accent5 6 9 4 2" xfId="6436"/>
    <cellStyle name="40% - Accent5 6 9 5" xfId="6433"/>
    <cellStyle name="40% - Accent5 7" xfId="402"/>
    <cellStyle name="40% - Accent5 7 2" xfId="4645"/>
    <cellStyle name="40% - Accent5 8" xfId="551"/>
    <cellStyle name="40% - Accent5 8 2" xfId="1382"/>
    <cellStyle name="40% - Accent5 8 2 2" xfId="4182"/>
    <cellStyle name="40% - Accent5 8 2 2 2" xfId="5435"/>
    <cellStyle name="40% - Accent5 8 2 2 2 2" xfId="6440"/>
    <cellStyle name="40% - Accent5 8 2 2 3" xfId="5745"/>
    <cellStyle name="40% - Accent5 8 2 2 3 2" xfId="6441"/>
    <cellStyle name="40% - Accent5 8 2 2 4" xfId="4648"/>
    <cellStyle name="40% - Accent5 8 2 2 4 2" xfId="6442"/>
    <cellStyle name="40% - Accent5 8 2 2 5" xfId="6439"/>
    <cellStyle name="40% - Accent5 8 2 3" xfId="5434"/>
    <cellStyle name="40% - Accent5 8 2 3 2" xfId="6443"/>
    <cellStyle name="40% - Accent5 8 2 4" xfId="5744"/>
    <cellStyle name="40% - Accent5 8 2 4 2" xfId="6444"/>
    <cellStyle name="40% - Accent5 8 2 5" xfId="4647"/>
    <cellStyle name="40% - Accent5 8 2 5 2" xfId="6445"/>
    <cellStyle name="40% - Accent5 8 2 6" xfId="6438"/>
    <cellStyle name="40% - Accent5 8 3" xfId="3842"/>
    <cellStyle name="40% - Accent5 8 3 2" xfId="5436"/>
    <cellStyle name="40% - Accent5 8 3 2 2" xfId="6447"/>
    <cellStyle name="40% - Accent5 8 3 3" xfId="5746"/>
    <cellStyle name="40% - Accent5 8 3 3 2" xfId="6448"/>
    <cellStyle name="40% - Accent5 8 3 4" xfId="4649"/>
    <cellStyle name="40% - Accent5 8 3 4 2" xfId="6449"/>
    <cellStyle name="40% - Accent5 8 3 5" xfId="6446"/>
    <cellStyle name="40% - Accent5 8 4" xfId="5433"/>
    <cellStyle name="40% - Accent5 8 4 2" xfId="6450"/>
    <cellStyle name="40% - Accent5 8 5" xfId="5743"/>
    <cellStyle name="40% - Accent5 8 5 2" xfId="6451"/>
    <cellStyle name="40% - Accent5 8 6" xfId="4646"/>
    <cellStyle name="40% - Accent5 8 6 2" xfId="6452"/>
    <cellStyle name="40% - Accent5 8 7" xfId="6437"/>
    <cellStyle name="40% - Accent5 9" xfId="552"/>
    <cellStyle name="40% - Accent5 9 2" xfId="4650"/>
    <cellStyle name="40% - Accent6 10" xfId="685"/>
    <cellStyle name="40% - Accent6 10 2" xfId="4651"/>
    <cellStyle name="40% - Accent6 11" xfId="686"/>
    <cellStyle name="40% - Accent6 11 2" xfId="4652"/>
    <cellStyle name="40% - Accent6 12" xfId="832"/>
    <cellStyle name="40% - Accent6 13" xfId="833"/>
    <cellStyle name="40% - Accent6 13 2" xfId="3857"/>
    <cellStyle name="40% - Accent6 13 2 2" xfId="6454"/>
    <cellStyle name="40% - Accent6 13 3" xfId="6453"/>
    <cellStyle name="40% - Accent6 14" xfId="944"/>
    <cellStyle name="40% - Accent6 2" xfId="80"/>
    <cellStyle name="40% - Accent6 2 10" xfId="1679"/>
    <cellStyle name="40% - Accent6 2 10 2" xfId="4653"/>
    <cellStyle name="40% - Accent6 2 11" xfId="2014"/>
    <cellStyle name="40% - Accent6 2 11 2" xfId="4654"/>
    <cellStyle name="40% - Accent6 2 12" xfId="2388"/>
    <cellStyle name="40% - Accent6 2 12 2" xfId="4655"/>
    <cellStyle name="40% - Accent6 2 13" xfId="2761"/>
    <cellStyle name="40% - Accent6 2 13 2" xfId="4656"/>
    <cellStyle name="40% - Accent6 2 14" xfId="3135"/>
    <cellStyle name="40% - Accent6 2 14 2" xfId="4657"/>
    <cellStyle name="40% - Accent6 2 15" xfId="3506"/>
    <cellStyle name="40% - Accent6 2 15 2" xfId="4658"/>
    <cellStyle name="40% - Accent6 2 16" xfId="3644"/>
    <cellStyle name="40% - Accent6 2 16 2" xfId="4659"/>
    <cellStyle name="40% - Accent6 2 2" xfId="124"/>
    <cellStyle name="40% - Accent6 2 2 2" xfId="193"/>
    <cellStyle name="40% - Accent6 2 2 3" xfId="357"/>
    <cellStyle name="40% - Accent6 2 2 4" xfId="2179"/>
    <cellStyle name="40% - Accent6 2 2 5" xfId="2553"/>
    <cellStyle name="40% - Accent6 2 2 6" xfId="2925"/>
    <cellStyle name="40% - Accent6 2 2 7" xfId="3297"/>
    <cellStyle name="40% - Accent6 2 2 8" xfId="4660"/>
    <cellStyle name="40% - Accent6 2 3" xfId="289"/>
    <cellStyle name="40% - Accent6 2 3 2" xfId="1355"/>
    <cellStyle name="40% - Accent6 2 4" xfId="403"/>
    <cellStyle name="40% - Accent6 2 5" xfId="553"/>
    <cellStyle name="40% - Accent6 2 6" xfId="687"/>
    <cellStyle name="40% - Accent6 2 7" xfId="688"/>
    <cellStyle name="40% - Accent6 2 8" xfId="834"/>
    <cellStyle name="40% - Accent6 2 8 2" xfId="1408"/>
    <cellStyle name="40% - Accent6 2 9" xfId="945"/>
    <cellStyle name="40% - Accent6 2 9 2" xfId="1440"/>
    <cellStyle name="40% - Accent6 3" xfId="234"/>
    <cellStyle name="40% - Accent6 3 10" xfId="3687"/>
    <cellStyle name="40% - Accent6 3 10 2" xfId="4661"/>
    <cellStyle name="40% - Accent6 3 2" xfId="1460"/>
    <cellStyle name="40% - Accent6 3 2 2" xfId="1845"/>
    <cellStyle name="40% - Accent6 3 2 3" xfId="2220"/>
    <cellStyle name="40% - Accent6 3 2 4" xfId="2594"/>
    <cellStyle name="40% - Accent6 3 2 5" xfId="2966"/>
    <cellStyle name="40% - Accent6 3 2 6" xfId="3338"/>
    <cellStyle name="40% - Accent6 3 2 7" xfId="4662"/>
    <cellStyle name="40% - Accent6 3 3" xfId="1587"/>
    <cellStyle name="40% - Accent6 3 3 2" xfId="1922"/>
    <cellStyle name="40% - Accent6 3 3 3" xfId="2297"/>
    <cellStyle name="40% - Accent6 3 3 4" xfId="2670"/>
    <cellStyle name="40% - Accent6 3 3 5" xfId="3043"/>
    <cellStyle name="40% - Accent6 3 3 6" xfId="3414"/>
    <cellStyle name="40% - Accent6 3 3 7" xfId="4663"/>
    <cellStyle name="40% - Accent6 3 4" xfId="1724"/>
    <cellStyle name="40% - Accent6 3 4 2" xfId="1966"/>
    <cellStyle name="40% - Accent6 3 4 3" xfId="2341"/>
    <cellStyle name="40% - Accent6 3 4 4" xfId="2714"/>
    <cellStyle name="40% - Accent6 3 4 5" xfId="3087"/>
    <cellStyle name="40% - Accent6 3 4 6" xfId="3458"/>
    <cellStyle name="40% - Accent6 3 5" xfId="2059"/>
    <cellStyle name="40% - Accent6 3 6" xfId="2433"/>
    <cellStyle name="40% - Accent6 3 7" xfId="2805"/>
    <cellStyle name="40% - Accent6 3 8" xfId="3176"/>
    <cellStyle name="40% - Accent6 3 9" xfId="3551"/>
    <cellStyle name="40% - Accent6 3 9 2" xfId="4664"/>
    <cellStyle name="40% - Accent6 4" xfId="247"/>
    <cellStyle name="40% - Accent6 4 10" xfId="3731"/>
    <cellStyle name="40% - Accent6 4 10 2" xfId="4666"/>
    <cellStyle name="40% - Accent6 4 11" xfId="1316"/>
    <cellStyle name="40% - Accent6 4 11 2" xfId="4156"/>
    <cellStyle name="40% - Accent6 4 11 2 2" xfId="5439"/>
    <cellStyle name="40% - Accent6 4 11 2 2 2" xfId="6457"/>
    <cellStyle name="40% - Accent6 4 11 2 3" xfId="5749"/>
    <cellStyle name="40% - Accent6 4 11 2 3 2" xfId="6458"/>
    <cellStyle name="40% - Accent6 4 11 2 4" xfId="4668"/>
    <cellStyle name="40% - Accent6 4 11 2 4 2" xfId="6459"/>
    <cellStyle name="40% - Accent6 4 11 2 5" xfId="6456"/>
    <cellStyle name="40% - Accent6 4 11 3" xfId="5438"/>
    <cellStyle name="40% - Accent6 4 11 3 2" xfId="6460"/>
    <cellStyle name="40% - Accent6 4 11 4" xfId="5748"/>
    <cellStyle name="40% - Accent6 4 11 4 2" xfId="6461"/>
    <cellStyle name="40% - Accent6 4 11 5" xfId="4667"/>
    <cellStyle name="40% - Accent6 4 11 5 2" xfId="6462"/>
    <cellStyle name="40% - Accent6 4 11 6" xfId="6455"/>
    <cellStyle name="40% - Accent6 4 12" xfId="4669"/>
    <cellStyle name="40% - Accent6 4 12 2" xfId="5440"/>
    <cellStyle name="40% - Accent6 4 12 2 2" xfId="6464"/>
    <cellStyle name="40% - Accent6 4 12 3" xfId="5750"/>
    <cellStyle name="40% - Accent6 4 12 3 2" xfId="6465"/>
    <cellStyle name="40% - Accent6 4 12 4" xfId="6463"/>
    <cellStyle name="40% - Accent6 4 13" xfId="5437"/>
    <cellStyle name="40% - Accent6 4 13 2" xfId="6466"/>
    <cellStyle name="40% - Accent6 4 14" xfId="5747"/>
    <cellStyle name="40% - Accent6 4 14 2" xfId="6467"/>
    <cellStyle name="40% - Accent6 4 15" xfId="4665"/>
    <cellStyle name="40% - Accent6 4 15 2" xfId="6468"/>
    <cellStyle name="40% - Accent6 4 2" xfId="1505"/>
    <cellStyle name="40% - Accent6 4 2 2" xfId="4670"/>
    <cellStyle name="40% - Accent6 4 3" xfId="1630"/>
    <cellStyle name="40% - Accent6 4 3 2" xfId="4671"/>
    <cellStyle name="40% - Accent6 4 4" xfId="1797"/>
    <cellStyle name="40% - Accent6 4 5" xfId="2133"/>
    <cellStyle name="40% - Accent6 4 6" xfId="2507"/>
    <cellStyle name="40% - Accent6 4 7" xfId="2879"/>
    <cellStyle name="40% - Accent6 4 8" xfId="3250"/>
    <cellStyle name="40% - Accent6 4 9" xfId="3594"/>
    <cellStyle name="40% - Accent6 4 9 2" xfId="4672"/>
    <cellStyle name="40% - Accent6 5" xfId="404"/>
    <cellStyle name="40% - Accent6 5 2" xfId="1860"/>
    <cellStyle name="40% - Accent6 5 3" xfId="2235"/>
    <cellStyle name="40% - Accent6 5 4" xfId="2609"/>
    <cellStyle name="40% - Accent6 5 5" xfId="2981"/>
    <cellStyle name="40% - Accent6 5 6" xfId="3353"/>
    <cellStyle name="40% - Accent6 5 7" xfId="4673"/>
    <cellStyle name="40% - Accent6 6" xfId="405"/>
    <cellStyle name="40% - Accent6 6 10" xfId="5441"/>
    <cellStyle name="40% - Accent6 6 10 2" xfId="6470"/>
    <cellStyle name="40% - Accent6 6 11" xfId="5751"/>
    <cellStyle name="40% - Accent6 6 11 2" xfId="6471"/>
    <cellStyle name="40% - Accent6 6 12" xfId="4674"/>
    <cellStyle name="40% - Accent6 6 12 2" xfId="6472"/>
    <cellStyle name="40% - Accent6 6 13" xfId="6469"/>
    <cellStyle name="40% - Accent6 6 2" xfId="1981"/>
    <cellStyle name="40% - Accent6 6 2 2" xfId="4675"/>
    <cellStyle name="40% - Accent6 6 3" xfId="2356"/>
    <cellStyle name="40% - Accent6 6 3 2" xfId="4676"/>
    <cellStyle name="40% - Accent6 6 4" xfId="2729"/>
    <cellStyle name="40% - Accent6 6 4 2" xfId="4677"/>
    <cellStyle name="40% - Accent6 6 5" xfId="3102"/>
    <cellStyle name="40% - Accent6 6 5 2" xfId="4678"/>
    <cellStyle name="40% - Accent6 6 6" xfId="3473"/>
    <cellStyle name="40% - Accent6 6 6 2" xfId="4679"/>
    <cellStyle name="40% - Accent6 6 7" xfId="3779"/>
    <cellStyle name="40% - Accent6 6 7 2" xfId="4680"/>
    <cellStyle name="40% - Accent6 6 8" xfId="1365"/>
    <cellStyle name="40% - Accent6 6 8 2" xfId="4165"/>
    <cellStyle name="40% - Accent6 6 8 2 2" xfId="5443"/>
    <cellStyle name="40% - Accent6 6 8 2 2 2" xfId="6475"/>
    <cellStyle name="40% - Accent6 6 8 2 3" xfId="5753"/>
    <cellStyle name="40% - Accent6 6 8 2 3 2" xfId="6476"/>
    <cellStyle name="40% - Accent6 6 8 2 4" xfId="4682"/>
    <cellStyle name="40% - Accent6 6 8 2 4 2" xfId="6477"/>
    <cellStyle name="40% - Accent6 6 8 2 5" xfId="6474"/>
    <cellStyle name="40% - Accent6 6 8 3" xfId="5442"/>
    <cellStyle name="40% - Accent6 6 8 3 2" xfId="6478"/>
    <cellStyle name="40% - Accent6 6 8 4" xfId="5752"/>
    <cellStyle name="40% - Accent6 6 8 4 2" xfId="6479"/>
    <cellStyle name="40% - Accent6 6 8 5" xfId="4681"/>
    <cellStyle name="40% - Accent6 6 8 5 2" xfId="6480"/>
    <cellStyle name="40% - Accent6 6 8 6" xfId="6473"/>
    <cellStyle name="40% - Accent6 6 9" xfId="3829"/>
    <cellStyle name="40% - Accent6 6 9 2" xfId="5444"/>
    <cellStyle name="40% - Accent6 6 9 2 2" xfId="6482"/>
    <cellStyle name="40% - Accent6 6 9 3" xfId="5754"/>
    <cellStyle name="40% - Accent6 6 9 3 2" xfId="6483"/>
    <cellStyle name="40% - Accent6 6 9 4" xfId="4683"/>
    <cellStyle name="40% - Accent6 6 9 4 2" xfId="6484"/>
    <cellStyle name="40% - Accent6 6 9 5" xfId="6481"/>
    <cellStyle name="40% - Accent6 7" xfId="406"/>
    <cellStyle name="40% - Accent6 7 2" xfId="4684"/>
    <cellStyle name="40% - Accent6 8" xfId="554"/>
    <cellStyle name="40% - Accent6 8 2" xfId="1384"/>
    <cellStyle name="40% - Accent6 8 2 2" xfId="4184"/>
    <cellStyle name="40% - Accent6 8 2 2 2" xfId="5447"/>
    <cellStyle name="40% - Accent6 8 2 2 2 2" xfId="6488"/>
    <cellStyle name="40% - Accent6 8 2 2 3" xfId="5757"/>
    <cellStyle name="40% - Accent6 8 2 2 3 2" xfId="6489"/>
    <cellStyle name="40% - Accent6 8 2 2 4" xfId="4687"/>
    <cellStyle name="40% - Accent6 8 2 2 4 2" xfId="6490"/>
    <cellStyle name="40% - Accent6 8 2 2 5" xfId="6487"/>
    <cellStyle name="40% - Accent6 8 2 3" xfId="5446"/>
    <cellStyle name="40% - Accent6 8 2 3 2" xfId="6491"/>
    <cellStyle name="40% - Accent6 8 2 4" xfId="5756"/>
    <cellStyle name="40% - Accent6 8 2 4 2" xfId="6492"/>
    <cellStyle name="40% - Accent6 8 2 5" xfId="4686"/>
    <cellStyle name="40% - Accent6 8 2 5 2" xfId="6493"/>
    <cellStyle name="40% - Accent6 8 2 6" xfId="6486"/>
    <cellStyle name="40% - Accent6 8 3" xfId="3843"/>
    <cellStyle name="40% - Accent6 8 3 2" xfId="5448"/>
    <cellStyle name="40% - Accent6 8 3 2 2" xfId="6495"/>
    <cellStyle name="40% - Accent6 8 3 3" xfId="5758"/>
    <cellStyle name="40% - Accent6 8 3 3 2" xfId="6496"/>
    <cellStyle name="40% - Accent6 8 3 4" xfId="4688"/>
    <cellStyle name="40% - Accent6 8 3 4 2" xfId="6497"/>
    <cellStyle name="40% - Accent6 8 3 5" xfId="6494"/>
    <cellStyle name="40% - Accent6 8 4" xfId="5445"/>
    <cellStyle name="40% - Accent6 8 4 2" xfId="6498"/>
    <cellStyle name="40% - Accent6 8 5" xfId="5755"/>
    <cellStyle name="40% - Accent6 8 5 2" xfId="6499"/>
    <cellStyle name="40% - Accent6 8 6" xfId="4685"/>
    <cellStyle name="40% - Accent6 8 6 2" xfId="6500"/>
    <cellStyle name="40% - Accent6 8 7" xfId="6485"/>
    <cellStyle name="40% - Accent6 9" xfId="555"/>
    <cellStyle name="40% - Accent6 9 2" xfId="4689"/>
    <cellStyle name="60% - Accent1 10" xfId="689"/>
    <cellStyle name="60% - Accent1 11" xfId="690"/>
    <cellStyle name="60% - Accent1 12" xfId="835"/>
    <cellStyle name="60% - Accent1 13" xfId="836"/>
    <cellStyle name="60% - Accent1 14" xfId="946"/>
    <cellStyle name="60% - Accent1 2" xfId="81"/>
    <cellStyle name="60% - Accent1 2 10" xfId="1680"/>
    <cellStyle name="60% - Accent1 2 11" xfId="2015"/>
    <cellStyle name="60% - Accent1 2 12" xfId="2389"/>
    <cellStyle name="60% - Accent1 2 13" xfId="2762"/>
    <cellStyle name="60% - Accent1 2 14" xfId="3136"/>
    <cellStyle name="60% - Accent1 2 15" xfId="3507"/>
    <cellStyle name="60% - Accent1 2 16" xfId="3645"/>
    <cellStyle name="60% - Accent1 2 2" xfId="125"/>
    <cellStyle name="60% - Accent1 2 2 2" xfId="174"/>
    <cellStyle name="60% - Accent1 2 2 3" xfId="338"/>
    <cellStyle name="60% - Accent1 2 2 4" xfId="2160"/>
    <cellStyle name="60% - Accent1 2 2 5" xfId="2534"/>
    <cellStyle name="60% - Accent1 2 2 6" xfId="2906"/>
    <cellStyle name="60% - Accent1 2 2 7" xfId="3278"/>
    <cellStyle name="60% - Accent1 2 3" xfId="290"/>
    <cellStyle name="60% - Accent1 2 3 2" xfId="1336"/>
    <cellStyle name="60% - Accent1 2 4" xfId="407"/>
    <cellStyle name="60% - Accent1 2 5" xfId="556"/>
    <cellStyle name="60% - Accent1 2 6" xfId="691"/>
    <cellStyle name="60% - Accent1 2 7" xfId="692"/>
    <cellStyle name="60% - Accent1 2 8" xfId="837"/>
    <cellStyle name="60% - Accent1 2 8 2" xfId="1409"/>
    <cellStyle name="60% - Accent1 2 9" xfId="947"/>
    <cellStyle name="60% - Accent1 2 9 2" xfId="1438"/>
    <cellStyle name="60% - Accent1 3" xfId="215"/>
    <cellStyle name="60% - Accent1 3 10" xfId="3688"/>
    <cellStyle name="60% - Accent1 3 2" xfId="1461"/>
    <cellStyle name="60% - Accent1 3 2 2" xfId="1826"/>
    <cellStyle name="60% - Accent1 3 2 3" xfId="2201"/>
    <cellStyle name="60% - Accent1 3 2 4" xfId="2575"/>
    <cellStyle name="60% - Accent1 3 2 5" xfId="2947"/>
    <cellStyle name="60% - Accent1 3 2 6" xfId="3319"/>
    <cellStyle name="60% - Accent1 3 3" xfId="1588"/>
    <cellStyle name="60% - Accent1 3 3 2" xfId="1903"/>
    <cellStyle name="60% - Accent1 3 3 3" xfId="2278"/>
    <cellStyle name="60% - Accent1 3 3 4" xfId="2651"/>
    <cellStyle name="60% - Accent1 3 3 5" xfId="3024"/>
    <cellStyle name="60% - Accent1 3 3 6" xfId="3395"/>
    <cellStyle name="60% - Accent1 3 4" xfId="1725"/>
    <cellStyle name="60% - Accent1 3 4 2" xfId="1947"/>
    <cellStyle name="60% - Accent1 3 4 3" xfId="2322"/>
    <cellStyle name="60% - Accent1 3 4 4" xfId="2695"/>
    <cellStyle name="60% - Accent1 3 4 5" xfId="3068"/>
    <cellStyle name="60% - Accent1 3 4 6" xfId="3439"/>
    <cellStyle name="60% - Accent1 3 5" xfId="2060"/>
    <cellStyle name="60% - Accent1 3 6" xfId="2434"/>
    <cellStyle name="60% - Accent1 3 7" xfId="2806"/>
    <cellStyle name="60% - Accent1 3 8" xfId="3177"/>
    <cellStyle name="60% - Accent1 3 9" xfId="3552"/>
    <cellStyle name="60% - Accent1 4" xfId="248"/>
    <cellStyle name="60% - Accent1 4 10" xfId="3732"/>
    <cellStyle name="60% - Accent1 4 11" xfId="1297"/>
    <cellStyle name="60% - Accent1 4 2" xfId="1506"/>
    <cellStyle name="60% - Accent1 4 3" xfId="1631"/>
    <cellStyle name="60% - Accent1 4 4" xfId="1796"/>
    <cellStyle name="60% - Accent1 4 5" xfId="2132"/>
    <cellStyle name="60% - Accent1 4 6" xfId="2506"/>
    <cellStyle name="60% - Accent1 4 7" xfId="2878"/>
    <cellStyle name="60% - Accent1 4 8" xfId="3249"/>
    <cellStyle name="60% - Accent1 4 9" xfId="3595"/>
    <cellStyle name="60% - Accent1 5" xfId="408"/>
    <cellStyle name="60% - Accent1 5 2" xfId="1770"/>
    <cellStyle name="60% - Accent1 5 3" xfId="2105"/>
    <cellStyle name="60% - Accent1 5 4" xfId="2479"/>
    <cellStyle name="60% - Accent1 5 5" xfId="2851"/>
    <cellStyle name="60% - Accent1 5 6" xfId="3222"/>
    <cellStyle name="60% - Accent1 6" xfId="409"/>
    <cellStyle name="60% - Accent1 6 2" xfId="1982"/>
    <cellStyle name="60% - Accent1 6 3" xfId="2357"/>
    <cellStyle name="60% - Accent1 6 4" xfId="2730"/>
    <cellStyle name="60% - Accent1 6 5" xfId="3103"/>
    <cellStyle name="60% - Accent1 6 6" xfId="3474"/>
    <cellStyle name="60% - Accent1 6 7" xfId="3780"/>
    <cellStyle name="60% - Accent1 7" xfId="410"/>
    <cellStyle name="60% - Accent1 8" xfId="557"/>
    <cellStyle name="60% - Accent1 9" xfId="558"/>
    <cellStyle name="60% - Accent2 10" xfId="693"/>
    <cellStyle name="60% - Accent2 11" xfId="694"/>
    <cellStyle name="60% - Accent2 12" xfId="838"/>
    <cellStyle name="60% - Accent2 13" xfId="839"/>
    <cellStyle name="60% - Accent2 14" xfId="948"/>
    <cellStyle name="60% - Accent2 2" xfId="82"/>
    <cellStyle name="60% - Accent2 2 10" xfId="1681"/>
    <cellStyle name="60% - Accent2 2 11" xfId="2016"/>
    <cellStyle name="60% - Accent2 2 12" xfId="2390"/>
    <cellStyle name="60% - Accent2 2 13" xfId="2763"/>
    <cellStyle name="60% - Accent2 2 14" xfId="3137"/>
    <cellStyle name="60% - Accent2 2 15" xfId="3508"/>
    <cellStyle name="60% - Accent2 2 16" xfId="3646"/>
    <cellStyle name="60% - Accent2 2 2" xfId="126"/>
    <cellStyle name="60% - Accent2 2 2 2" xfId="178"/>
    <cellStyle name="60% - Accent2 2 2 3" xfId="342"/>
    <cellStyle name="60% - Accent2 2 2 4" xfId="2164"/>
    <cellStyle name="60% - Accent2 2 2 5" xfId="2538"/>
    <cellStyle name="60% - Accent2 2 2 6" xfId="2910"/>
    <cellStyle name="60% - Accent2 2 2 7" xfId="3282"/>
    <cellStyle name="60% - Accent2 2 3" xfId="291"/>
    <cellStyle name="60% - Accent2 2 3 2" xfId="1340"/>
    <cellStyle name="60% - Accent2 2 4" xfId="411"/>
    <cellStyle name="60% - Accent2 2 5" xfId="559"/>
    <cellStyle name="60% - Accent2 2 6" xfId="695"/>
    <cellStyle name="60% - Accent2 2 7" xfId="696"/>
    <cellStyle name="60% - Accent2 2 8" xfId="840"/>
    <cellStyle name="60% - Accent2 2 8 2" xfId="1410"/>
    <cellStyle name="60% - Accent2 2 9" xfId="949"/>
    <cellStyle name="60% - Accent2 2 9 2" xfId="1568"/>
    <cellStyle name="60% - Accent2 3" xfId="219"/>
    <cellStyle name="60% - Accent2 3 10" xfId="3689"/>
    <cellStyle name="60% - Accent2 3 2" xfId="1462"/>
    <cellStyle name="60% - Accent2 3 2 2" xfId="1830"/>
    <cellStyle name="60% - Accent2 3 2 3" xfId="2205"/>
    <cellStyle name="60% - Accent2 3 2 4" xfId="2579"/>
    <cellStyle name="60% - Accent2 3 2 5" xfId="2951"/>
    <cellStyle name="60% - Accent2 3 2 6" xfId="3323"/>
    <cellStyle name="60% - Accent2 3 3" xfId="1589"/>
    <cellStyle name="60% - Accent2 3 3 2" xfId="1907"/>
    <cellStyle name="60% - Accent2 3 3 3" xfId="2282"/>
    <cellStyle name="60% - Accent2 3 3 4" xfId="2655"/>
    <cellStyle name="60% - Accent2 3 3 5" xfId="3028"/>
    <cellStyle name="60% - Accent2 3 3 6" xfId="3399"/>
    <cellStyle name="60% - Accent2 3 4" xfId="1726"/>
    <cellStyle name="60% - Accent2 3 4 2" xfId="1951"/>
    <cellStyle name="60% - Accent2 3 4 3" xfId="2326"/>
    <cellStyle name="60% - Accent2 3 4 4" xfId="2699"/>
    <cellStyle name="60% - Accent2 3 4 5" xfId="3072"/>
    <cellStyle name="60% - Accent2 3 4 6" xfId="3443"/>
    <cellStyle name="60% - Accent2 3 5" xfId="2061"/>
    <cellStyle name="60% - Accent2 3 6" xfId="2435"/>
    <cellStyle name="60% - Accent2 3 7" xfId="2807"/>
    <cellStyle name="60% - Accent2 3 8" xfId="3178"/>
    <cellStyle name="60% - Accent2 3 9" xfId="3553"/>
    <cellStyle name="60% - Accent2 4" xfId="249"/>
    <cellStyle name="60% - Accent2 4 10" xfId="3733"/>
    <cellStyle name="60% - Accent2 4 11" xfId="1301"/>
    <cellStyle name="60% - Accent2 4 2" xfId="1507"/>
    <cellStyle name="60% - Accent2 4 3" xfId="1632"/>
    <cellStyle name="60% - Accent2 4 4" xfId="1795"/>
    <cellStyle name="60% - Accent2 4 5" xfId="2131"/>
    <cellStyle name="60% - Accent2 4 6" xfId="2505"/>
    <cellStyle name="60% - Accent2 4 7" xfId="2877"/>
    <cellStyle name="60% - Accent2 4 8" xfId="3248"/>
    <cellStyle name="60% - Accent2 4 9" xfId="3596"/>
    <cellStyle name="60% - Accent2 5" xfId="412"/>
    <cellStyle name="60% - Accent2 5 2" xfId="1771"/>
    <cellStyle name="60% - Accent2 5 3" xfId="2106"/>
    <cellStyle name="60% - Accent2 5 4" xfId="2480"/>
    <cellStyle name="60% - Accent2 5 5" xfId="2852"/>
    <cellStyle name="60% - Accent2 5 6" xfId="3223"/>
    <cellStyle name="60% - Accent2 6" xfId="413"/>
    <cellStyle name="60% - Accent2 6 2" xfId="1983"/>
    <cellStyle name="60% - Accent2 6 3" xfId="2358"/>
    <cellStyle name="60% - Accent2 6 4" xfId="2731"/>
    <cellStyle name="60% - Accent2 6 5" xfId="3104"/>
    <cellStyle name="60% - Accent2 6 6" xfId="3475"/>
    <cellStyle name="60% - Accent2 6 7" xfId="3781"/>
    <cellStyle name="60% - Accent2 7" xfId="414"/>
    <cellStyle name="60% - Accent2 8" xfId="560"/>
    <cellStyle name="60% - Accent2 9" xfId="561"/>
    <cellStyle name="60% - Accent3 10" xfId="697"/>
    <cellStyle name="60% - Accent3 11" xfId="698"/>
    <cellStyle name="60% - Accent3 12" xfId="841"/>
    <cellStyle name="60% - Accent3 13" xfId="842"/>
    <cellStyle name="60% - Accent3 14" xfId="950"/>
    <cellStyle name="60% - Accent3 2" xfId="83"/>
    <cellStyle name="60% - Accent3 2 10" xfId="1682"/>
    <cellStyle name="60% - Accent3 2 11" xfId="2017"/>
    <cellStyle name="60% - Accent3 2 12" xfId="2391"/>
    <cellStyle name="60% - Accent3 2 13" xfId="2764"/>
    <cellStyle name="60% - Accent3 2 14" xfId="3138"/>
    <cellStyle name="60% - Accent3 2 15" xfId="3509"/>
    <cellStyle name="60% - Accent3 2 16" xfId="3647"/>
    <cellStyle name="60% - Accent3 2 2" xfId="127"/>
    <cellStyle name="60% - Accent3 2 2 2" xfId="182"/>
    <cellStyle name="60% - Accent3 2 2 3" xfId="346"/>
    <cellStyle name="60% - Accent3 2 2 4" xfId="2168"/>
    <cellStyle name="60% - Accent3 2 2 5" xfId="2542"/>
    <cellStyle name="60% - Accent3 2 2 6" xfId="2914"/>
    <cellStyle name="60% - Accent3 2 2 7" xfId="3286"/>
    <cellStyle name="60% - Accent3 2 3" xfId="292"/>
    <cellStyle name="60% - Accent3 2 3 2" xfId="1344"/>
    <cellStyle name="60% - Accent3 2 4" xfId="415"/>
    <cellStyle name="60% - Accent3 2 5" xfId="562"/>
    <cellStyle name="60% - Accent3 2 6" xfId="699"/>
    <cellStyle name="60% - Accent3 2 7" xfId="700"/>
    <cellStyle name="60% - Accent3 2 8" xfId="843"/>
    <cellStyle name="60% - Accent3 2 8 2" xfId="1411"/>
    <cellStyle name="60% - Accent3 2 9" xfId="951"/>
    <cellStyle name="60% - Accent3 2 9 2" xfId="1567"/>
    <cellStyle name="60% - Accent3 3" xfId="223"/>
    <cellStyle name="60% - Accent3 3 10" xfId="3690"/>
    <cellStyle name="60% - Accent3 3 2" xfId="1463"/>
    <cellStyle name="60% - Accent3 3 2 2" xfId="1834"/>
    <cellStyle name="60% - Accent3 3 2 3" xfId="2209"/>
    <cellStyle name="60% - Accent3 3 2 4" xfId="2583"/>
    <cellStyle name="60% - Accent3 3 2 5" xfId="2955"/>
    <cellStyle name="60% - Accent3 3 2 6" xfId="3327"/>
    <cellStyle name="60% - Accent3 3 3" xfId="1590"/>
    <cellStyle name="60% - Accent3 3 3 2" xfId="1911"/>
    <cellStyle name="60% - Accent3 3 3 3" xfId="2286"/>
    <cellStyle name="60% - Accent3 3 3 4" xfId="2659"/>
    <cellStyle name="60% - Accent3 3 3 5" xfId="3032"/>
    <cellStyle name="60% - Accent3 3 3 6" xfId="3403"/>
    <cellStyle name="60% - Accent3 3 4" xfId="1727"/>
    <cellStyle name="60% - Accent3 3 4 2" xfId="1955"/>
    <cellStyle name="60% - Accent3 3 4 3" xfId="2330"/>
    <cellStyle name="60% - Accent3 3 4 4" xfId="2703"/>
    <cellStyle name="60% - Accent3 3 4 5" xfId="3076"/>
    <cellStyle name="60% - Accent3 3 4 6" xfId="3447"/>
    <cellStyle name="60% - Accent3 3 5" xfId="2062"/>
    <cellStyle name="60% - Accent3 3 6" xfId="2436"/>
    <cellStyle name="60% - Accent3 3 7" xfId="2808"/>
    <cellStyle name="60% - Accent3 3 8" xfId="3179"/>
    <cellStyle name="60% - Accent3 3 9" xfId="3554"/>
    <cellStyle name="60% - Accent3 4" xfId="250"/>
    <cellStyle name="60% - Accent3 4 10" xfId="3734"/>
    <cellStyle name="60% - Accent3 4 11" xfId="1305"/>
    <cellStyle name="60% - Accent3 4 2" xfId="1508"/>
    <cellStyle name="60% - Accent3 4 3" xfId="1633"/>
    <cellStyle name="60% - Accent3 4 4" xfId="1748"/>
    <cellStyle name="60% - Accent3 4 5" xfId="2083"/>
    <cellStyle name="60% - Accent3 4 6" xfId="2457"/>
    <cellStyle name="60% - Accent3 4 7" xfId="2829"/>
    <cellStyle name="60% - Accent3 4 8" xfId="3200"/>
    <cellStyle name="60% - Accent3 4 9" xfId="3597"/>
    <cellStyle name="60% - Accent3 5" xfId="416"/>
    <cellStyle name="60% - Accent3 5 2" xfId="1772"/>
    <cellStyle name="60% - Accent3 5 3" xfId="2107"/>
    <cellStyle name="60% - Accent3 5 4" xfId="2481"/>
    <cellStyle name="60% - Accent3 5 5" xfId="2853"/>
    <cellStyle name="60% - Accent3 5 6" xfId="3224"/>
    <cellStyle name="60% - Accent3 6" xfId="417"/>
    <cellStyle name="60% - Accent3 6 2" xfId="1984"/>
    <cellStyle name="60% - Accent3 6 3" xfId="2359"/>
    <cellStyle name="60% - Accent3 6 4" xfId="2732"/>
    <cellStyle name="60% - Accent3 6 5" xfId="3105"/>
    <cellStyle name="60% - Accent3 6 6" xfId="3476"/>
    <cellStyle name="60% - Accent3 6 7" xfId="3782"/>
    <cellStyle name="60% - Accent3 7" xfId="418"/>
    <cellStyle name="60% - Accent3 8" xfId="563"/>
    <cellStyle name="60% - Accent3 9" xfId="564"/>
    <cellStyle name="60% - Accent4 10" xfId="701"/>
    <cellStyle name="60% - Accent4 11" xfId="702"/>
    <cellStyle name="60% - Accent4 12" xfId="844"/>
    <cellStyle name="60% - Accent4 13" xfId="845"/>
    <cellStyle name="60% - Accent4 14" xfId="952"/>
    <cellStyle name="60% - Accent4 2" xfId="84"/>
    <cellStyle name="60% - Accent4 2 10" xfId="1683"/>
    <cellStyle name="60% - Accent4 2 11" xfId="2018"/>
    <cellStyle name="60% - Accent4 2 12" xfId="2392"/>
    <cellStyle name="60% - Accent4 2 13" xfId="2765"/>
    <cellStyle name="60% - Accent4 2 14" xfId="3139"/>
    <cellStyle name="60% - Accent4 2 15" xfId="3510"/>
    <cellStyle name="60% - Accent4 2 16" xfId="3648"/>
    <cellStyle name="60% - Accent4 2 2" xfId="128"/>
    <cellStyle name="60% - Accent4 2 2 2" xfId="186"/>
    <cellStyle name="60% - Accent4 2 2 3" xfId="350"/>
    <cellStyle name="60% - Accent4 2 2 4" xfId="2172"/>
    <cellStyle name="60% - Accent4 2 2 5" xfId="2546"/>
    <cellStyle name="60% - Accent4 2 2 6" xfId="2918"/>
    <cellStyle name="60% - Accent4 2 2 7" xfId="3290"/>
    <cellStyle name="60% - Accent4 2 3" xfId="293"/>
    <cellStyle name="60% - Accent4 2 3 2" xfId="1348"/>
    <cellStyle name="60% - Accent4 2 4" xfId="419"/>
    <cellStyle name="60% - Accent4 2 5" xfId="565"/>
    <cellStyle name="60% - Accent4 2 6" xfId="703"/>
    <cellStyle name="60% - Accent4 2 7" xfId="704"/>
    <cellStyle name="60% - Accent4 2 8" xfId="846"/>
    <cellStyle name="60% - Accent4 2 8 2" xfId="1412"/>
    <cellStyle name="60% - Accent4 2 9" xfId="953"/>
    <cellStyle name="60% - Accent4 2 9 2" xfId="1566"/>
    <cellStyle name="60% - Accent4 3" xfId="227"/>
    <cellStyle name="60% - Accent4 3 10" xfId="3691"/>
    <cellStyle name="60% - Accent4 3 2" xfId="1464"/>
    <cellStyle name="60% - Accent4 3 2 2" xfId="1838"/>
    <cellStyle name="60% - Accent4 3 2 3" xfId="2213"/>
    <cellStyle name="60% - Accent4 3 2 4" xfId="2587"/>
    <cellStyle name="60% - Accent4 3 2 5" xfId="2959"/>
    <cellStyle name="60% - Accent4 3 2 6" xfId="3331"/>
    <cellStyle name="60% - Accent4 3 3" xfId="1591"/>
    <cellStyle name="60% - Accent4 3 3 2" xfId="1915"/>
    <cellStyle name="60% - Accent4 3 3 3" xfId="2290"/>
    <cellStyle name="60% - Accent4 3 3 4" xfId="2663"/>
    <cellStyle name="60% - Accent4 3 3 5" xfId="3036"/>
    <cellStyle name="60% - Accent4 3 3 6" xfId="3407"/>
    <cellStyle name="60% - Accent4 3 4" xfId="1728"/>
    <cellStyle name="60% - Accent4 3 4 2" xfId="1959"/>
    <cellStyle name="60% - Accent4 3 4 3" xfId="2334"/>
    <cellStyle name="60% - Accent4 3 4 4" xfId="2707"/>
    <cellStyle name="60% - Accent4 3 4 5" xfId="3080"/>
    <cellStyle name="60% - Accent4 3 4 6" xfId="3451"/>
    <cellStyle name="60% - Accent4 3 5" xfId="2063"/>
    <cellStyle name="60% - Accent4 3 6" xfId="2437"/>
    <cellStyle name="60% - Accent4 3 7" xfId="2809"/>
    <cellStyle name="60% - Accent4 3 8" xfId="3180"/>
    <cellStyle name="60% - Accent4 3 9" xfId="3555"/>
    <cellStyle name="60% - Accent4 4" xfId="251"/>
    <cellStyle name="60% - Accent4 4 10" xfId="3735"/>
    <cellStyle name="60% - Accent4 4 11" xfId="1309"/>
    <cellStyle name="60% - Accent4 4 2" xfId="1509"/>
    <cellStyle name="60% - Accent4 4 3" xfId="1634"/>
    <cellStyle name="60% - Accent4 4 4" xfId="1793"/>
    <cellStyle name="60% - Accent4 4 5" xfId="2129"/>
    <cellStyle name="60% - Accent4 4 6" xfId="2503"/>
    <cellStyle name="60% - Accent4 4 7" xfId="2875"/>
    <cellStyle name="60% - Accent4 4 8" xfId="3246"/>
    <cellStyle name="60% - Accent4 4 9" xfId="3598"/>
    <cellStyle name="60% - Accent4 5" xfId="420"/>
    <cellStyle name="60% - Accent4 5 2" xfId="1874"/>
    <cellStyle name="60% - Accent4 5 3" xfId="2249"/>
    <cellStyle name="60% - Accent4 5 4" xfId="2623"/>
    <cellStyle name="60% - Accent4 5 5" xfId="2995"/>
    <cellStyle name="60% - Accent4 5 6" xfId="3367"/>
    <cellStyle name="60% - Accent4 6" xfId="421"/>
    <cellStyle name="60% - Accent4 6 2" xfId="1985"/>
    <cellStyle name="60% - Accent4 6 3" xfId="2360"/>
    <cellStyle name="60% - Accent4 6 4" xfId="2733"/>
    <cellStyle name="60% - Accent4 6 5" xfId="3106"/>
    <cellStyle name="60% - Accent4 6 6" xfId="3477"/>
    <cellStyle name="60% - Accent4 6 7" xfId="3783"/>
    <cellStyle name="60% - Accent4 7" xfId="422"/>
    <cellStyle name="60% - Accent4 8" xfId="566"/>
    <cellStyle name="60% - Accent4 9" xfId="567"/>
    <cellStyle name="60% - Accent5 10" xfId="705"/>
    <cellStyle name="60% - Accent5 11" xfId="706"/>
    <cellStyle name="60% - Accent5 12" xfId="847"/>
    <cellStyle name="60% - Accent5 13" xfId="848"/>
    <cellStyle name="60% - Accent5 14" xfId="954"/>
    <cellStyle name="60% - Accent5 2" xfId="85"/>
    <cellStyle name="60% - Accent5 2 10" xfId="1684"/>
    <cellStyle name="60% - Accent5 2 11" xfId="2019"/>
    <cellStyle name="60% - Accent5 2 12" xfId="2393"/>
    <cellStyle name="60% - Accent5 2 13" xfId="2766"/>
    <cellStyle name="60% - Accent5 2 14" xfId="3140"/>
    <cellStyle name="60% - Accent5 2 15" xfId="3511"/>
    <cellStyle name="60% - Accent5 2 16" xfId="3649"/>
    <cellStyle name="60% - Accent5 2 2" xfId="129"/>
    <cellStyle name="60% - Accent5 2 2 2" xfId="190"/>
    <cellStyle name="60% - Accent5 2 2 3" xfId="354"/>
    <cellStyle name="60% - Accent5 2 2 4" xfId="2176"/>
    <cellStyle name="60% - Accent5 2 2 5" xfId="2550"/>
    <cellStyle name="60% - Accent5 2 2 6" xfId="2922"/>
    <cellStyle name="60% - Accent5 2 2 7" xfId="3294"/>
    <cellStyle name="60% - Accent5 2 3" xfId="294"/>
    <cellStyle name="60% - Accent5 2 3 2" xfId="1352"/>
    <cellStyle name="60% - Accent5 2 4" xfId="423"/>
    <cellStyle name="60% - Accent5 2 5" xfId="568"/>
    <cellStyle name="60% - Accent5 2 6" xfId="707"/>
    <cellStyle name="60% - Accent5 2 7" xfId="708"/>
    <cellStyle name="60% - Accent5 2 8" xfId="849"/>
    <cellStyle name="60% - Accent5 2 8 2" xfId="1413"/>
    <cellStyle name="60% - Accent5 2 9" xfId="955"/>
    <cellStyle name="60% - Accent5 2 9 2" xfId="1391"/>
    <cellStyle name="60% - Accent5 3" xfId="231"/>
    <cellStyle name="60% - Accent5 3 10" xfId="3692"/>
    <cellStyle name="60% - Accent5 3 2" xfId="1465"/>
    <cellStyle name="60% - Accent5 3 2 2" xfId="1842"/>
    <cellStyle name="60% - Accent5 3 2 3" xfId="2217"/>
    <cellStyle name="60% - Accent5 3 2 4" xfId="2591"/>
    <cellStyle name="60% - Accent5 3 2 5" xfId="2963"/>
    <cellStyle name="60% - Accent5 3 2 6" xfId="3335"/>
    <cellStyle name="60% - Accent5 3 3" xfId="1592"/>
    <cellStyle name="60% - Accent5 3 3 2" xfId="1919"/>
    <cellStyle name="60% - Accent5 3 3 3" xfId="2294"/>
    <cellStyle name="60% - Accent5 3 3 4" xfId="2667"/>
    <cellStyle name="60% - Accent5 3 3 5" xfId="3040"/>
    <cellStyle name="60% - Accent5 3 3 6" xfId="3411"/>
    <cellStyle name="60% - Accent5 3 4" xfId="1729"/>
    <cellStyle name="60% - Accent5 3 4 2" xfId="1963"/>
    <cellStyle name="60% - Accent5 3 4 3" xfId="2338"/>
    <cellStyle name="60% - Accent5 3 4 4" xfId="2711"/>
    <cellStyle name="60% - Accent5 3 4 5" xfId="3084"/>
    <cellStyle name="60% - Accent5 3 4 6" xfId="3455"/>
    <cellStyle name="60% - Accent5 3 5" xfId="2064"/>
    <cellStyle name="60% - Accent5 3 6" xfId="2438"/>
    <cellStyle name="60% - Accent5 3 7" xfId="2810"/>
    <cellStyle name="60% - Accent5 3 8" xfId="3181"/>
    <cellStyle name="60% - Accent5 3 9" xfId="3556"/>
    <cellStyle name="60% - Accent5 4" xfId="252"/>
    <cellStyle name="60% - Accent5 4 10" xfId="3736"/>
    <cellStyle name="60% - Accent5 4 11" xfId="1313"/>
    <cellStyle name="60% - Accent5 4 2" xfId="1510"/>
    <cellStyle name="60% - Accent5 4 3" xfId="1635"/>
    <cellStyle name="60% - Accent5 4 4" xfId="1792"/>
    <cellStyle name="60% - Accent5 4 5" xfId="2128"/>
    <cellStyle name="60% - Accent5 4 6" xfId="2502"/>
    <cellStyle name="60% - Accent5 4 7" xfId="2874"/>
    <cellStyle name="60% - Accent5 4 8" xfId="3245"/>
    <cellStyle name="60% - Accent5 4 9" xfId="3599"/>
    <cellStyle name="60% - Accent5 5" xfId="424"/>
    <cellStyle name="60% - Accent5 5 2" xfId="1859"/>
    <cellStyle name="60% - Accent5 5 3" xfId="2234"/>
    <cellStyle name="60% - Accent5 5 4" xfId="2608"/>
    <cellStyle name="60% - Accent5 5 5" xfId="2980"/>
    <cellStyle name="60% - Accent5 5 6" xfId="3352"/>
    <cellStyle name="60% - Accent5 6" xfId="425"/>
    <cellStyle name="60% - Accent5 6 2" xfId="1986"/>
    <cellStyle name="60% - Accent5 6 3" xfId="2361"/>
    <cellStyle name="60% - Accent5 6 4" xfId="2734"/>
    <cellStyle name="60% - Accent5 6 5" xfId="3107"/>
    <cellStyle name="60% - Accent5 6 6" xfId="3478"/>
    <cellStyle name="60% - Accent5 6 7" xfId="3784"/>
    <cellStyle name="60% - Accent5 7" xfId="426"/>
    <cellStyle name="60% - Accent5 8" xfId="569"/>
    <cellStyle name="60% - Accent5 9" xfId="570"/>
    <cellStyle name="60% - Accent6 10" xfId="709"/>
    <cellStyle name="60% - Accent6 11" xfId="710"/>
    <cellStyle name="60% - Accent6 12" xfId="850"/>
    <cellStyle name="60% - Accent6 13" xfId="851"/>
    <cellStyle name="60% - Accent6 14" xfId="956"/>
    <cellStyle name="60% - Accent6 2" xfId="86"/>
    <cellStyle name="60% - Accent6 2 10" xfId="1685"/>
    <cellStyle name="60% - Accent6 2 11" xfId="2020"/>
    <cellStyle name="60% - Accent6 2 12" xfId="2394"/>
    <cellStyle name="60% - Accent6 2 13" xfId="2767"/>
    <cellStyle name="60% - Accent6 2 14" xfId="3141"/>
    <cellStyle name="60% - Accent6 2 15" xfId="3512"/>
    <cellStyle name="60% - Accent6 2 16" xfId="3650"/>
    <cellStyle name="60% - Accent6 2 2" xfId="130"/>
    <cellStyle name="60% - Accent6 2 2 2" xfId="194"/>
    <cellStyle name="60% - Accent6 2 2 3" xfId="358"/>
    <cellStyle name="60% - Accent6 2 2 4" xfId="2180"/>
    <cellStyle name="60% - Accent6 2 2 5" xfId="2554"/>
    <cellStyle name="60% - Accent6 2 2 6" xfId="2926"/>
    <cellStyle name="60% - Accent6 2 2 7" xfId="3298"/>
    <cellStyle name="60% - Accent6 2 3" xfId="295"/>
    <cellStyle name="60% - Accent6 2 3 2" xfId="1356"/>
    <cellStyle name="60% - Accent6 2 4" xfId="427"/>
    <cellStyle name="60% - Accent6 2 5" xfId="571"/>
    <cellStyle name="60% - Accent6 2 6" xfId="711"/>
    <cellStyle name="60% - Accent6 2 7" xfId="712"/>
    <cellStyle name="60% - Accent6 2 8" xfId="852"/>
    <cellStyle name="60% - Accent6 2 8 2" xfId="1414"/>
    <cellStyle name="60% - Accent6 2 9" xfId="957"/>
    <cellStyle name="60% - Accent6 2 9 2" xfId="1565"/>
    <cellStyle name="60% - Accent6 3" xfId="235"/>
    <cellStyle name="60% - Accent6 3 10" xfId="3693"/>
    <cellStyle name="60% - Accent6 3 2" xfId="1466"/>
    <cellStyle name="60% - Accent6 3 2 2" xfId="1846"/>
    <cellStyle name="60% - Accent6 3 2 3" xfId="2221"/>
    <cellStyle name="60% - Accent6 3 2 4" xfId="2595"/>
    <cellStyle name="60% - Accent6 3 2 5" xfId="2967"/>
    <cellStyle name="60% - Accent6 3 2 6" xfId="3339"/>
    <cellStyle name="60% - Accent6 3 3" xfId="1593"/>
    <cellStyle name="60% - Accent6 3 3 2" xfId="1923"/>
    <cellStyle name="60% - Accent6 3 3 3" xfId="2298"/>
    <cellStyle name="60% - Accent6 3 3 4" xfId="2671"/>
    <cellStyle name="60% - Accent6 3 3 5" xfId="3044"/>
    <cellStyle name="60% - Accent6 3 3 6" xfId="3415"/>
    <cellStyle name="60% - Accent6 3 4" xfId="1730"/>
    <cellStyle name="60% - Accent6 3 4 2" xfId="1967"/>
    <cellStyle name="60% - Accent6 3 4 3" xfId="2342"/>
    <cellStyle name="60% - Accent6 3 4 4" xfId="2715"/>
    <cellStyle name="60% - Accent6 3 4 5" xfId="3088"/>
    <cellStyle name="60% - Accent6 3 4 6" xfId="3459"/>
    <cellStyle name="60% - Accent6 3 5" xfId="2065"/>
    <cellStyle name="60% - Accent6 3 6" xfId="2439"/>
    <cellStyle name="60% - Accent6 3 7" xfId="2811"/>
    <cellStyle name="60% - Accent6 3 8" xfId="3182"/>
    <cellStyle name="60% - Accent6 3 9" xfId="3557"/>
    <cellStyle name="60% - Accent6 4" xfId="253"/>
    <cellStyle name="60% - Accent6 4 10" xfId="3737"/>
    <cellStyle name="60% - Accent6 4 11" xfId="1317"/>
    <cellStyle name="60% - Accent6 4 2" xfId="1511"/>
    <cellStyle name="60% - Accent6 4 3" xfId="1636"/>
    <cellStyle name="60% - Accent6 4 4" xfId="1791"/>
    <cellStyle name="60% - Accent6 4 5" xfId="2127"/>
    <cellStyle name="60% - Accent6 4 6" xfId="2501"/>
    <cellStyle name="60% - Accent6 4 7" xfId="2873"/>
    <cellStyle name="60% - Accent6 4 8" xfId="3244"/>
    <cellStyle name="60% - Accent6 4 9" xfId="3600"/>
    <cellStyle name="60% - Accent6 5" xfId="428"/>
    <cellStyle name="60% - Accent6 5 2" xfId="1878"/>
    <cellStyle name="60% - Accent6 5 3" xfId="2253"/>
    <cellStyle name="60% - Accent6 5 4" xfId="2626"/>
    <cellStyle name="60% - Accent6 5 5" xfId="2999"/>
    <cellStyle name="60% - Accent6 5 6" xfId="3370"/>
    <cellStyle name="60% - Accent6 6" xfId="429"/>
    <cellStyle name="60% - Accent6 6 2" xfId="1987"/>
    <cellStyle name="60% - Accent6 6 3" xfId="2362"/>
    <cellStyle name="60% - Accent6 6 4" xfId="2735"/>
    <cellStyle name="60% - Accent6 6 5" xfId="3108"/>
    <cellStyle name="60% - Accent6 6 6" xfId="3479"/>
    <cellStyle name="60% - Accent6 6 7" xfId="3785"/>
    <cellStyle name="60% - Accent6 7" xfId="430"/>
    <cellStyle name="60% - Accent6 8" xfId="572"/>
    <cellStyle name="60% - Accent6 9" xfId="573"/>
    <cellStyle name="Accent1 10" xfId="713"/>
    <cellStyle name="Accent1 11" xfId="714"/>
    <cellStyle name="Accent1 12" xfId="853"/>
    <cellStyle name="Accent1 13" xfId="854"/>
    <cellStyle name="Accent1 14" xfId="958"/>
    <cellStyle name="Accent1 2" xfId="87"/>
    <cellStyle name="Accent1 2 10" xfId="1686"/>
    <cellStyle name="Accent1 2 11" xfId="2021"/>
    <cellStyle name="Accent1 2 12" xfId="2395"/>
    <cellStyle name="Accent1 2 13" xfId="2768"/>
    <cellStyle name="Accent1 2 14" xfId="3142"/>
    <cellStyle name="Accent1 2 15" xfId="3513"/>
    <cellStyle name="Accent1 2 16" xfId="3651"/>
    <cellStyle name="Accent1 2 2" xfId="131"/>
    <cellStyle name="Accent1 2 2 2" xfId="171"/>
    <cellStyle name="Accent1 2 2 3" xfId="335"/>
    <cellStyle name="Accent1 2 2 4" xfId="2157"/>
    <cellStyle name="Accent1 2 2 5" xfId="2531"/>
    <cellStyle name="Accent1 2 2 6" xfId="2903"/>
    <cellStyle name="Accent1 2 2 7" xfId="3275"/>
    <cellStyle name="Accent1 2 3" xfId="296"/>
    <cellStyle name="Accent1 2 3 2" xfId="1333"/>
    <cellStyle name="Accent1 2 4" xfId="431"/>
    <cellStyle name="Accent1 2 5" xfId="574"/>
    <cellStyle name="Accent1 2 6" xfId="715"/>
    <cellStyle name="Accent1 2 7" xfId="716"/>
    <cellStyle name="Accent1 2 8" xfId="855"/>
    <cellStyle name="Accent1 2 8 2" xfId="1415"/>
    <cellStyle name="Accent1 2 9" xfId="959"/>
    <cellStyle name="Accent1 2 9 2" xfId="1564"/>
    <cellStyle name="Accent1 3" xfId="212"/>
    <cellStyle name="Accent1 3 10" xfId="3694"/>
    <cellStyle name="Accent1 3 2" xfId="1467"/>
    <cellStyle name="Accent1 3 2 2" xfId="1823"/>
    <cellStyle name="Accent1 3 2 3" xfId="2198"/>
    <cellStyle name="Accent1 3 2 4" xfId="2572"/>
    <cellStyle name="Accent1 3 2 5" xfId="2944"/>
    <cellStyle name="Accent1 3 2 6" xfId="3316"/>
    <cellStyle name="Accent1 3 3" xfId="1594"/>
    <cellStyle name="Accent1 3 3 2" xfId="1900"/>
    <cellStyle name="Accent1 3 3 3" xfId="2275"/>
    <cellStyle name="Accent1 3 3 4" xfId="2648"/>
    <cellStyle name="Accent1 3 3 5" xfId="3021"/>
    <cellStyle name="Accent1 3 3 6" xfId="3392"/>
    <cellStyle name="Accent1 3 4" xfId="1731"/>
    <cellStyle name="Accent1 3 4 2" xfId="1944"/>
    <cellStyle name="Accent1 3 4 3" xfId="2319"/>
    <cellStyle name="Accent1 3 4 4" xfId="2692"/>
    <cellStyle name="Accent1 3 4 5" xfId="3065"/>
    <cellStyle name="Accent1 3 4 6" xfId="3436"/>
    <cellStyle name="Accent1 3 5" xfId="2066"/>
    <cellStyle name="Accent1 3 6" xfId="2440"/>
    <cellStyle name="Accent1 3 7" xfId="2812"/>
    <cellStyle name="Accent1 3 8" xfId="3183"/>
    <cellStyle name="Accent1 3 9" xfId="3558"/>
    <cellStyle name="Accent1 4" xfId="254"/>
    <cellStyle name="Accent1 4 10" xfId="3738"/>
    <cellStyle name="Accent1 4 11" xfId="1294"/>
    <cellStyle name="Accent1 4 2" xfId="1512"/>
    <cellStyle name="Accent1 4 3" xfId="1637"/>
    <cellStyle name="Accent1 4 4" xfId="1790"/>
    <cellStyle name="Accent1 4 5" xfId="2126"/>
    <cellStyle name="Accent1 4 6" xfId="2500"/>
    <cellStyle name="Accent1 4 7" xfId="2872"/>
    <cellStyle name="Accent1 4 8" xfId="3243"/>
    <cellStyle name="Accent1 4 9" xfId="3601"/>
    <cellStyle name="Accent1 5" xfId="432"/>
    <cellStyle name="Accent1 5 2" xfId="1858"/>
    <cellStyle name="Accent1 5 3" xfId="2233"/>
    <cellStyle name="Accent1 5 4" xfId="2607"/>
    <cellStyle name="Accent1 5 5" xfId="2979"/>
    <cellStyle name="Accent1 5 6" xfId="3351"/>
    <cellStyle name="Accent1 6" xfId="433"/>
    <cellStyle name="Accent1 6 2" xfId="1988"/>
    <cellStyle name="Accent1 6 3" xfId="2363"/>
    <cellStyle name="Accent1 6 4" xfId="2736"/>
    <cellStyle name="Accent1 6 5" xfId="3109"/>
    <cellStyle name="Accent1 6 6" xfId="3480"/>
    <cellStyle name="Accent1 6 7" xfId="3786"/>
    <cellStyle name="Accent1 7" xfId="434"/>
    <cellStyle name="Accent1 8" xfId="575"/>
    <cellStyle name="Accent1 9" xfId="576"/>
    <cellStyle name="Accent2 10" xfId="717"/>
    <cellStyle name="Accent2 11" xfId="718"/>
    <cellStyle name="Accent2 12" xfId="856"/>
    <cellStyle name="Accent2 13" xfId="857"/>
    <cellStyle name="Accent2 14" xfId="960"/>
    <cellStyle name="Accent2 2" xfId="88"/>
    <cellStyle name="Accent2 2 10" xfId="1687"/>
    <cellStyle name="Accent2 2 11" xfId="2022"/>
    <cellStyle name="Accent2 2 12" xfId="2396"/>
    <cellStyle name="Accent2 2 13" xfId="2769"/>
    <cellStyle name="Accent2 2 14" xfId="3143"/>
    <cellStyle name="Accent2 2 15" xfId="3514"/>
    <cellStyle name="Accent2 2 16" xfId="3652"/>
    <cellStyle name="Accent2 2 2" xfId="132"/>
    <cellStyle name="Accent2 2 2 2" xfId="175"/>
    <cellStyle name="Accent2 2 2 3" xfId="339"/>
    <cellStyle name="Accent2 2 2 4" xfId="2161"/>
    <cellStyle name="Accent2 2 2 5" xfId="2535"/>
    <cellStyle name="Accent2 2 2 6" xfId="2907"/>
    <cellStyle name="Accent2 2 2 7" xfId="3279"/>
    <cellStyle name="Accent2 2 3" xfId="297"/>
    <cellStyle name="Accent2 2 3 2" xfId="1337"/>
    <cellStyle name="Accent2 2 4" xfId="435"/>
    <cellStyle name="Accent2 2 5" xfId="577"/>
    <cellStyle name="Accent2 2 6" xfId="719"/>
    <cellStyle name="Accent2 2 7" xfId="720"/>
    <cellStyle name="Accent2 2 8" xfId="858"/>
    <cellStyle name="Accent2 2 8 2" xfId="1416"/>
    <cellStyle name="Accent2 2 9" xfId="961"/>
    <cellStyle name="Accent2 2 9 2" xfId="1563"/>
    <cellStyle name="Accent2 3" xfId="216"/>
    <cellStyle name="Accent2 3 10" xfId="3695"/>
    <cellStyle name="Accent2 3 2" xfId="1468"/>
    <cellStyle name="Accent2 3 2 2" xfId="1827"/>
    <cellStyle name="Accent2 3 2 3" xfId="2202"/>
    <cellStyle name="Accent2 3 2 4" xfId="2576"/>
    <cellStyle name="Accent2 3 2 5" xfId="2948"/>
    <cellStyle name="Accent2 3 2 6" xfId="3320"/>
    <cellStyle name="Accent2 3 3" xfId="1595"/>
    <cellStyle name="Accent2 3 3 2" xfId="1904"/>
    <cellStyle name="Accent2 3 3 3" xfId="2279"/>
    <cellStyle name="Accent2 3 3 4" xfId="2652"/>
    <cellStyle name="Accent2 3 3 5" xfId="3025"/>
    <cellStyle name="Accent2 3 3 6" xfId="3396"/>
    <cellStyle name="Accent2 3 4" xfId="1732"/>
    <cellStyle name="Accent2 3 4 2" xfId="1948"/>
    <cellStyle name="Accent2 3 4 3" xfId="2323"/>
    <cellStyle name="Accent2 3 4 4" xfId="2696"/>
    <cellStyle name="Accent2 3 4 5" xfId="3069"/>
    <cellStyle name="Accent2 3 4 6" xfId="3440"/>
    <cellStyle name="Accent2 3 5" xfId="2067"/>
    <cellStyle name="Accent2 3 6" xfId="2441"/>
    <cellStyle name="Accent2 3 7" xfId="2813"/>
    <cellStyle name="Accent2 3 8" xfId="3184"/>
    <cellStyle name="Accent2 3 9" xfId="3559"/>
    <cellStyle name="Accent2 4" xfId="255"/>
    <cellStyle name="Accent2 4 10" xfId="3739"/>
    <cellStyle name="Accent2 4 11" xfId="1298"/>
    <cellStyle name="Accent2 4 2" xfId="1513"/>
    <cellStyle name="Accent2 4 3" xfId="1638"/>
    <cellStyle name="Accent2 4 4" xfId="1789"/>
    <cellStyle name="Accent2 4 5" xfId="2125"/>
    <cellStyle name="Accent2 4 6" xfId="2499"/>
    <cellStyle name="Accent2 4 7" xfId="2871"/>
    <cellStyle name="Accent2 4 8" xfId="3242"/>
    <cellStyle name="Accent2 4 9" xfId="3602"/>
    <cellStyle name="Accent2 5" xfId="436"/>
    <cellStyle name="Accent2 5 2" xfId="1875"/>
    <cellStyle name="Accent2 5 3" xfId="2250"/>
    <cellStyle name="Accent2 5 4" xfId="2624"/>
    <cellStyle name="Accent2 5 5" xfId="2996"/>
    <cellStyle name="Accent2 5 6" xfId="3368"/>
    <cellStyle name="Accent2 6" xfId="437"/>
    <cellStyle name="Accent2 6 2" xfId="1989"/>
    <cellStyle name="Accent2 6 3" xfId="2364"/>
    <cellStyle name="Accent2 6 4" xfId="2737"/>
    <cellStyle name="Accent2 6 5" xfId="3110"/>
    <cellStyle name="Accent2 6 6" xfId="3481"/>
    <cellStyle name="Accent2 6 7" xfId="3787"/>
    <cellStyle name="Accent2 7" xfId="438"/>
    <cellStyle name="Accent2 8" xfId="578"/>
    <cellStyle name="Accent2 9" xfId="579"/>
    <cellStyle name="Accent3 10" xfId="721"/>
    <cellStyle name="Accent3 11" xfId="722"/>
    <cellStyle name="Accent3 12" xfId="859"/>
    <cellStyle name="Accent3 13" xfId="860"/>
    <cellStyle name="Accent3 14" xfId="962"/>
    <cellStyle name="Accent3 2" xfId="89"/>
    <cellStyle name="Accent3 2 10" xfId="1688"/>
    <cellStyle name="Accent3 2 11" xfId="2023"/>
    <cellStyle name="Accent3 2 12" xfId="2397"/>
    <cellStyle name="Accent3 2 13" xfId="2770"/>
    <cellStyle name="Accent3 2 14" xfId="3144"/>
    <cellStyle name="Accent3 2 15" xfId="3515"/>
    <cellStyle name="Accent3 2 16" xfId="3653"/>
    <cellStyle name="Accent3 2 2" xfId="133"/>
    <cellStyle name="Accent3 2 2 2" xfId="179"/>
    <cellStyle name="Accent3 2 2 3" xfId="343"/>
    <cellStyle name="Accent3 2 2 4" xfId="2165"/>
    <cellStyle name="Accent3 2 2 5" xfId="2539"/>
    <cellStyle name="Accent3 2 2 6" xfId="2911"/>
    <cellStyle name="Accent3 2 2 7" xfId="3283"/>
    <cellStyle name="Accent3 2 3" xfId="298"/>
    <cellStyle name="Accent3 2 3 2" xfId="1341"/>
    <cellStyle name="Accent3 2 4" xfId="439"/>
    <cellStyle name="Accent3 2 5" xfId="580"/>
    <cellStyle name="Accent3 2 6" xfId="723"/>
    <cellStyle name="Accent3 2 7" xfId="724"/>
    <cellStyle name="Accent3 2 8" xfId="861"/>
    <cellStyle name="Accent3 2 8 2" xfId="1417"/>
    <cellStyle name="Accent3 2 9" xfId="963"/>
    <cellStyle name="Accent3 2 9 2" xfId="1562"/>
    <cellStyle name="Accent3 3" xfId="220"/>
    <cellStyle name="Accent3 3 10" xfId="3696"/>
    <cellStyle name="Accent3 3 2" xfId="1469"/>
    <cellStyle name="Accent3 3 2 2" xfId="1831"/>
    <cellStyle name="Accent3 3 2 3" xfId="2206"/>
    <cellStyle name="Accent3 3 2 4" xfId="2580"/>
    <cellStyle name="Accent3 3 2 5" xfId="2952"/>
    <cellStyle name="Accent3 3 2 6" xfId="3324"/>
    <cellStyle name="Accent3 3 3" xfId="1596"/>
    <cellStyle name="Accent3 3 3 2" xfId="1908"/>
    <cellStyle name="Accent3 3 3 3" xfId="2283"/>
    <cellStyle name="Accent3 3 3 4" xfId="2656"/>
    <cellStyle name="Accent3 3 3 5" xfId="3029"/>
    <cellStyle name="Accent3 3 3 6" xfId="3400"/>
    <cellStyle name="Accent3 3 4" xfId="1733"/>
    <cellStyle name="Accent3 3 4 2" xfId="1952"/>
    <cellStyle name="Accent3 3 4 3" xfId="2327"/>
    <cellStyle name="Accent3 3 4 4" xfId="2700"/>
    <cellStyle name="Accent3 3 4 5" xfId="3073"/>
    <cellStyle name="Accent3 3 4 6" xfId="3444"/>
    <cellStyle name="Accent3 3 5" xfId="2068"/>
    <cellStyle name="Accent3 3 6" xfId="2442"/>
    <cellStyle name="Accent3 3 7" xfId="2814"/>
    <cellStyle name="Accent3 3 8" xfId="3185"/>
    <cellStyle name="Accent3 3 9" xfId="3560"/>
    <cellStyle name="Accent3 4" xfId="256"/>
    <cellStyle name="Accent3 4 10" xfId="3740"/>
    <cellStyle name="Accent3 4 11" xfId="1302"/>
    <cellStyle name="Accent3 4 2" xfId="1514"/>
    <cellStyle name="Accent3 4 3" xfId="1639"/>
    <cellStyle name="Accent3 4 4" xfId="1788"/>
    <cellStyle name="Accent3 4 5" xfId="2124"/>
    <cellStyle name="Accent3 4 6" xfId="2498"/>
    <cellStyle name="Accent3 4 7" xfId="2870"/>
    <cellStyle name="Accent3 4 8" xfId="3241"/>
    <cellStyle name="Accent3 4 9" xfId="3603"/>
    <cellStyle name="Accent3 5" xfId="440"/>
    <cellStyle name="Accent3 5 2" xfId="1857"/>
    <cellStyle name="Accent3 5 3" xfId="2232"/>
    <cellStyle name="Accent3 5 4" xfId="2606"/>
    <cellStyle name="Accent3 5 5" xfId="2978"/>
    <cellStyle name="Accent3 5 6" xfId="3350"/>
    <cellStyle name="Accent3 6" xfId="441"/>
    <cellStyle name="Accent3 6 2" xfId="1990"/>
    <cellStyle name="Accent3 6 3" xfId="2365"/>
    <cellStyle name="Accent3 6 4" xfId="2738"/>
    <cellStyle name="Accent3 6 5" xfId="3111"/>
    <cellStyle name="Accent3 6 6" xfId="3482"/>
    <cellStyle name="Accent3 6 7" xfId="3788"/>
    <cellStyle name="Accent3 7" xfId="442"/>
    <cellStyle name="Accent3 8" xfId="581"/>
    <cellStyle name="Accent3 9" xfId="582"/>
    <cellStyle name="Accent4 10" xfId="725"/>
    <cellStyle name="Accent4 11" xfId="726"/>
    <cellStyle name="Accent4 12" xfId="862"/>
    <cellStyle name="Accent4 13" xfId="863"/>
    <cellStyle name="Accent4 14" xfId="964"/>
    <cellStyle name="Accent4 2" xfId="90"/>
    <cellStyle name="Accent4 2 10" xfId="1689"/>
    <cellStyle name="Accent4 2 11" xfId="2024"/>
    <cellStyle name="Accent4 2 12" xfId="2398"/>
    <cellStyle name="Accent4 2 13" xfId="2771"/>
    <cellStyle name="Accent4 2 14" xfId="3145"/>
    <cellStyle name="Accent4 2 15" xfId="3516"/>
    <cellStyle name="Accent4 2 16" xfId="3654"/>
    <cellStyle name="Accent4 2 2" xfId="134"/>
    <cellStyle name="Accent4 2 2 2" xfId="183"/>
    <cellStyle name="Accent4 2 2 3" xfId="347"/>
    <cellStyle name="Accent4 2 2 4" xfId="2169"/>
    <cellStyle name="Accent4 2 2 5" xfId="2543"/>
    <cellStyle name="Accent4 2 2 6" xfId="2915"/>
    <cellStyle name="Accent4 2 2 7" xfId="3287"/>
    <cellStyle name="Accent4 2 3" xfId="299"/>
    <cellStyle name="Accent4 2 3 2" xfId="1345"/>
    <cellStyle name="Accent4 2 4" xfId="443"/>
    <cellStyle name="Accent4 2 5" xfId="583"/>
    <cellStyle name="Accent4 2 6" xfId="727"/>
    <cellStyle name="Accent4 2 7" xfId="728"/>
    <cellStyle name="Accent4 2 8" xfId="864"/>
    <cellStyle name="Accent4 2 8 2" xfId="1418"/>
    <cellStyle name="Accent4 2 9" xfId="965"/>
    <cellStyle name="Accent4 2 9 2" xfId="1561"/>
    <cellStyle name="Accent4 3" xfId="224"/>
    <cellStyle name="Accent4 3 10" xfId="3697"/>
    <cellStyle name="Accent4 3 2" xfId="1470"/>
    <cellStyle name="Accent4 3 2 2" xfId="1835"/>
    <cellStyle name="Accent4 3 2 3" xfId="2210"/>
    <cellStyle name="Accent4 3 2 4" xfId="2584"/>
    <cellStyle name="Accent4 3 2 5" xfId="2956"/>
    <cellStyle name="Accent4 3 2 6" xfId="3328"/>
    <cellStyle name="Accent4 3 3" xfId="1597"/>
    <cellStyle name="Accent4 3 3 2" xfId="1912"/>
    <cellStyle name="Accent4 3 3 3" xfId="2287"/>
    <cellStyle name="Accent4 3 3 4" xfId="2660"/>
    <cellStyle name="Accent4 3 3 5" xfId="3033"/>
    <cellStyle name="Accent4 3 3 6" xfId="3404"/>
    <cellStyle name="Accent4 3 4" xfId="1734"/>
    <cellStyle name="Accent4 3 4 2" xfId="1956"/>
    <cellStyle name="Accent4 3 4 3" xfId="2331"/>
    <cellStyle name="Accent4 3 4 4" xfId="2704"/>
    <cellStyle name="Accent4 3 4 5" xfId="3077"/>
    <cellStyle name="Accent4 3 4 6" xfId="3448"/>
    <cellStyle name="Accent4 3 5" xfId="2069"/>
    <cellStyle name="Accent4 3 6" xfId="2443"/>
    <cellStyle name="Accent4 3 7" xfId="2815"/>
    <cellStyle name="Accent4 3 8" xfId="3186"/>
    <cellStyle name="Accent4 3 9" xfId="3561"/>
    <cellStyle name="Accent4 4" xfId="257"/>
    <cellStyle name="Accent4 4 10" xfId="3741"/>
    <cellStyle name="Accent4 4 11" xfId="1306"/>
    <cellStyle name="Accent4 4 2" xfId="1515"/>
    <cellStyle name="Accent4 4 3" xfId="1640"/>
    <cellStyle name="Accent4 4 4" xfId="1741"/>
    <cellStyle name="Accent4 4 5" xfId="2076"/>
    <cellStyle name="Accent4 4 6" xfId="2450"/>
    <cellStyle name="Accent4 4 7" xfId="2822"/>
    <cellStyle name="Accent4 4 8" xfId="3193"/>
    <cellStyle name="Accent4 4 9" xfId="3604"/>
    <cellStyle name="Accent4 5" xfId="444"/>
    <cellStyle name="Accent4 5 2" xfId="1856"/>
    <cellStyle name="Accent4 5 3" xfId="2231"/>
    <cellStyle name="Accent4 5 4" xfId="2605"/>
    <cellStyle name="Accent4 5 5" xfId="2977"/>
    <cellStyle name="Accent4 5 6" xfId="3349"/>
    <cellStyle name="Accent4 6" xfId="445"/>
    <cellStyle name="Accent4 6 2" xfId="1991"/>
    <cellStyle name="Accent4 6 3" xfId="2366"/>
    <cellStyle name="Accent4 6 4" xfId="2739"/>
    <cellStyle name="Accent4 6 5" xfId="3112"/>
    <cellStyle name="Accent4 6 6" xfId="3483"/>
    <cellStyle name="Accent4 6 7" xfId="3789"/>
    <cellStyle name="Accent4 7" xfId="446"/>
    <cellStyle name="Accent4 8" xfId="584"/>
    <cellStyle name="Accent4 9" xfId="585"/>
    <cellStyle name="Accent5 10" xfId="729"/>
    <cellStyle name="Accent5 11" xfId="730"/>
    <cellStyle name="Accent5 12" xfId="865"/>
    <cellStyle name="Accent5 13" xfId="866"/>
    <cellStyle name="Accent5 14" xfId="966"/>
    <cellStyle name="Accent5 2" xfId="91"/>
    <cellStyle name="Accent5 2 10" xfId="1690"/>
    <cellStyle name="Accent5 2 11" xfId="2025"/>
    <cellStyle name="Accent5 2 12" xfId="2399"/>
    <cellStyle name="Accent5 2 13" xfId="2772"/>
    <cellStyle name="Accent5 2 14" xfId="3146"/>
    <cellStyle name="Accent5 2 15" xfId="3517"/>
    <cellStyle name="Accent5 2 16" xfId="3655"/>
    <cellStyle name="Accent5 2 2" xfId="135"/>
    <cellStyle name="Accent5 2 2 2" xfId="187"/>
    <cellStyle name="Accent5 2 2 3" xfId="351"/>
    <cellStyle name="Accent5 2 2 4" xfId="2173"/>
    <cellStyle name="Accent5 2 2 5" xfId="2547"/>
    <cellStyle name="Accent5 2 2 6" xfId="2919"/>
    <cellStyle name="Accent5 2 2 7" xfId="3291"/>
    <cellStyle name="Accent5 2 3" xfId="300"/>
    <cellStyle name="Accent5 2 3 2" xfId="1349"/>
    <cellStyle name="Accent5 2 4" xfId="447"/>
    <cellStyle name="Accent5 2 5" xfId="586"/>
    <cellStyle name="Accent5 2 6" xfId="731"/>
    <cellStyle name="Accent5 2 7" xfId="732"/>
    <cellStyle name="Accent5 2 8" xfId="867"/>
    <cellStyle name="Accent5 2 8 2" xfId="1419"/>
    <cellStyle name="Accent5 2 9" xfId="967"/>
    <cellStyle name="Accent5 2 9 2" xfId="1560"/>
    <cellStyle name="Accent5 3" xfId="228"/>
    <cellStyle name="Accent5 3 10" xfId="3698"/>
    <cellStyle name="Accent5 3 2" xfId="1471"/>
    <cellStyle name="Accent5 3 2 2" xfId="1839"/>
    <cellStyle name="Accent5 3 2 3" xfId="2214"/>
    <cellStyle name="Accent5 3 2 4" xfId="2588"/>
    <cellStyle name="Accent5 3 2 5" xfId="2960"/>
    <cellStyle name="Accent5 3 2 6" xfId="3332"/>
    <cellStyle name="Accent5 3 3" xfId="1598"/>
    <cellStyle name="Accent5 3 3 2" xfId="1916"/>
    <cellStyle name="Accent5 3 3 3" xfId="2291"/>
    <cellStyle name="Accent5 3 3 4" xfId="2664"/>
    <cellStyle name="Accent5 3 3 5" xfId="3037"/>
    <cellStyle name="Accent5 3 3 6" xfId="3408"/>
    <cellStyle name="Accent5 3 4" xfId="1735"/>
    <cellStyle name="Accent5 3 4 2" xfId="1960"/>
    <cellStyle name="Accent5 3 4 3" xfId="2335"/>
    <cellStyle name="Accent5 3 4 4" xfId="2708"/>
    <cellStyle name="Accent5 3 4 5" xfId="3081"/>
    <cellStyle name="Accent5 3 4 6" xfId="3452"/>
    <cellStyle name="Accent5 3 5" xfId="2070"/>
    <cellStyle name="Accent5 3 6" xfId="2444"/>
    <cellStyle name="Accent5 3 7" xfId="2816"/>
    <cellStyle name="Accent5 3 8" xfId="3187"/>
    <cellStyle name="Accent5 3 9" xfId="3562"/>
    <cellStyle name="Accent5 4" xfId="258"/>
    <cellStyle name="Accent5 4 10" xfId="3742"/>
    <cellStyle name="Accent5 4 11" xfId="1310"/>
    <cellStyle name="Accent5 4 2" xfId="1516"/>
    <cellStyle name="Accent5 4 3" xfId="1641"/>
    <cellStyle name="Accent5 4 4" xfId="1740"/>
    <cellStyle name="Accent5 4 5" xfId="2075"/>
    <cellStyle name="Accent5 4 6" xfId="2449"/>
    <cellStyle name="Accent5 4 7" xfId="2821"/>
    <cellStyle name="Accent5 4 8" xfId="3192"/>
    <cellStyle name="Accent5 4 9" xfId="3605"/>
    <cellStyle name="Accent5 5" xfId="448"/>
    <cellStyle name="Accent5 5 2" xfId="1776"/>
    <cellStyle name="Accent5 5 3" xfId="2111"/>
    <cellStyle name="Accent5 5 4" xfId="2485"/>
    <cellStyle name="Accent5 5 5" xfId="2857"/>
    <cellStyle name="Accent5 5 6" xfId="3228"/>
    <cellStyle name="Accent5 6" xfId="449"/>
    <cellStyle name="Accent5 6 2" xfId="1992"/>
    <cellStyle name="Accent5 6 3" xfId="2367"/>
    <cellStyle name="Accent5 6 4" xfId="2740"/>
    <cellStyle name="Accent5 6 5" xfId="3113"/>
    <cellStyle name="Accent5 6 6" xfId="3484"/>
    <cellStyle name="Accent5 6 7" xfId="3790"/>
    <cellStyle name="Accent5 7" xfId="450"/>
    <cellStyle name="Accent5 8" xfId="587"/>
    <cellStyle name="Accent5 9" xfId="588"/>
    <cellStyle name="Accent6 10" xfId="733"/>
    <cellStyle name="Accent6 11" xfId="734"/>
    <cellStyle name="Accent6 12" xfId="868"/>
    <cellStyle name="Accent6 13" xfId="869"/>
    <cellStyle name="Accent6 14" xfId="968"/>
    <cellStyle name="Accent6 2" xfId="92"/>
    <cellStyle name="Accent6 2 10" xfId="1691"/>
    <cellStyle name="Accent6 2 11" xfId="2026"/>
    <cellStyle name="Accent6 2 12" xfId="2400"/>
    <cellStyle name="Accent6 2 13" xfId="2773"/>
    <cellStyle name="Accent6 2 14" xfId="3147"/>
    <cellStyle name="Accent6 2 15" xfId="3518"/>
    <cellStyle name="Accent6 2 16" xfId="3656"/>
    <cellStyle name="Accent6 2 2" xfId="136"/>
    <cellStyle name="Accent6 2 2 2" xfId="191"/>
    <cellStyle name="Accent6 2 2 3" xfId="355"/>
    <cellStyle name="Accent6 2 2 4" xfId="2177"/>
    <cellStyle name="Accent6 2 2 5" xfId="2551"/>
    <cellStyle name="Accent6 2 2 6" xfId="2923"/>
    <cellStyle name="Accent6 2 2 7" xfId="3295"/>
    <cellStyle name="Accent6 2 3" xfId="301"/>
    <cellStyle name="Accent6 2 3 2" xfId="1353"/>
    <cellStyle name="Accent6 2 4" xfId="451"/>
    <cellStyle name="Accent6 2 5" xfId="589"/>
    <cellStyle name="Accent6 2 6" xfId="735"/>
    <cellStyle name="Accent6 2 7" xfId="736"/>
    <cellStyle name="Accent6 2 8" xfId="870"/>
    <cellStyle name="Accent6 2 8 2" xfId="1420"/>
    <cellStyle name="Accent6 2 9" xfId="969"/>
    <cellStyle name="Accent6 2 9 2" xfId="1559"/>
    <cellStyle name="Accent6 3" xfId="232"/>
    <cellStyle name="Accent6 3 10" xfId="3699"/>
    <cellStyle name="Accent6 3 2" xfId="1472"/>
    <cellStyle name="Accent6 3 2 2" xfId="1843"/>
    <cellStyle name="Accent6 3 2 3" xfId="2218"/>
    <cellStyle name="Accent6 3 2 4" xfId="2592"/>
    <cellStyle name="Accent6 3 2 5" xfId="2964"/>
    <cellStyle name="Accent6 3 2 6" xfId="3336"/>
    <cellStyle name="Accent6 3 3" xfId="1599"/>
    <cellStyle name="Accent6 3 3 2" xfId="1920"/>
    <cellStyle name="Accent6 3 3 3" xfId="2295"/>
    <cellStyle name="Accent6 3 3 4" xfId="2668"/>
    <cellStyle name="Accent6 3 3 5" xfId="3041"/>
    <cellStyle name="Accent6 3 3 6" xfId="3412"/>
    <cellStyle name="Accent6 3 4" xfId="1736"/>
    <cellStyle name="Accent6 3 4 2" xfId="1964"/>
    <cellStyle name="Accent6 3 4 3" xfId="2339"/>
    <cellStyle name="Accent6 3 4 4" xfId="2712"/>
    <cellStyle name="Accent6 3 4 5" xfId="3085"/>
    <cellStyle name="Accent6 3 4 6" xfId="3456"/>
    <cellStyle name="Accent6 3 5" xfId="2071"/>
    <cellStyle name="Accent6 3 6" xfId="2445"/>
    <cellStyle name="Accent6 3 7" xfId="2817"/>
    <cellStyle name="Accent6 3 8" xfId="3188"/>
    <cellStyle name="Accent6 3 9" xfId="3563"/>
    <cellStyle name="Accent6 4" xfId="259"/>
    <cellStyle name="Accent6 4 10" xfId="3743"/>
    <cellStyle name="Accent6 4 11" xfId="1314"/>
    <cellStyle name="Accent6 4 2" xfId="1517"/>
    <cellStyle name="Accent6 4 3" xfId="1642"/>
    <cellStyle name="Accent6 4 4" xfId="1787"/>
    <cellStyle name="Accent6 4 5" xfId="2122"/>
    <cellStyle name="Accent6 4 6" xfId="2496"/>
    <cellStyle name="Accent6 4 7" xfId="2868"/>
    <cellStyle name="Accent6 4 8" xfId="3239"/>
    <cellStyle name="Accent6 4 9" xfId="3606"/>
    <cellStyle name="Accent6 5" xfId="452"/>
    <cellStyle name="Accent6 5 2" xfId="1872"/>
    <cellStyle name="Accent6 5 3" xfId="2247"/>
    <cellStyle name="Accent6 5 4" xfId="2621"/>
    <cellStyle name="Accent6 5 5" xfId="2993"/>
    <cellStyle name="Accent6 5 6" xfId="3365"/>
    <cellStyle name="Accent6 6" xfId="453"/>
    <cellStyle name="Accent6 6 2" xfId="1993"/>
    <cellStyle name="Accent6 6 3" xfId="2368"/>
    <cellStyle name="Accent6 6 4" xfId="2741"/>
    <cellStyle name="Accent6 6 5" xfId="3114"/>
    <cellStyle name="Accent6 6 6" xfId="3485"/>
    <cellStyle name="Accent6 6 7" xfId="3791"/>
    <cellStyle name="Accent6 7" xfId="454"/>
    <cellStyle name="Accent6 8" xfId="590"/>
    <cellStyle name="Accent6 9" xfId="591"/>
    <cellStyle name="Bad 10" xfId="737"/>
    <cellStyle name="Bad 11" xfId="738"/>
    <cellStyle name="Bad 12" xfId="871"/>
    <cellStyle name="Bad 13" xfId="872"/>
    <cellStyle name="Bad 14" xfId="970"/>
    <cellStyle name="Bad 2" xfId="93"/>
    <cellStyle name="Bad 2 10" xfId="1692"/>
    <cellStyle name="Bad 2 11" xfId="2027"/>
    <cellStyle name="Bad 2 12" xfId="2401"/>
    <cellStyle name="Bad 2 13" xfId="2774"/>
    <cellStyle name="Bad 2 14" xfId="3148"/>
    <cellStyle name="Bad 2 15" xfId="3519"/>
    <cellStyle name="Bad 2 16" xfId="3657"/>
    <cellStyle name="Bad 2 2" xfId="137"/>
    <cellStyle name="Bad 2 2 2" xfId="160"/>
    <cellStyle name="Bad 2 2 3" xfId="324"/>
    <cellStyle name="Bad 2 2 4" xfId="2147"/>
    <cellStyle name="Bad 2 2 5" xfId="2521"/>
    <cellStyle name="Bad 2 2 6" xfId="2893"/>
    <cellStyle name="Bad 2 2 7" xfId="3264"/>
    <cellStyle name="Bad 2 3" xfId="302"/>
    <cellStyle name="Bad 2 3 2" xfId="1323"/>
    <cellStyle name="Bad 2 4" xfId="455"/>
    <cellStyle name="Bad 2 5" xfId="592"/>
    <cellStyle name="Bad 2 6" xfId="739"/>
    <cellStyle name="Bad 2 7" xfId="740"/>
    <cellStyle name="Bad 2 8" xfId="873"/>
    <cellStyle name="Bad 2 8 2" xfId="1421"/>
    <cellStyle name="Bad 2 9" xfId="971"/>
    <cellStyle name="Bad 2 9 2" xfId="1558"/>
    <cellStyle name="Bad 3" xfId="201"/>
    <cellStyle name="Bad 3 10" xfId="3700"/>
    <cellStyle name="Bad 3 2" xfId="1473"/>
    <cellStyle name="Bad 3 2 2" xfId="1812"/>
    <cellStyle name="Bad 3 2 3" xfId="2187"/>
    <cellStyle name="Bad 3 2 4" xfId="2561"/>
    <cellStyle name="Bad 3 2 5" xfId="2933"/>
    <cellStyle name="Bad 3 2 6" xfId="3305"/>
    <cellStyle name="Bad 3 3" xfId="1600"/>
    <cellStyle name="Bad 3 3 2" xfId="1889"/>
    <cellStyle name="Bad 3 3 3" xfId="2264"/>
    <cellStyle name="Bad 3 3 4" xfId="2637"/>
    <cellStyle name="Bad 3 3 5" xfId="3010"/>
    <cellStyle name="Bad 3 3 6" xfId="3381"/>
    <cellStyle name="Bad 3 4" xfId="1737"/>
    <cellStyle name="Bad 3 4 2" xfId="1933"/>
    <cellStyle name="Bad 3 4 3" xfId="2308"/>
    <cellStyle name="Bad 3 4 4" xfId="2681"/>
    <cellStyle name="Bad 3 4 5" xfId="3054"/>
    <cellStyle name="Bad 3 4 6" xfId="3425"/>
    <cellStyle name="Bad 3 5" xfId="2072"/>
    <cellStyle name="Bad 3 6" xfId="2446"/>
    <cellStyle name="Bad 3 7" xfId="2818"/>
    <cellStyle name="Bad 3 8" xfId="3189"/>
    <cellStyle name="Bad 3 9" xfId="3564"/>
    <cellStyle name="Bad 4" xfId="260"/>
    <cellStyle name="Bad 4 10" xfId="3744"/>
    <cellStyle name="Bad 4 11" xfId="1283"/>
    <cellStyle name="Bad 4 2" xfId="1518"/>
    <cellStyle name="Bad 4 3" xfId="1643"/>
    <cellStyle name="Bad 4 4" xfId="1786"/>
    <cellStyle name="Bad 4 5" xfId="2121"/>
    <cellStyle name="Bad 4 6" xfId="2495"/>
    <cellStyle name="Bad 4 7" xfId="2867"/>
    <cellStyle name="Bad 4 8" xfId="3238"/>
    <cellStyle name="Bad 4 9" xfId="3607"/>
    <cellStyle name="Bad 5" xfId="456"/>
    <cellStyle name="Bad 5 2" xfId="1855"/>
    <cellStyle name="Bad 5 3" xfId="2230"/>
    <cellStyle name="Bad 5 4" xfId="2604"/>
    <cellStyle name="Bad 5 5" xfId="2976"/>
    <cellStyle name="Bad 5 6" xfId="3348"/>
    <cellStyle name="Bad 6" xfId="457"/>
    <cellStyle name="Bad 6 2" xfId="1994"/>
    <cellStyle name="Bad 6 3" xfId="2369"/>
    <cellStyle name="Bad 6 4" xfId="2742"/>
    <cellStyle name="Bad 6 5" xfId="3115"/>
    <cellStyle name="Bad 6 6" xfId="3486"/>
    <cellStyle name="Bad 6 7" xfId="3792"/>
    <cellStyle name="Bad 7" xfId="458"/>
    <cellStyle name="Bad 8" xfId="593"/>
    <cellStyle name="Bad 9" xfId="594"/>
    <cellStyle name="Calculation 10" xfId="741"/>
    <cellStyle name="Calculation 11" xfId="742"/>
    <cellStyle name="Calculation 12" xfId="874"/>
    <cellStyle name="Calculation 13" xfId="875"/>
    <cellStyle name="Calculation 14" xfId="972"/>
    <cellStyle name="Calculation 2" xfId="94"/>
    <cellStyle name="Calculation 2 10" xfId="1693"/>
    <cellStyle name="Calculation 2 11" xfId="2028"/>
    <cellStyle name="Calculation 2 12" xfId="2402"/>
    <cellStyle name="Calculation 2 13" xfId="2775"/>
    <cellStyle name="Calculation 2 14" xfId="3149"/>
    <cellStyle name="Calculation 2 15" xfId="3520"/>
    <cellStyle name="Calculation 2 16" xfId="3658"/>
    <cellStyle name="Calculation 2 2" xfId="138"/>
    <cellStyle name="Calculation 2 2 2" xfId="164"/>
    <cellStyle name="Calculation 2 2 3" xfId="328"/>
    <cellStyle name="Calculation 2 2 4" xfId="2151"/>
    <cellStyle name="Calculation 2 2 5" xfId="2525"/>
    <cellStyle name="Calculation 2 2 6" xfId="2897"/>
    <cellStyle name="Calculation 2 2 7" xfId="3268"/>
    <cellStyle name="Calculation 2 3" xfId="303"/>
    <cellStyle name="Calculation 2 3 2" xfId="1327"/>
    <cellStyle name="Calculation 2 4" xfId="459"/>
    <cellStyle name="Calculation 2 5" xfId="595"/>
    <cellStyle name="Calculation 2 6" xfId="743"/>
    <cellStyle name="Calculation 2 7" xfId="744"/>
    <cellStyle name="Calculation 2 8" xfId="876"/>
    <cellStyle name="Calculation 2 8 2" xfId="1422"/>
    <cellStyle name="Calculation 2 9" xfId="973"/>
    <cellStyle name="Calculation 2 9 2" xfId="1557"/>
    <cellStyle name="Calculation 3" xfId="205"/>
    <cellStyle name="Calculation 3 10" xfId="3701"/>
    <cellStyle name="Calculation 3 2" xfId="1474"/>
    <cellStyle name="Calculation 3 2 2" xfId="1816"/>
    <cellStyle name="Calculation 3 2 3" xfId="2191"/>
    <cellStyle name="Calculation 3 2 4" xfId="2565"/>
    <cellStyle name="Calculation 3 2 5" xfId="2937"/>
    <cellStyle name="Calculation 3 2 6" xfId="3309"/>
    <cellStyle name="Calculation 3 3" xfId="1601"/>
    <cellStyle name="Calculation 3 3 2" xfId="1893"/>
    <cellStyle name="Calculation 3 3 3" xfId="2268"/>
    <cellStyle name="Calculation 3 3 4" xfId="2641"/>
    <cellStyle name="Calculation 3 3 5" xfId="3014"/>
    <cellStyle name="Calculation 3 3 6" xfId="3385"/>
    <cellStyle name="Calculation 3 4" xfId="1738"/>
    <cellStyle name="Calculation 3 4 2" xfId="1937"/>
    <cellStyle name="Calculation 3 4 3" xfId="2312"/>
    <cellStyle name="Calculation 3 4 4" xfId="2685"/>
    <cellStyle name="Calculation 3 4 5" xfId="3058"/>
    <cellStyle name="Calculation 3 4 6" xfId="3429"/>
    <cellStyle name="Calculation 3 5" xfId="2073"/>
    <cellStyle name="Calculation 3 6" xfId="2447"/>
    <cellStyle name="Calculation 3 7" xfId="2819"/>
    <cellStyle name="Calculation 3 8" xfId="3190"/>
    <cellStyle name="Calculation 3 9" xfId="3565"/>
    <cellStyle name="Calculation 4" xfId="261"/>
    <cellStyle name="Calculation 4 10" xfId="3745"/>
    <cellStyle name="Calculation 4 11" xfId="1287"/>
    <cellStyle name="Calculation 4 2" xfId="1519"/>
    <cellStyle name="Calculation 4 3" xfId="1644"/>
    <cellStyle name="Calculation 4 4" xfId="1785"/>
    <cellStyle name="Calculation 4 5" xfId="2120"/>
    <cellStyle name="Calculation 4 6" xfId="2494"/>
    <cellStyle name="Calculation 4 7" xfId="2866"/>
    <cellStyle name="Calculation 4 8" xfId="3237"/>
    <cellStyle name="Calculation 4 9" xfId="3608"/>
    <cellStyle name="Calculation 5" xfId="460"/>
    <cellStyle name="Calculation 5 2" xfId="1871"/>
    <cellStyle name="Calculation 5 3" xfId="2246"/>
    <cellStyle name="Calculation 5 4" xfId="2620"/>
    <cellStyle name="Calculation 5 5" xfId="2992"/>
    <cellStyle name="Calculation 5 6" xfId="3364"/>
    <cellStyle name="Calculation 6" xfId="461"/>
    <cellStyle name="Calculation 6 2" xfId="1995"/>
    <cellStyle name="Calculation 6 3" xfId="2370"/>
    <cellStyle name="Calculation 6 4" xfId="2743"/>
    <cellStyle name="Calculation 6 5" xfId="3116"/>
    <cellStyle name="Calculation 6 6" xfId="3487"/>
    <cellStyle name="Calculation 6 7" xfId="3793"/>
    <cellStyle name="Calculation 7" xfId="462"/>
    <cellStyle name="Calculation 8" xfId="596"/>
    <cellStyle name="Calculation 9" xfId="597"/>
    <cellStyle name="Check Cell 10" xfId="745"/>
    <cellStyle name="Check Cell 11" xfId="746"/>
    <cellStyle name="Check Cell 12" xfId="877"/>
    <cellStyle name="Check Cell 13" xfId="878"/>
    <cellStyle name="Check Cell 14" xfId="974"/>
    <cellStyle name="Check Cell 2" xfId="95"/>
    <cellStyle name="Check Cell 2 10" xfId="1694"/>
    <cellStyle name="Check Cell 2 11" xfId="2029"/>
    <cellStyle name="Check Cell 2 12" xfId="2403"/>
    <cellStyle name="Check Cell 2 13" xfId="2776"/>
    <cellStyle name="Check Cell 2 14" xfId="3150"/>
    <cellStyle name="Check Cell 2 15" xfId="3521"/>
    <cellStyle name="Check Cell 2 16" xfId="3659"/>
    <cellStyle name="Check Cell 2 2" xfId="139"/>
    <cellStyle name="Check Cell 2 2 2" xfId="166"/>
    <cellStyle name="Check Cell 2 2 3" xfId="330"/>
    <cellStyle name="Check Cell 2 2 4" xfId="2153"/>
    <cellStyle name="Check Cell 2 2 5" xfId="2527"/>
    <cellStyle name="Check Cell 2 2 6" xfId="2899"/>
    <cellStyle name="Check Cell 2 2 7" xfId="3270"/>
    <cellStyle name="Check Cell 2 3" xfId="304"/>
    <cellStyle name="Check Cell 2 3 2" xfId="1329"/>
    <cellStyle name="Check Cell 2 4" xfId="463"/>
    <cellStyle name="Check Cell 2 5" xfId="598"/>
    <cellStyle name="Check Cell 2 6" xfId="747"/>
    <cellStyle name="Check Cell 2 7" xfId="748"/>
    <cellStyle name="Check Cell 2 8" xfId="879"/>
    <cellStyle name="Check Cell 2 8 2" xfId="1423"/>
    <cellStyle name="Check Cell 2 9" xfId="975"/>
    <cellStyle name="Check Cell 2 9 2" xfId="1556"/>
    <cellStyle name="Check Cell 3" xfId="207"/>
    <cellStyle name="Check Cell 3 10" xfId="3702"/>
    <cellStyle name="Check Cell 3 2" xfId="1475"/>
    <cellStyle name="Check Cell 3 2 2" xfId="1818"/>
    <cellStyle name="Check Cell 3 2 3" xfId="2193"/>
    <cellStyle name="Check Cell 3 2 4" xfId="2567"/>
    <cellStyle name="Check Cell 3 2 5" xfId="2939"/>
    <cellStyle name="Check Cell 3 2 6" xfId="3311"/>
    <cellStyle name="Check Cell 3 3" xfId="1602"/>
    <cellStyle name="Check Cell 3 3 2" xfId="1895"/>
    <cellStyle name="Check Cell 3 3 3" xfId="2270"/>
    <cellStyle name="Check Cell 3 3 4" xfId="2643"/>
    <cellStyle name="Check Cell 3 3 5" xfId="3016"/>
    <cellStyle name="Check Cell 3 3 6" xfId="3387"/>
    <cellStyle name="Check Cell 3 4" xfId="1739"/>
    <cellStyle name="Check Cell 3 4 2" xfId="1939"/>
    <cellStyle name="Check Cell 3 4 3" xfId="2314"/>
    <cellStyle name="Check Cell 3 4 4" xfId="2687"/>
    <cellStyle name="Check Cell 3 4 5" xfId="3060"/>
    <cellStyle name="Check Cell 3 4 6" xfId="3431"/>
    <cellStyle name="Check Cell 3 5" xfId="2074"/>
    <cellStyle name="Check Cell 3 6" xfId="2448"/>
    <cellStyle name="Check Cell 3 7" xfId="2820"/>
    <cellStyle name="Check Cell 3 8" xfId="3191"/>
    <cellStyle name="Check Cell 3 9" xfId="3566"/>
    <cellStyle name="Check Cell 4" xfId="262"/>
    <cellStyle name="Check Cell 4 10" xfId="3746"/>
    <cellStyle name="Check Cell 4 11" xfId="1289"/>
    <cellStyle name="Check Cell 4 2" xfId="1520"/>
    <cellStyle name="Check Cell 4 3" xfId="1645"/>
    <cellStyle name="Check Cell 4 4" xfId="1784"/>
    <cellStyle name="Check Cell 4 5" xfId="2119"/>
    <cellStyle name="Check Cell 4 6" xfId="2493"/>
    <cellStyle name="Check Cell 4 7" xfId="2865"/>
    <cellStyle name="Check Cell 4 8" xfId="3236"/>
    <cellStyle name="Check Cell 4 9" xfId="3609"/>
    <cellStyle name="Check Cell 5" xfId="464"/>
    <cellStyle name="Check Cell 5 2" xfId="1854"/>
    <cellStyle name="Check Cell 5 3" xfId="2229"/>
    <cellStyle name="Check Cell 5 4" xfId="2603"/>
    <cellStyle name="Check Cell 5 5" xfId="2975"/>
    <cellStyle name="Check Cell 5 6" xfId="3347"/>
    <cellStyle name="Check Cell 6" xfId="465"/>
    <cellStyle name="Check Cell 6 2" xfId="1996"/>
    <cellStyle name="Check Cell 6 3" xfId="2371"/>
    <cellStyle name="Check Cell 6 4" xfId="2744"/>
    <cellStyle name="Check Cell 6 5" xfId="3117"/>
    <cellStyle name="Check Cell 6 6" xfId="3488"/>
    <cellStyle name="Check Cell 6 7" xfId="3794"/>
    <cellStyle name="Check Cell 7" xfId="466"/>
    <cellStyle name="Check Cell 8" xfId="599"/>
    <cellStyle name="Check Cell 9" xfId="600"/>
    <cellStyle name="Comma" xfId="1" builtinId="3"/>
    <cellStyle name="Comma 10" xfId="32"/>
    <cellStyle name="Comma 10 10" xfId="4690"/>
    <cellStyle name="Comma 10 11" xfId="4691"/>
    <cellStyle name="Comma 10 12" xfId="4692"/>
    <cellStyle name="Comma 10 13" xfId="4693"/>
    <cellStyle name="Comma 10 14" xfId="4694"/>
    <cellStyle name="Comma 10 15" xfId="4695"/>
    <cellStyle name="Comma 10 16" xfId="4696"/>
    <cellStyle name="Comma 10 17" xfId="4697"/>
    <cellStyle name="Comma 10 18" xfId="4698"/>
    <cellStyle name="Comma 10 19" xfId="4699"/>
    <cellStyle name="Comma 10 2" xfId="3882"/>
    <cellStyle name="Comma 10 20" xfId="4700"/>
    <cellStyle name="Comma 10 21" xfId="4701"/>
    <cellStyle name="Comma 10 22" xfId="4702"/>
    <cellStyle name="Comma 10 23" xfId="4703"/>
    <cellStyle name="Comma 10 24" xfId="4704"/>
    <cellStyle name="Comma 10 3" xfId="4705"/>
    <cellStyle name="Comma 10 4" xfId="4706"/>
    <cellStyle name="Comma 10 5" xfId="4707"/>
    <cellStyle name="Comma 10 6" xfId="4708"/>
    <cellStyle name="Comma 10 7" xfId="4709"/>
    <cellStyle name="Comma 10 8" xfId="4710"/>
    <cellStyle name="Comma 10 9" xfId="4711"/>
    <cellStyle name="Comma 11" xfId="33"/>
    <cellStyle name="Comma 11 10" xfId="4712"/>
    <cellStyle name="Comma 11 11" xfId="4713"/>
    <cellStyle name="Comma 11 12" xfId="4714"/>
    <cellStyle name="Comma 11 13" xfId="4715"/>
    <cellStyle name="Comma 11 14" xfId="4716"/>
    <cellStyle name="Comma 11 15" xfId="4717"/>
    <cellStyle name="Comma 11 16" xfId="4718"/>
    <cellStyle name="Comma 11 17" xfId="4719"/>
    <cellStyle name="Comma 11 18" xfId="4720"/>
    <cellStyle name="Comma 11 19" xfId="4721"/>
    <cellStyle name="Comma 11 2" xfId="3914"/>
    <cellStyle name="Comma 11 20" xfId="4722"/>
    <cellStyle name="Comma 11 21" xfId="4723"/>
    <cellStyle name="Comma 11 22" xfId="4724"/>
    <cellStyle name="Comma 11 23" xfId="4725"/>
    <cellStyle name="Comma 11 24" xfId="4726"/>
    <cellStyle name="Comma 11 3" xfId="4727"/>
    <cellStyle name="Comma 11 4" xfId="4728"/>
    <cellStyle name="Comma 11 5" xfId="4729"/>
    <cellStyle name="Comma 11 6" xfId="4730"/>
    <cellStyle name="Comma 11 7" xfId="4731"/>
    <cellStyle name="Comma 11 8" xfId="4732"/>
    <cellStyle name="Comma 11 9" xfId="4733"/>
    <cellStyle name="Comma 12" xfId="34"/>
    <cellStyle name="Comma 12 2" xfId="3884"/>
    <cellStyle name="Comma 13" xfId="35"/>
    <cellStyle name="Comma 13 2" xfId="3916"/>
    <cellStyle name="Comma 14" xfId="36"/>
    <cellStyle name="Comma 14 2" xfId="3886"/>
    <cellStyle name="Comma 14 3" xfId="1023"/>
    <cellStyle name="Comma 15" xfId="4734"/>
    <cellStyle name="Comma 16" xfId="1025"/>
    <cellStyle name="Comma 16 2" xfId="3888"/>
    <cellStyle name="Comma 17" xfId="7100"/>
    <cellStyle name="Comma 18" xfId="1027"/>
    <cellStyle name="Comma 18 2" xfId="3890"/>
    <cellStyle name="Comma 2" xfId="2"/>
    <cellStyle name="Comma 2 10" xfId="1017"/>
    <cellStyle name="Comma 2 10 2" xfId="3536"/>
    <cellStyle name="Comma 2 10 3" xfId="3877"/>
    <cellStyle name="Comma 2 11" xfId="1035"/>
    <cellStyle name="Comma 2 11 2" xfId="3672"/>
    <cellStyle name="Comma 2 11 3" xfId="3900"/>
    <cellStyle name="Comma 2 12" xfId="1041"/>
    <cellStyle name="Comma 2 12 2" xfId="3908"/>
    <cellStyle name="Comma 2 13" xfId="1061"/>
    <cellStyle name="Comma 2 13 2" xfId="3931"/>
    <cellStyle name="Comma 2 14" xfId="1071"/>
    <cellStyle name="Comma 2 14 2" xfId="3941"/>
    <cellStyle name="Comma 2 15" xfId="1081"/>
    <cellStyle name="Comma 2 15 2" xfId="3951"/>
    <cellStyle name="Comma 2 16" xfId="1091"/>
    <cellStyle name="Comma 2 16 2" xfId="3961"/>
    <cellStyle name="Comma 2 17" xfId="1101"/>
    <cellStyle name="Comma 2 17 2" xfId="3971"/>
    <cellStyle name="Comma 2 18" xfId="1111"/>
    <cellStyle name="Comma 2 18 2" xfId="3981"/>
    <cellStyle name="Comma 2 19" xfId="1121"/>
    <cellStyle name="Comma 2 19 2" xfId="3991"/>
    <cellStyle name="Comma 2 2" xfId="37"/>
    <cellStyle name="Comma 2 2 10" xfId="4735"/>
    <cellStyle name="Comma 2 2 11" xfId="4736"/>
    <cellStyle name="Comma 2 2 12" xfId="4737"/>
    <cellStyle name="Comma 2 2 13" xfId="4738"/>
    <cellStyle name="Comma 2 2 14" xfId="4739"/>
    <cellStyle name="Comma 2 2 15" xfId="4740"/>
    <cellStyle name="Comma 2 2 16" xfId="4741"/>
    <cellStyle name="Comma 2 2 17" xfId="4742"/>
    <cellStyle name="Comma 2 2 18" xfId="4743"/>
    <cellStyle name="Comma 2 2 19" xfId="4744"/>
    <cellStyle name="Comma 2 2 2" xfId="112"/>
    <cellStyle name="Comma 2 2 2 2" xfId="4745"/>
    <cellStyle name="Comma 2 2 2 2 2" xfId="4746"/>
    <cellStyle name="Comma 2 2 2 2 3" xfId="4747"/>
    <cellStyle name="Comma 2 2 20" xfId="4748"/>
    <cellStyle name="Comma 2 2 21" xfId="4749"/>
    <cellStyle name="Comma 2 2 22" xfId="4750"/>
    <cellStyle name="Comma 2 2 23" xfId="4751"/>
    <cellStyle name="Comma 2 2 24" xfId="4752"/>
    <cellStyle name="Comma 2 2 3" xfId="4753"/>
    <cellStyle name="Comma 2 2 4" xfId="4754"/>
    <cellStyle name="Comma 2 2 5" xfId="4755"/>
    <cellStyle name="Comma 2 2 6" xfId="4756"/>
    <cellStyle name="Comma 2 2 7" xfId="4757"/>
    <cellStyle name="Comma 2 2 8" xfId="4758"/>
    <cellStyle name="Comma 2 2 9" xfId="4759"/>
    <cellStyle name="Comma 2 20" xfId="1131"/>
    <cellStyle name="Comma 2 20 2" xfId="4001"/>
    <cellStyle name="Comma 2 21" xfId="1141"/>
    <cellStyle name="Comma 2 21 2" xfId="4011"/>
    <cellStyle name="Comma 2 22" xfId="1151"/>
    <cellStyle name="Comma 2 22 2" xfId="4021"/>
    <cellStyle name="Comma 2 23" xfId="1159"/>
    <cellStyle name="Comma 2 23 2" xfId="4029"/>
    <cellStyle name="Comma 2 24" xfId="1171"/>
    <cellStyle name="Comma 2 24 2" xfId="4041"/>
    <cellStyle name="Comma 2 25" xfId="1181"/>
    <cellStyle name="Comma 2 25 2" xfId="4051"/>
    <cellStyle name="Comma 2 26" xfId="1191"/>
    <cellStyle name="Comma 2 26 2" xfId="4061"/>
    <cellStyle name="Comma 2 27" xfId="1201"/>
    <cellStyle name="Comma 2 27 2" xfId="4071"/>
    <cellStyle name="Comma 2 28" xfId="1211"/>
    <cellStyle name="Comma 2 28 2" xfId="4081"/>
    <cellStyle name="Comma 2 29" xfId="1221"/>
    <cellStyle name="Comma 2 29 2" xfId="4091"/>
    <cellStyle name="Comma 2 3" xfId="277"/>
    <cellStyle name="Comma 2 30" xfId="1231"/>
    <cellStyle name="Comma 2 30 2" xfId="4101"/>
    <cellStyle name="Comma 2 31" xfId="1241"/>
    <cellStyle name="Comma 2 31 2" xfId="4111"/>
    <cellStyle name="Comma 2 32" xfId="1251"/>
    <cellStyle name="Comma 2 32 2" xfId="4121"/>
    <cellStyle name="Comma 2 33" xfId="1261"/>
    <cellStyle name="Comma 2 33 2" xfId="4131"/>
    <cellStyle name="Comma 2 34" xfId="1269"/>
    <cellStyle name="Comma 2 34 2" xfId="4139"/>
    <cellStyle name="Comma 2 35" xfId="96"/>
    <cellStyle name="Comma 2 4" xfId="1006"/>
    <cellStyle name="Comma 2 4 2" xfId="1539"/>
    <cellStyle name="Comma 2 4 3" xfId="3865"/>
    <cellStyle name="Comma 2 5" xfId="1008"/>
    <cellStyle name="Comma 2 5 2" xfId="1761"/>
    <cellStyle name="Comma 2 5 3" xfId="3867"/>
    <cellStyle name="Comma 2 6" xfId="1009"/>
    <cellStyle name="Comma 2 6 2" xfId="2096"/>
    <cellStyle name="Comma 2 6 3" xfId="3869"/>
    <cellStyle name="Comma 2 7" xfId="1011"/>
    <cellStyle name="Comma 2 7 2" xfId="2470"/>
    <cellStyle name="Comma 2 7 3" xfId="3871"/>
    <cellStyle name="Comma 2 8" xfId="1013"/>
    <cellStyle name="Comma 2 8 2" xfId="2842"/>
    <cellStyle name="Comma 2 8 3" xfId="3873"/>
    <cellStyle name="Comma 2 9" xfId="1015"/>
    <cellStyle name="Comma 2 9 2" xfId="3213"/>
    <cellStyle name="Comma 2 9 3" xfId="3875"/>
    <cellStyle name="Comma 20" xfId="1029"/>
    <cellStyle name="Comma 20 2" xfId="3892"/>
    <cellStyle name="Comma 22" xfId="1031"/>
    <cellStyle name="Comma 22 2" xfId="3894"/>
    <cellStyle name="Comma 23" xfId="38"/>
    <cellStyle name="Comma 24" xfId="39"/>
    <cellStyle name="Comma 24 2" xfId="3896"/>
    <cellStyle name="Comma 25" xfId="40"/>
    <cellStyle name="Comma 26" xfId="41"/>
    <cellStyle name="Comma 26 2" xfId="3898"/>
    <cellStyle name="Comma 27" xfId="42"/>
    <cellStyle name="Comma 3" xfId="3"/>
    <cellStyle name="Comma 3 10" xfId="1115"/>
    <cellStyle name="Comma 3 10 2" xfId="3985"/>
    <cellStyle name="Comma 3 11" xfId="1125"/>
    <cellStyle name="Comma 3 11 2" xfId="3995"/>
    <cellStyle name="Comma 3 12" xfId="1135"/>
    <cellStyle name="Comma 3 12 2" xfId="4005"/>
    <cellStyle name="Comma 3 13" xfId="1145"/>
    <cellStyle name="Comma 3 13 2" xfId="4015"/>
    <cellStyle name="Comma 3 14" xfId="1153"/>
    <cellStyle name="Comma 3 14 2" xfId="4023"/>
    <cellStyle name="Comma 3 15" xfId="1165"/>
    <cellStyle name="Comma 3 15 2" xfId="4035"/>
    <cellStyle name="Comma 3 16" xfId="1175"/>
    <cellStyle name="Comma 3 16 2" xfId="4045"/>
    <cellStyle name="Comma 3 17" xfId="1185"/>
    <cellStyle name="Comma 3 17 2" xfId="4055"/>
    <cellStyle name="Comma 3 18" xfId="1195"/>
    <cellStyle name="Comma 3 18 2" xfId="4065"/>
    <cellStyle name="Comma 3 19" xfId="1205"/>
    <cellStyle name="Comma 3 19 2" xfId="4075"/>
    <cellStyle name="Comma 3 2" xfId="1036"/>
    <cellStyle name="Comma 3 2 2" xfId="1274"/>
    <cellStyle name="Comma 3 2 3" xfId="3901"/>
    <cellStyle name="Comma 3 20" xfId="1215"/>
    <cellStyle name="Comma 3 20 2" xfId="4085"/>
    <cellStyle name="Comma 3 21" xfId="1225"/>
    <cellStyle name="Comma 3 21 2" xfId="4095"/>
    <cellStyle name="Comma 3 22" xfId="1235"/>
    <cellStyle name="Comma 3 22 2" xfId="4105"/>
    <cellStyle name="Comma 3 23" xfId="1245"/>
    <cellStyle name="Comma 3 23 2" xfId="4115"/>
    <cellStyle name="Comma 3 24" xfId="1255"/>
    <cellStyle name="Comma 3 24 2" xfId="4125"/>
    <cellStyle name="Comma 3 25" xfId="1264"/>
    <cellStyle name="Comma 3 25 2" xfId="4134"/>
    <cellStyle name="Comma 3 26" xfId="111"/>
    <cellStyle name="Comma 3 3" xfId="1037"/>
    <cellStyle name="Comma 3 3 2" xfId="1760"/>
    <cellStyle name="Comma 3 3 3" xfId="3902"/>
    <cellStyle name="Comma 3 4" xfId="1055"/>
    <cellStyle name="Comma 3 4 2" xfId="2095"/>
    <cellStyle name="Comma 3 4 3" xfId="3925"/>
    <cellStyle name="Comma 3 5" xfId="1065"/>
    <cellStyle name="Comma 3 5 2" xfId="2469"/>
    <cellStyle name="Comma 3 5 3" xfId="3935"/>
    <cellStyle name="Comma 3 6" xfId="1075"/>
    <cellStyle name="Comma 3 6 2" xfId="2841"/>
    <cellStyle name="Comma 3 6 3" xfId="3945"/>
    <cellStyle name="Comma 3 7" xfId="1085"/>
    <cellStyle name="Comma 3 7 2" xfId="3212"/>
    <cellStyle name="Comma 3 7 3" xfId="3955"/>
    <cellStyle name="Comma 3 8" xfId="1095"/>
    <cellStyle name="Comma 3 8 2" xfId="3965"/>
    <cellStyle name="Comma 3 9" xfId="1105"/>
    <cellStyle name="Comma 3 9 2" xfId="3975"/>
    <cellStyle name="Comma 31" xfId="43"/>
    <cellStyle name="Comma 4" xfId="4"/>
    <cellStyle name="Comma 4 10" xfId="4760"/>
    <cellStyle name="Comma 4 11" xfId="4761"/>
    <cellStyle name="Comma 4 12" xfId="4762"/>
    <cellStyle name="Comma 4 13" xfId="4763"/>
    <cellStyle name="Comma 4 14" xfId="4764"/>
    <cellStyle name="Comma 4 15" xfId="4765"/>
    <cellStyle name="Comma 4 16" xfId="4766"/>
    <cellStyle name="Comma 4 17" xfId="4767"/>
    <cellStyle name="Comma 4 18" xfId="4768"/>
    <cellStyle name="Comma 4 19" xfId="4769"/>
    <cellStyle name="Comma 4 2" xfId="44"/>
    <cellStyle name="Comma 4 20" xfId="4770"/>
    <cellStyle name="Comma 4 21" xfId="4771"/>
    <cellStyle name="Comma 4 22" xfId="4772"/>
    <cellStyle name="Comma 4 23" xfId="4773"/>
    <cellStyle name="Comma 4 24" xfId="4774"/>
    <cellStyle name="Comma 4 3" xfId="45"/>
    <cellStyle name="Comma 4 4" xfId="4775"/>
    <cellStyle name="Comma 4 5" xfId="4776"/>
    <cellStyle name="Comma 4 6" xfId="4777"/>
    <cellStyle name="Comma 4 7" xfId="4778"/>
    <cellStyle name="Comma 4 8" xfId="4779"/>
    <cellStyle name="Comma 4 9" xfId="4780"/>
    <cellStyle name="Comma 5" xfId="46"/>
    <cellStyle name="Comma 5 10" xfId="1112"/>
    <cellStyle name="Comma 5 10 2" xfId="3982"/>
    <cellStyle name="Comma 5 11" xfId="1122"/>
    <cellStyle name="Comma 5 11 2" xfId="3992"/>
    <cellStyle name="Comma 5 12" xfId="1132"/>
    <cellStyle name="Comma 5 12 2" xfId="4002"/>
    <cellStyle name="Comma 5 13" xfId="1142"/>
    <cellStyle name="Comma 5 13 2" xfId="4012"/>
    <cellStyle name="Comma 5 14" xfId="1143"/>
    <cellStyle name="Comma 5 14 2" xfId="4013"/>
    <cellStyle name="Comma 5 15" xfId="1160"/>
    <cellStyle name="Comma 5 15 2" xfId="4030"/>
    <cellStyle name="Comma 5 16" xfId="1172"/>
    <cellStyle name="Comma 5 16 2" xfId="4042"/>
    <cellStyle name="Comma 5 17" xfId="1182"/>
    <cellStyle name="Comma 5 17 2" xfId="4052"/>
    <cellStyle name="Comma 5 18" xfId="1192"/>
    <cellStyle name="Comma 5 18 2" xfId="4062"/>
    <cellStyle name="Comma 5 19" xfId="1202"/>
    <cellStyle name="Comma 5 19 2" xfId="4072"/>
    <cellStyle name="Comma 5 2" xfId="47"/>
    <cellStyle name="Comma 5 2 2" xfId="48"/>
    <cellStyle name="Comma 5 2 3" xfId="49"/>
    <cellStyle name="Comma 5 20" xfId="1212"/>
    <cellStyle name="Comma 5 20 2" xfId="4082"/>
    <cellStyle name="Comma 5 21" xfId="1222"/>
    <cellStyle name="Comma 5 21 2" xfId="4092"/>
    <cellStyle name="Comma 5 22" xfId="1232"/>
    <cellStyle name="Comma 5 22 2" xfId="4102"/>
    <cellStyle name="Comma 5 23" xfId="1242"/>
    <cellStyle name="Comma 5 23 2" xfId="4112"/>
    <cellStyle name="Comma 5 24" xfId="1252"/>
    <cellStyle name="Comma 5 24 2" xfId="4122"/>
    <cellStyle name="Comma 5 25" xfId="1262"/>
    <cellStyle name="Comma 5 25 2" xfId="4132"/>
    <cellStyle name="Comma 5 3" xfId="50"/>
    <cellStyle name="Comma 5 3 2" xfId="3917"/>
    <cellStyle name="Comma 5 3 3" xfId="1047"/>
    <cellStyle name="Comma 5 4" xfId="1049"/>
    <cellStyle name="Comma 5 4 2" xfId="3919"/>
    <cellStyle name="Comma 5 5" xfId="1062"/>
    <cellStyle name="Comma 5 5 2" xfId="3932"/>
    <cellStyle name="Comma 5 6" xfId="1072"/>
    <cellStyle name="Comma 5 6 2" xfId="3942"/>
    <cellStyle name="Comma 5 7" xfId="1082"/>
    <cellStyle name="Comma 5 7 2" xfId="3952"/>
    <cellStyle name="Comma 5 8" xfId="1092"/>
    <cellStyle name="Comma 5 8 2" xfId="3962"/>
    <cellStyle name="Comma 5 9" xfId="1102"/>
    <cellStyle name="Comma 5 9 2" xfId="3972"/>
    <cellStyle name="Comma 6" xfId="66"/>
    <cellStyle name="Comma 6 10" xfId="4781"/>
    <cellStyle name="Comma 6 11" xfId="4782"/>
    <cellStyle name="Comma 6 12" xfId="4783"/>
    <cellStyle name="Comma 6 13" xfId="4784"/>
    <cellStyle name="Comma 6 14" xfId="4785"/>
    <cellStyle name="Comma 6 15" xfId="4786"/>
    <cellStyle name="Comma 6 16" xfId="4787"/>
    <cellStyle name="Comma 6 17" xfId="4788"/>
    <cellStyle name="Comma 6 18" xfId="4789"/>
    <cellStyle name="Comma 6 19" xfId="4790"/>
    <cellStyle name="Comma 6 2" xfId="51"/>
    <cellStyle name="Comma 6 20" xfId="4791"/>
    <cellStyle name="Comma 6 21" xfId="4792"/>
    <cellStyle name="Comma 6 22" xfId="4793"/>
    <cellStyle name="Comma 6 23" xfId="4794"/>
    <cellStyle name="Comma 6 24" xfId="4795"/>
    <cellStyle name="Comma 6 25" xfId="6501"/>
    <cellStyle name="Comma 6 3" xfId="52"/>
    <cellStyle name="Comma 6 4" xfId="4796"/>
    <cellStyle name="Comma 6 5" xfId="4797"/>
    <cellStyle name="Comma 6 6" xfId="4798"/>
    <cellStyle name="Comma 6 7" xfId="4799"/>
    <cellStyle name="Comma 6 8" xfId="4800"/>
    <cellStyle name="Comma 6 9" xfId="4801"/>
    <cellStyle name="Comma 7" xfId="53"/>
    <cellStyle name="Comma 7 10" xfId="4802"/>
    <cellStyle name="Comma 7 11" xfId="4803"/>
    <cellStyle name="Comma 7 12" xfId="4804"/>
    <cellStyle name="Comma 7 13" xfId="4805"/>
    <cellStyle name="Comma 7 14" xfId="4806"/>
    <cellStyle name="Comma 7 15" xfId="4807"/>
    <cellStyle name="Comma 7 16" xfId="4808"/>
    <cellStyle name="Comma 7 17" xfId="4809"/>
    <cellStyle name="Comma 7 18" xfId="4810"/>
    <cellStyle name="Comma 7 19" xfId="4811"/>
    <cellStyle name="Comma 7 2" xfId="3906"/>
    <cellStyle name="Comma 7 20" xfId="4812"/>
    <cellStyle name="Comma 7 21" xfId="4813"/>
    <cellStyle name="Comma 7 22" xfId="4814"/>
    <cellStyle name="Comma 7 23" xfId="4815"/>
    <cellStyle name="Comma 7 24" xfId="4816"/>
    <cellStyle name="Comma 7 3" xfId="4817"/>
    <cellStyle name="Comma 7 4" xfId="4818"/>
    <cellStyle name="Comma 7 5" xfId="4819"/>
    <cellStyle name="Comma 7 6" xfId="4820"/>
    <cellStyle name="Comma 7 7" xfId="4821"/>
    <cellStyle name="Comma 7 8" xfId="4822"/>
    <cellStyle name="Comma 7 9" xfId="4823"/>
    <cellStyle name="Comma 8" xfId="54"/>
    <cellStyle name="Comma 8 10" xfId="4824"/>
    <cellStyle name="Comma 8 11" xfId="4825"/>
    <cellStyle name="Comma 8 12" xfId="4826"/>
    <cellStyle name="Comma 8 13" xfId="4827"/>
    <cellStyle name="Comma 8 14" xfId="4828"/>
    <cellStyle name="Comma 8 15" xfId="4829"/>
    <cellStyle name="Comma 8 16" xfId="4830"/>
    <cellStyle name="Comma 8 17" xfId="4831"/>
    <cellStyle name="Comma 8 18" xfId="4832"/>
    <cellStyle name="Comma 8 19" xfId="4833"/>
    <cellStyle name="Comma 8 2" xfId="3880"/>
    <cellStyle name="Comma 8 20" xfId="4834"/>
    <cellStyle name="Comma 8 21" xfId="4835"/>
    <cellStyle name="Comma 8 22" xfId="4836"/>
    <cellStyle name="Comma 8 23" xfId="4837"/>
    <cellStyle name="Comma 8 24" xfId="4838"/>
    <cellStyle name="Comma 8 3" xfId="4839"/>
    <cellStyle name="Comma 8 4" xfId="4840"/>
    <cellStyle name="Comma 8 5" xfId="4841"/>
    <cellStyle name="Comma 8 6" xfId="4842"/>
    <cellStyle name="Comma 8 7" xfId="4843"/>
    <cellStyle name="Comma 8 8" xfId="4844"/>
    <cellStyle name="Comma 8 9" xfId="4845"/>
    <cellStyle name="Comma 9" xfId="55"/>
    <cellStyle name="Comma 9 10" xfId="4846"/>
    <cellStyle name="Comma 9 11" xfId="4847"/>
    <cellStyle name="Comma 9 12" xfId="4848"/>
    <cellStyle name="Comma 9 13" xfId="4849"/>
    <cellStyle name="Comma 9 14" xfId="4850"/>
    <cellStyle name="Comma 9 15" xfId="4851"/>
    <cellStyle name="Comma 9 16" xfId="4852"/>
    <cellStyle name="Comma 9 17" xfId="4853"/>
    <cellStyle name="Comma 9 18" xfId="4854"/>
    <cellStyle name="Comma 9 19" xfId="4855"/>
    <cellStyle name="Comma 9 2" xfId="3910"/>
    <cellStyle name="Comma 9 20" xfId="4856"/>
    <cellStyle name="Comma 9 21" xfId="4857"/>
    <cellStyle name="Comma 9 22" xfId="4858"/>
    <cellStyle name="Comma 9 23" xfId="4859"/>
    <cellStyle name="Comma 9 24" xfId="4860"/>
    <cellStyle name="Comma 9 3" xfId="4861"/>
    <cellStyle name="Comma 9 4" xfId="4862"/>
    <cellStyle name="Comma 9 5" xfId="4863"/>
    <cellStyle name="Comma 9 6" xfId="4864"/>
    <cellStyle name="Comma 9 7" xfId="4865"/>
    <cellStyle name="Comma 9 8" xfId="4866"/>
    <cellStyle name="Comma 9 9" xfId="4867"/>
    <cellStyle name="Currency" xfId="5" builtinId="4"/>
    <cellStyle name="Currency 2" xfId="6"/>
    <cellStyle name="Currency 2 2" xfId="140"/>
    <cellStyle name="Currency 2 3" xfId="305"/>
    <cellStyle name="Currency 2 4" xfId="2123"/>
    <cellStyle name="Currency 2 5" xfId="2497"/>
    <cellStyle name="Currency 2 6" xfId="2869"/>
    <cellStyle name="Currency 2 7" xfId="3240"/>
    <cellStyle name="Currency 2 8" xfId="1273"/>
    <cellStyle name="Currency 3" xfId="4868"/>
    <cellStyle name="Currency 4" xfId="7102"/>
    <cellStyle name="Euro" xfId="56"/>
    <cellStyle name="Explanatory Text 10" xfId="749"/>
    <cellStyle name="Explanatory Text 11" xfId="750"/>
    <cellStyle name="Explanatory Text 12" xfId="880"/>
    <cellStyle name="Explanatory Text 13" xfId="881"/>
    <cellStyle name="Explanatory Text 14" xfId="976"/>
    <cellStyle name="Explanatory Text 2" xfId="97"/>
    <cellStyle name="Explanatory Text 2 10" xfId="1695"/>
    <cellStyle name="Explanatory Text 2 11" xfId="2030"/>
    <cellStyle name="Explanatory Text 2 12" xfId="2404"/>
    <cellStyle name="Explanatory Text 2 13" xfId="2777"/>
    <cellStyle name="Explanatory Text 2 14" xfId="3151"/>
    <cellStyle name="Explanatory Text 2 15" xfId="3522"/>
    <cellStyle name="Explanatory Text 2 16" xfId="3660"/>
    <cellStyle name="Explanatory Text 2 2" xfId="141"/>
    <cellStyle name="Explanatory Text 2 2 2" xfId="169"/>
    <cellStyle name="Explanatory Text 2 2 3" xfId="333"/>
    <cellStyle name="Explanatory Text 2 2 4" xfId="2155"/>
    <cellStyle name="Explanatory Text 2 2 5" xfId="2529"/>
    <cellStyle name="Explanatory Text 2 2 6" xfId="2901"/>
    <cellStyle name="Explanatory Text 2 2 7" xfId="3273"/>
    <cellStyle name="Explanatory Text 2 3" xfId="306"/>
    <cellStyle name="Explanatory Text 2 3 2" xfId="1331"/>
    <cellStyle name="Explanatory Text 2 4" xfId="467"/>
    <cellStyle name="Explanatory Text 2 5" xfId="601"/>
    <cellStyle name="Explanatory Text 2 6" xfId="751"/>
    <cellStyle name="Explanatory Text 2 7" xfId="752"/>
    <cellStyle name="Explanatory Text 2 8" xfId="882"/>
    <cellStyle name="Explanatory Text 2 8 2" xfId="1424"/>
    <cellStyle name="Explanatory Text 2 9" xfId="977"/>
    <cellStyle name="Explanatory Text 2 9 2" xfId="1555"/>
    <cellStyle name="Explanatory Text 3" xfId="210"/>
    <cellStyle name="Explanatory Text 3 10" xfId="3703"/>
    <cellStyle name="Explanatory Text 3 2" xfId="1476"/>
    <cellStyle name="Explanatory Text 3 2 2" xfId="1821"/>
    <cellStyle name="Explanatory Text 3 2 3" xfId="2196"/>
    <cellStyle name="Explanatory Text 3 2 4" xfId="2570"/>
    <cellStyle name="Explanatory Text 3 2 5" xfId="2942"/>
    <cellStyle name="Explanatory Text 3 2 6" xfId="3314"/>
    <cellStyle name="Explanatory Text 3 3" xfId="1603"/>
    <cellStyle name="Explanatory Text 3 3 2" xfId="1898"/>
    <cellStyle name="Explanatory Text 3 3 3" xfId="2273"/>
    <cellStyle name="Explanatory Text 3 3 4" xfId="2646"/>
    <cellStyle name="Explanatory Text 3 3 5" xfId="3019"/>
    <cellStyle name="Explanatory Text 3 3 6" xfId="3390"/>
    <cellStyle name="Explanatory Text 3 4" xfId="1742"/>
    <cellStyle name="Explanatory Text 3 4 2" xfId="1942"/>
    <cellStyle name="Explanatory Text 3 4 3" xfId="2317"/>
    <cellStyle name="Explanatory Text 3 4 4" xfId="2690"/>
    <cellStyle name="Explanatory Text 3 4 5" xfId="3063"/>
    <cellStyle name="Explanatory Text 3 4 6" xfId="3434"/>
    <cellStyle name="Explanatory Text 3 5" xfId="2077"/>
    <cellStyle name="Explanatory Text 3 6" xfId="2451"/>
    <cellStyle name="Explanatory Text 3 7" xfId="2823"/>
    <cellStyle name="Explanatory Text 3 8" xfId="3194"/>
    <cellStyle name="Explanatory Text 3 9" xfId="3567"/>
    <cellStyle name="Explanatory Text 4" xfId="263"/>
    <cellStyle name="Explanatory Text 4 10" xfId="3747"/>
    <cellStyle name="Explanatory Text 4 11" xfId="1292"/>
    <cellStyle name="Explanatory Text 4 2" xfId="1521"/>
    <cellStyle name="Explanatory Text 4 3" xfId="1646"/>
    <cellStyle name="Explanatory Text 4 4" xfId="1782"/>
    <cellStyle name="Explanatory Text 4 5" xfId="2117"/>
    <cellStyle name="Explanatory Text 4 6" xfId="2491"/>
    <cellStyle name="Explanatory Text 4 7" xfId="2863"/>
    <cellStyle name="Explanatory Text 4 8" xfId="3234"/>
    <cellStyle name="Explanatory Text 4 9" xfId="3610"/>
    <cellStyle name="Explanatory Text 5" xfId="468"/>
    <cellStyle name="Explanatory Text 5 2" xfId="1870"/>
    <cellStyle name="Explanatory Text 5 3" xfId="2245"/>
    <cellStyle name="Explanatory Text 5 4" xfId="2619"/>
    <cellStyle name="Explanatory Text 5 5" xfId="2991"/>
    <cellStyle name="Explanatory Text 5 6" xfId="3363"/>
    <cellStyle name="Explanatory Text 6" xfId="469"/>
    <cellStyle name="Explanatory Text 6 2" xfId="1997"/>
    <cellStyle name="Explanatory Text 6 3" xfId="2372"/>
    <cellStyle name="Explanatory Text 6 4" xfId="2745"/>
    <cellStyle name="Explanatory Text 6 5" xfId="3118"/>
    <cellStyle name="Explanatory Text 6 6" xfId="3489"/>
    <cellStyle name="Explanatory Text 6 7" xfId="3795"/>
    <cellStyle name="Explanatory Text 7" xfId="470"/>
    <cellStyle name="Explanatory Text 8" xfId="602"/>
    <cellStyle name="Explanatory Text 9" xfId="603"/>
    <cellStyle name="Good 10" xfId="753"/>
    <cellStyle name="Good 11" xfId="754"/>
    <cellStyle name="Good 12" xfId="883"/>
    <cellStyle name="Good 13" xfId="884"/>
    <cellStyle name="Good 14" xfId="978"/>
    <cellStyle name="Good 2" xfId="98"/>
    <cellStyle name="Good 2 10" xfId="1696"/>
    <cellStyle name="Good 2 11" xfId="2031"/>
    <cellStyle name="Good 2 12" xfId="2405"/>
    <cellStyle name="Good 2 13" xfId="2778"/>
    <cellStyle name="Good 2 14" xfId="3152"/>
    <cellStyle name="Good 2 15" xfId="3523"/>
    <cellStyle name="Good 2 16" xfId="3661"/>
    <cellStyle name="Good 2 2" xfId="142"/>
    <cellStyle name="Good 2 2 2" xfId="159"/>
    <cellStyle name="Good 2 2 3" xfId="323"/>
    <cellStyle name="Good 2 2 4" xfId="2146"/>
    <cellStyle name="Good 2 2 5" xfId="2520"/>
    <cellStyle name="Good 2 2 6" xfId="2892"/>
    <cellStyle name="Good 2 2 7" xfId="3263"/>
    <cellStyle name="Good 2 3" xfId="307"/>
    <cellStyle name="Good 2 3 2" xfId="1322"/>
    <cellStyle name="Good 2 4" xfId="471"/>
    <cellStyle name="Good 2 5" xfId="604"/>
    <cellStyle name="Good 2 6" xfId="755"/>
    <cellStyle name="Good 2 7" xfId="756"/>
    <cellStyle name="Good 2 8" xfId="885"/>
    <cellStyle name="Good 2 8 2" xfId="1425"/>
    <cellStyle name="Good 2 9" xfId="979"/>
    <cellStyle name="Good 2 9 2" xfId="1554"/>
    <cellStyle name="Good 3" xfId="200"/>
    <cellStyle name="Good 3 10" xfId="3704"/>
    <cellStyle name="Good 3 2" xfId="1477"/>
    <cellStyle name="Good 3 2 2" xfId="1811"/>
    <cellStyle name="Good 3 2 3" xfId="2186"/>
    <cellStyle name="Good 3 2 4" xfId="2560"/>
    <cellStyle name="Good 3 2 5" xfId="2932"/>
    <cellStyle name="Good 3 2 6" xfId="3304"/>
    <cellStyle name="Good 3 3" xfId="1604"/>
    <cellStyle name="Good 3 3 2" xfId="1888"/>
    <cellStyle name="Good 3 3 3" xfId="2263"/>
    <cellStyle name="Good 3 3 4" xfId="2636"/>
    <cellStyle name="Good 3 3 5" xfId="3009"/>
    <cellStyle name="Good 3 3 6" xfId="3380"/>
    <cellStyle name="Good 3 4" xfId="1743"/>
    <cellStyle name="Good 3 4 2" xfId="1932"/>
    <cellStyle name="Good 3 4 3" xfId="2307"/>
    <cellStyle name="Good 3 4 4" xfId="2680"/>
    <cellStyle name="Good 3 4 5" xfId="3053"/>
    <cellStyle name="Good 3 4 6" xfId="3424"/>
    <cellStyle name="Good 3 5" xfId="2078"/>
    <cellStyle name="Good 3 6" xfId="2452"/>
    <cellStyle name="Good 3 7" xfId="2824"/>
    <cellStyle name="Good 3 8" xfId="3195"/>
    <cellStyle name="Good 3 9" xfId="3568"/>
    <cellStyle name="Good 4" xfId="264"/>
    <cellStyle name="Good 4 10" xfId="3748"/>
    <cellStyle name="Good 4 11" xfId="1282"/>
    <cellStyle name="Good 4 2" xfId="1522"/>
    <cellStyle name="Good 4 3" xfId="1647"/>
    <cellStyle name="Good 4 4" xfId="1781"/>
    <cellStyle name="Good 4 5" xfId="2116"/>
    <cellStyle name="Good 4 6" xfId="2490"/>
    <cellStyle name="Good 4 7" xfId="2862"/>
    <cellStyle name="Good 4 8" xfId="3233"/>
    <cellStyle name="Good 4 9" xfId="3611"/>
    <cellStyle name="Good 5" xfId="472"/>
    <cellStyle name="Good 5 2" xfId="1853"/>
    <cellStyle name="Good 5 3" xfId="2228"/>
    <cellStyle name="Good 5 4" xfId="2602"/>
    <cellStyle name="Good 5 5" xfId="2974"/>
    <cellStyle name="Good 5 6" xfId="3346"/>
    <cellStyle name="Good 6" xfId="473"/>
    <cellStyle name="Good 6 2" xfId="1998"/>
    <cellStyle name="Good 6 3" xfId="2373"/>
    <cellStyle name="Good 6 4" xfId="2746"/>
    <cellStyle name="Good 6 5" xfId="3119"/>
    <cellStyle name="Good 6 6" xfId="3490"/>
    <cellStyle name="Good 6 7" xfId="3796"/>
    <cellStyle name="Good 7" xfId="474"/>
    <cellStyle name="Good 8" xfId="605"/>
    <cellStyle name="Good 9" xfId="606"/>
    <cellStyle name="Heading 1 10" xfId="757"/>
    <cellStyle name="Heading 1 11" xfId="758"/>
    <cellStyle name="Heading 1 12" xfId="886"/>
    <cellStyle name="Heading 1 13" xfId="887"/>
    <cellStyle name="Heading 1 14" xfId="980"/>
    <cellStyle name="Heading 1 2" xfId="99"/>
    <cellStyle name="Heading 1 2 10" xfId="1697"/>
    <cellStyle name="Heading 1 2 11" xfId="2032"/>
    <cellStyle name="Heading 1 2 12" xfId="2406"/>
    <cellStyle name="Heading 1 2 13" xfId="2779"/>
    <cellStyle name="Heading 1 2 14" xfId="3153"/>
    <cellStyle name="Heading 1 2 15" xfId="3524"/>
    <cellStyle name="Heading 1 2 16" xfId="3662"/>
    <cellStyle name="Heading 1 2 2" xfId="143"/>
    <cellStyle name="Heading 1 2 2 2" xfId="155"/>
    <cellStyle name="Heading 1 2 2 3" xfId="319"/>
    <cellStyle name="Heading 1 2 2 4" xfId="2142"/>
    <cellStyle name="Heading 1 2 2 5" xfId="2516"/>
    <cellStyle name="Heading 1 2 2 6" xfId="2888"/>
    <cellStyle name="Heading 1 2 2 7" xfId="3259"/>
    <cellStyle name="Heading 1 2 3" xfId="308"/>
    <cellStyle name="Heading 1 2 3 2" xfId="1318"/>
    <cellStyle name="Heading 1 2 4" xfId="475"/>
    <cellStyle name="Heading 1 2 5" xfId="607"/>
    <cellStyle name="Heading 1 2 6" xfId="759"/>
    <cellStyle name="Heading 1 2 7" xfId="760"/>
    <cellStyle name="Heading 1 2 8" xfId="888"/>
    <cellStyle name="Heading 1 2 8 2" xfId="1426"/>
    <cellStyle name="Heading 1 2 9" xfId="981"/>
    <cellStyle name="Heading 1 2 9 2" xfId="1553"/>
    <cellStyle name="Heading 1 3" xfId="196"/>
    <cellStyle name="Heading 1 3 10" xfId="3705"/>
    <cellStyle name="Heading 1 3 2" xfId="1478"/>
    <cellStyle name="Heading 1 3 2 2" xfId="1807"/>
    <cellStyle name="Heading 1 3 2 3" xfId="2182"/>
    <cellStyle name="Heading 1 3 2 4" xfId="2556"/>
    <cellStyle name="Heading 1 3 2 5" xfId="2928"/>
    <cellStyle name="Heading 1 3 2 6" xfId="3300"/>
    <cellStyle name="Heading 1 3 3" xfId="1605"/>
    <cellStyle name="Heading 1 3 3 2" xfId="1884"/>
    <cellStyle name="Heading 1 3 3 3" xfId="2259"/>
    <cellStyle name="Heading 1 3 3 4" xfId="2632"/>
    <cellStyle name="Heading 1 3 3 5" xfId="3005"/>
    <cellStyle name="Heading 1 3 3 6" xfId="3376"/>
    <cellStyle name="Heading 1 3 4" xfId="1744"/>
    <cellStyle name="Heading 1 3 4 2" xfId="1928"/>
    <cellStyle name="Heading 1 3 4 3" xfId="2303"/>
    <cellStyle name="Heading 1 3 4 4" xfId="2676"/>
    <cellStyle name="Heading 1 3 4 5" xfId="3049"/>
    <cellStyle name="Heading 1 3 4 6" xfId="3420"/>
    <cellStyle name="Heading 1 3 5" xfId="2079"/>
    <cellStyle name="Heading 1 3 6" xfId="2453"/>
    <cellStyle name="Heading 1 3 7" xfId="2825"/>
    <cellStyle name="Heading 1 3 8" xfId="3196"/>
    <cellStyle name="Heading 1 3 9" xfId="3569"/>
    <cellStyle name="Heading 1 4" xfId="265"/>
    <cellStyle name="Heading 1 4 10" xfId="3749"/>
    <cellStyle name="Heading 1 4 11" xfId="1278"/>
    <cellStyle name="Heading 1 4 2" xfId="1523"/>
    <cellStyle name="Heading 1 4 3" xfId="1648"/>
    <cellStyle name="Heading 1 4 4" xfId="1780"/>
    <cellStyle name="Heading 1 4 5" xfId="2115"/>
    <cellStyle name="Heading 1 4 6" xfId="2489"/>
    <cellStyle name="Heading 1 4 7" xfId="2861"/>
    <cellStyle name="Heading 1 4 8" xfId="3232"/>
    <cellStyle name="Heading 1 4 9" xfId="3612"/>
    <cellStyle name="Heading 1 5" xfId="476"/>
    <cellStyle name="Heading 1 5 2" xfId="1873"/>
    <cellStyle name="Heading 1 5 3" xfId="2248"/>
    <cellStyle name="Heading 1 5 4" xfId="2622"/>
    <cellStyle name="Heading 1 5 5" xfId="2994"/>
    <cellStyle name="Heading 1 5 6" xfId="3366"/>
    <cellStyle name="Heading 1 6" xfId="477"/>
    <cellStyle name="Heading 1 6 2" xfId="1999"/>
    <cellStyle name="Heading 1 6 3" xfId="2374"/>
    <cellStyle name="Heading 1 6 4" xfId="2747"/>
    <cellStyle name="Heading 1 6 5" xfId="3120"/>
    <cellStyle name="Heading 1 6 6" xfId="3491"/>
    <cellStyle name="Heading 1 6 7" xfId="3797"/>
    <cellStyle name="Heading 1 7" xfId="478"/>
    <cellStyle name="Heading 1 8" xfId="608"/>
    <cellStyle name="Heading 1 9" xfId="609"/>
    <cellStyle name="Heading 2 10" xfId="761"/>
    <cellStyle name="Heading 2 11" xfId="762"/>
    <cellStyle name="Heading 2 12" xfId="889"/>
    <cellStyle name="Heading 2 13" xfId="890"/>
    <cellStyle name="Heading 2 14" xfId="982"/>
    <cellStyle name="Heading 2 2" xfId="100"/>
    <cellStyle name="Heading 2 2 10" xfId="1698"/>
    <cellStyle name="Heading 2 2 11" xfId="2033"/>
    <cellStyle name="Heading 2 2 12" xfId="2407"/>
    <cellStyle name="Heading 2 2 13" xfId="2780"/>
    <cellStyle name="Heading 2 2 14" xfId="3154"/>
    <cellStyle name="Heading 2 2 15" xfId="3525"/>
    <cellStyle name="Heading 2 2 16" xfId="3663"/>
    <cellStyle name="Heading 2 2 2" xfId="144"/>
    <cellStyle name="Heading 2 2 2 2" xfId="156"/>
    <cellStyle name="Heading 2 2 2 3" xfId="320"/>
    <cellStyle name="Heading 2 2 2 4" xfId="2143"/>
    <cellStyle name="Heading 2 2 2 5" xfId="2517"/>
    <cellStyle name="Heading 2 2 2 6" xfId="2889"/>
    <cellStyle name="Heading 2 2 2 7" xfId="3260"/>
    <cellStyle name="Heading 2 2 3" xfId="309"/>
    <cellStyle name="Heading 2 2 3 2" xfId="1319"/>
    <cellStyle name="Heading 2 2 4" xfId="479"/>
    <cellStyle name="Heading 2 2 5" xfId="610"/>
    <cellStyle name="Heading 2 2 6" xfId="763"/>
    <cellStyle name="Heading 2 2 7" xfId="764"/>
    <cellStyle name="Heading 2 2 8" xfId="891"/>
    <cellStyle name="Heading 2 2 8 2" xfId="1427"/>
    <cellStyle name="Heading 2 2 9" xfId="983"/>
    <cellStyle name="Heading 2 2 9 2" xfId="1552"/>
    <cellStyle name="Heading 2 3" xfId="197"/>
    <cellStyle name="Heading 2 3 10" xfId="3706"/>
    <cellStyle name="Heading 2 3 2" xfId="1479"/>
    <cellStyle name="Heading 2 3 2 2" xfId="1808"/>
    <cellStyle name="Heading 2 3 2 3" xfId="2183"/>
    <cellStyle name="Heading 2 3 2 4" xfId="2557"/>
    <cellStyle name="Heading 2 3 2 5" xfId="2929"/>
    <cellStyle name="Heading 2 3 2 6" xfId="3301"/>
    <cellStyle name="Heading 2 3 3" xfId="1606"/>
    <cellStyle name="Heading 2 3 3 2" xfId="1885"/>
    <cellStyle name="Heading 2 3 3 3" xfId="2260"/>
    <cellStyle name="Heading 2 3 3 4" xfId="2633"/>
    <cellStyle name="Heading 2 3 3 5" xfId="3006"/>
    <cellStyle name="Heading 2 3 3 6" xfId="3377"/>
    <cellStyle name="Heading 2 3 4" xfId="1745"/>
    <cellStyle name="Heading 2 3 4 2" xfId="1929"/>
    <cellStyle name="Heading 2 3 4 3" xfId="2304"/>
    <cellStyle name="Heading 2 3 4 4" xfId="2677"/>
    <cellStyle name="Heading 2 3 4 5" xfId="3050"/>
    <cellStyle name="Heading 2 3 4 6" xfId="3421"/>
    <cellStyle name="Heading 2 3 5" xfId="2080"/>
    <cellStyle name="Heading 2 3 6" xfId="2454"/>
    <cellStyle name="Heading 2 3 7" xfId="2826"/>
    <cellStyle name="Heading 2 3 8" xfId="3197"/>
    <cellStyle name="Heading 2 3 9" xfId="3570"/>
    <cellStyle name="Heading 2 4" xfId="266"/>
    <cellStyle name="Heading 2 4 10" xfId="3750"/>
    <cellStyle name="Heading 2 4 11" xfId="1279"/>
    <cellStyle name="Heading 2 4 2" xfId="1524"/>
    <cellStyle name="Heading 2 4 3" xfId="1649"/>
    <cellStyle name="Heading 2 4 4" xfId="1779"/>
    <cellStyle name="Heading 2 4 5" xfId="2114"/>
    <cellStyle name="Heading 2 4 6" xfId="2488"/>
    <cellStyle name="Heading 2 4 7" xfId="2860"/>
    <cellStyle name="Heading 2 4 8" xfId="3231"/>
    <cellStyle name="Heading 2 4 9" xfId="3613"/>
    <cellStyle name="Heading 2 5" xfId="480"/>
    <cellStyle name="Heading 2 5 2" xfId="1852"/>
    <cellStyle name="Heading 2 5 3" xfId="2227"/>
    <cellStyle name="Heading 2 5 4" xfId="2601"/>
    <cellStyle name="Heading 2 5 5" xfId="2973"/>
    <cellStyle name="Heading 2 5 6" xfId="3345"/>
    <cellStyle name="Heading 2 6" xfId="481"/>
    <cellStyle name="Heading 2 6 2" xfId="2000"/>
    <cellStyle name="Heading 2 6 3" xfId="2375"/>
    <cellStyle name="Heading 2 6 4" xfId="2748"/>
    <cellStyle name="Heading 2 6 5" xfId="3121"/>
    <cellStyle name="Heading 2 6 6" xfId="3492"/>
    <cellStyle name="Heading 2 6 7" xfId="3798"/>
    <cellStyle name="Heading 2 7" xfId="482"/>
    <cellStyle name="Heading 2 8" xfId="611"/>
    <cellStyle name="Heading 2 9" xfId="612"/>
    <cellStyle name="Heading 3 10" xfId="765"/>
    <cellStyle name="Heading 3 11" xfId="766"/>
    <cellStyle name="Heading 3 12" xfId="892"/>
    <cellStyle name="Heading 3 13" xfId="893"/>
    <cellStyle name="Heading 3 14" xfId="984"/>
    <cellStyle name="Heading 3 2" xfId="101"/>
    <cellStyle name="Heading 3 2 10" xfId="1699"/>
    <cellStyle name="Heading 3 2 11" xfId="2034"/>
    <cellStyle name="Heading 3 2 12" xfId="2408"/>
    <cellStyle name="Heading 3 2 13" xfId="2781"/>
    <cellStyle name="Heading 3 2 14" xfId="3155"/>
    <cellStyle name="Heading 3 2 15" xfId="3526"/>
    <cellStyle name="Heading 3 2 16" xfId="3664"/>
    <cellStyle name="Heading 3 2 2" xfId="145"/>
    <cellStyle name="Heading 3 2 2 2" xfId="157"/>
    <cellStyle name="Heading 3 2 2 3" xfId="321"/>
    <cellStyle name="Heading 3 2 2 4" xfId="2144"/>
    <cellStyle name="Heading 3 2 2 5" xfId="2518"/>
    <cellStyle name="Heading 3 2 2 6" xfId="2890"/>
    <cellStyle name="Heading 3 2 2 7" xfId="3261"/>
    <cellStyle name="Heading 3 2 3" xfId="310"/>
    <cellStyle name="Heading 3 2 3 2" xfId="1320"/>
    <cellStyle name="Heading 3 2 4" xfId="483"/>
    <cellStyle name="Heading 3 2 5" xfId="613"/>
    <cellStyle name="Heading 3 2 6" xfId="767"/>
    <cellStyle name="Heading 3 2 7" xfId="768"/>
    <cellStyle name="Heading 3 2 8" xfId="894"/>
    <cellStyle name="Heading 3 2 8 2" xfId="1428"/>
    <cellStyle name="Heading 3 2 9" xfId="985"/>
    <cellStyle name="Heading 3 2 9 2" xfId="1551"/>
    <cellStyle name="Heading 3 3" xfId="198"/>
    <cellStyle name="Heading 3 3 10" xfId="3707"/>
    <cellStyle name="Heading 3 3 2" xfId="1480"/>
    <cellStyle name="Heading 3 3 2 2" xfId="1809"/>
    <cellStyle name="Heading 3 3 2 3" xfId="2184"/>
    <cellStyle name="Heading 3 3 2 4" xfId="2558"/>
    <cellStyle name="Heading 3 3 2 5" xfId="2930"/>
    <cellStyle name="Heading 3 3 2 6" xfId="3302"/>
    <cellStyle name="Heading 3 3 3" xfId="1607"/>
    <cellStyle name="Heading 3 3 3 2" xfId="1886"/>
    <cellStyle name="Heading 3 3 3 3" xfId="2261"/>
    <cellStyle name="Heading 3 3 3 4" xfId="2634"/>
    <cellStyle name="Heading 3 3 3 5" xfId="3007"/>
    <cellStyle name="Heading 3 3 3 6" xfId="3378"/>
    <cellStyle name="Heading 3 3 4" xfId="1746"/>
    <cellStyle name="Heading 3 3 4 2" xfId="1930"/>
    <cellStyle name="Heading 3 3 4 3" xfId="2305"/>
    <cellStyle name="Heading 3 3 4 4" xfId="2678"/>
    <cellStyle name="Heading 3 3 4 5" xfId="3051"/>
    <cellStyle name="Heading 3 3 4 6" xfId="3422"/>
    <cellStyle name="Heading 3 3 5" xfId="2081"/>
    <cellStyle name="Heading 3 3 6" xfId="2455"/>
    <cellStyle name="Heading 3 3 7" xfId="2827"/>
    <cellStyle name="Heading 3 3 8" xfId="3198"/>
    <cellStyle name="Heading 3 3 9" xfId="3571"/>
    <cellStyle name="Heading 3 4" xfId="267"/>
    <cellStyle name="Heading 3 4 10" xfId="3751"/>
    <cellStyle name="Heading 3 4 11" xfId="1280"/>
    <cellStyle name="Heading 3 4 2" xfId="1525"/>
    <cellStyle name="Heading 3 4 3" xfId="1650"/>
    <cellStyle name="Heading 3 4 4" xfId="1778"/>
    <cellStyle name="Heading 3 4 5" xfId="2113"/>
    <cellStyle name="Heading 3 4 6" xfId="2487"/>
    <cellStyle name="Heading 3 4 7" xfId="2859"/>
    <cellStyle name="Heading 3 4 8" xfId="3230"/>
    <cellStyle name="Heading 3 4 9" xfId="3614"/>
    <cellStyle name="Heading 3 5" xfId="484"/>
    <cellStyle name="Heading 3 5 2" xfId="1880"/>
    <cellStyle name="Heading 3 5 3" xfId="2255"/>
    <cellStyle name="Heading 3 5 4" xfId="2628"/>
    <cellStyle name="Heading 3 5 5" xfId="3001"/>
    <cellStyle name="Heading 3 5 6" xfId="3372"/>
    <cellStyle name="Heading 3 6" xfId="485"/>
    <cellStyle name="Heading 3 6 2" xfId="2001"/>
    <cellStyle name="Heading 3 6 3" xfId="2376"/>
    <cellStyle name="Heading 3 6 4" xfId="2749"/>
    <cellStyle name="Heading 3 6 5" xfId="3122"/>
    <cellStyle name="Heading 3 6 6" xfId="3493"/>
    <cellStyle name="Heading 3 6 7" xfId="3799"/>
    <cellStyle name="Heading 3 7" xfId="486"/>
    <cellStyle name="Heading 3 8" xfId="614"/>
    <cellStyle name="Heading 3 9" xfId="615"/>
    <cellStyle name="Heading 4 10" xfId="769"/>
    <cellStyle name="Heading 4 11" xfId="770"/>
    <cellStyle name="Heading 4 12" xfId="895"/>
    <cellStyle name="Heading 4 13" xfId="896"/>
    <cellStyle name="Heading 4 14" xfId="986"/>
    <cellStyle name="Heading 4 2" xfId="102"/>
    <cellStyle name="Heading 4 2 10" xfId="1700"/>
    <cellStyle name="Heading 4 2 11" xfId="2035"/>
    <cellStyle name="Heading 4 2 12" xfId="2409"/>
    <cellStyle name="Heading 4 2 13" xfId="2782"/>
    <cellStyle name="Heading 4 2 14" xfId="3156"/>
    <cellStyle name="Heading 4 2 15" xfId="3527"/>
    <cellStyle name="Heading 4 2 16" xfId="3665"/>
    <cellStyle name="Heading 4 2 2" xfId="146"/>
    <cellStyle name="Heading 4 2 2 2" xfId="158"/>
    <cellStyle name="Heading 4 2 2 3" xfId="322"/>
    <cellStyle name="Heading 4 2 2 4" xfId="2145"/>
    <cellStyle name="Heading 4 2 2 5" xfId="2519"/>
    <cellStyle name="Heading 4 2 2 6" xfId="2891"/>
    <cellStyle name="Heading 4 2 2 7" xfId="3262"/>
    <cellStyle name="Heading 4 2 3" xfId="311"/>
    <cellStyle name="Heading 4 2 3 2" xfId="1321"/>
    <cellStyle name="Heading 4 2 4" xfId="487"/>
    <cellStyle name="Heading 4 2 5" xfId="616"/>
    <cellStyle name="Heading 4 2 6" xfId="771"/>
    <cellStyle name="Heading 4 2 7" xfId="772"/>
    <cellStyle name="Heading 4 2 8" xfId="897"/>
    <cellStyle name="Heading 4 2 8 2" xfId="1429"/>
    <cellStyle name="Heading 4 2 9" xfId="987"/>
    <cellStyle name="Heading 4 2 9 2" xfId="1550"/>
    <cellStyle name="Heading 4 3" xfId="199"/>
    <cellStyle name="Heading 4 3 10" xfId="3708"/>
    <cellStyle name="Heading 4 3 2" xfId="1481"/>
    <cellStyle name="Heading 4 3 2 2" xfId="1810"/>
    <cellStyle name="Heading 4 3 2 3" xfId="2185"/>
    <cellStyle name="Heading 4 3 2 4" xfId="2559"/>
    <cellStyle name="Heading 4 3 2 5" xfId="2931"/>
    <cellStyle name="Heading 4 3 2 6" xfId="3303"/>
    <cellStyle name="Heading 4 3 3" xfId="1608"/>
    <cellStyle name="Heading 4 3 3 2" xfId="1887"/>
    <cellStyle name="Heading 4 3 3 3" xfId="2262"/>
    <cellStyle name="Heading 4 3 3 4" xfId="2635"/>
    <cellStyle name="Heading 4 3 3 5" xfId="3008"/>
    <cellStyle name="Heading 4 3 3 6" xfId="3379"/>
    <cellStyle name="Heading 4 3 4" xfId="1747"/>
    <cellStyle name="Heading 4 3 4 2" xfId="1931"/>
    <cellStyle name="Heading 4 3 4 3" xfId="2306"/>
    <cellStyle name="Heading 4 3 4 4" xfId="2679"/>
    <cellStyle name="Heading 4 3 4 5" xfId="3052"/>
    <cellStyle name="Heading 4 3 4 6" xfId="3423"/>
    <cellStyle name="Heading 4 3 5" xfId="2082"/>
    <cellStyle name="Heading 4 3 6" xfId="2456"/>
    <cellStyle name="Heading 4 3 7" xfId="2828"/>
    <cellStyle name="Heading 4 3 8" xfId="3199"/>
    <cellStyle name="Heading 4 3 9" xfId="3572"/>
    <cellStyle name="Heading 4 4" xfId="268"/>
    <cellStyle name="Heading 4 4 10" xfId="3752"/>
    <cellStyle name="Heading 4 4 11" xfId="1281"/>
    <cellStyle name="Heading 4 4 2" xfId="1526"/>
    <cellStyle name="Heading 4 4 3" xfId="1651"/>
    <cellStyle name="Heading 4 4 4" xfId="1777"/>
    <cellStyle name="Heading 4 4 5" xfId="2112"/>
    <cellStyle name="Heading 4 4 6" xfId="2486"/>
    <cellStyle name="Heading 4 4 7" xfId="2858"/>
    <cellStyle name="Heading 4 4 8" xfId="3229"/>
    <cellStyle name="Heading 4 4 9" xfId="3615"/>
    <cellStyle name="Heading 4 5" xfId="488"/>
    <cellStyle name="Heading 4 5 2" xfId="1851"/>
    <cellStyle name="Heading 4 5 3" xfId="2226"/>
    <cellStyle name="Heading 4 5 4" xfId="2600"/>
    <cellStyle name="Heading 4 5 5" xfId="2972"/>
    <cellStyle name="Heading 4 5 6" xfId="3344"/>
    <cellStyle name="Heading 4 6" xfId="489"/>
    <cellStyle name="Heading 4 6 2" xfId="2002"/>
    <cellStyle name="Heading 4 6 3" xfId="2377"/>
    <cellStyle name="Heading 4 6 4" xfId="2750"/>
    <cellStyle name="Heading 4 6 5" xfId="3123"/>
    <cellStyle name="Heading 4 6 6" xfId="3494"/>
    <cellStyle name="Heading 4 6 7" xfId="3800"/>
    <cellStyle name="Heading 4 7" xfId="490"/>
    <cellStyle name="Heading 4 8" xfId="617"/>
    <cellStyle name="Heading 4 9" xfId="618"/>
    <cellStyle name="Hyperlink 2" xfId="147"/>
    <cellStyle name="Input 10" xfId="773"/>
    <cellStyle name="Input 11" xfId="774"/>
    <cellStyle name="Input 12" xfId="898"/>
    <cellStyle name="Input 13" xfId="899"/>
    <cellStyle name="Input 14" xfId="988"/>
    <cellStyle name="Input 2" xfId="103"/>
    <cellStyle name="Input 2 10" xfId="1701"/>
    <cellStyle name="Input 2 11" xfId="2036"/>
    <cellStyle name="Input 2 12" xfId="2410"/>
    <cellStyle name="Input 2 13" xfId="2783"/>
    <cellStyle name="Input 2 14" xfId="3157"/>
    <cellStyle name="Input 2 15" xfId="3528"/>
    <cellStyle name="Input 2 16" xfId="3666"/>
    <cellStyle name="Input 2 2" xfId="148"/>
    <cellStyle name="Input 2 2 2" xfId="162"/>
    <cellStyle name="Input 2 2 3" xfId="326"/>
    <cellStyle name="Input 2 2 4" xfId="2149"/>
    <cellStyle name="Input 2 2 5" xfId="2523"/>
    <cellStyle name="Input 2 2 6" xfId="2895"/>
    <cellStyle name="Input 2 2 7" xfId="3266"/>
    <cellStyle name="Input 2 3" xfId="312"/>
    <cellStyle name="Input 2 3 2" xfId="1325"/>
    <cellStyle name="Input 2 4" xfId="491"/>
    <cellStyle name="Input 2 5" xfId="619"/>
    <cellStyle name="Input 2 6" xfId="775"/>
    <cellStyle name="Input 2 7" xfId="776"/>
    <cellStyle name="Input 2 8" xfId="900"/>
    <cellStyle name="Input 2 8 2" xfId="1430"/>
    <cellStyle name="Input 2 9" xfId="989"/>
    <cellStyle name="Input 2 9 2" xfId="1549"/>
    <cellStyle name="Input 3" xfId="203"/>
    <cellStyle name="Input 3 10" xfId="3709"/>
    <cellStyle name="Input 3 2" xfId="1482"/>
    <cellStyle name="Input 3 2 2" xfId="1814"/>
    <cellStyle name="Input 3 2 3" xfId="2189"/>
    <cellStyle name="Input 3 2 4" xfId="2563"/>
    <cellStyle name="Input 3 2 5" xfId="2935"/>
    <cellStyle name="Input 3 2 6" xfId="3307"/>
    <cellStyle name="Input 3 3" xfId="1609"/>
    <cellStyle name="Input 3 3 2" xfId="1891"/>
    <cellStyle name="Input 3 3 3" xfId="2266"/>
    <cellStyle name="Input 3 3 4" xfId="2639"/>
    <cellStyle name="Input 3 3 5" xfId="3012"/>
    <cellStyle name="Input 3 3 6" xfId="3383"/>
    <cellStyle name="Input 3 4" xfId="1749"/>
    <cellStyle name="Input 3 4 2" xfId="1935"/>
    <cellStyle name="Input 3 4 3" xfId="2310"/>
    <cellStyle name="Input 3 4 4" xfId="2683"/>
    <cellStyle name="Input 3 4 5" xfId="3056"/>
    <cellStyle name="Input 3 4 6" xfId="3427"/>
    <cellStyle name="Input 3 5" xfId="2084"/>
    <cellStyle name="Input 3 6" xfId="2458"/>
    <cellStyle name="Input 3 7" xfId="2830"/>
    <cellStyle name="Input 3 8" xfId="3201"/>
    <cellStyle name="Input 3 9" xfId="3573"/>
    <cellStyle name="Input 4" xfId="269"/>
    <cellStyle name="Input 4 10" xfId="3753"/>
    <cellStyle name="Input 4 11" xfId="1285"/>
    <cellStyle name="Input 4 2" xfId="1527"/>
    <cellStyle name="Input 4 3" xfId="1652"/>
    <cellStyle name="Input 4 4" xfId="1775"/>
    <cellStyle name="Input 4 5" xfId="2110"/>
    <cellStyle name="Input 4 6" xfId="2484"/>
    <cellStyle name="Input 4 7" xfId="2856"/>
    <cellStyle name="Input 4 8" xfId="3227"/>
    <cellStyle name="Input 4 9" xfId="3616"/>
    <cellStyle name="Input 5" xfId="492"/>
    <cellStyle name="Input 5 2" xfId="1783"/>
    <cellStyle name="Input 5 3" xfId="2118"/>
    <cellStyle name="Input 5 4" xfId="2492"/>
    <cellStyle name="Input 5 5" xfId="2864"/>
    <cellStyle name="Input 5 6" xfId="3235"/>
    <cellStyle name="Input 6" xfId="493"/>
    <cellStyle name="Input 6 2" xfId="2003"/>
    <cellStyle name="Input 6 3" xfId="2378"/>
    <cellStyle name="Input 6 4" xfId="2751"/>
    <cellStyle name="Input 6 5" xfId="3124"/>
    <cellStyle name="Input 6 6" xfId="3495"/>
    <cellStyle name="Input 6 7" xfId="3801"/>
    <cellStyle name="Input 7" xfId="494"/>
    <cellStyle name="Input 8" xfId="620"/>
    <cellStyle name="Input 9" xfId="621"/>
    <cellStyle name="Linked Cell 10" xfId="777"/>
    <cellStyle name="Linked Cell 11" xfId="778"/>
    <cellStyle name="Linked Cell 12" xfId="901"/>
    <cellStyle name="Linked Cell 13" xfId="902"/>
    <cellStyle name="Linked Cell 14" xfId="990"/>
    <cellStyle name="Linked Cell 2" xfId="104"/>
    <cellStyle name="Linked Cell 2 10" xfId="1702"/>
    <cellStyle name="Linked Cell 2 11" xfId="2037"/>
    <cellStyle name="Linked Cell 2 12" xfId="2411"/>
    <cellStyle name="Linked Cell 2 13" xfId="2784"/>
    <cellStyle name="Linked Cell 2 14" xfId="3158"/>
    <cellStyle name="Linked Cell 2 15" xfId="3529"/>
    <cellStyle name="Linked Cell 2 16" xfId="3667"/>
    <cellStyle name="Linked Cell 2 2" xfId="149"/>
    <cellStyle name="Linked Cell 2 2 2" xfId="165"/>
    <cellStyle name="Linked Cell 2 2 3" xfId="329"/>
    <cellStyle name="Linked Cell 2 2 4" xfId="2152"/>
    <cellStyle name="Linked Cell 2 2 5" xfId="2526"/>
    <cellStyle name="Linked Cell 2 2 6" xfId="2898"/>
    <cellStyle name="Linked Cell 2 2 7" xfId="3269"/>
    <cellStyle name="Linked Cell 2 3" xfId="313"/>
    <cellStyle name="Linked Cell 2 3 2" xfId="1328"/>
    <cellStyle name="Linked Cell 2 4" xfId="495"/>
    <cellStyle name="Linked Cell 2 5" xfId="622"/>
    <cellStyle name="Linked Cell 2 6" xfId="779"/>
    <cellStyle name="Linked Cell 2 7" xfId="780"/>
    <cellStyle name="Linked Cell 2 8" xfId="903"/>
    <cellStyle name="Linked Cell 2 8 2" xfId="1431"/>
    <cellStyle name="Linked Cell 2 9" xfId="991"/>
    <cellStyle name="Linked Cell 2 9 2" xfId="1548"/>
    <cellStyle name="Linked Cell 3" xfId="206"/>
    <cellStyle name="Linked Cell 3 10" xfId="3710"/>
    <cellStyle name="Linked Cell 3 2" xfId="1483"/>
    <cellStyle name="Linked Cell 3 2 2" xfId="1817"/>
    <cellStyle name="Linked Cell 3 2 3" xfId="2192"/>
    <cellStyle name="Linked Cell 3 2 4" xfId="2566"/>
    <cellStyle name="Linked Cell 3 2 5" xfId="2938"/>
    <cellStyle name="Linked Cell 3 2 6" xfId="3310"/>
    <cellStyle name="Linked Cell 3 3" xfId="1610"/>
    <cellStyle name="Linked Cell 3 3 2" xfId="1894"/>
    <cellStyle name="Linked Cell 3 3 3" xfId="2269"/>
    <cellStyle name="Linked Cell 3 3 4" xfId="2642"/>
    <cellStyle name="Linked Cell 3 3 5" xfId="3015"/>
    <cellStyle name="Linked Cell 3 3 6" xfId="3386"/>
    <cellStyle name="Linked Cell 3 4" xfId="1750"/>
    <cellStyle name="Linked Cell 3 4 2" xfId="1938"/>
    <cellStyle name="Linked Cell 3 4 3" xfId="2313"/>
    <cellStyle name="Linked Cell 3 4 4" xfId="2686"/>
    <cellStyle name="Linked Cell 3 4 5" xfId="3059"/>
    <cellStyle name="Linked Cell 3 4 6" xfId="3430"/>
    <cellStyle name="Linked Cell 3 5" xfId="2085"/>
    <cellStyle name="Linked Cell 3 6" xfId="2459"/>
    <cellStyle name="Linked Cell 3 7" xfId="2831"/>
    <cellStyle name="Linked Cell 3 8" xfId="3202"/>
    <cellStyle name="Linked Cell 3 9" xfId="3574"/>
    <cellStyle name="Linked Cell 4" xfId="270"/>
    <cellStyle name="Linked Cell 4 10" xfId="3754"/>
    <cellStyle name="Linked Cell 4 11" xfId="1288"/>
    <cellStyle name="Linked Cell 4 2" xfId="1528"/>
    <cellStyle name="Linked Cell 4 3" xfId="1653"/>
    <cellStyle name="Linked Cell 4 4" xfId="1774"/>
    <cellStyle name="Linked Cell 4 5" xfId="2109"/>
    <cellStyle name="Linked Cell 4 6" xfId="2483"/>
    <cellStyle name="Linked Cell 4 7" xfId="2855"/>
    <cellStyle name="Linked Cell 4 8" xfId="3226"/>
    <cellStyle name="Linked Cell 4 9" xfId="3617"/>
    <cellStyle name="Linked Cell 5" xfId="496"/>
    <cellStyle name="Linked Cell 5 2" xfId="1763"/>
    <cellStyle name="Linked Cell 5 3" xfId="2098"/>
    <cellStyle name="Linked Cell 5 4" xfId="2472"/>
    <cellStyle name="Linked Cell 5 5" xfId="2844"/>
    <cellStyle name="Linked Cell 5 6" xfId="3215"/>
    <cellStyle name="Linked Cell 6" xfId="497"/>
    <cellStyle name="Linked Cell 6 2" xfId="2004"/>
    <cellStyle name="Linked Cell 6 3" xfId="2379"/>
    <cellStyle name="Linked Cell 6 4" xfId="2752"/>
    <cellStyle name="Linked Cell 6 5" xfId="3125"/>
    <cellStyle name="Linked Cell 6 6" xfId="3496"/>
    <cellStyle name="Linked Cell 6 7" xfId="3802"/>
    <cellStyle name="Linked Cell 7" xfId="498"/>
    <cellStyle name="Linked Cell 8" xfId="623"/>
    <cellStyle name="Linked Cell 9" xfId="624"/>
    <cellStyle name="Neutral 10" xfId="781"/>
    <cellStyle name="Neutral 11" xfId="782"/>
    <cellStyle name="Neutral 12" xfId="904"/>
    <cellStyle name="Neutral 13" xfId="905"/>
    <cellStyle name="Neutral 14" xfId="992"/>
    <cellStyle name="Neutral 2" xfId="105"/>
    <cellStyle name="Neutral 2 10" xfId="1703"/>
    <cellStyle name="Neutral 2 11" xfId="2038"/>
    <cellStyle name="Neutral 2 12" xfId="2412"/>
    <cellStyle name="Neutral 2 13" xfId="2785"/>
    <cellStyle name="Neutral 2 14" xfId="3159"/>
    <cellStyle name="Neutral 2 15" xfId="3530"/>
    <cellStyle name="Neutral 2 16" xfId="3668"/>
    <cellStyle name="Neutral 2 2" xfId="150"/>
    <cellStyle name="Neutral 2 2 2" xfId="161"/>
    <cellStyle name="Neutral 2 2 3" xfId="325"/>
    <cellStyle name="Neutral 2 2 4" xfId="2148"/>
    <cellStyle name="Neutral 2 2 5" xfId="2522"/>
    <cellStyle name="Neutral 2 2 6" xfId="2894"/>
    <cellStyle name="Neutral 2 2 7" xfId="3265"/>
    <cellStyle name="Neutral 2 3" xfId="314"/>
    <cellStyle name="Neutral 2 3 2" xfId="1324"/>
    <cellStyle name="Neutral 2 4" xfId="499"/>
    <cellStyle name="Neutral 2 5" xfId="625"/>
    <cellStyle name="Neutral 2 6" xfId="783"/>
    <cellStyle name="Neutral 2 7" xfId="784"/>
    <cellStyle name="Neutral 2 8" xfId="906"/>
    <cellStyle name="Neutral 2 8 2" xfId="1432"/>
    <cellStyle name="Neutral 2 9" xfId="993"/>
    <cellStyle name="Neutral 2 9 2" xfId="1547"/>
    <cellStyle name="Neutral 3" xfId="202"/>
    <cellStyle name="Neutral 3 10" xfId="3711"/>
    <cellStyle name="Neutral 3 2" xfId="1484"/>
    <cellStyle name="Neutral 3 2 2" xfId="1813"/>
    <cellStyle name="Neutral 3 2 3" xfId="2188"/>
    <cellStyle name="Neutral 3 2 4" xfId="2562"/>
    <cellStyle name="Neutral 3 2 5" xfId="2934"/>
    <cellStyle name="Neutral 3 2 6" xfId="3306"/>
    <cellStyle name="Neutral 3 3" xfId="1611"/>
    <cellStyle name="Neutral 3 3 2" xfId="1890"/>
    <cellStyle name="Neutral 3 3 3" xfId="2265"/>
    <cellStyle name="Neutral 3 3 4" xfId="2638"/>
    <cellStyle name="Neutral 3 3 5" xfId="3011"/>
    <cellStyle name="Neutral 3 3 6" xfId="3382"/>
    <cellStyle name="Neutral 3 4" xfId="1751"/>
    <cellStyle name="Neutral 3 4 2" xfId="1934"/>
    <cellStyle name="Neutral 3 4 3" xfId="2309"/>
    <cellStyle name="Neutral 3 4 4" xfId="2682"/>
    <cellStyle name="Neutral 3 4 5" xfId="3055"/>
    <cellStyle name="Neutral 3 4 6" xfId="3426"/>
    <cellStyle name="Neutral 3 5" xfId="2086"/>
    <cellStyle name="Neutral 3 6" xfId="2460"/>
    <cellStyle name="Neutral 3 7" xfId="2832"/>
    <cellStyle name="Neutral 3 8" xfId="3203"/>
    <cellStyle name="Neutral 3 9" xfId="3575"/>
    <cellStyle name="Neutral 4" xfId="271"/>
    <cellStyle name="Neutral 4 10" xfId="3755"/>
    <cellStyle name="Neutral 4 11" xfId="1284"/>
    <cellStyle name="Neutral 4 2" xfId="1529"/>
    <cellStyle name="Neutral 4 3" xfId="1654"/>
    <cellStyle name="Neutral 4 4" xfId="1773"/>
    <cellStyle name="Neutral 4 5" xfId="2108"/>
    <cellStyle name="Neutral 4 6" xfId="2482"/>
    <cellStyle name="Neutral 4 7" xfId="2854"/>
    <cellStyle name="Neutral 4 8" xfId="3225"/>
    <cellStyle name="Neutral 4 9" xfId="3618"/>
    <cellStyle name="Neutral 5" xfId="500"/>
    <cellStyle name="Neutral 5 2" xfId="1762"/>
    <cellStyle name="Neutral 5 3" xfId="2097"/>
    <cellStyle name="Neutral 5 4" xfId="2471"/>
    <cellStyle name="Neutral 5 5" xfId="2843"/>
    <cellStyle name="Neutral 5 6" xfId="3214"/>
    <cellStyle name="Neutral 6" xfId="501"/>
    <cellStyle name="Neutral 6 2" xfId="2005"/>
    <cellStyle name="Neutral 6 3" xfId="2380"/>
    <cellStyle name="Neutral 6 4" xfId="2753"/>
    <cellStyle name="Neutral 6 5" xfId="3126"/>
    <cellStyle name="Neutral 6 6" xfId="3497"/>
    <cellStyle name="Neutral 6 7" xfId="3803"/>
    <cellStyle name="Neutral 7" xfId="502"/>
    <cellStyle name="Neutral 8" xfId="626"/>
    <cellStyle name="Neutral 9" xfId="627"/>
    <cellStyle name="Normal" xfId="0" builtinId="0"/>
    <cellStyle name="Normal 10" xfId="57"/>
    <cellStyle name="Normal 10 10" xfId="1128"/>
    <cellStyle name="Normal 10 10 2" xfId="3998"/>
    <cellStyle name="Normal 10 11" xfId="1138"/>
    <cellStyle name="Normal 10 11 2" xfId="4008"/>
    <cellStyle name="Normal 10 12" xfId="1148"/>
    <cellStyle name="Normal 10 12 2" xfId="4018"/>
    <cellStyle name="Normal 10 13" xfId="1157"/>
    <cellStyle name="Normal 10 13 2" xfId="4027"/>
    <cellStyle name="Normal 10 14" xfId="1168"/>
    <cellStyle name="Normal 10 14 2" xfId="4038"/>
    <cellStyle name="Normal 10 15" xfId="1178"/>
    <cellStyle name="Normal 10 15 2" xfId="4048"/>
    <cellStyle name="Normal 10 16" xfId="1188"/>
    <cellStyle name="Normal 10 16 2" xfId="4058"/>
    <cellStyle name="Normal 10 17" xfId="1198"/>
    <cellStyle name="Normal 10 17 2" xfId="4068"/>
    <cellStyle name="Normal 10 18" xfId="1208"/>
    <cellStyle name="Normal 10 18 2" xfId="4078"/>
    <cellStyle name="Normal 10 19" xfId="1218"/>
    <cellStyle name="Normal 10 19 2" xfId="4088"/>
    <cellStyle name="Normal 10 2" xfId="1045"/>
    <cellStyle name="Normal 10 2 2" xfId="3913"/>
    <cellStyle name="Normal 10 2 3" xfId="4869"/>
    <cellStyle name="Normal 10 20" xfId="1228"/>
    <cellStyle name="Normal 10 20 2" xfId="4098"/>
    <cellStyle name="Normal 10 21" xfId="1238"/>
    <cellStyle name="Normal 10 21 2" xfId="4108"/>
    <cellStyle name="Normal 10 22" xfId="1248"/>
    <cellStyle name="Normal 10 22 2" xfId="4118"/>
    <cellStyle name="Normal 10 23" xfId="1258"/>
    <cellStyle name="Normal 10 23 2" xfId="4128"/>
    <cellStyle name="Normal 10 24" xfId="1267"/>
    <cellStyle name="Normal 10 24 2" xfId="4137"/>
    <cellStyle name="Normal 10 25" xfId="1272"/>
    <cellStyle name="Normal 10 25 2" xfId="4142"/>
    <cellStyle name="Normal 10 26" xfId="994"/>
    <cellStyle name="Normal 10 3" xfId="1058"/>
    <cellStyle name="Normal 10 3 2" xfId="3928"/>
    <cellStyle name="Normal 10 3 3" xfId="4870"/>
    <cellStyle name="Normal 10 4" xfId="1068"/>
    <cellStyle name="Normal 10 4 2" xfId="3938"/>
    <cellStyle name="Normal 10 5" xfId="1078"/>
    <cellStyle name="Normal 10 5 2" xfId="3948"/>
    <cellStyle name="Normal 10 6" xfId="1088"/>
    <cellStyle name="Normal 10 6 2" xfId="3958"/>
    <cellStyle name="Normal 10 7" xfId="1098"/>
    <cellStyle name="Normal 10 7 2" xfId="3968"/>
    <cellStyle name="Normal 10 8" xfId="1108"/>
    <cellStyle name="Normal 10 8 2" xfId="3978"/>
    <cellStyle name="Normal 10 9" xfId="1118"/>
    <cellStyle name="Normal 10 9 2" xfId="3988"/>
    <cellStyle name="Normal 11" xfId="58"/>
    <cellStyle name="Normal 11 2" xfId="3812"/>
    <cellStyle name="Normal 11 3" xfId="3861"/>
    <cellStyle name="Normal 12" xfId="1004"/>
    <cellStyle name="Normal 12 2" xfId="3862"/>
    <cellStyle name="Normal 13" xfId="59"/>
    <cellStyle name="Normal 13 2" xfId="3863"/>
    <cellStyle name="Normal 13 2 2" xfId="4871"/>
    <cellStyle name="Normal 14" xfId="1005"/>
    <cellStyle name="Normal 14 2" xfId="3864"/>
    <cellStyle name="Normal 14 3" xfId="4872"/>
    <cellStyle name="Normal 15" xfId="1007"/>
    <cellStyle name="Normal 15 2" xfId="3866"/>
    <cellStyle name="Normal 16" xfId="60"/>
    <cellStyle name="Normal 16 2" xfId="3868"/>
    <cellStyle name="Normal 17" xfId="1010"/>
    <cellStyle name="Normal 17 2" xfId="3870"/>
    <cellStyle name="Normal 18" xfId="1012"/>
    <cellStyle name="Normal 18 2" xfId="3872"/>
    <cellStyle name="Normal 19" xfId="1014"/>
    <cellStyle name="Normal 19 2" xfId="3874"/>
    <cellStyle name="Normal 2" xfId="7"/>
    <cellStyle name="Normal 2 10" xfId="1969"/>
    <cellStyle name="Normal 2 11" xfId="2344"/>
    <cellStyle name="Normal 2 12" xfId="2717"/>
    <cellStyle name="Normal 2 13" xfId="3090"/>
    <cellStyle name="Normal 2 14" xfId="3461"/>
    <cellStyle name="Normal 2 15" xfId="3272"/>
    <cellStyle name="Normal 2 16" xfId="3627"/>
    <cellStyle name="Normal 2 17" xfId="3630"/>
    <cellStyle name="Normal 2 18" xfId="3632"/>
    <cellStyle name="Normal 2 19" xfId="3859"/>
    <cellStyle name="Normal 2 2" xfId="8"/>
    <cellStyle name="Normal 2 2 2" xfId="7104"/>
    <cellStyle name="Normal 2 20" xfId="1002"/>
    <cellStyle name="Normal 2 3" xfId="1275"/>
    <cellStyle name="Normal 2 4" xfId="1385"/>
    <cellStyle name="Normal 2 5" xfId="1389"/>
    <cellStyle name="Normal 2 6" xfId="1392"/>
    <cellStyle name="Normal 2 7" xfId="1395"/>
    <cellStyle name="Normal 2 8" xfId="1569"/>
    <cellStyle name="Normal 2 9" xfId="1543"/>
    <cellStyle name="Normal 20" xfId="1016"/>
    <cellStyle name="Normal 20 2" xfId="3876"/>
    <cellStyle name="Normal 21" xfId="3817"/>
    <cellStyle name="Normal 22" xfId="1018"/>
    <cellStyle name="Normal 22 2" xfId="3878"/>
    <cellStyle name="Normal 23" xfId="4873"/>
    <cellStyle name="Normal 24" xfId="1019"/>
    <cellStyle name="Normal 24 2" xfId="3879"/>
    <cellStyle name="Normal 25" xfId="4874"/>
    <cellStyle name="Normal 26" xfId="1020"/>
    <cellStyle name="Normal 26 2" xfId="3881"/>
    <cellStyle name="Normal 27" xfId="7099"/>
    <cellStyle name="Normal 28" xfId="1021"/>
    <cellStyle name="Normal 28 2" xfId="3883"/>
    <cellStyle name="Normal 29" xfId="7101"/>
    <cellStyle name="Normal 3" xfId="9"/>
    <cellStyle name="Normal 3 2" xfId="10"/>
    <cellStyle name="Normal 3 2 2" xfId="4143"/>
    <cellStyle name="Normal 3 2 2 2" xfId="4876"/>
    <cellStyle name="Normal 3 2 2 2 2" xfId="5451"/>
    <cellStyle name="Normal 3 2 2 2 2 2" xfId="6505"/>
    <cellStyle name="Normal 3 2 2 2 3" xfId="5761"/>
    <cellStyle name="Normal 3 2 2 2 3 2" xfId="6506"/>
    <cellStyle name="Normal 3 2 2 2 4" xfId="6504"/>
    <cellStyle name="Normal 3 2 2 3" xfId="5450"/>
    <cellStyle name="Normal 3 2 2 3 2" xfId="6507"/>
    <cellStyle name="Normal 3 2 2 4" xfId="5760"/>
    <cellStyle name="Normal 3 2 2 4 2" xfId="6508"/>
    <cellStyle name="Normal 3 2 2 5" xfId="4875"/>
    <cellStyle name="Normal 3 2 2 5 2" xfId="6509"/>
    <cellStyle name="Normal 3 2 2 6" xfId="6503"/>
    <cellStyle name="Normal 3 2 3" xfId="1276"/>
    <cellStyle name="Normal 3 2 3 2" xfId="5452"/>
    <cellStyle name="Normal 3 2 3 2 2" xfId="6511"/>
    <cellStyle name="Normal 3 2 3 3" xfId="5762"/>
    <cellStyle name="Normal 3 2 3 3 2" xfId="6512"/>
    <cellStyle name="Normal 3 2 3 4" xfId="4877"/>
    <cellStyle name="Normal 3 2 3 4 2" xfId="6513"/>
    <cellStyle name="Normal 3 2 3 5" xfId="6510"/>
    <cellStyle name="Normal 3 2 4" xfId="4878"/>
    <cellStyle name="Normal 3 2 4 2" xfId="6514"/>
    <cellStyle name="Normal 3 2 5" xfId="5449"/>
    <cellStyle name="Normal 3 2 5 2" xfId="6515"/>
    <cellStyle name="Normal 3 2 6" xfId="5759"/>
    <cellStyle name="Normal 3 2 6 2" xfId="6516"/>
    <cellStyle name="Normal 3 3" xfId="61"/>
    <cellStyle name="Normal 3 4" xfId="67"/>
    <cellStyle name="Normal 3 4 2" xfId="3860"/>
    <cellStyle name="Normal 3 4 3" xfId="6517"/>
    <cellStyle name="Normal 3 5" xfId="1003"/>
    <cellStyle name="Normal 3 6" xfId="6502"/>
    <cellStyle name="Normal 30" xfId="1022"/>
    <cellStyle name="Normal 30 2" xfId="3885"/>
    <cellStyle name="Normal 32" xfId="1024"/>
    <cellStyle name="Normal 32 2" xfId="3887"/>
    <cellStyle name="Normal 34" xfId="1026"/>
    <cellStyle name="Normal 34 2" xfId="3889"/>
    <cellStyle name="Normal 36" xfId="1028"/>
    <cellStyle name="Normal 36 2" xfId="3891"/>
    <cellStyle name="Normal 38" xfId="1030"/>
    <cellStyle name="Normal 38 2" xfId="3893"/>
    <cellStyle name="Normal 4" xfId="11"/>
    <cellStyle name="Normal 4 10" xfId="1109"/>
    <cellStyle name="Normal 4 10 2" xfId="3673"/>
    <cellStyle name="Normal 4 10 2 2" xfId="4204"/>
    <cellStyle name="Normal 4 10 2 2 2" xfId="5455"/>
    <cellStyle name="Normal 4 10 2 2 2 2" xfId="6520"/>
    <cellStyle name="Normal 4 10 2 2 3" xfId="5765"/>
    <cellStyle name="Normal 4 10 2 2 3 2" xfId="6521"/>
    <cellStyle name="Normal 4 10 2 2 4" xfId="4881"/>
    <cellStyle name="Normal 4 10 2 2 4 2" xfId="6522"/>
    <cellStyle name="Normal 4 10 2 2 5" xfId="6519"/>
    <cellStyle name="Normal 4 10 2 3" xfId="5454"/>
    <cellStyle name="Normal 4 10 2 3 2" xfId="6523"/>
    <cellStyle name="Normal 4 10 2 4" xfId="5764"/>
    <cellStyle name="Normal 4 10 2 4 2" xfId="6524"/>
    <cellStyle name="Normal 4 10 2 5" xfId="4880"/>
    <cellStyle name="Normal 4 10 2 5 2" xfId="6525"/>
    <cellStyle name="Normal 4 10 2 6" xfId="6518"/>
    <cellStyle name="Normal 4 10 3" xfId="3979"/>
    <cellStyle name="Normal 4 10 3 2" xfId="5456"/>
    <cellStyle name="Normal 4 10 3 2 2" xfId="6526"/>
    <cellStyle name="Normal 4 10 3 3" xfId="5766"/>
    <cellStyle name="Normal 4 10 3 3 2" xfId="6527"/>
    <cellStyle name="Normal 4 10 3 4" xfId="4882"/>
    <cellStyle name="Normal 4 10 3 4 2" xfId="6528"/>
    <cellStyle name="Normal 4 10 4" xfId="5453"/>
    <cellStyle name="Normal 4 10 4 2" xfId="6529"/>
    <cellStyle name="Normal 4 10 5" xfId="5763"/>
    <cellStyle name="Normal 4 10 5 2" xfId="6530"/>
    <cellStyle name="Normal 4 10 6" xfId="4879"/>
    <cellStyle name="Normal 4 10 6 2" xfId="6531"/>
    <cellStyle name="Normal 4 11" xfId="1119"/>
    <cellStyle name="Normal 4 11 2" xfId="3989"/>
    <cellStyle name="Normal 4 11 3" xfId="4883"/>
    <cellStyle name="Normal 4 12" xfId="1129"/>
    <cellStyle name="Normal 4 12 2" xfId="3999"/>
    <cellStyle name="Normal 4 13" xfId="1139"/>
    <cellStyle name="Normal 4 13 2" xfId="4009"/>
    <cellStyle name="Normal 4 14" xfId="1152"/>
    <cellStyle name="Normal 4 14 2" xfId="4022"/>
    <cellStyle name="Normal 4 15" xfId="1156"/>
    <cellStyle name="Normal 4 15 2" xfId="4026"/>
    <cellStyle name="Normal 4 16" xfId="1169"/>
    <cellStyle name="Normal 4 16 2" xfId="4039"/>
    <cellStyle name="Normal 4 17" xfId="1179"/>
    <cellStyle name="Normal 4 17 2" xfId="4049"/>
    <cellStyle name="Normal 4 18" xfId="1189"/>
    <cellStyle name="Normal 4 18 2" xfId="4059"/>
    <cellStyle name="Normal 4 19" xfId="1199"/>
    <cellStyle name="Normal 4 19 2" xfId="4069"/>
    <cellStyle name="Normal 4 2" xfId="1038"/>
    <cellStyle name="Normal 4 2 2" xfId="3717"/>
    <cellStyle name="Normal 4 2 2 2" xfId="4207"/>
    <cellStyle name="Normal 4 2 2 2 2" xfId="4887"/>
    <cellStyle name="Normal 4 2 2 2 2 2" xfId="5460"/>
    <cellStyle name="Normal 4 2 2 2 2 2 2" xfId="6535"/>
    <cellStyle name="Normal 4 2 2 2 2 3" xfId="5770"/>
    <cellStyle name="Normal 4 2 2 2 2 3 2" xfId="6536"/>
    <cellStyle name="Normal 4 2 2 2 2 4" xfId="6534"/>
    <cellStyle name="Normal 4 2 2 2 3" xfId="5459"/>
    <cellStyle name="Normal 4 2 2 2 3 2" xfId="6537"/>
    <cellStyle name="Normal 4 2 2 2 4" xfId="5769"/>
    <cellStyle name="Normal 4 2 2 2 4 2" xfId="6538"/>
    <cellStyle name="Normal 4 2 2 2 5" xfId="4886"/>
    <cellStyle name="Normal 4 2 2 2 5 2" xfId="6539"/>
    <cellStyle name="Normal 4 2 2 2 6" xfId="6533"/>
    <cellStyle name="Normal 4 2 2 3" xfId="4888"/>
    <cellStyle name="Normal 4 2 2 3 2" xfId="5461"/>
    <cellStyle name="Normal 4 2 2 3 2 2" xfId="6541"/>
    <cellStyle name="Normal 4 2 2 3 3" xfId="5771"/>
    <cellStyle name="Normal 4 2 2 3 3 2" xfId="6542"/>
    <cellStyle name="Normal 4 2 2 3 4" xfId="6540"/>
    <cellStyle name="Normal 4 2 2 4" xfId="5458"/>
    <cellStyle name="Normal 4 2 2 4 2" xfId="6543"/>
    <cellStyle name="Normal 4 2 2 5" xfId="5768"/>
    <cellStyle name="Normal 4 2 2 5 2" xfId="6544"/>
    <cellStyle name="Normal 4 2 2 6" xfId="4885"/>
    <cellStyle name="Normal 4 2 2 6 2" xfId="6545"/>
    <cellStyle name="Normal 4 2 2 7" xfId="6532"/>
    <cellStyle name="Normal 4 2 3" xfId="1363"/>
    <cellStyle name="Normal 4 2 3 2" xfId="4163"/>
    <cellStyle name="Normal 4 2 3 2 2" xfId="5463"/>
    <cellStyle name="Normal 4 2 3 2 2 2" xfId="6548"/>
    <cellStyle name="Normal 4 2 3 2 3" xfId="5773"/>
    <cellStyle name="Normal 4 2 3 2 3 2" xfId="6549"/>
    <cellStyle name="Normal 4 2 3 2 4" xfId="4890"/>
    <cellStyle name="Normal 4 2 3 2 4 2" xfId="6550"/>
    <cellStyle name="Normal 4 2 3 2 5" xfId="6547"/>
    <cellStyle name="Normal 4 2 3 3" xfId="5462"/>
    <cellStyle name="Normal 4 2 3 3 2" xfId="6551"/>
    <cellStyle name="Normal 4 2 3 4" xfId="5772"/>
    <cellStyle name="Normal 4 2 3 4 2" xfId="6552"/>
    <cellStyle name="Normal 4 2 3 5" xfId="4889"/>
    <cellStyle name="Normal 4 2 3 5 2" xfId="6553"/>
    <cellStyle name="Normal 4 2 3 6" xfId="6546"/>
    <cellStyle name="Normal 4 2 4" xfId="3903"/>
    <cellStyle name="Normal 4 2 4 2" xfId="5464"/>
    <cellStyle name="Normal 4 2 4 2 2" xfId="6554"/>
    <cellStyle name="Normal 4 2 4 3" xfId="5774"/>
    <cellStyle name="Normal 4 2 4 3 2" xfId="6555"/>
    <cellStyle name="Normal 4 2 4 4" xfId="4891"/>
    <cellStyle name="Normal 4 2 4 4 2" xfId="6556"/>
    <cellStyle name="Normal 4 2 5" xfId="5457"/>
    <cellStyle name="Normal 4 2 5 2" xfId="6557"/>
    <cellStyle name="Normal 4 2 6" xfId="5767"/>
    <cellStyle name="Normal 4 2 6 2" xfId="6558"/>
    <cellStyle name="Normal 4 2 7" xfId="4884"/>
    <cellStyle name="Normal 4 2 7 2" xfId="6559"/>
    <cellStyle name="Normal 4 20" xfId="1209"/>
    <cellStyle name="Normal 4 20 2" xfId="4079"/>
    <cellStyle name="Normal 4 21" xfId="1219"/>
    <cellStyle name="Normal 4 21 2" xfId="4089"/>
    <cellStyle name="Normal 4 22" xfId="1229"/>
    <cellStyle name="Normal 4 22 2" xfId="4099"/>
    <cellStyle name="Normal 4 23" xfId="1239"/>
    <cellStyle name="Normal 4 23 2" xfId="4109"/>
    <cellStyle name="Normal 4 24" xfId="1249"/>
    <cellStyle name="Normal 4 24 2" xfId="4119"/>
    <cellStyle name="Normal 4 25" xfId="1259"/>
    <cellStyle name="Normal 4 25 2" xfId="4129"/>
    <cellStyle name="Normal 4 26" xfId="3628"/>
    <cellStyle name="Normal 4 27" xfId="3830"/>
    <cellStyle name="Normal 4 27 2" xfId="6560"/>
    <cellStyle name="Normal 4 28" xfId="503"/>
    <cellStyle name="Normal 4 28 2" xfId="6561"/>
    <cellStyle name="Normal 4 3" xfId="1044"/>
    <cellStyle name="Normal 4 3 2" xfId="1535"/>
    <cellStyle name="Normal 4 3 2 2" xfId="4188"/>
    <cellStyle name="Normal 4 3 2 2 2" xfId="4894"/>
    <cellStyle name="Normal 4 3 2 2 2 2" xfId="5467"/>
    <cellStyle name="Normal 4 3 2 2 2 2 2" xfId="6565"/>
    <cellStyle name="Normal 4 3 2 2 2 3" xfId="5777"/>
    <cellStyle name="Normal 4 3 2 2 2 3 2" xfId="6566"/>
    <cellStyle name="Normal 4 3 2 2 2 4" xfId="6564"/>
    <cellStyle name="Normal 4 3 2 2 3" xfId="5466"/>
    <cellStyle name="Normal 4 3 2 2 3 2" xfId="6567"/>
    <cellStyle name="Normal 4 3 2 2 4" xfId="5776"/>
    <cellStyle name="Normal 4 3 2 2 4 2" xfId="6568"/>
    <cellStyle name="Normal 4 3 2 2 5" xfId="4893"/>
    <cellStyle name="Normal 4 3 2 2 5 2" xfId="6569"/>
    <cellStyle name="Normal 4 3 2 2 6" xfId="6563"/>
    <cellStyle name="Normal 4 3 2 3" xfId="4895"/>
    <cellStyle name="Normal 4 3 2 3 2" xfId="5468"/>
    <cellStyle name="Normal 4 3 2 3 2 2" xfId="6571"/>
    <cellStyle name="Normal 4 3 2 3 3" xfId="5778"/>
    <cellStyle name="Normal 4 3 2 3 3 2" xfId="6572"/>
    <cellStyle name="Normal 4 3 2 3 4" xfId="6570"/>
    <cellStyle name="Normal 4 3 2 4" xfId="5465"/>
    <cellStyle name="Normal 4 3 2 4 2" xfId="6573"/>
    <cellStyle name="Normal 4 3 2 5" xfId="5775"/>
    <cellStyle name="Normal 4 3 2 5 2" xfId="6574"/>
    <cellStyle name="Normal 4 3 2 6" xfId="4892"/>
    <cellStyle name="Normal 4 3 2 6 2" xfId="6575"/>
    <cellStyle name="Normal 4 3 2 7" xfId="6562"/>
    <cellStyle name="Normal 4 3 3" xfId="1660"/>
    <cellStyle name="Normal 4 3 3 2" xfId="4197"/>
    <cellStyle name="Normal 4 3 3 2 2" xfId="4898"/>
    <cellStyle name="Normal 4 3 3 2 2 2" xfId="5471"/>
    <cellStyle name="Normal 4 3 3 2 2 2 2" xfId="6579"/>
    <cellStyle name="Normal 4 3 3 2 2 3" xfId="5781"/>
    <cellStyle name="Normal 4 3 3 2 2 3 2" xfId="6580"/>
    <cellStyle name="Normal 4 3 3 2 2 4" xfId="6578"/>
    <cellStyle name="Normal 4 3 3 2 3" xfId="5470"/>
    <cellStyle name="Normal 4 3 3 2 3 2" xfId="6581"/>
    <cellStyle name="Normal 4 3 3 2 4" xfId="5780"/>
    <cellStyle name="Normal 4 3 3 2 4 2" xfId="6582"/>
    <cellStyle name="Normal 4 3 3 2 5" xfId="4897"/>
    <cellStyle name="Normal 4 3 3 2 5 2" xfId="6583"/>
    <cellStyle name="Normal 4 3 3 2 6" xfId="6577"/>
    <cellStyle name="Normal 4 3 3 3" xfId="4899"/>
    <cellStyle name="Normal 4 3 3 3 2" xfId="5472"/>
    <cellStyle name="Normal 4 3 3 3 2 2" xfId="6585"/>
    <cellStyle name="Normal 4 3 3 3 3" xfId="5782"/>
    <cellStyle name="Normal 4 3 3 3 3 2" xfId="6586"/>
    <cellStyle name="Normal 4 3 3 3 4" xfId="6584"/>
    <cellStyle name="Normal 4 3 3 4" xfId="5469"/>
    <cellStyle name="Normal 4 3 3 4 2" xfId="6587"/>
    <cellStyle name="Normal 4 3 3 5" xfId="5779"/>
    <cellStyle name="Normal 4 3 3 5 2" xfId="6588"/>
    <cellStyle name="Normal 4 3 3 6" xfId="4896"/>
    <cellStyle name="Normal 4 3 3 6 2" xfId="6589"/>
    <cellStyle name="Normal 4 3 3 7" xfId="6576"/>
    <cellStyle name="Normal 4 3 4" xfId="3624"/>
    <cellStyle name="Normal 4 3 4 2" xfId="4202"/>
    <cellStyle name="Normal 4 3 4 2 2" xfId="4902"/>
    <cellStyle name="Normal 4 3 4 2 2 2" xfId="5475"/>
    <cellStyle name="Normal 4 3 4 2 2 2 2" xfId="6593"/>
    <cellStyle name="Normal 4 3 4 2 2 3" xfId="5785"/>
    <cellStyle name="Normal 4 3 4 2 2 3 2" xfId="6594"/>
    <cellStyle name="Normal 4 3 4 2 2 4" xfId="6592"/>
    <cellStyle name="Normal 4 3 4 2 3" xfId="5474"/>
    <cellStyle name="Normal 4 3 4 2 3 2" xfId="6595"/>
    <cellStyle name="Normal 4 3 4 2 4" xfId="5784"/>
    <cellStyle name="Normal 4 3 4 2 4 2" xfId="6596"/>
    <cellStyle name="Normal 4 3 4 2 5" xfId="4901"/>
    <cellStyle name="Normal 4 3 4 2 5 2" xfId="6597"/>
    <cellStyle name="Normal 4 3 4 2 6" xfId="6591"/>
    <cellStyle name="Normal 4 3 4 3" xfId="4903"/>
    <cellStyle name="Normal 4 3 4 3 2" xfId="5476"/>
    <cellStyle name="Normal 4 3 4 3 2 2" xfId="6599"/>
    <cellStyle name="Normal 4 3 4 3 3" xfId="5786"/>
    <cellStyle name="Normal 4 3 4 3 3 2" xfId="6600"/>
    <cellStyle name="Normal 4 3 4 3 4" xfId="6598"/>
    <cellStyle name="Normal 4 3 4 4" xfId="5473"/>
    <cellStyle name="Normal 4 3 4 4 2" xfId="6601"/>
    <cellStyle name="Normal 4 3 4 5" xfId="5783"/>
    <cellStyle name="Normal 4 3 4 5 2" xfId="6602"/>
    <cellStyle name="Normal 4 3 4 6" xfId="4900"/>
    <cellStyle name="Normal 4 3 4 6 2" xfId="6603"/>
    <cellStyle name="Normal 4 3 4 7" xfId="6590"/>
    <cellStyle name="Normal 4 3 5" xfId="3761"/>
    <cellStyle name="Normal 4 3 5 2" xfId="4210"/>
    <cellStyle name="Normal 4 3 5 2 2" xfId="4906"/>
    <cellStyle name="Normal 4 3 5 2 2 2" xfId="5479"/>
    <cellStyle name="Normal 4 3 5 2 2 2 2" xfId="6607"/>
    <cellStyle name="Normal 4 3 5 2 2 3" xfId="5789"/>
    <cellStyle name="Normal 4 3 5 2 2 3 2" xfId="6608"/>
    <cellStyle name="Normal 4 3 5 2 2 4" xfId="6606"/>
    <cellStyle name="Normal 4 3 5 2 3" xfId="5478"/>
    <cellStyle name="Normal 4 3 5 2 3 2" xfId="6609"/>
    <cellStyle name="Normal 4 3 5 2 4" xfId="5788"/>
    <cellStyle name="Normal 4 3 5 2 4 2" xfId="6610"/>
    <cellStyle name="Normal 4 3 5 2 5" xfId="4905"/>
    <cellStyle name="Normal 4 3 5 2 5 2" xfId="6611"/>
    <cellStyle name="Normal 4 3 5 2 6" xfId="6605"/>
    <cellStyle name="Normal 4 3 5 3" xfId="4907"/>
    <cellStyle name="Normal 4 3 5 3 2" xfId="5480"/>
    <cellStyle name="Normal 4 3 5 3 2 2" xfId="6613"/>
    <cellStyle name="Normal 4 3 5 3 3" xfId="5790"/>
    <cellStyle name="Normal 4 3 5 3 3 2" xfId="6614"/>
    <cellStyle name="Normal 4 3 5 3 4" xfId="6612"/>
    <cellStyle name="Normal 4 3 5 4" xfId="5477"/>
    <cellStyle name="Normal 4 3 5 4 2" xfId="6615"/>
    <cellStyle name="Normal 4 3 5 5" xfId="5787"/>
    <cellStyle name="Normal 4 3 5 5 2" xfId="6616"/>
    <cellStyle name="Normal 4 3 5 6" xfId="4904"/>
    <cellStyle name="Normal 4 3 5 6 2" xfId="6617"/>
    <cellStyle name="Normal 4 3 5 7" xfId="6604"/>
    <cellStyle name="Normal 4 3 6" xfId="1386"/>
    <cellStyle name="Normal 4 3 7" xfId="3912"/>
    <cellStyle name="Normal 4 4" xfId="1051"/>
    <cellStyle name="Normal 4 4 2" xfId="1571"/>
    <cellStyle name="Normal 4 4 2 2" xfId="4192"/>
    <cellStyle name="Normal 4 4 2 2 2" xfId="4910"/>
    <cellStyle name="Normal 4 4 2 2 2 2" xfId="5483"/>
    <cellStyle name="Normal 4 4 2 2 2 2 2" xfId="6621"/>
    <cellStyle name="Normal 4 4 2 2 2 3" xfId="5793"/>
    <cellStyle name="Normal 4 4 2 2 2 3 2" xfId="6622"/>
    <cellStyle name="Normal 4 4 2 2 2 4" xfId="6620"/>
    <cellStyle name="Normal 4 4 2 2 3" xfId="5482"/>
    <cellStyle name="Normal 4 4 2 2 3 2" xfId="6623"/>
    <cellStyle name="Normal 4 4 2 2 4" xfId="5792"/>
    <cellStyle name="Normal 4 4 2 2 4 2" xfId="6624"/>
    <cellStyle name="Normal 4 4 2 2 5" xfId="4909"/>
    <cellStyle name="Normal 4 4 2 2 5 2" xfId="6625"/>
    <cellStyle name="Normal 4 4 2 2 6" xfId="6619"/>
    <cellStyle name="Normal 4 4 2 3" xfId="4911"/>
    <cellStyle name="Normal 4 4 2 3 2" xfId="5484"/>
    <cellStyle name="Normal 4 4 2 3 2 2" xfId="6627"/>
    <cellStyle name="Normal 4 4 2 3 3" xfId="5794"/>
    <cellStyle name="Normal 4 4 2 3 3 2" xfId="6628"/>
    <cellStyle name="Normal 4 4 2 3 4" xfId="6626"/>
    <cellStyle name="Normal 4 4 2 4" xfId="5481"/>
    <cellStyle name="Normal 4 4 2 4 2" xfId="6629"/>
    <cellStyle name="Normal 4 4 2 5" xfId="5791"/>
    <cellStyle name="Normal 4 4 2 5 2" xfId="6630"/>
    <cellStyle name="Normal 4 4 2 6" xfId="4908"/>
    <cellStyle name="Normal 4 4 2 6 2" xfId="6631"/>
    <cellStyle name="Normal 4 4 2 7" xfId="6618"/>
    <cellStyle name="Normal 4 4 3" xfId="1663"/>
    <cellStyle name="Normal 4 4 3 2" xfId="4198"/>
    <cellStyle name="Normal 4 4 3 2 2" xfId="4914"/>
    <cellStyle name="Normal 4 4 3 2 2 2" xfId="5487"/>
    <cellStyle name="Normal 4 4 3 2 2 2 2" xfId="6635"/>
    <cellStyle name="Normal 4 4 3 2 2 3" xfId="5797"/>
    <cellStyle name="Normal 4 4 3 2 2 3 2" xfId="6636"/>
    <cellStyle name="Normal 4 4 3 2 2 4" xfId="6634"/>
    <cellStyle name="Normal 4 4 3 2 3" xfId="5486"/>
    <cellStyle name="Normal 4 4 3 2 3 2" xfId="6637"/>
    <cellStyle name="Normal 4 4 3 2 4" xfId="5796"/>
    <cellStyle name="Normal 4 4 3 2 4 2" xfId="6638"/>
    <cellStyle name="Normal 4 4 3 2 5" xfId="4913"/>
    <cellStyle name="Normal 4 4 3 2 5 2" xfId="6639"/>
    <cellStyle name="Normal 4 4 3 2 6" xfId="6633"/>
    <cellStyle name="Normal 4 4 3 3" xfId="4915"/>
    <cellStyle name="Normal 4 4 3 3 2" xfId="5488"/>
    <cellStyle name="Normal 4 4 3 3 2 2" xfId="6641"/>
    <cellStyle name="Normal 4 4 3 3 3" xfId="5798"/>
    <cellStyle name="Normal 4 4 3 3 3 2" xfId="6642"/>
    <cellStyle name="Normal 4 4 3 3 4" xfId="6640"/>
    <cellStyle name="Normal 4 4 3 4" xfId="5485"/>
    <cellStyle name="Normal 4 4 3 4 2" xfId="6643"/>
    <cellStyle name="Normal 4 4 3 5" xfId="5795"/>
    <cellStyle name="Normal 4 4 3 5 2" xfId="6644"/>
    <cellStyle name="Normal 4 4 3 6" xfId="4912"/>
    <cellStyle name="Normal 4 4 3 6 2" xfId="6645"/>
    <cellStyle name="Normal 4 4 3 7" xfId="6632"/>
    <cellStyle name="Normal 4 4 4" xfId="3626"/>
    <cellStyle name="Normal 4 4 4 2" xfId="4203"/>
    <cellStyle name="Normal 4 4 4 2 2" xfId="4918"/>
    <cellStyle name="Normal 4 4 4 2 2 2" xfId="5491"/>
    <cellStyle name="Normal 4 4 4 2 2 2 2" xfId="6649"/>
    <cellStyle name="Normal 4 4 4 2 2 3" xfId="5801"/>
    <cellStyle name="Normal 4 4 4 2 2 3 2" xfId="6650"/>
    <cellStyle name="Normal 4 4 4 2 2 4" xfId="6648"/>
    <cellStyle name="Normal 4 4 4 2 3" xfId="5490"/>
    <cellStyle name="Normal 4 4 4 2 3 2" xfId="6651"/>
    <cellStyle name="Normal 4 4 4 2 4" xfId="5800"/>
    <cellStyle name="Normal 4 4 4 2 4 2" xfId="6652"/>
    <cellStyle name="Normal 4 4 4 2 5" xfId="4917"/>
    <cellStyle name="Normal 4 4 4 2 5 2" xfId="6653"/>
    <cellStyle name="Normal 4 4 4 2 6" xfId="6647"/>
    <cellStyle name="Normal 4 4 4 3" xfId="4919"/>
    <cellStyle name="Normal 4 4 4 3 2" xfId="5492"/>
    <cellStyle name="Normal 4 4 4 3 2 2" xfId="6655"/>
    <cellStyle name="Normal 4 4 4 3 3" xfId="5802"/>
    <cellStyle name="Normal 4 4 4 3 3 2" xfId="6656"/>
    <cellStyle name="Normal 4 4 4 3 4" xfId="6654"/>
    <cellStyle name="Normal 4 4 4 4" xfId="5489"/>
    <cellStyle name="Normal 4 4 4 4 2" xfId="6657"/>
    <cellStyle name="Normal 4 4 4 5" xfId="5799"/>
    <cellStyle name="Normal 4 4 4 5 2" xfId="6658"/>
    <cellStyle name="Normal 4 4 4 6" xfId="4916"/>
    <cellStyle name="Normal 4 4 4 6 2" xfId="6659"/>
    <cellStyle name="Normal 4 4 4 7" xfId="6646"/>
    <cellStyle name="Normal 4 4 5" xfId="3765"/>
    <cellStyle name="Normal 4 4 5 2" xfId="4213"/>
    <cellStyle name="Normal 4 4 5 2 2" xfId="4922"/>
    <cellStyle name="Normal 4 4 5 2 2 2" xfId="5495"/>
    <cellStyle name="Normal 4 4 5 2 2 2 2" xfId="6663"/>
    <cellStyle name="Normal 4 4 5 2 2 3" xfId="5805"/>
    <cellStyle name="Normal 4 4 5 2 2 3 2" xfId="6664"/>
    <cellStyle name="Normal 4 4 5 2 2 4" xfId="6662"/>
    <cellStyle name="Normal 4 4 5 2 3" xfId="5494"/>
    <cellStyle name="Normal 4 4 5 2 3 2" xfId="6665"/>
    <cellStyle name="Normal 4 4 5 2 4" xfId="5804"/>
    <cellStyle name="Normal 4 4 5 2 4 2" xfId="6666"/>
    <cellStyle name="Normal 4 4 5 2 5" xfId="4921"/>
    <cellStyle name="Normal 4 4 5 2 5 2" xfId="6667"/>
    <cellStyle name="Normal 4 4 5 2 6" xfId="6661"/>
    <cellStyle name="Normal 4 4 5 3" xfId="4923"/>
    <cellStyle name="Normal 4 4 5 3 2" xfId="5496"/>
    <cellStyle name="Normal 4 4 5 3 2 2" xfId="6669"/>
    <cellStyle name="Normal 4 4 5 3 3" xfId="5806"/>
    <cellStyle name="Normal 4 4 5 3 3 2" xfId="6670"/>
    <cellStyle name="Normal 4 4 5 3 4" xfId="6668"/>
    <cellStyle name="Normal 4 4 5 4" xfId="5493"/>
    <cellStyle name="Normal 4 4 5 4 2" xfId="6671"/>
    <cellStyle name="Normal 4 4 5 5" xfId="5803"/>
    <cellStyle name="Normal 4 4 5 5 2" xfId="6672"/>
    <cellStyle name="Normal 4 4 5 6" xfId="4920"/>
    <cellStyle name="Normal 4 4 5 6 2" xfId="6673"/>
    <cellStyle name="Normal 4 4 5 7" xfId="6660"/>
    <cellStyle name="Normal 4 4 6" xfId="1390"/>
    <cellStyle name="Normal 4 4 7" xfId="3921"/>
    <cellStyle name="Normal 4 5" xfId="1059"/>
    <cellStyle name="Normal 4 5 2" xfId="3809"/>
    <cellStyle name="Normal 4 5 2 2" xfId="4216"/>
    <cellStyle name="Normal 4 5 2 2 2" xfId="4926"/>
    <cellStyle name="Normal 4 5 2 2 2 2" xfId="5499"/>
    <cellStyle name="Normal 4 5 2 2 2 2 2" xfId="6677"/>
    <cellStyle name="Normal 4 5 2 2 2 3" xfId="5809"/>
    <cellStyle name="Normal 4 5 2 2 2 3 2" xfId="6678"/>
    <cellStyle name="Normal 4 5 2 2 2 4" xfId="6676"/>
    <cellStyle name="Normal 4 5 2 2 3" xfId="5498"/>
    <cellStyle name="Normal 4 5 2 2 3 2" xfId="6679"/>
    <cellStyle name="Normal 4 5 2 2 4" xfId="5808"/>
    <cellStyle name="Normal 4 5 2 2 4 2" xfId="6680"/>
    <cellStyle name="Normal 4 5 2 2 5" xfId="4925"/>
    <cellStyle name="Normal 4 5 2 2 5 2" xfId="6681"/>
    <cellStyle name="Normal 4 5 2 2 6" xfId="6675"/>
    <cellStyle name="Normal 4 5 2 3" xfId="4927"/>
    <cellStyle name="Normal 4 5 2 3 2" xfId="5500"/>
    <cellStyle name="Normal 4 5 2 3 2 2" xfId="6683"/>
    <cellStyle name="Normal 4 5 2 3 3" xfId="5810"/>
    <cellStyle name="Normal 4 5 2 3 3 2" xfId="6684"/>
    <cellStyle name="Normal 4 5 2 3 4" xfId="6682"/>
    <cellStyle name="Normal 4 5 2 4" xfId="5497"/>
    <cellStyle name="Normal 4 5 2 4 2" xfId="6685"/>
    <cellStyle name="Normal 4 5 2 5" xfId="5807"/>
    <cellStyle name="Normal 4 5 2 5 2" xfId="6686"/>
    <cellStyle name="Normal 4 5 2 6" xfId="4924"/>
    <cellStyle name="Normal 4 5 2 6 2" xfId="6687"/>
    <cellStyle name="Normal 4 5 2 7" xfId="6674"/>
    <cellStyle name="Normal 4 5 3" xfId="1394"/>
    <cellStyle name="Normal 4 5 4" xfId="3929"/>
    <cellStyle name="Normal 4 6" xfId="1069"/>
    <cellStyle name="Normal 4 6 2" xfId="3814"/>
    <cellStyle name="Normal 4 6 2 2" xfId="4219"/>
    <cellStyle name="Normal 4 6 2 2 2" xfId="4931"/>
    <cellStyle name="Normal 4 6 2 2 2 2" xfId="5504"/>
    <cellStyle name="Normal 4 6 2 2 2 2 2" xfId="6691"/>
    <cellStyle name="Normal 4 6 2 2 2 3" xfId="5814"/>
    <cellStyle name="Normal 4 6 2 2 2 3 2" xfId="6692"/>
    <cellStyle name="Normal 4 6 2 2 2 4" xfId="6690"/>
    <cellStyle name="Normal 4 6 2 2 3" xfId="5503"/>
    <cellStyle name="Normal 4 6 2 2 3 2" xfId="6693"/>
    <cellStyle name="Normal 4 6 2 2 4" xfId="5813"/>
    <cellStyle name="Normal 4 6 2 2 4 2" xfId="6694"/>
    <cellStyle name="Normal 4 6 2 2 5" xfId="4930"/>
    <cellStyle name="Normal 4 6 2 2 5 2" xfId="6695"/>
    <cellStyle name="Normal 4 6 2 2 6" xfId="6689"/>
    <cellStyle name="Normal 4 6 2 3" xfId="4932"/>
    <cellStyle name="Normal 4 6 2 3 2" xfId="5505"/>
    <cellStyle name="Normal 4 6 2 3 2 2" xfId="6697"/>
    <cellStyle name="Normal 4 6 2 3 3" xfId="5815"/>
    <cellStyle name="Normal 4 6 2 3 3 2" xfId="6698"/>
    <cellStyle name="Normal 4 6 2 3 4" xfId="6696"/>
    <cellStyle name="Normal 4 6 2 4" xfId="5502"/>
    <cellStyle name="Normal 4 6 2 4 2" xfId="6699"/>
    <cellStyle name="Normal 4 6 2 5" xfId="5812"/>
    <cellStyle name="Normal 4 6 2 5 2" xfId="6700"/>
    <cellStyle name="Normal 4 6 2 6" xfId="4929"/>
    <cellStyle name="Normal 4 6 2 6 2" xfId="6701"/>
    <cellStyle name="Normal 4 6 2 7" xfId="6688"/>
    <cellStyle name="Normal 4 6 3" xfId="1439"/>
    <cellStyle name="Normal 4 6 3 2" xfId="4185"/>
    <cellStyle name="Normal 4 6 3 2 2" xfId="5507"/>
    <cellStyle name="Normal 4 6 3 2 2 2" xfId="6704"/>
    <cellStyle name="Normal 4 6 3 2 3" xfId="5817"/>
    <cellStyle name="Normal 4 6 3 2 3 2" xfId="6705"/>
    <cellStyle name="Normal 4 6 3 2 4" xfId="4934"/>
    <cellStyle name="Normal 4 6 3 2 4 2" xfId="6706"/>
    <cellStyle name="Normal 4 6 3 2 5" xfId="6703"/>
    <cellStyle name="Normal 4 6 3 3" xfId="5506"/>
    <cellStyle name="Normal 4 6 3 3 2" xfId="6707"/>
    <cellStyle name="Normal 4 6 3 4" xfId="5816"/>
    <cellStyle name="Normal 4 6 3 4 2" xfId="6708"/>
    <cellStyle name="Normal 4 6 3 5" xfId="4933"/>
    <cellStyle name="Normal 4 6 3 5 2" xfId="6709"/>
    <cellStyle name="Normal 4 6 3 6" xfId="6702"/>
    <cellStyle name="Normal 4 6 4" xfId="3939"/>
    <cellStyle name="Normal 4 6 4 2" xfId="5508"/>
    <cellStyle name="Normal 4 6 4 2 2" xfId="6710"/>
    <cellStyle name="Normal 4 6 4 3" xfId="5818"/>
    <cellStyle name="Normal 4 6 4 3 2" xfId="6711"/>
    <cellStyle name="Normal 4 6 4 4" xfId="4935"/>
    <cellStyle name="Normal 4 6 4 4 2" xfId="6712"/>
    <cellStyle name="Normal 4 6 5" xfId="5501"/>
    <cellStyle name="Normal 4 6 5 2" xfId="6713"/>
    <cellStyle name="Normal 4 6 6" xfId="5811"/>
    <cellStyle name="Normal 4 6 6 2" xfId="6714"/>
    <cellStyle name="Normal 4 6 7" xfId="4928"/>
    <cellStyle name="Normal 4 6 7 2" xfId="6715"/>
    <cellStyle name="Normal 4 7" xfId="1079"/>
    <cellStyle name="Normal 4 7 2" xfId="1538"/>
    <cellStyle name="Normal 4 7 2 2" xfId="4191"/>
    <cellStyle name="Normal 4 7 2 2 2" xfId="5511"/>
    <cellStyle name="Normal 4 7 2 2 2 2" xfId="6718"/>
    <cellStyle name="Normal 4 7 2 2 3" xfId="5821"/>
    <cellStyle name="Normal 4 7 2 2 3 2" xfId="6719"/>
    <cellStyle name="Normal 4 7 2 2 4" xfId="4938"/>
    <cellStyle name="Normal 4 7 2 2 4 2" xfId="6720"/>
    <cellStyle name="Normal 4 7 2 2 5" xfId="6717"/>
    <cellStyle name="Normal 4 7 2 3" xfId="5510"/>
    <cellStyle name="Normal 4 7 2 3 2" xfId="6721"/>
    <cellStyle name="Normal 4 7 2 4" xfId="5820"/>
    <cellStyle name="Normal 4 7 2 4 2" xfId="6722"/>
    <cellStyle name="Normal 4 7 2 5" xfId="4937"/>
    <cellStyle name="Normal 4 7 2 5 2" xfId="6723"/>
    <cellStyle name="Normal 4 7 2 6" xfId="6716"/>
    <cellStyle name="Normal 4 7 3" xfId="3949"/>
    <cellStyle name="Normal 4 7 3 2" xfId="5512"/>
    <cellStyle name="Normal 4 7 3 2 2" xfId="6724"/>
    <cellStyle name="Normal 4 7 3 3" xfId="5822"/>
    <cellStyle name="Normal 4 7 3 3 2" xfId="6725"/>
    <cellStyle name="Normal 4 7 3 4" xfId="4939"/>
    <cellStyle name="Normal 4 7 3 4 2" xfId="6726"/>
    <cellStyle name="Normal 4 7 4" xfId="5509"/>
    <cellStyle name="Normal 4 7 4 2" xfId="6727"/>
    <cellStyle name="Normal 4 7 5" xfId="5819"/>
    <cellStyle name="Normal 4 7 5 2" xfId="6728"/>
    <cellStyle name="Normal 4 7 6" xfId="4936"/>
    <cellStyle name="Normal 4 7 6 2" xfId="6729"/>
    <cellStyle name="Normal 4 8" xfId="1089"/>
    <cellStyle name="Normal 4 8 2" xfId="1544"/>
    <cellStyle name="Normal 4 8 3" xfId="3959"/>
    <cellStyle name="Normal 4 9" xfId="1099"/>
    <cellStyle name="Normal 4 9 2" xfId="3537"/>
    <cellStyle name="Normal 4 9 2 2" xfId="4199"/>
    <cellStyle name="Normal 4 9 2 2 2" xfId="5515"/>
    <cellStyle name="Normal 4 9 2 2 2 2" xfId="6732"/>
    <cellStyle name="Normal 4 9 2 2 3" xfId="5825"/>
    <cellStyle name="Normal 4 9 2 2 3 2" xfId="6733"/>
    <cellStyle name="Normal 4 9 2 2 4" xfId="4942"/>
    <cellStyle name="Normal 4 9 2 2 4 2" xfId="6734"/>
    <cellStyle name="Normal 4 9 2 2 5" xfId="6731"/>
    <cellStyle name="Normal 4 9 2 3" xfId="5514"/>
    <cellStyle name="Normal 4 9 2 3 2" xfId="6735"/>
    <cellStyle name="Normal 4 9 2 4" xfId="5824"/>
    <cellStyle name="Normal 4 9 2 4 2" xfId="6736"/>
    <cellStyle name="Normal 4 9 2 5" xfId="4941"/>
    <cellStyle name="Normal 4 9 2 5 2" xfId="6737"/>
    <cellStyle name="Normal 4 9 2 6" xfId="6730"/>
    <cellStyle name="Normal 4 9 3" xfId="3969"/>
    <cellStyle name="Normal 4 9 3 2" xfId="5516"/>
    <cellStyle name="Normal 4 9 3 2 2" xfId="6738"/>
    <cellStyle name="Normal 4 9 3 3" xfId="5826"/>
    <cellStyle name="Normal 4 9 3 3 2" xfId="6739"/>
    <cellStyle name="Normal 4 9 3 4" xfId="4943"/>
    <cellStyle name="Normal 4 9 3 4 2" xfId="6740"/>
    <cellStyle name="Normal 4 9 4" xfId="5513"/>
    <cellStyle name="Normal 4 9 4 2" xfId="6741"/>
    <cellStyle name="Normal 4 9 5" xfId="5823"/>
    <cellStyle name="Normal 4 9 5 2" xfId="6742"/>
    <cellStyle name="Normal 4 9 6" xfId="4940"/>
    <cellStyle name="Normal 4 9 6 2" xfId="6743"/>
    <cellStyle name="Normal 40" xfId="1032"/>
    <cellStyle name="Normal 40 2" xfId="3895"/>
    <cellStyle name="Normal 42" xfId="1033"/>
    <cellStyle name="Normal 42 2" xfId="3897"/>
    <cellStyle name="Normal 44" xfId="1034"/>
    <cellStyle name="Normal 44 2" xfId="3899"/>
    <cellStyle name="Normal 5" xfId="12"/>
    <cellStyle name="Normal 5 10" xfId="1103"/>
    <cellStyle name="Normal 5 10 2" xfId="3973"/>
    <cellStyle name="Normal 5 10 2 2" xfId="5518"/>
    <cellStyle name="Normal 5 10 2 2 2" xfId="6744"/>
    <cellStyle name="Normal 5 10 2 3" xfId="5828"/>
    <cellStyle name="Normal 5 10 2 3 2" xfId="6745"/>
    <cellStyle name="Normal 5 10 2 4" xfId="4945"/>
    <cellStyle name="Normal 5 10 2 4 2" xfId="6746"/>
    <cellStyle name="Normal 5 10 3" xfId="5517"/>
    <cellStyle name="Normal 5 10 3 2" xfId="6747"/>
    <cellStyle name="Normal 5 10 4" xfId="5827"/>
    <cellStyle name="Normal 5 10 4 2" xfId="6748"/>
    <cellStyle name="Normal 5 10 5" xfId="4944"/>
    <cellStyle name="Normal 5 10 5 2" xfId="6749"/>
    <cellStyle name="Normal 5 11" xfId="1113"/>
    <cellStyle name="Normal 5 11 2" xfId="3983"/>
    <cellStyle name="Normal 5 11 2 2" xfId="5519"/>
    <cellStyle name="Normal 5 11 2 2 2" xfId="6750"/>
    <cellStyle name="Normal 5 11 3" xfId="5829"/>
    <cellStyle name="Normal 5 11 3 2" xfId="6751"/>
    <cellStyle name="Normal 5 11 4" xfId="4946"/>
    <cellStyle name="Normal 5 11 4 2" xfId="6752"/>
    <cellStyle name="Normal 5 12" xfId="1123"/>
    <cellStyle name="Normal 5 12 2" xfId="3993"/>
    <cellStyle name="Normal 5 13" xfId="1133"/>
    <cellStyle name="Normal 5 13 2" xfId="4003"/>
    <cellStyle name="Normal 5 14" xfId="1161"/>
    <cellStyle name="Normal 5 14 2" xfId="4031"/>
    <cellStyle name="Normal 5 15" xfId="1149"/>
    <cellStyle name="Normal 5 15 2" xfId="4019"/>
    <cellStyle name="Normal 5 16" xfId="1163"/>
    <cellStyle name="Normal 5 16 2" xfId="4033"/>
    <cellStyle name="Normal 5 17" xfId="1173"/>
    <cellStyle name="Normal 5 17 2" xfId="4043"/>
    <cellStyle name="Normal 5 18" xfId="1183"/>
    <cellStyle name="Normal 5 18 2" xfId="4053"/>
    <cellStyle name="Normal 5 19" xfId="1193"/>
    <cellStyle name="Normal 5 19 2" xfId="4063"/>
    <cellStyle name="Normal 5 2" xfId="62"/>
    <cellStyle name="Normal 5 2 2" xfId="1491"/>
    <cellStyle name="Normal 5 2 2 2" xfId="4187"/>
    <cellStyle name="Normal 5 2 2 2 2" xfId="4949"/>
    <cellStyle name="Normal 5 2 2 2 2 2" xfId="5522"/>
    <cellStyle name="Normal 5 2 2 2 2 2 2" xfId="6756"/>
    <cellStyle name="Normal 5 2 2 2 2 3" xfId="5832"/>
    <cellStyle name="Normal 5 2 2 2 2 3 2" xfId="6757"/>
    <cellStyle name="Normal 5 2 2 2 2 4" xfId="6755"/>
    <cellStyle name="Normal 5 2 2 2 3" xfId="5521"/>
    <cellStyle name="Normal 5 2 2 2 3 2" xfId="6758"/>
    <cellStyle name="Normal 5 2 2 2 4" xfId="5831"/>
    <cellStyle name="Normal 5 2 2 2 4 2" xfId="6759"/>
    <cellStyle name="Normal 5 2 2 2 5" xfId="4948"/>
    <cellStyle name="Normal 5 2 2 2 5 2" xfId="6760"/>
    <cellStyle name="Normal 5 2 2 2 6" xfId="6754"/>
    <cellStyle name="Normal 5 2 2 3" xfId="4950"/>
    <cellStyle name="Normal 5 2 2 3 2" xfId="5523"/>
    <cellStyle name="Normal 5 2 2 3 2 2" xfId="6762"/>
    <cellStyle name="Normal 5 2 2 3 3" xfId="5833"/>
    <cellStyle name="Normal 5 2 2 3 3 2" xfId="6763"/>
    <cellStyle name="Normal 5 2 2 3 4" xfId="6761"/>
    <cellStyle name="Normal 5 2 2 4" xfId="5520"/>
    <cellStyle name="Normal 5 2 2 4 2" xfId="6764"/>
    <cellStyle name="Normal 5 2 2 5" xfId="5830"/>
    <cellStyle name="Normal 5 2 2 5 2" xfId="6765"/>
    <cellStyle name="Normal 5 2 2 6" xfId="4947"/>
    <cellStyle name="Normal 5 2 2 6 2" xfId="6766"/>
    <cellStyle name="Normal 5 2 2 7" xfId="6753"/>
    <cellStyle name="Normal 5 2 3" xfId="1617"/>
    <cellStyle name="Normal 5 2 3 2" xfId="4196"/>
    <cellStyle name="Normal 5 2 3 2 2" xfId="4953"/>
    <cellStyle name="Normal 5 2 3 2 2 2" xfId="5526"/>
    <cellStyle name="Normal 5 2 3 2 2 2 2" xfId="6770"/>
    <cellStyle name="Normal 5 2 3 2 2 3" xfId="5836"/>
    <cellStyle name="Normal 5 2 3 2 2 3 2" xfId="6771"/>
    <cellStyle name="Normal 5 2 3 2 2 4" xfId="6769"/>
    <cellStyle name="Normal 5 2 3 2 3" xfId="5525"/>
    <cellStyle name="Normal 5 2 3 2 3 2" xfId="6772"/>
    <cellStyle name="Normal 5 2 3 2 4" xfId="5835"/>
    <cellStyle name="Normal 5 2 3 2 4 2" xfId="6773"/>
    <cellStyle name="Normal 5 2 3 2 5" xfId="4952"/>
    <cellStyle name="Normal 5 2 3 2 5 2" xfId="6774"/>
    <cellStyle name="Normal 5 2 3 2 6" xfId="6768"/>
    <cellStyle name="Normal 5 2 3 3" xfId="4954"/>
    <cellStyle name="Normal 5 2 3 3 2" xfId="5527"/>
    <cellStyle name="Normal 5 2 3 3 2 2" xfId="6776"/>
    <cellStyle name="Normal 5 2 3 3 3" xfId="5837"/>
    <cellStyle name="Normal 5 2 3 3 3 2" xfId="6777"/>
    <cellStyle name="Normal 5 2 3 3 4" xfId="6775"/>
    <cellStyle name="Normal 5 2 3 4" xfId="5524"/>
    <cellStyle name="Normal 5 2 3 4 2" xfId="6778"/>
    <cellStyle name="Normal 5 2 3 5" xfId="5834"/>
    <cellStyle name="Normal 5 2 3 5 2" xfId="6779"/>
    <cellStyle name="Normal 5 2 3 6" xfId="4951"/>
    <cellStyle name="Normal 5 2 3 6 2" xfId="6780"/>
    <cellStyle name="Normal 5 2 3 7" xfId="6767"/>
    <cellStyle name="Normal 5 2 4" xfId="3581"/>
    <cellStyle name="Normal 5 2 4 2" xfId="4201"/>
    <cellStyle name="Normal 5 2 4 2 2" xfId="4957"/>
    <cellStyle name="Normal 5 2 4 2 2 2" xfId="5530"/>
    <cellStyle name="Normal 5 2 4 2 2 2 2" xfId="6784"/>
    <cellStyle name="Normal 5 2 4 2 2 3" xfId="5840"/>
    <cellStyle name="Normal 5 2 4 2 2 3 2" xfId="6785"/>
    <cellStyle name="Normal 5 2 4 2 2 4" xfId="6783"/>
    <cellStyle name="Normal 5 2 4 2 3" xfId="5529"/>
    <cellStyle name="Normal 5 2 4 2 3 2" xfId="6786"/>
    <cellStyle name="Normal 5 2 4 2 4" xfId="5839"/>
    <cellStyle name="Normal 5 2 4 2 4 2" xfId="6787"/>
    <cellStyle name="Normal 5 2 4 2 5" xfId="4956"/>
    <cellStyle name="Normal 5 2 4 2 5 2" xfId="6788"/>
    <cellStyle name="Normal 5 2 4 2 6" xfId="6782"/>
    <cellStyle name="Normal 5 2 4 3" xfId="4958"/>
    <cellStyle name="Normal 5 2 4 3 2" xfId="5531"/>
    <cellStyle name="Normal 5 2 4 3 2 2" xfId="6790"/>
    <cellStyle name="Normal 5 2 4 3 3" xfId="5841"/>
    <cellStyle name="Normal 5 2 4 3 3 2" xfId="6791"/>
    <cellStyle name="Normal 5 2 4 3 4" xfId="6789"/>
    <cellStyle name="Normal 5 2 4 4" xfId="5528"/>
    <cellStyle name="Normal 5 2 4 4 2" xfId="6792"/>
    <cellStyle name="Normal 5 2 4 5" xfId="5838"/>
    <cellStyle name="Normal 5 2 4 5 2" xfId="6793"/>
    <cellStyle name="Normal 5 2 4 6" xfId="4955"/>
    <cellStyle name="Normal 5 2 4 6 2" xfId="6794"/>
    <cellStyle name="Normal 5 2 4 7" xfId="6781"/>
    <cellStyle name="Normal 5 2 5" xfId="3718"/>
    <cellStyle name="Normal 5 2 5 2" xfId="4208"/>
    <cellStyle name="Normal 5 2 5 2 2" xfId="4961"/>
    <cellStyle name="Normal 5 2 5 2 2 2" xfId="5534"/>
    <cellStyle name="Normal 5 2 5 2 2 2 2" xfId="6798"/>
    <cellStyle name="Normal 5 2 5 2 2 3" xfId="5844"/>
    <cellStyle name="Normal 5 2 5 2 2 3 2" xfId="6799"/>
    <cellStyle name="Normal 5 2 5 2 2 4" xfId="6797"/>
    <cellStyle name="Normal 5 2 5 2 3" xfId="5533"/>
    <cellStyle name="Normal 5 2 5 2 3 2" xfId="6800"/>
    <cellStyle name="Normal 5 2 5 2 4" xfId="5843"/>
    <cellStyle name="Normal 5 2 5 2 4 2" xfId="6801"/>
    <cellStyle name="Normal 5 2 5 2 5" xfId="4960"/>
    <cellStyle name="Normal 5 2 5 2 5 2" xfId="6802"/>
    <cellStyle name="Normal 5 2 5 2 6" xfId="6796"/>
    <cellStyle name="Normal 5 2 5 3" xfId="4962"/>
    <cellStyle name="Normal 5 2 5 3 2" xfId="5535"/>
    <cellStyle name="Normal 5 2 5 3 2 2" xfId="6804"/>
    <cellStyle name="Normal 5 2 5 3 3" xfId="5845"/>
    <cellStyle name="Normal 5 2 5 3 3 2" xfId="6805"/>
    <cellStyle name="Normal 5 2 5 3 4" xfId="6803"/>
    <cellStyle name="Normal 5 2 5 4" xfId="5532"/>
    <cellStyle name="Normal 5 2 5 4 2" xfId="6806"/>
    <cellStyle name="Normal 5 2 5 5" xfId="5842"/>
    <cellStyle name="Normal 5 2 5 5 2" xfId="6807"/>
    <cellStyle name="Normal 5 2 5 6" xfId="4959"/>
    <cellStyle name="Normal 5 2 5 6 2" xfId="6808"/>
    <cellStyle name="Normal 5 2 5 7" xfId="6795"/>
    <cellStyle name="Normal 5 2 6" xfId="1387"/>
    <cellStyle name="Normal 5 2 7" xfId="3904"/>
    <cellStyle name="Normal 5 2 8" xfId="1039"/>
    <cellStyle name="Normal 5 20" xfId="1203"/>
    <cellStyle name="Normal 5 20 2" xfId="4073"/>
    <cellStyle name="Normal 5 21" xfId="1213"/>
    <cellStyle name="Normal 5 21 2" xfId="4083"/>
    <cellStyle name="Normal 5 22" xfId="1223"/>
    <cellStyle name="Normal 5 22 2" xfId="4093"/>
    <cellStyle name="Normal 5 23" xfId="1233"/>
    <cellStyle name="Normal 5 23 2" xfId="4103"/>
    <cellStyle name="Normal 5 24" xfId="1243"/>
    <cellStyle name="Normal 5 24 2" xfId="4113"/>
    <cellStyle name="Normal 5 25" xfId="1253"/>
    <cellStyle name="Normal 5 25 2" xfId="4123"/>
    <cellStyle name="Normal 5 26" xfId="1371"/>
    <cellStyle name="Normal 5 26 2" xfId="4171"/>
    <cellStyle name="Normal 5 26 2 2" xfId="6810"/>
    <cellStyle name="Normal 5 26 3" xfId="6809"/>
    <cellStyle name="Normal 5 27" xfId="3844"/>
    <cellStyle name="Normal 5 27 2" xfId="6811"/>
    <cellStyle name="Normal 5 28" xfId="628"/>
    <cellStyle name="Normal 5 28 2" xfId="6812"/>
    <cellStyle name="Normal 5 3" xfId="63"/>
    <cellStyle name="Normal 5 3 2" xfId="3762"/>
    <cellStyle name="Normal 5 3 2 2" xfId="4211"/>
    <cellStyle name="Normal 5 3 2 2 2" xfId="4965"/>
    <cellStyle name="Normal 5 3 2 2 2 2" xfId="5539"/>
    <cellStyle name="Normal 5 3 2 2 2 2 2" xfId="6816"/>
    <cellStyle name="Normal 5 3 2 2 2 3" xfId="5849"/>
    <cellStyle name="Normal 5 3 2 2 2 3 2" xfId="6817"/>
    <cellStyle name="Normal 5 3 2 2 2 4" xfId="6815"/>
    <cellStyle name="Normal 5 3 2 2 3" xfId="5538"/>
    <cellStyle name="Normal 5 3 2 2 3 2" xfId="6818"/>
    <cellStyle name="Normal 5 3 2 2 4" xfId="5848"/>
    <cellStyle name="Normal 5 3 2 2 4 2" xfId="6819"/>
    <cellStyle name="Normal 5 3 2 2 5" xfId="4964"/>
    <cellStyle name="Normal 5 3 2 2 5 2" xfId="6820"/>
    <cellStyle name="Normal 5 3 2 2 6" xfId="6814"/>
    <cellStyle name="Normal 5 3 2 3" xfId="4966"/>
    <cellStyle name="Normal 5 3 2 3 2" xfId="5540"/>
    <cellStyle name="Normal 5 3 2 3 2 2" xfId="6822"/>
    <cellStyle name="Normal 5 3 2 3 3" xfId="5850"/>
    <cellStyle name="Normal 5 3 2 3 3 2" xfId="6823"/>
    <cellStyle name="Normal 5 3 2 3 4" xfId="6821"/>
    <cellStyle name="Normal 5 3 2 4" xfId="5537"/>
    <cellStyle name="Normal 5 3 2 4 2" xfId="6824"/>
    <cellStyle name="Normal 5 3 2 5" xfId="5847"/>
    <cellStyle name="Normal 5 3 2 5 2" xfId="6825"/>
    <cellStyle name="Normal 5 3 2 6" xfId="4963"/>
    <cellStyle name="Normal 5 3 2 6 2" xfId="6826"/>
    <cellStyle name="Normal 5 3 2 7" xfId="6813"/>
    <cellStyle name="Normal 5 3 3" xfId="1536"/>
    <cellStyle name="Normal 5 3 3 2" xfId="4189"/>
    <cellStyle name="Normal 5 3 3 2 2" xfId="5542"/>
    <cellStyle name="Normal 5 3 3 2 2 2" xfId="6829"/>
    <cellStyle name="Normal 5 3 3 2 3" xfId="5852"/>
    <cellStyle name="Normal 5 3 3 2 3 2" xfId="6830"/>
    <cellStyle name="Normal 5 3 3 2 4" xfId="4968"/>
    <cellStyle name="Normal 5 3 3 2 4 2" xfId="6831"/>
    <cellStyle name="Normal 5 3 3 2 5" xfId="6828"/>
    <cellStyle name="Normal 5 3 3 3" xfId="5541"/>
    <cellStyle name="Normal 5 3 3 3 2" xfId="6832"/>
    <cellStyle name="Normal 5 3 3 4" xfId="5851"/>
    <cellStyle name="Normal 5 3 3 4 2" xfId="6833"/>
    <cellStyle name="Normal 5 3 3 5" xfId="4967"/>
    <cellStyle name="Normal 5 3 3 5 2" xfId="6834"/>
    <cellStyle name="Normal 5 3 3 6" xfId="6827"/>
    <cellStyle name="Normal 5 3 4" xfId="3918"/>
    <cellStyle name="Normal 5 3 4 2" xfId="5543"/>
    <cellStyle name="Normal 5 3 4 2 2" xfId="6835"/>
    <cellStyle name="Normal 5 3 4 3" xfId="5853"/>
    <cellStyle name="Normal 5 3 4 3 2" xfId="6836"/>
    <cellStyle name="Normal 5 3 4 4" xfId="4969"/>
    <cellStyle name="Normal 5 3 4 4 2" xfId="6837"/>
    <cellStyle name="Normal 5 3 5" xfId="1048"/>
    <cellStyle name="Normal 5 3 5 2" xfId="4970"/>
    <cellStyle name="Normal 5 3 5 2 2" xfId="6838"/>
    <cellStyle name="Normal 5 3 6" xfId="5536"/>
    <cellStyle name="Normal 5 3 6 2" xfId="6839"/>
    <cellStyle name="Normal 5 3 7" xfId="5846"/>
    <cellStyle name="Normal 5 3 7 2" xfId="6840"/>
    <cellStyle name="Normal 5 4" xfId="68"/>
    <cellStyle name="Normal 5 4 2" xfId="3766"/>
    <cellStyle name="Normal 5 4 2 2" xfId="4214"/>
    <cellStyle name="Normal 5 4 2 2 2" xfId="4974"/>
    <cellStyle name="Normal 5 4 2 2 2 2" xfId="5547"/>
    <cellStyle name="Normal 5 4 2 2 2 2 2" xfId="6844"/>
    <cellStyle name="Normal 5 4 2 2 2 3" xfId="5857"/>
    <cellStyle name="Normal 5 4 2 2 2 3 2" xfId="6845"/>
    <cellStyle name="Normal 5 4 2 2 2 4" xfId="6843"/>
    <cellStyle name="Normal 5 4 2 2 3" xfId="5546"/>
    <cellStyle name="Normal 5 4 2 2 3 2" xfId="6846"/>
    <cellStyle name="Normal 5 4 2 2 4" xfId="5856"/>
    <cellStyle name="Normal 5 4 2 2 4 2" xfId="6847"/>
    <cellStyle name="Normal 5 4 2 2 5" xfId="4973"/>
    <cellStyle name="Normal 5 4 2 2 5 2" xfId="6848"/>
    <cellStyle name="Normal 5 4 2 2 6" xfId="6842"/>
    <cellStyle name="Normal 5 4 2 3" xfId="4975"/>
    <cellStyle name="Normal 5 4 2 3 2" xfId="5548"/>
    <cellStyle name="Normal 5 4 2 3 2 2" xfId="6850"/>
    <cellStyle name="Normal 5 4 2 3 3" xfId="5858"/>
    <cellStyle name="Normal 5 4 2 3 3 2" xfId="6851"/>
    <cellStyle name="Normal 5 4 2 3 4" xfId="6849"/>
    <cellStyle name="Normal 5 4 2 4" xfId="5545"/>
    <cellStyle name="Normal 5 4 2 4 2" xfId="6852"/>
    <cellStyle name="Normal 5 4 2 5" xfId="5855"/>
    <cellStyle name="Normal 5 4 2 5 2" xfId="6853"/>
    <cellStyle name="Normal 5 4 2 6" xfId="4972"/>
    <cellStyle name="Normal 5 4 2 6 2" xfId="6854"/>
    <cellStyle name="Normal 5 4 2 7" xfId="6841"/>
    <cellStyle name="Normal 5 4 3" xfId="1572"/>
    <cellStyle name="Normal 5 4 3 2" xfId="4193"/>
    <cellStyle name="Normal 5 4 3 2 2" xfId="5550"/>
    <cellStyle name="Normal 5 4 3 2 2 2" xfId="6857"/>
    <cellStyle name="Normal 5 4 3 2 3" xfId="5860"/>
    <cellStyle name="Normal 5 4 3 2 3 2" xfId="6858"/>
    <cellStyle name="Normal 5 4 3 2 4" xfId="4977"/>
    <cellStyle name="Normal 5 4 3 2 4 2" xfId="6859"/>
    <cellStyle name="Normal 5 4 3 2 5" xfId="6856"/>
    <cellStyle name="Normal 5 4 3 3" xfId="5549"/>
    <cellStyle name="Normal 5 4 3 3 2" xfId="6860"/>
    <cellStyle name="Normal 5 4 3 4" xfId="5859"/>
    <cellStyle name="Normal 5 4 3 4 2" xfId="6861"/>
    <cellStyle name="Normal 5 4 3 5" xfId="4976"/>
    <cellStyle name="Normal 5 4 3 5 2" xfId="6862"/>
    <cellStyle name="Normal 5 4 3 6" xfId="6855"/>
    <cellStyle name="Normal 5 4 4" xfId="3915"/>
    <cellStyle name="Normal 5 4 4 2" xfId="5551"/>
    <cellStyle name="Normal 5 4 4 2 2" xfId="6863"/>
    <cellStyle name="Normal 5 4 4 3" xfId="5861"/>
    <cellStyle name="Normal 5 4 4 3 2" xfId="6864"/>
    <cellStyle name="Normal 5 4 4 4" xfId="4978"/>
    <cellStyle name="Normal 5 4 4 4 2" xfId="6865"/>
    <cellStyle name="Normal 5 4 5" xfId="1046"/>
    <cellStyle name="Normal 5 4 5 2" xfId="5544"/>
    <cellStyle name="Normal 5 4 5 2 2" xfId="6866"/>
    <cellStyle name="Normal 5 4 6" xfId="5854"/>
    <cellStyle name="Normal 5 4 6 2" xfId="6867"/>
    <cellStyle name="Normal 5 4 7" xfId="4971"/>
    <cellStyle name="Normal 5 4 7 2" xfId="6868"/>
    <cellStyle name="Normal 5 5" xfId="1053"/>
    <cellStyle name="Normal 5 5 2" xfId="3810"/>
    <cellStyle name="Normal 5 5 2 2" xfId="4217"/>
    <cellStyle name="Normal 5 5 2 2 2" xfId="4981"/>
    <cellStyle name="Normal 5 5 2 2 2 2" xfId="5554"/>
    <cellStyle name="Normal 5 5 2 2 2 2 2" xfId="6872"/>
    <cellStyle name="Normal 5 5 2 2 2 3" xfId="5864"/>
    <cellStyle name="Normal 5 5 2 2 2 3 2" xfId="6873"/>
    <cellStyle name="Normal 5 5 2 2 2 4" xfId="6871"/>
    <cellStyle name="Normal 5 5 2 2 3" xfId="5553"/>
    <cellStyle name="Normal 5 5 2 2 3 2" xfId="6874"/>
    <cellStyle name="Normal 5 5 2 2 4" xfId="5863"/>
    <cellStyle name="Normal 5 5 2 2 4 2" xfId="6875"/>
    <cellStyle name="Normal 5 5 2 2 5" xfId="4980"/>
    <cellStyle name="Normal 5 5 2 2 5 2" xfId="6876"/>
    <cellStyle name="Normal 5 5 2 2 6" xfId="6870"/>
    <cellStyle name="Normal 5 5 2 3" xfId="4982"/>
    <cellStyle name="Normal 5 5 2 3 2" xfId="5555"/>
    <cellStyle name="Normal 5 5 2 3 2 2" xfId="6878"/>
    <cellStyle name="Normal 5 5 2 3 3" xfId="5865"/>
    <cellStyle name="Normal 5 5 2 3 3 2" xfId="6879"/>
    <cellStyle name="Normal 5 5 2 3 4" xfId="6877"/>
    <cellStyle name="Normal 5 5 2 4" xfId="5552"/>
    <cellStyle name="Normal 5 5 2 4 2" xfId="6880"/>
    <cellStyle name="Normal 5 5 2 5" xfId="5862"/>
    <cellStyle name="Normal 5 5 2 5 2" xfId="6881"/>
    <cellStyle name="Normal 5 5 2 6" xfId="4979"/>
    <cellStyle name="Normal 5 5 2 6 2" xfId="6882"/>
    <cellStyle name="Normal 5 5 2 7" xfId="6869"/>
    <cellStyle name="Normal 5 5 3" xfId="1661"/>
    <cellStyle name="Normal 5 5 4" xfId="3923"/>
    <cellStyle name="Normal 5 6" xfId="1063"/>
    <cellStyle name="Normal 5 6 2" xfId="3815"/>
    <cellStyle name="Normal 5 6 2 2" xfId="4220"/>
    <cellStyle name="Normal 5 6 2 2 2" xfId="4985"/>
    <cellStyle name="Normal 5 6 2 2 2 2" xfId="5558"/>
    <cellStyle name="Normal 5 6 2 2 2 2 2" xfId="6886"/>
    <cellStyle name="Normal 5 6 2 2 2 3" xfId="5868"/>
    <cellStyle name="Normal 5 6 2 2 2 3 2" xfId="6887"/>
    <cellStyle name="Normal 5 6 2 2 2 4" xfId="6885"/>
    <cellStyle name="Normal 5 6 2 2 3" xfId="5557"/>
    <cellStyle name="Normal 5 6 2 2 3 2" xfId="6888"/>
    <cellStyle name="Normal 5 6 2 2 4" xfId="5867"/>
    <cellStyle name="Normal 5 6 2 2 4 2" xfId="6889"/>
    <cellStyle name="Normal 5 6 2 2 5" xfId="4984"/>
    <cellStyle name="Normal 5 6 2 2 5 2" xfId="6890"/>
    <cellStyle name="Normal 5 6 2 2 6" xfId="6884"/>
    <cellStyle name="Normal 5 6 2 3" xfId="4986"/>
    <cellStyle name="Normal 5 6 2 3 2" xfId="5559"/>
    <cellStyle name="Normal 5 6 2 3 2 2" xfId="6892"/>
    <cellStyle name="Normal 5 6 2 3 3" xfId="5869"/>
    <cellStyle name="Normal 5 6 2 3 3 2" xfId="6893"/>
    <cellStyle name="Normal 5 6 2 3 4" xfId="6891"/>
    <cellStyle name="Normal 5 6 2 4" xfId="5556"/>
    <cellStyle name="Normal 5 6 2 4 2" xfId="6894"/>
    <cellStyle name="Normal 5 6 2 5" xfId="5866"/>
    <cellStyle name="Normal 5 6 2 5 2" xfId="6895"/>
    <cellStyle name="Normal 5 6 2 6" xfId="4983"/>
    <cellStyle name="Normal 5 6 2 6 2" xfId="6896"/>
    <cellStyle name="Normal 5 6 2 7" xfId="6883"/>
    <cellStyle name="Normal 5 6 3" xfId="3629"/>
    <cellStyle name="Normal 5 6 4" xfId="3933"/>
    <cellStyle name="Normal 5 7" xfId="1073"/>
    <cellStyle name="Normal 5 7 2" xfId="3631"/>
    <cellStyle name="Normal 5 7 3" xfId="3943"/>
    <cellStyle name="Normal 5 8" xfId="1083"/>
    <cellStyle name="Normal 5 8 2" xfId="3674"/>
    <cellStyle name="Normal 5 8 2 2" xfId="4205"/>
    <cellStyle name="Normal 5 8 2 2 2" xfId="5562"/>
    <cellStyle name="Normal 5 8 2 2 2 2" xfId="6899"/>
    <cellStyle name="Normal 5 8 2 2 3" xfId="5872"/>
    <cellStyle name="Normal 5 8 2 2 3 2" xfId="6900"/>
    <cellStyle name="Normal 5 8 2 2 4" xfId="4989"/>
    <cellStyle name="Normal 5 8 2 2 4 2" xfId="6901"/>
    <cellStyle name="Normal 5 8 2 2 5" xfId="6898"/>
    <cellStyle name="Normal 5 8 2 3" xfId="5561"/>
    <cellStyle name="Normal 5 8 2 3 2" xfId="6902"/>
    <cellStyle name="Normal 5 8 2 4" xfId="5871"/>
    <cellStyle name="Normal 5 8 2 4 2" xfId="6903"/>
    <cellStyle name="Normal 5 8 2 5" xfId="4988"/>
    <cellStyle name="Normal 5 8 2 5 2" xfId="6904"/>
    <cellStyle name="Normal 5 8 2 6" xfId="6897"/>
    <cellStyle name="Normal 5 8 3" xfId="3953"/>
    <cellStyle name="Normal 5 8 3 2" xfId="5563"/>
    <cellStyle name="Normal 5 8 3 2 2" xfId="6905"/>
    <cellStyle name="Normal 5 8 3 3" xfId="5873"/>
    <cellStyle name="Normal 5 8 3 3 2" xfId="6906"/>
    <cellStyle name="Normal 5 8 3 4" xfId="4990"/>
    <cellStyle name="Normal 5 8 3 4 2" xfId="6907"/>
    <cellStyle name="Normal 5 8 4" xfId="5560"/>
    <cellStyle name="Normal 5 8 4 2" xfId="6908"/>
    <cellStyle name="Normal 5 8 5" xfId="5870"/>
    <cellStyle name="Normal 5 8 5 2" xfId="6909"/>
    <cellStyle name="Normal 5 8 6" xfId="4987"/>
    <cellStyle name="Normal 5 8 6 2" xfId="6910"/>
    <cellStyle name="Normal 5 9" xfId="1093"/>
    <cellStyle name="Normal 5 9 2" xfId="3963"/>
    <cellStyle name="Normal 5 9 3" xfId="4991"/>
    <cellStyle name="Normal 5 9 3 2" xfId="5564"/>
    <cellStyle name="Normal 5 9 3 2 2" xfId="6912"/>
    <cellStyle name="Normal 5 9 3 3" xfId="5874"/>
    <cellStyle name="Normal 5 9 3 3 2" xfId="6913"/>
    <cellStyle name="Normal 5 9 3 4" xfId="6911"/>
    <cellStyle name="Normal 6" xfId="31"/>
    <cellStyle name="Normal 6 10" xfId="1120"/>
    <cellStyle name="Normal 6 10 2" xfId="3990"/>
    <cellStyle name="Normal 6 11" xfId="1130"/>
    <cellStyle name="Normal 6 11 2" xfId="4000"/>
    <cellStyle name="Normal 6 12" xfId="1140"/>
    <cellStyle name="Normal 6 12 2" xfId="4010"/>
    <cellStyle name="Normal 6 13" xfId="1150"/>
    <cellStyle name="Normal 6 13 2" xfId="4020"/>
    <cellStyle name="Normal 6 14" xfId="1158"/>
    <cellStyle name="Normal 6 14 2" xfId="4028"/>
    <cellStyle name="Normal 6 15" xfId="1170"/>
    <cellStyle name="Normal 6 15 2" xfId="4040"/>
    <cellStyle name="Normal 6 16" xfId="1180"/>
    <cellStyle name="Normal 6 16 2" xfId="4050"/>
    <cellStyle name="Normal 6 17" xfId="1190"/>
    <cellStyle name="Normal 6 17 2" xfId="4060"/>
    <cellStyle name="Normal 6 18" xfId="1200"/>
    <cellStyle name="Normal 6 18 2" xfId="4070"/>
    <cellStyle name="Normal 6 19" xfId="1210"/>
    <cellStyle name="Normal 6 19 2" xfId="4080"/>
    <cellStyle name="Normal 6 2" xfId="64"/>
    <cellStyle name="Normal 6 2 2" xfId="3905"/>
    <cellStyle name="Normal 6 2 3" xfId="4992"/>
    <cellStyle name="Normal 6 20" xfId="1220"/>
    <cellStyle name="Normal 6 20 2" xfId="4090"/>
    <cellStyle name="Normal 6 21" xfId="1230"/>
    <cellStyle name="Normal 6 21 2" xfId="4100"/>
    <cellStyle name="Normal 6 22" xfId="1240"/>
    <cellStyle name="Normal 6 22 2" xfId="4110"/>
    <cellStyle name="Normal 6 23" xfId="1250"/>
    <cellStyle name="Normal 6 23 2" xfId="4120"/>
    <cellStyle name="Normal 6 24" xfId="1260"/>
    <cellStyle name="Normal 6 24 2" xfId="4130"/>
    <cellStyle name="Normal 6 25" xfId="1268"/>
    <cellStyle name="Normal 6 25 2" xfId="4138"/>
    <cellStyle name="Normal 6 3" xfId="1050"/>
    <cellStyle name="Normal 6 3 2" xfId="3920"/>
    <cellStyle name="Normal 6 3 3" xfId="4993"/>
    <cellStyle name="Normal 6 4" xfId="1060"/>
    <cellStyle name="Normal 6 4 2" xfId="3930"/>
    <cellStyle name="Normal 6 5" xfId="1070"/>
    <cellStyle name="Normal 6 5 2" xfId="3940"/>
    <cellStyle name="Normal 6 6" xfId="1080"/>
    <cellStyle name="Normal 6 6 2" xfId="3950"/>
    <cellStyle name="Normal 6 7" xfId="1090"/>
    <cellStyle name="Normal 6 7 2" xfId="3960"/>
    <cellStyle name="Normal 6 8" xfId="1100"/>
    <cellStyle name="Normal 6 8 2" xfId="3970"/>
    <cellStyle name="Normal 6 9" xfId="1110"/>
    <cellStyle name="Normal 6 9 2" xfId="3980"/>
    <cellStyle name="Normal 7" xfId="65"/>
    <cellStyle name="Normal 7 10" xfId="1117"/>
    <cellStyle name="Normal 7 10 2" xfId="3987"/>
    <cellStyle name="Normal 7 10 2 2" xfId="5566"/>
    <cellStyle name="Normal 7 10 2 2 2" xfId="6915"/>
    <cellStyle name="Normal 7 10 3" xfId="5876"/>
    <cellStyle name="Normal 7 10 3 2" xfId="6916"/>
    <cellStyle name="Normal 7 10 4" xfId="4995"/>
    <cellStyle name="Normal 7 10 4 2" xfId="6917"/>
    <cellStyle name="Normal 7 11" xfId="1127"/>
    <cellStyle name="Normal 7 11 2" xfId="3997"/>
    <cellStyle name="Normal 7 11 3" xfId="5565"/>
    <cellStyle name="Normal 7 11 3 2" xfId="6918"/>
    <cellStyle name="Normal 7 12" xfId="1137"/>
    <cellStyle name="Normal 7 12 2" xfId="4007"/>
    <cellStyle name="Normal 7 12 3" xfId="5875"/>
    <cellStyle name="Normal 7 12 3 2" xfId="6919"/>
    <cellStyle name="Normal 7 13" xfId="1147"/>
    <cellStyle name="Normal 7 13 2" xfId="4017"/>
    <cellStyle name="Normal 7 14" xfId="1162"/>
    <cellStyle name="Normal 7 14 2" xfId="4032"/>
    <cellStyle name="Normal 7 15" xfId="1167"/>
    <cellStyle name="Normal 7 15 2" xfId="4037"/>
    <cellStyle name="Normal 7 16" xfId="1177"/>
    <cellStyle name="Normal 7 16 2" xfId="4047"/>
    <cellStyle name="Normal 7 17" xfId="1187"/>
    <cellStyle name="Normal 7 17 2" xfId="4057"/>
    <cellStyle name="Normal 7 18" xfId="1197"/>
    <cellStyle name="Normal 7 18 2" xfId="4067"/>
    <cellStyle name="Normal 7 19" xfId="1207"/>
    <cellStyle name="Normal 7 19 2" xfId="4077"/>
    <cellStyle name="Normal 7 2" xfId="1040"/>
    <cellStyle name="Normal 7 2 2" xfId="3719"/>
    <cellStyle name="Normal 7 2 2 2" xfId="4209"/>
    <cellStyle name="Normal 7 2 2 2 2" xfId="4999"/>
    <cellStyle name="Normal 7 2 2 2 2 2" xfId="5570"/>
    <cellStyle name="Normal 7 2 2 2 2 2 2" xfId="6923"/>
    <cellStyle name="Normal 7 2 2 2 2 3" xfId="5880"/>
    <cellStyle name="Normal 7 2 2 2 2 3 2" xfId="6924"/>
    <cellStyle name="Normal 7 2 2 2 2 4" xfId="6922"/>
    <cellStyle name="Normal 7 2 2 2 3" xfId="5569"/>
    <cellStyle name="Normal 7 2 2 2 3 2" xfId="6925"/>
    <cellStyle name="Normal 7 2 2 2 4" xfId="5879"/>
    <cellStyle name="Normal 7 2 2 2 4 2" xfId="6926"/>
    <cellStyle name="Normal 7 2 2 2 5" xfId="4998"/>
    <cellStyle name="Normal 7 2 2 2 5 2" xfId="6927"/>
    <cellStyle name="Normal 7 2 2 2 6" xfId="6921"/>
    <cellStyle name="Normal 7 2 2 3" xfId="5000"/>
    <cellStyle name="Normal 7 2 2 3 2" xfId="5571"/>
    <cellStyle name="Normal 7 2 2 3 2 2" xfId="6929"/>
    <cellStyle name="Normal 7 2 2 3 3" xfId="5881"/>
    <cellStyle name="Normal 7 2 2 3 3 2" xfId="6930"/>
    <cellStyle name="Normal 7 2 2 3 4" xfId="6928"/>
    <cellStyle name="Normal 7 2 2 4" xfId="5568"/>
    <cellStyle name="Normal 7 2 2 4 2" xfId="6931"/>
    <cellStyle name="Normal 7 2 2 5" xfId="5878"/>
    <cellStyle name="Normal 7 2 2 5 2" xfId="6932"/>
    <cellStyle name="Normal 7 2 2 6" xfId="4997"/>
    <cellStyle name="Normal 7 2 2 6 2" xfId="6933"/>
    <cellStyle name="Normal 7 2 2 7" xfId="6920"/>
    <cellStyle name="Normal 7 2 3" xfId="1444"/>
    <cellStyle name="Normal 7 2 3 2" xfId="4186"/>
    <cellStyle name="Normal 7 2 3 2 2" xfId="5573"/>
    <cellStyle name="Normal 7 2 3 2 2 2" xfId="6936"/>
    <cellStyle name="Normal 7 2 3 2 3" xfId="5883"/>
    <cellStyle name="Normal 7 2 3 2 3 2" xfId="6937"/>
    <cellStyle name="Normal 7 2 3 2 4" xfId="5002"/>
    <cellStyle name="Normal 7 2 3 2 4 2" xfId="6938"/>
    <cellStyle name="Normal 7 2 3 2 5" xfId="6935"/>
    <cellStyle name="Normal 7 2 3 3" xfId="5572"/>
    <cellStyle name="Normal 7 2 3 3 2" xfId="6939"/>
    <cellStyle name="Normal 7 2 3 4" xfId="5882"/>
    <cellStyle name="Normal 7 2 3 4 2" xfId="6940"/>
    <cellStyle name="Normal 7 2 3 5" xfId="5001"/>
    <cellStyle name="Normal 7 2 3 5 2" xfId="6941"/>
    <cellStyle name="Normal 7 2 3 6" xfId="6934"/>
    <cellStyle name="Normal 7 2 4" xfId="3907"/>
    <cellStyle name="Normal 7 2 4 2" xfId="5574"/>
    <cellStyle name="Normal 7 2 4 2 2" xfId="6942"/>
    <cellStyle name="Normal 7 2 4 3" xfId="5884"/>
    <cellStyle name="Normal 7 2 4 3 2" xfId="6943"/>
    <cellStyle name="Normal 7 2 4 4" xfId="5003"/>
    <cellStyle name="Normal 7 2 4 4 2" xfId="6944"/>
    <cellStyle name="Normal 7 2 5" xfId="5567"/>
    <cellStyle name="Normal 7 2 5 2" xfId="6945"/>
    <cellStyle name="Normal 7 2 6" xfId="5877"/>
    <cellStyle name="Normal 7 2 6 2" xfId="6946"/>
    <cellStyle name="Normal 7 2 7" xfId="4996"/>
    <cellStyle name="Normal 7 2 7 2" xfId="6947"/>
    <cellStyle name="Normal 7 20" xfId="1217"/>
    <cellStyle name="Normal 7 20 2" xfId="4087"/>
    <cellStyle name="Normal 7 21" xfId="1227"/>
    <cellStyle name="Normal 7 21 2" xfId="4097"/>
    <cellStyle name="Normal 7 22" xfId="1237"/>
    <cellStyle name="Normal 7 22 2" xfId="4107"/>
    <cellStyle name="Normal 7 23" xfId="1247"/>
    <cellStyle name="Normal 7 23 2" xfId="4117"/>
    <cellStyle name="Normal 7 24" xfId="1257"/>
    <cellStyle name="Normal 7 24 2" xfId="4127"/>
    <cellStyle name="Normal 7 25" xfId="1266"/>
    <cellStyle name="Normal 7 25 2" xfId="4136"/>
    <cellStyle name="Normal 7 26" xfId="907"/>
    <cellStyle name="Normal 7 27" xfId="4994"/>
    <cellStyle name="Normal 7 27 2" xfId="6948"/>
    <cellStyle name="Normal 7 28" xfId="6914"/>
    <cellStyle name="Normal 7 3" xfId="1052"/>
    <cellStyle name="Normal 7 3 2" xfId="3763"/>
    <cellStyle name="Normal 7 3 2 2" xfId="4212"/>
    <cellStyle name="Normal 7 3 2 2 2" xfId="5007"/>
    <cellStyle name="Normal 7 3 2 2 2 2" xfId="5578"/>
    <cellStyle name="Normal 7 3 2 2 2 2 2" xfId="6952"/>
    <cellStyle name="Normal 7 3 2 2 2 3" xfId="5888"/>
    <cellStyle name="Normal 7 3 2 2 2 3 2" xfId="6953"/>
    <cellStyle name="Normal 7 3 2 2 2 4" xfId="6951"/>
    <cellStyle name="Normal 7 3 2 2 3" xfId="5577"/>
    <cellStyle name="Normal 7 3 2 2 3 2" xfId="6954"/>
    <cellStyle name="Normal 7 3 2 2 4" xfId="5887"/>
    <cellStyle name="Normal 7 3 2 2 4 2" xfId="6955"/>
    <cellStyle name="Normal 7 3 2 2 5" xfId="5006"/>
    <cellStyle name="Normal 7 3 2 2 5 2" xfId="6956"/>
    <cellStyle name="Normal 7 3 2 2 6" xfId="6950"/>
    <cellStyle name="Normal 7 3 2 3" xfId="5008"/>
    <cellStyle name="Normal 7 3 2 3 2" xfId="5579"/>
    <cellStyle name="Normal 7 3 2 3 2 2" xfId="6958"/>
    <cellStyle name="Normal 7 3 2 3 3" xfId="5889"/>
    <cellStyle name="Normal 7 3 2 3 3 2" xfId="6959"/>
    <cellStyle name="Normal 7 3 2 3 4" xfId="6957"/>
    <cellStyle name="Normal 7 3 2 4" xfId="5576"/>
    <cellStyle name="Normal 7 3 2 4 2" xfId="6960"/>
    <cellStyle name="Normal 7 3 2 5" xfId="5886"/>
    <cellStyle name="Normal 7 3 2 5 2" xfId="6961"/>
    <cellStyle name="Normal 7 3 2 6" xfId="5005"/>
    <cellStyle name="Normal 7 3 2 6 2" xfId="6962"/>
    <cellStyle name="Normal 7 3 2 7" xfId="6949"/>
    <cellStyle name="Normal 7 3 3" xfId="1537"/>
    <cellStyle name="Normal 7 3 3 2" xfId="4190"/>
    <cellStyle name="Normal 7 3 3 2 2" xfId="5581"/>
    <cellStyle name="Normal 7 3 3 2 2 2" xfId="6965"/>
    <cellStyle name="Normal 7 3 3 2 3" xfId="5891"/>
    <cellStyle name="Normal 7 3 3 2 3 2" xfId="6966"/>
    <cellStyle name="Normal 7 3 3 2 4" xfId="5010"/>
    <cellStyle name="Normal 7 3 3 2 4 2" xfId="6967"/>
    <cellStyle name="Normal 7 3 3 2 5" xfId="6964"/>
    <cellStyle name="Normal 7 3 3 3" xfId="5580"/>
    <cellStyle name="Normal 7 3 3 3 2" xfId="6968"/>
    <cellStyle name="Normal 7 3 3 4" xfId="5890"/>
    <cellStyle name="Normal 7 3 3 4 2" xfId="6969"/>
    <cellStyle name="Normal 7 3 3 5" xfId="5009"/>
    <cellStyle name="Normal 7 3 3 5 2" xfId="6970"/>
    <cellStyle name="Normal 7 3 3 6" xfId="6963"/>
    <cellStyle name="Normal 7 3 4" xfId="3922"/>
    <cellStyle name="Normal 7 3 4 2" xfId="5582"/>
    <cellStyle name="Normal 7 3 4 2 2" xfId="6971"/>
    <cellStyle name="Normal 7 3 4 3" xfId="5892"/>
    <cellStyle name="Normal 7 3 4 3 2" xfId="6972"/>
    <cellStyle name="Normal 7 3 4 4" xfId="5011"/>
    <cellStyle name="Normal 7 3 4 4 2" xfId="6973"/>
    <cellStyle name="Normal 7 3 5" xfId="5575"/>
    <cellStyle name="Normal 7 3 5 2" xfId="6974"/>
    <cellStyle name="Normal 7 3 6" xfId="5885"/>
    <cellStyle name="Normal 7 3 6 2" xfId="6975"/>
    <cellStyle name="Normal 7 3 7" xfId="5004"/>
    <cellStyle name="Normal 7 3 7 2" xfId="6976"/>
    <cellStyle name="Normal 7 4" xfId="1057"/>
    <cellStyle name="Normal 7 4 2" xfId="3767"/>
    <cellStyle name="Normal 7 4 2 2" xfId="4215"/>
    <cellStyle name="Normal 7 4 2 2 2" xfId="5015"/>
    <cellStyle name="Normal 7 4 2 2 2 2" xfId="5586"/>
    <cellStyle name="Normal 7 4 2 2 2 2 2" xfId="6980"/>
    <cellStyle name="Normal 7 4 2 2 2 3" xfId="5896"/>
    <cellStyle name="Normal 7 4 2 2 2 3 2" xfId="6981"/>
    <cellStyle name="Normal 7 4 2 2 2 4" xfId="6979"/>
    <cellStyle name="Normal 7 4 2 2 3" xfId="5585"/>
    <cellStyle name="Normal 7 4 2 2 3 2" xfId="6982"/>
    <cellStyle name="Normal 7 4 2 2 4" xfId="5895"/>
    <cellStyle name="Normal 7 4 2 2 4 2" xfId="6983"/>
    <cellStyle name="Normal 7 4 2 2 5" xfId="5014"/>
    <cellStyle name="Normal 7 4 2 2 5 2" xfId="6984"/>
    <cellStyle name="Normal 7 4 2 2 6" xfId="6978"/>
    <cellStyle name="Normal 7 4 2 3" xfId="5016"/>
    <cellStyle name="Normal 7 4 2 3 2" xfId="5587"/>
    <cellStyle name="Normal 7 4 2 3 2 2" xfId="6986"/>
    <cellStyle name="Normal 7 4 2 3 3" xfId="5897"/>
    <cellStyle name="Normal 7 4 2 3 3 2" xfId="6987"/>
    <cellStyle name="Normal 7 4 2 3 4" xfId="6985"/>
    <cellStyle name="Normal 7 4 2 4" xfId="5584"/>
    <cellStyle name="Normal 7 4 2 4 2" xfId="6988"/>
    <cellStyle name="Normal 7 4 2 5" xfId="5894"/>
    <cellStyle name="Normal 7 4 2 5 2" xfId="6989"/>
    <cellStyle name="Normal 7 4 2 6" xfId="5013"/>
    <cellStyle name="Normal 7 4 2 6 2" xfId="6990"/>
    <cellStyle name="Normal 7 4 2 7" xfId="6977"/>
    <cellStyle name="Normal 7 4 3" xfId="1573"/>
    <cellStyle name="Normal 7 4 3 2" xfId="4194"/>
    <cellStyle name="Normal 7 4 3 2 2" xfId="5589"/>
    <cellStyle name="Normal 7 4 3 2 2 2" xfId="6993"/>
    <cellStyle name="Normal 7 4 3 2 3" xfId="5899"/>
    <cellStyle name="Normal 7 4 3 2 3 2" xfId="6994"/>
    <cellStyle name="Normal 7 4 3 2 4" xfId="5018"/>
    <cellStyle name="Normal 7 4 3 2 4 2" xfId="6995"/>
    <cellStyle name="Normal 7 4 3 2 5" xfId="6992"/>
    <cellStyle name="Normal 7 4 3 3" xfId="5588"/>
    <cellStyle name="Normal 7 4 3 3 2" xfId="6996"/>
    <cellStyle name="Normal 7 4 3 4" xfId="5898"/>
    <cellStyle name="Normal 7 4 3 4 2" xfId="6997"/>
    <cellStyle name="Normal 7 4 3 5" xfId="5017"/>
    <cellStyle name="Normal 7 4 3 5 2" xfId="6998"/>
    <cellStyle name="Normal 7 4 3 6" xfId="6991"/>
    <cellStyle name="Normal 7 4 4" xfId="3927"/>
    <cellStyle name="Normal 7 4 4 2" xfId="5590"/>
    <cellStyle name="Normal 7 4 4 2 2" xfId="6999"/>
    <cellStyle name="Normal 7 4 4 3" xfId="5900"/>
    <cellStyle name="Normal 7 4 4 3 2" xfId="7000"/>
    <cellStyle name="Normal 7 4 4 4" xfId="5019"/>
    <cellStyle name="Normal 7 4 4 4 2" xfId="7001"/>
    <cellStyle name="Normal 7 4 5" xfId="5583"/>
    <cellStyle name="Normal 7 4 5 2" xfId="7002"/>
    <cellStyle name="Normal 7 4 6" xfId="5893"/>
    <cellStyle name="Normal 7 4 6 2" xfId="7003"/>
    <cellStyle name="Normal 7 4 7" xfId="5012"/>
    <cellStyle name="Normal 7 4 7 2" xfId="7004"/>
    <cellStyle name="Normal 7 5" xfId="1067"/>
    <cellStyle name="Normal 7 5 2" xfId="3811"/>
    <cellStyle name="Normal 7 5 2 2" xfId="4218"/>
    <cellStyle name="Normal 7 5 2 2 2" xfId="5023"/>
    <cellStyle name="Normal 7 5 2 2 2 2" xfId="5594"/>
    <cellStyle name="Normal 7 5 2 2 2 2 2" xfId="7008"/>
    <cellStyle name="Normal 7 5 2 2 2 3" xfId="5904"/>
    <cellStyle name="Normal 7 5 2 2 2 3 2" xfId="7009"/>
    <cellStyle name="Normal 7 5 2 2 2 4" xfId="7007"/>
    <cellStyle name="Normal 7 5 2 2 3" xfId="5593"/>
    <cellStyle name="Normal 7 5 2 2 3 2" xfId="7010"/>
    <cellStyle name="Normal 7 5 2 2 4" xfId="5903"/>
    <cellStyle name="Normal 7 5 2 2 4 2" xfId="7011"/>
    <cellStyle name="Normal 7 5 2 2 5" xfId="5022"/>
    <cellStyle name="Normal 7 5 2 2 5 2" xfId="7012"/>
    <cellStyle name="Normal 7 5 2 2 6" xfId="7006"/>
    <cellStyle name="Normal 7 5 2 3" xfId="5024"/>
    <cellStyle name="Normal 7 5 2 3 2" xfId="5595"/>
    <cellStyle name="Normal 7 5 2 3 2 2" xfId="7014"/>
    <cellStyle name="Normal 7 5 2 3 3" xfId="5905"/>
    <cellStyle name="Normal 7 5 2 3 3 2" xfId="7015"/>
    <cellStyle name="Normal 7 5 2 3 4" xfId="7013"/>
    <cellStyle name="Normal 7 5 2 4" xfId="5592"/>
    <cellStyle name="Normal 7 5 2 4 2" xfId="7016"/>
    <cellStyle name="Normal 7 5 2 5" xfId="5902"/>
    <cellStyle name="Normal 7 5 2 5 2" xfId="7017"/>
    <cellStyle name="Normal 7 5 2 6" xfId="5021"/>
    <cellStyle name="Normal 7 5 2 6 2" xfId="7018"/>
    <cellStyle name="Normal 7 5 2 7" xfId="7005"/>
    <cellStyle name="Normal 7 5 3" xfId="1574"/>
    <cellStyle name="Normal 7 5 3 2" xfId="4195"/>
    <cellStyle name="Normal 7 5 3 2 2" xfId="5597"/>
    <cellStyle name="Normal 7 5 3 2 2 2" xfId="7021"/>
    <cellStyle name="Normal 7 5 3 2 3" xfId="5907"/>
    <cellStyle name="Normal 7 5 3 2 3 2" xfId="7022"/>
    <cellStyle name="Normal 7 5 3 2 4" xfId="5026"/>
    <cellStyle name="Normal 7 5 3 2 4 2" xfId="7023"/>
    <cellStyle name="Normal 7 5 3 2 5" xfId="7020"/>
    <cellStyle name="Normal 7 5 3 3" xfId="5596"/>
    <cellStyle name="Normal 7 5 3 3 2" xfId="7024"/>
    <cellStyle name="Normal 7 5 3 4" xfId="5906"/>
    <cellStyle name="Normal 7 5 3 4 2" xfId="7025"/>
    <cellStyle name="Normal 7 5 3 5" xfId="5025"/>
    <cellStyle name="Normal 7 5 3 5 2" xfId="7026"/>
    <cellStyle name="Normal 7 5 3 6" xfId="7019"/>
    <cellStyle name="Normal 7 5 4" xfId="3937"/>
    <cellStyle name="Normal 7 5 4 2" xfId="5598"/>
    <cellStyle name="Normal 7 5 4 2 2" xfId="7027"/>
    <cellStyle name="Normal 7 5 4 3" xfId="5908"/>
    <cellStyle name="Normal 7 5 4 3 2" xfId="7028"/>
    <cellStyle name="Normal 7 5 4 4" xfId="5027"/>
    <cellStyle name="Normal 7 5 4 4 2" xfId="7029"/>
    <cellStyle name="Normal 7 5 5" xfId="5591"/>
    <cellStyle name="Normal 7 5 5 2" xfId="7030"/>
    <cellStyle name="Normal 7 5 6" xfId="5901"/>
    <cellStyle name="Normal 7 5 6 2" xfId="7031"/>
    <cellStyle name="Normal 7 5 7" xfId="5020"/>
    <cellStyle name="Normal 7 5 7 2" xfId="7032"/>
    <cellStyle name="Normal 7 6" xfId="1077"/>
    <cellStyle name="Normal 7 6 2" xfId="3816"/>
    <cellStyle name="Normal 7 6 2 2" xfId="4221"/>
    <cellStyle name="Normal 7 6 2 2 2" xfId="5031"/>
    <cellStyle name="Normal 7 6 2 2 2 2" xfId="5602"/>
    <cellStyle name="Normal 7 6 2 2 2 2 2" xfId="7036"/>
    <cellStyle name="Normal 7 6 2 2 2 3" xfId="5912"/>
    <cellStyle name="Normal 7 6 2 2 2 3 2" xfId="7037"/>
    <cellStyle name="Normal 7 6 2 2 2 4" xfId="7035"/>
    <cellStyle name="Normal 7 6 2 2 3" xfId="5601"/>
    <cellStyle name="Normal 7 6 2 2 3 2" xfId="7038"/>
    <cellStyle name="Normal 7 6 2 2 4" xfId="5911"/>
    <cellStyle name="Normal 7 6 2 2 4 2" xfId="7039"/>
    <cellStyle name="Normal 7 6 2 2 5" xfId="5030"/>
    <cellStyle name="Normal 7 6 2 2 5 2" xfId="7040"/>
    <cellStyle name="Normal 7 6 2 2 6" xfId="7034"/>
    <cellStyle name="Normal 7 6 2 3" xfId="5032"/>
    <cellStyle name="Normal 7 6 2 3 2" xfId="5603"/>
    <cellStyle name="Normal 7 6 2 3 2 2" xfId="7042"/>
    <cellStyle name="Normal 7 6 2 3 3" xfId="5913"/>
    <cellStyle name="Normal 7 6 2 3 3 2" xfId="7043"/>
    <cellStyle name="Normal 7 6 2 3 4" xfId="7041"/>
    <cellStyle name="Normal 7 6 2 4" xfId="5600"/>
    <cellStyle name="Normal 7 6 2 4 2" xfId="7044"/>
    <cellStyle name="Normal 7 6 2 5" xfId="5910"/>
    <cellStyle name="Normal 7 6 2 5 2" xfId="7045"/>
    <cellStyle name="Normal 7 6 2 6" xfId="5029"/>
    <cellStyle name="Normal 7 6 2 6 2" xfId="7046"/>
    <cellStyle name="Normal 7 6 2 7" xfId="7033"/>
    <cellStyle name="Normal 7 6 3" xfId="3538"/>
    <cellStyle name="Normal 7 6 3 2" xfId="4200"/>
    <cellStyle name="Normal 7 6 3 2 2" xfId="5605"/>
    <cellStyle name="Normal 7 6 3 2 2 2" xfId="7049"/>
    <cellStyle name="Normal 7 6 3 2 3" xfId="5915"/>
    <cellStyle name="Normal 7 6 3 2 3 2" xfId="7050"/>
    <cellStyle name="Normal 7 6 3 2 4" xfId="5034"/>
    <cellStyle name="Normal 7 6 3 2 4 2" xfId="7051"/>
    <cellStyle name="Normal 7 6 3 2 5" xfId="7048"/>
    <cellStyle name="Normal 7 6 3 3" xfId="5604"/>
    <cellStyle name="Normal 7 6 3 3 2" xfId="7052"/>
    <cellStyle name="Normal 7 6 3 4" xfId="5914"/>
    <cellStyle name="Normal 7 6 3 4 2" xfId="7053"/>
    <cellStyle name="Normal 7 6 3 5" xfId="5033"/>
    <cellStyle name="Normal 7 6 3 5 2" xfId="7054"/>
    <cellStyle name="Normal 7 6 3 6" xfId="7047"/>
    <cellStyle name="Normal 7 6 4" xfId="3947"/>
    <cellStyle name="Normal 7 6 4 2" xfId="5606"/>
    <cellStyle name="Normal 7 6 4 2 2" xfId="7055"/>
    <cellStyle name="Normal 7 6 4 3" xfId="5916"/>
    <cellStyle name="Normal 7 6 4 3 2" xfId="7056"/>
    <cellStyle name="Normal 7 6 4 4" xfId="5035"/>
    <cellStyle name="Normal 7 6 4 4 2" xfId="7057"/>
    <cellStyle name="Normal 7 6 5" xfId="5599"/>
    <cellStyle name="Normal 7 6 5 2" xfId="7058"/>
    <cellStyle name="Normal 7 6 6" xfId="5909"/>
    <cellStyle name="Normal 7 6 6 2" xfId="7059"/>
    <cellStyle name="Normal 7 6 7" xfId="5028"/>
    <cellStyle name="Normal 7 6 7 2" xfId="7060"/>
    <cellStyle name="Normal 7 7" xfId="1087"/>
    <cellStyle name="Normal 7 7 2" xfId="3675"/>
    <cellStyle name="Normal 7 7 2 2" xfId="4206"/>
    <cellStyle name="Normal 7 7 2 2 2" xfId="5609"/>
    <cellStyle name="Normal 7 7 2 2 2 2" xfId="7063"/>
    <cellStyle name="Normal 7 7 2 2 3" xfId="5919"/>
    <cellStyle name="Normal 7 7 2 2 3 2" xfId="7064"/>
    <cellStyle name="Normal 7 7 2 2 4" xfId="5038"/>
    <cellStyle name="Normal 7 7 2 2 4 2" xfId="7065"/>
    <cellStyle name="Normal 7 7 2 2 5" xfId="7062"/>
    <cellStyle name="Normal 7 7 2 3" xfId="5608"/>
    <cellStyle name="Normal 7 7 2 3 2" xfId="7066"/>
    <cellStyle name="Normal 7 7 2 4" xfId="5918"/>
    <cellStyle name="Normal 7 7 2 4 2" xfId="7067"/>
    <cellStyle name="Normal 7 7 2 5" xfId="5037"/>
    <cellStyle name="Normal 7 7 2 5 2" xfId="7068"/>
    <cellStyle name="Normal 7 7 2 6" xfId="7061"/>
    <cellStyle name="Normal 7 7 3" xfId="3957"/>
    <cellStyle name="Normal 7 7 3 2" xfId="5610"/>
    <cellStyle name="Normal 7 7 3 2 2" xfId="7069"/>
    <cellStyle name="Normal 7 7 3 3" xfId="5920"/>
    <cellStyle name="Normal 7 7 3 3 2" xfId="7070"/>
    <cellStyle name="Normal 7 7 3 4" xfId="5039"/>
    <cellStyle name="Normal 7 7 3 4 2" xfId="7071"/>
    <cellStyle name="Normal 7 7 4" xfId="5607"/>
    <cellStyle name="Normal 7 7 4 2" xfId="7072"/>
    <cellStyle name="Normal 7 7 5" xfId="5917"/>
    <cellStyle name="Normal 7 7 5 2" xfId="7073"/>
    <cellStyle name="Normal 7 7 6" xfId="5036"/>
    <cellStyle name="Normal 7 7 6 2" xfId="7074"/>
    <cellStyle name="Normal 7 8" xfId="1097"/>
    <cellStyle name="Normal 7 8 2" xfId="3967"/>
    <cellStyle name="Normal 7 8 2 2" xfId="5612"/>
    <cellStyle name="Normal 7 8 2 2 2" xfId="7075"/>
    <cellStyle name="Normal 7 8 2 3" xfId="5922"/>
    <cellStyle name="Normal 7 8 2 3 2" xfId="7076"/>
    <cellStyle name="Normal 7 8 2 4" xfId="5041"/>
    <cellStyle name="Normal 7 8 2 4 2" xfId="7077"/>
    <cellStyle name="Normal 7 8 3" xfId="5042"/>
    <cellStyle name="Normal 7 8 3 2" xfId="5613"/>
    <cellStyle name="Normal 7 8 3 2 2" xfId="7079"/>
    <cellStyle name="Normal 7 8 3 3" xfId="5923"/>
    <cellStyle name="Normal 7 8 3 3 2" xfId="7080"/>
    <cellStyle name="Normal 7 8 3 4" xfId="7078"/>
    <cellStyle name="Normal 7 8 4" xfId="5611"/>
    <cellStyle name="Normal 7 8 4 2" xfId="7081"/>
    <cellStyle name="Normal 7 8 5" xfId="5921"/>
    <cellStyle name="Normal 7 8 5 2" xfId="7082"/>
    <cellStyle name="Normal 7 8 6" xfId="5040"/>
    <cellStyle name="Normal 7 8 6 2" xfId="7083"/>
    <cellStyle name="Normal 7 9" xfId="1107"/>
    <cellStyle name="Normal 7 9 2" xfId="3977"/>
    <cellStyle name="Normal 7 9 2 2" xfId="5614"/>
    <cellStyle name="Normal 7 9 2 2 2" xfId="7084"/>
    <cellStyle name="Normal 7 9 3" xfId="5924"/>
    <cellStyle name="Normal 7 9 3 2" xfId="7085"/>
    <cellStyle name="Normal 7 9 4" xfId="5043"/>
    <cellStyle name="Normal 7 9 4 2" xfId="7086"/>
    <cellStyle name="Normal 8" xfId="908"/>
    <cellStyle name="Normal 8 10" xfId="1124"/>
    <cellStyle name="Normal 8 10 2" xfId="3994"/>
    <cellStyle name="Normal 8 11" xfId="1134"/>
    <cellStyle name="Normal 8 11 2" xfId="4004"/>
    <cellStyle name="Normal 8 12" xfId="1144"/>
    <cellStyle name="Normal 8 12 2" xfId="4014"/>
    <cellStyle name="Normal 8 13" xfId="1154"/>
    <cellStyle name="Normal 8 13 2" xfId="4024"/>
    <cellStyle name="Normal 8 14" xfId="1164"/>
    <cellStyle name="Normal 8 14 2" xfId="4034"/>
    <cellStyle name="Normal 8 15" xfId="1174"/>
    <cellStyle name="Normal 8 15 2" xfId="4044"/>
    <cellStyle name="Normal 8 16" xfId="1184"/>
    <cellStyle name="Normal 8 16 2" xfId="4054"/>
    <cellStyle name="Normal 8 17" xfId="1194"/>
    <cellStyle name="Normal 8 17 2" xfId="4064"/>
    <cellStyle name="Normal 8 18" xfId="1204"/>
    <cellStyle name="Normal 8 18 2" xfId="4074"/>
    <cellStyle name="Normal 8 19" xfId="1214"/>
    <cellStyle name="Normal 8 19 2" xfId="4084"/>
    <cellStyle name="Normal 8 2" xfId="1042"/>
    <cellStyle name="Normal 8 2 2" xfId="1448"/>
    <cellStyle name="Normal 8 2 3" xfId="3909"/>
    <cellStyle name="Normal 8 20" xfId="1224"/>
    <cellStyle name="Normal 8 20 2" xfId="4094"/>
    <cellStyle name="Normal 8 21" xfId="1234"/>
    <cellStyle name="Normal 8 21 2" xfId="4104"/>
    <cellStyle name="Normal 8 22" xfId="1244"/>
    <cellStyle name="Normal 8 22 2" xfId="4114"/>
    <cellStyle name="Normal 8 23" xfId="1254"/>
    <cellStyle name="Normal 8 23 2" xfId="4124"/>
    <cellStyle name="Normal 8 24" xfId="1263"/>
    <cellStyle name="Normal 8 24 2" xfId="4133"/>
    <cellStyle name="Normal 8 25" xfId="1270"/>
    <cellStyle name="Normal 8 25 2" xfId="4140"/>
    <cellStyle name="Normal 8 3" xfId="1054"/>
    <cellStyle name="Normal 8 3 2" xfId="1575"/>
    <cellStyle name="Normal 8 3 3" xfId="3924"/>
    <cellStyle name="Normal 8 4" xfId="1064"/>
    <cellStyle name="Normal 8 4 2" xfId="3539"/>
    <cellStyle name="Normal 8 4 3" xfId="3934"/>
    <cellStyle name="Normal 8 5" xfId="1074"/>
    <cellStyle name="Normal 8 5 2" xfId="3944"/>
    <cellStyle name="Normal 8 5 3" xfId="5044"/>
    <cellStyle name="Normal 8 6" xfId="1084"/>
    <cellStyle name="Normal 8 6 2" xfId="3954"/>
    <cellStyle name="Normal 8 7" xfId="1094"/>
    <cellStyle name="Normal 8 7 2" xfId="3964"/>
    <cellStyle name="Normal 8 8" xfId="1104"/>
    <cellStyle name="Normal 8 8 2" xfId="3974"/>
    <cellStyle name="Normal 8 9" xfId="1114"/>
    <cellStyle name="Normal 8 9 2" xfId="3984"/>
    <cellStyle name="Normal 9" xfId="909"/>
    <cellStyle name="Normal 9 10" xfId="1126"/>
    <cellStyle name="Normal 9 10 2" xfId="3996"/>
    <cellStyle name="Normal 9 11" xfId="1136"/>
    <cellStyle name="Normal 9 11 2" xfId="4006"/>
    <cellStyle name="Normal 9 12" xfId="1146"/>
    <cellStyle name="Normal 9 12 2" xfId="4016"/>
    <cellStyle name="Normal 9 13" xfId="1155"/>
    <cellStyle name="Normal 9 13 2" xfId="4025"/>
    <cellStyle name="Normal 9 14" xfId="1166"/>
    <cellStyle name="Normal 9 14 2" xfId="4036"/>
    <cellStyle name="Normal 9 15" xfId="1176"/>
    <cellStyle name="Normal 9 15 2" xfId="4046"/>
    <cellStyle name="Normal 9 16" xfId="1186"/>
    <cellStyle name="Normal 9 16 2" xfId="4056"/>
    <cellStyle name="Normal 9 17" xfId="1196"/>
    <cellStyle name="Normal 9 17 2" xfId="4066"/>
    <cellStyle name="Normal 9 18" xfId="1206"/>
    <cellStyle name="Normal 9 18 2" xfId="4076"/>
    <cellStyle name="Normal 9 19" xfId="1216"/>
    <cellStyle name="Normal 9 19 2" xfId="4086"/>
    <cellStyle name="Normal 9 2" xfId="1043"/>
    <cellStyle name="Normal 9 2 2" xfId="1493"/>
    <cellStyle name="Normal 9 2 3" xfId="3911"/>
    <cellStyle name="Normal 9 20" xfId="1226"/>
    <cellStyle name="Normal 9 20 2" xfId="4096"/>
    <cellStyle name="Normal 9 21" xfId="1236"/>
    <cellStyle name="Normal 9 21 2" xfId="4106"/>
    <cellStyle name="Normal 9 22" xfId="1246"/>
    <cellStyle name="Normal 9 22 2" xfId="4116"/>
    <cellStyle name="Normal 9 23" xfId="1256"/>
    <cellStyle name="Normal 9 23 2" xfId="4126"/>
    <cellStyle name="Normal 9 24" xfId="1265"/>
    <cellStyle name="Normal 9 24 2" xfId="4135"/>
    <cellStyle name="Normal 9 25" xfId="1271"/>
    <cellStyle name="Normal 9 25 2" xfId="4141"/>
    <cellStyle name="Normal 9 3" xfId="1056"/>
    <cellStyle name="Normal 9 3 2" xfId="1618"/>
    <cellStyle name="Normal 9 3 3" xfId="3926"/>
    <cellStyle name="Normal 9 4" xfId="1066"/>
    <cellStyle name="Normal 9 4 2" xfId="3582"/>
    <cellStyle name="Normal 9 4 3" xfId="3936"/>
    <cellStyle name="Normal 9 5" xfId="1076"/>
    <cellStyle name="Normal 9 5 2" xfId="3946"/>
    <cellStyle name="Normal 9 5 3" xfId="5045"/>
    <cellStyle name="Normal 9 6" xfId="1086"/>
    <cellStyle name="Normal 9 6 2" xfId="3956"/>
    <cellStyle name="Normal 9 7" xfId="1096"/>
    <cellStyle name="Normal 9 7 2" xfId="3966"/>
    <cellStyle name="Normal 9 8" xfId="1106"/>
    <cellStyle name="Normal 9 8 2" xfId="3976"/>
    <cellStyle name="Normal 9 9" xfId="1116"/>
    <cellStyle name="Normal 9 9 2" xfId="3986"/>
    <cellStyle name="Normal_ELTD1200" xfId="13"/>
    <cellStyle name="Normal_GSUs" xfId="14"/>
    <cellStyle name="Normal_Schedule 10" xfId="15"/>
    <cellStyle name="Normal_Schedule 4 Workpaper page 2" xfId="16"/>
    <cellStyle name="Normal_Schedule 7" xfId="17"/>
    <cellStyle name="Note 10" xfId="785"/>
    <cellStyle name="Note 11" xfId="786"/>
    <cellStyle name="Note 12" xfId="910"/>
    <cellStyle name="Note 13" xfId="911"/>
    <cellStyle name="Note 13 2" xfId="3858"/>
    <cellStyle name="Note 13 2 2" xfId="7088"/>
    <cellStyle name="Note 13 3" xfId="7087"/>
    <cellStyle name="Note 14" xfId="995"/>
    <cellStyle name="Note 2" xfId="106"/>
    <cellStyle name="Note 2 10" xfId="3531"/>
    <cellStyle name="Note 2 2" xfId="168"/>
    <cellStyle name="Note 2 2 2" xfId="5047"/>
    <cellStyle name="Note 2 2 3" xfId="5046"/>
    <cellStyle name="Note 2 3" xfId="332"/>
    <cellStyle name="Note 2 3 2" xfId="1879"/>
    <cellStyle name="Note 2 3 2 2" xfId="5049"/>
    <cellStyle name="Note 2 3 2 3" xfId="5048"/>
    <cellStyle name="Note 2 3 3" xfId="2254"/>
    <cellStyle name="Note 2 3 3 2" xfId="5051"/>
    <cellStyle name="Note 2 3 3 3" xfId="5050"/>
    <cellStyle name="Note 2 3 4" xfId="2627"/>
    <cellStyle name="Note 2 3 4 2" xfId="5053"/>
    <cellStyle name="Note 2 3 4 3" xfId="5052"/>
    <cellStyle name="Note 2 3 5" xfId="3000"/>
    <cellStyle name="Note 2 3 5 2" xfId="5055"/>
    <cellStyle name="Note 2 3 5 3" xfId="5054"/>
    <cellStyle name="Note 2 3 6" xfId="3371"/>
    <cellStyle name="Note 2 3 6 2" xfId="5057"/>
    <cellStyle name="Note 2 3 6 3" xfId="5056"/>
    <cellStyle name="Note 2 3 7" xfId="1433"/>
    <cellStyle name="Note 2 4" xfId="1546"/>
    <cellStyle name="Note 2 4 2" xfId="1926"/>
    <cellStyle name="Note 2 4 2 2" xfId="5059"/>
    <cellStyle name="Note 2 4 2 3" xfId="5058"/>
    <cellStyle name="Note 2 4 3" xfId="2301"/>
    <cellStyle name="Note 2 4 3 2" xfId="5061"/>
    <cellStyle name="Note 2 4 3 3" xfId="5060"/>
    <cellStyle name="Note 2 4 4" xfId="2674"/>
    <cellStyle name="Note 2 4 4 2" xfId="5063"/>
    <cellStyle name="Note 2 4 4 3" xfId="5062"/>
    <cellStyle name="Note 2 4 5" xfId="3047"/>
    <cellStyle name="Note 2 4 5 2" xfId="5065"/>
    <cellStyle name="Note 2 4 5 3" xfId="5064"/>
    <cellStyle name="Note 2 4 6" xfId="3418"/>
    <cellStyle name="Note 2 4 6 2" xfId="5067"/>
    <cellStyle name="Note 2 4 6 3" xfId="5066"/>
    <cellStyle name="Note 2 5" xfId="1704"/>
    <cellStyle name="Note 2 6" xfId="2039"/>
    <cellStyle name="Note 2 7" xfId="2413"/>
    <cellStyle name="Note 2 8" xfId="2786"/>
    <cellStyle name="Note 2 9" xfId="3160"/>
    <cellStyle name="Note 3" xfId="209"/>
    <cellStyle name="Note 3 10" xfId="3712"/>
    <cellStyle name="Note 3 11" xfId="5069"/>
    <cellStyle name="Note 3 12" xfId="5068"/>
    <cellStyle name="Note 3 2" xfId="1485"/>
    <cellStyle name="Note 3 2 2" xfId="1820"/>
    <cellStyle name="Note 3 2 2 2" xfId="5071"/>
    <cellStyle name="Note 3 2 2 3" xfId="5070"/>
    <cellStyle name="Note 3 2 3" xfId="2195"/>
    <cellStyle name="Note 3 2 3 2" xfId="5073"/>
    <cellStyle name="Note 3 2 3 3" xfId="5072"/>
    <cellStyle name="Note 3 2 4" xfId="2569"/>
    <cellStyle name="Note 3 2 4 2" xfId="5075"/>
    <cellStyle name="Note 3 2 4 3" xfId="5074"/>
    <cellStyle name="Note 3 2 5" xfId="2941"/>
    <cellStyle name="Note 3 2 5 2" xfId="5077"/>
    <cellStyle name="Note 3 2 5 3" xfId="5076"/>
    <cellStyle name="Note 3 2 6" xfId="3313"/>
    <cellStyle name="Note 3 2 6 2" xfId="5079"/>
    <cellStyle name="Note 3 2 6 3" xfId="5078"/>
    <cellStyle name="Note 3 3" xfId="1612"/>
    <cellStyle name="Note 3 3 2" xfId="1897"/>
    <cellStyle name="Note 3 3 2 2" xfId="5081"/>
    <cellStyle name="Note 3 3 2 3" xfId="5080"/>
    <cellStyle name="Note 3 3 3" xfId="2272"/>
    <cellStyle name="Note 3 3 3 2" xfId="5083"/>
    <cellStyle name="Note 3 3 3 3" xfId="5082"/>
    <cellStyle name="Note 3 3 4" xfId="2645"/>
    <cellStyle name="Note 3 3 4 2" xfId="5085"/>
    <cellStyle name="Note 3 3 4 3" xfId="5084"/>
    <cellStyle name="Note 3 3 5" xfId="3018"/>
    <cellStyle name="Note 3 3 5 2" xfId="5087"/>
    <cellStyle name="Note 3 3 5 3" xfId="5086"/>
    <cellStyle name="Note 3 3 6" xfId="3389"/>
    <cellStyle name="Note 3 3 6 2" xfId="5089"/>
    <cellStyle name="Note 3 3 6 3" xfId="5088"/>
    <cellStyle name="Note 3 4" xfId="1754"/>
    <cellStyle name="Note 3 4 2" xfId="1941"/>
    <cellStyle name="Note 3 4 2 2" xfId="5091"/>
    <cellStyle name="Note 3 4 2 3" xfId="5090"/>
    <cellStyle name="Note 3 4 3" xfId="2316"/>
    <cellStyle name="Note 3 4 3 2" xfId="5093"/>
    <cellStyle name="Note 3 4 3 3" xfId="5092"/>
    <cellStyle name="Note 3 4 4" xfId="2689"/>
    <cellStyle name="Note 3 4 4 2" xfId="5095"/>
    <cellStyle name="Note 3 4 4 3" xfId="5094"/>
    <cellStyle name="Note 3 4 5" xfId="3062"/>
    <cellStyle name="Note 3 4 5 2" xfId="5097"/>
    <cellStyle name="Note 3 4 5 3" xfId="5096"/>
    <cellStyle name="Note 3 4 6" xfId="3433"/>
    <cellStyle name="Note 3 4 6 2" xfId="5099"/>
    <cellStyle name="Note 3 4 6 3" xfId="5098"/>
    <cellStyle name="Note 3 5" xfId="2089"/>
    <cellStyle name="Note 3 6" xfId="2463"/>
    <cellStyle name="Note 3 7" xfId="2835"/>
    <cellStyle name="Note 3 8" xfId="3206"/>
    <cellStyle name="Note 3 9" xfId="3576"/>
    <cellStyle name="Note 4" xfId="272"/>
    <cellStyle name="Note 4 10" xfId="3756"/>
    <cellStyle name="Note 4 11" xfId="1291"/>
    <cellStyle name="Note 4 11 2" xfId="4144"/>
    <cellStyle name="Note 4 11 2 2" xfId="5103"/>
    <cellStyle name="Note 4 11 2 3" xfId="5102"/>
    <cellStyle name="Note 4 11 2 4" xfId="7090"/>
    <cellStyle name="Note 4 11 3" xfId="5104"/>
    <cellStyle name="Note 4 11 4" xfId="5101"/>
    <cellStyle name="Note 4 11 5" xfId="7089"/>
    <cellStyle name="Note 4 12" xfId="5105"/>
    <cellStyle name="Note 4 12 2" xfId="5106"/>
    <cellStyle name="Note 4 13" xfId="5107"/>
    <cellStyle name="Note 4 14" xfId="5100"/>
    <cellStyle name="Note 4 2" xfId="1530"/>
    <cellStyle name="Note 4 3" xfId="1655"/>
    <cellStyle name="Note 4 4" xfId="1769"/>
    <cellStyle name="Note 4 5" xfId="2104"/>
    <cellStyle name="Note 4 6" xfId="2478"/>
    <cellStyle name="Note 4 7" xfId="2850"/>
    <cellStyle name="Note 4 8" xfId="3221"/>
    <cellStyle name="Note 4 9" xfId="3619"/>
    <cellStyle name="Note 5" xfId="504"/>
    <cellStyle name="Note 6" xfId="505"/>
    <cellStyle name="Note 6 10" xfId="5109"/>
    <cellStyle name="Note 6 11" xfId="5108"/>
    <cellStyle name="Note 6 12" xfId="7091"/>
    <cellStyle name="Note 6 2" xfId="2006"/>
    <cellStyle name="Note 6 3" xfId="2381"/>
    <cellStyle name="Note 6 4" xfId="2754"/>
    <cellStyle name="Note 6 5" xfId="3127"/>
    <cellStyle name="Note 6 6" xfId="3498"/>
    <cellStyle name="Note 6 7" xfId="3804"/>
    <cellStyle name="Note 6 8" xfId="1361"/>
    <cellStyle name="Note 6 8 2" xfId="4161"/>
    <cellStyle name="Note 6 8 2 2" xfId="5112"/>
    <cellStyle name="Note 6 8 2 3" xfId="5111"/>
    <cellStyle name="Note 6 8 2 4" xfId="7093"/>
    <cellStyle name="Note 6 8 3" xfId="5113"/>
    <cellStyle name="Note 6 8 4" xfId="5110"/>
    <cellStyle name="Note 6 8 5" xfId="7092"/>
    <cellStyle name="Note 6 9" xfId="3831"/>
    <cellStyle name="Note 6 9 2" xfId="5115"/>
    <cellStyle name="Note 6 9 3" xfId="5114"/>
    <cellStyle name="Note 6 9 4" xfId="7094"/>
    <cellStyle name="Note 7" xfId="506"/>
    <cellStyle name="Note 8" xfId="629"/>
    <cellStyle name="Note 8 2" xfId="1372"/>
    <cellStyle name="Note 8 2 2" xfId="4172"/>
    <cellStyle name="Note 8 2 2 2" xfId="5119"/>
    <cellStyle name="Note 8 2 2 3" xfId="5118"/>
    <cellStyle name="Note 8 2 2 4" xfId="7097"/>
    <cellStyle name="Note 8 2 3" xfId="5120"/>
    <cellStyle name="Note 8 2 4" xfId="5117"/>
    <cellStyle name="Note 8 2 5" xfId="7096"/>
    <cellStyle name="Note 8 3" xfId="3845"/>
    <cellStyle name="Note 8 3 2" xfId="5122"/>
    <cellStyle name="Note 8 3 3" xfId="5121"/>
    <cellStyle name="Note 8 3 4" xfId="7098"/>
    <cellStyle name="Note 8 4" xfId="5123"/>
    <cellStyle name="Note 8 5" xfId="5116"/>
    <cellStyle name="Note 8 6" xfId="7095"/>
    <cellStyle name="Note 9" xfId="630"/>
    <cellStyle name="Output 10" xfId="787"/>
    <cellStyle name="Output 11" xfId="788"/>
    <cellStyle name="Output 12" xfId="912"/>
    <cellStyle name="Output 13" xfId="913"/>
    <cellStyle name="Output 14" xfId="996"/>
    <cellStyle name="Output 2" xfId="107"/>
    <cellStyle name="Output 2 10" xfId="1705"/>
    <cellStyle name="Output 2 11" xfId="2040"/>
    <cellStyle name="Output 2 12" xfId="2414"/>
    <cellStyle name="Output 2 13" xfId="2787"/>
    <cellStyle name="Output 2 14" xfId="3161"/>
    <cellStyle name="Output 2 15" xfId="3532"/>
    <cellStyle name="Output 2 16" xfId="3669"/>
    <cellStyle name="Output 2 2" xfId="151"/>
    <cellStyle name="Output 2 2 2" xfId="163"/>
    <cellStyle name="Output 2 2 3" xfId="327"/>
    <cellStyle name="Output 2 2 4" xfId="2150"/>
    <cellStyle name="Output 2 2 5" xfId="2524"/>
    <cellStyle name="Output 2 2 6" xfId="2896"/>
    <cellStyle name="Output 2 2 7" xfId="3267"/>
    <cellStyle name="Output 2 3" xfId="315"/>
    <cellStyle name="Output 2 3 2" xfId="1326"/>
    <cellStyle name="Output 2 4" xfId="507"/>
    <cellStyle name="Output 2 5" xfId="631"/>
    <cellStyle name="Output 2 6" xfId="789"/>
    <cellStyle name="Output 2 7" xfId="790"/>
    <cellStyle name="Output 2 8" xfId="914"/>
    <cellStyle name="Output 2 8 2" xfId="1434"/>
    <cellStyle name="Output 2 9" xfId="997"/>
    <cellStyle name="Output 2 9 2" xfId="1545"/>
    <cellStyle name="Output 3" xfId="204"/>
    <cellStyle name="Output 3 10" xfId="3713"/>
    <cellStyle name="Output 3 2" xfId="1486"/>
    <cellStyle name="Output 3 2 2" xfId="1815"/>
    <cellStyle name="Output 3 2 3" xfId="2190"/>
    <cellStyle name="Output 3 2 4" xfId="2564"/>
    <cellStyle name="Output 3 2 5" xfId="2936"/>
    <cellStyle name="Output 3 2 6" xfId="3308"/>
    <cellStyle name="Output 3 3" xfId="1613"/>
    <cellStyle name="Output 3 3 2" xfId="1892"/>
    <cellStyle name="Output 3 3 3" xfId="2267"/>
    <cellStyle name="Output 3 3 4" xfId="2640"/>
    <cellStyle name="Output 3 3 5" xfId="3013"/>
    <cellStyle name="Output 3 3 6" xfId="3384"/>
    <cellStyle name="Output 3 4" xfId="1755"/>
    <cellStyle name="Output 3 4 2" xfId="1936"/>
    <cellStyle name="Output 3 4 3" xfId="2311"/>
    <cellStyle name="Output 3 4 4" xfId="2684"/>
    <cellStyle name="Output 3 4 5" xfId="3057"/>
    <cellStyle name="Output 3 4 6" xfId="3428"/>
    <cellStyle name="Output 3 5" xfId="2090"/>
    <cellStyle name="Output 3 6" xfId="2464"/>
    <cellStyle name="Output 3 7" xfId="2836"/>
    <cellStyle name="Output 3 8" xfId="3207"/>
    <cellStyle name="Output 3 9" xfId="3577"/>
    <cellStyle name="Output 4" xfId="273"/>
    <cellStyle name="Output 4 10" xfId="3757"/>
    <cellStyle name="Output 4 11" xfId="1286"/>
    <cellStyle name="Output 4 2" xfId="1531"/>
    <cellStyle name="Output 4 3" xfId="1656"/>
    <cellStyle name="Output 4 4" xfId="1768"/>
    <cellStyle name="Output 4 5" xfId="2103"/>
    <cellStyle name="Output 4 6" xfId="2477"/>
    <cellStyle name="Output 4 7" xfId="2849"/>
    <cellStyle name="Output 4 8" xfId="3220"/>
    <cellStyle name="Output 4 9" xfId="3620"/>
    <cellStyle name="Output 5" xfId="508"/>
    <cellStyle name="Output 5 2" xfId="1850"/>
    <cellStyle name="Output 5 3" xfId="2225"/>
    <cellStyle name="Output 5 4" xfId="2599"/>
    <cellStyle name="Output 5 5" xfId="2971"/>
    <cellStyle name="Output 5 6" xfId="3343"/>
    <cellStyle name="Output 6" xfId="509"/>
    <cellStyle name="Output 6 2" xfId="2007"/>
    <cellStyle name="Output 6 3" xfId="2382"/>
    <cellStyle name="Output 6 4" xfId="2755"/>
    <cellStyle name="Output 6 5" xfId="3128"/>
    <cellStyle name="Output 6 6" xfId="3499"/>
    <cellStyle name="Output 6 7" xfId="3805"/>
    <cellStyle name="Output 7" xfId="510"/>
    <cellStyle name="Output 8" xfId="632"/>
    <cellStyle name="Output 9" xfId="633"/>
    <cellStyle name="Percent" xfId="18" builtinId="5"/>
    <cellStyle name="Percent 2" xfId="5124"/>
    <cellStyle name="Percent 2 2" xfId="7105"/>
    <cellStyle name="Percent 3" xfId="7103"/>
    <cellStyle name="PSChar" xfId="19"/>
    <cellStyle name="PSChar 2" xfId="20"/>
    <cellStyle name="PSDate" xfId="21"/>
    <cellStyle name="PSDate 2" xfId="22"/>
    <cellStyle name="PSDec" xfId="23"/>
    <cellStyle name="PSDec 2" xfId="24"/>
    <cellStyle name="PSHeading" xfId="25"/>
    <cellStyle name="PSHeading 2" xfId="26"/>
    <cellStyle name="PSInt" xfId="27"/>
    <cellStyle name="PSInt 2" xfId="28"/>
    <cellStyle name="PSSpacer" xfId="29"/>
    <cellStyle name="PSSpacer 2" xfId="30"/>
    <cellStyle name="Title 2" xfId="108"/>
    <cellStyle name="Title 2 10" xfId="3533"/>
    <cellStyle name="Title 2 2" xfId="154"/>
    <cellStyle name="Title 2 3" xfId="318"/>
    <cellStyle name="Title 2 3 2" xfId="1869"/>
    <cellStyle name="Title 2 3 3" xfId="2244"/>
    <cellStyle name="Title 2 3 4" xfId="2618"/>
    <cellStyle name="Title 2 3 5" xfId="2990"/>
    <cellStyle name="Title 2 3 6" xfId="3362"/>
    <cellStyle name="Title 2 3 7" xfId="1435"/>
    <cellStyle name="Title 2 4" xfId="1542"/>
    <cellStyle name="Title 2 4 2" xfId="1925"/>
    <cellStyle name="Title 2 4 3" xfId="2300"/>
    <cellStyle name="Title 2 4 4" xfId="2673"/>
    <cellStyle name="Title 2 4 5" xfId="3046"/>
    <cellStyle name="Title 2 4 6" xfId="3417"/>
    <cellStyle name="Title 2 5" xfId="1710"/>
    <cellStyle name="Title 2 6" xfId="2045"/>
    <cellStyle name="Title 2 7" xfId="2419"/>
    <cellStyle name="Title 2 8" xfId="2791"/>
    <cellStyle name="Title 2 9" xfId="3162"/>
    <cellStyle name="Title 3" xfId="195"/>
    <cellStyle name="Title 3 10" xfId="3714"/>
    <cellStyle name="Title 3 2" xfId="1487"/>
    <cellStyle name="Title 3 2 2" xfId="1806"/>
    <cellStyle name="Title 3 2 3" xfId="2181"/>
    <cellStyle name="Title 3 2 4" xfId="2555"/>
    <cellStyle name="Title 3 2 5" xfId="2927"/>
    <cellStyle name="Title 3 2 6" xfId="3299"/>
    <cellStyle name="Title 3 3" xfId="1614"/>
    <cellStyle name="Title 3 3 2" xfId="1883"/>
    <cellStyle name="Title 3 3 3" xfId="2258"/>
    <cellStyle name="Title 3 3 4" xfId="2631"/>
    <cellStyle name="Title 3 3 5" xfId="3004"/>
    <cellStyle name="Title 3 3 6" xfId="3375"/>
    <cellStyle name="Title 3 4" xfId="1757"/>
    <cellStyle name="Title 3 4 2" xfId="1927"/>
    <cellStyle name="Title 3 4 3" xfId="2302"/>
    <cellStyle name="Title 3 4 4" xfId="2675"/>
    <cellStyle name="Title 3 4 5" xfId="3048"/>
    <cellStyle name="Title 3 4 6" xfId="3419"/>
    <cellStyle name="Title 3 5" xfId="2092"/>
    <cellStyle name="Title 3 6" xfId="2466"/>
    <cellStyle name="Title 3 7" xfId="2838"/>
    <cellStyle name="Title 3 8" xfId="3209"/>
    <cellStyle name="Title 3 9" xfId="3578"/>
    <cellStyle name="Title 4" xfId="274"/>
    <cellStyle name="Title 4 10" xfId="3758"/>
    <cellStyle name="Title 4 11" xfId="1277"/>
    <cellStyle name="Title 4 2" xfId="1532"/>
    <cellStyle name="Title 4 3" xfId="1657"/>
    <cellStyle name="Title 4 4" xfId="1766"/>
    <cellStyle name="Title 4 5" xfId="2101"/>
    <cellStyle name="Title 4 6" xfId="2475"/>
    <cellStyle name="Title 4 7" xfId="2847"/>
    <cellStyle name="Title 4 8" xfId="3218"/>
    <cellStyle name="Title 4 9" xfId="3621"/>
    <cellStyle name="Title 5" xfId="511"/>
    <cellStyle name="Title 5 10" xfId="3764"/>
    <cellStyle name="Title 5 2" xfId="1570"/>
    <cellStyle name="Title 5 3" xfId="1662"/>
    <cellStyle name="Title 5 4" xfId="1849"/>
    <cellStyle name="Title 5 5" xfId="2224"/>
    <cellStyle name="Title 5 6" xfId="2598"/>
    <cellStyle name="Title 5 7" xfId="2970"/>
    <cellStyle name="Title 5 8" xfId="3342"/>
    <cellStyle name="Title 5 9" xfId="3625"/>
    <cellStyle name="Title 6" xfId="634"/>
    <cellStyle name="Title 6 2" xfId="2008"/>
    <cellStyle name="Title 6 3" xfId="2383"/>
    <cellStyle name="Title 6 4" xfId="2756"/>
    <cellStyle name="Title 6 5" xfId="3129"/>
    <cellStyle name="Title 6 6" xfId="3500"/>
    <cellStyle name="Title 6 7" xfId="3806"/>
    <cellStyle name="Title 7" xfId="915"/>
    <cellStyle name="Title 7 2" xfId="3813"/>
    <cellStyle name="Total 10" xfId="791"/>
    <cellStyle name="Total 11" xfId="792"/>
    <cellStyle name="Total 12" xfId="916"/>
    <cellStyle name="Total 13" xfId="917"/>
    <cellStyle name="Total 14" xfId="998"/>
    <cellStyle name="Total 2" xfId="109"/>
    <cellStyle name="Total 2 10" xfId="1711"/>
    <cellStyle name="Total 2 11" xfId="2046"/>
    <cellStyle name="Total 2 12" xfId="2420"/>
    <cellStyle name="Total 2 13" xfId="2792"/>
    <cellStyle name="Total 2 14" xfId="3163"/>
    <cellStyle name="Total 2 15" xfId="3534"/>
    <cellStyle name="Total 2 16" xfId="3670"/>
    <cellStyle name="Total 2 2" xfId="152"/>
    <cellStyle name="Total 2 2 2" xfId="170"/>
    <cellStyle name="Total 2 2 3" xfId="334"/>
    <cellStyle name="Total 2 2 4" xfId="2156"/>
    <cellStyle name="Total 2 2 5" xfId="2530"/>
    <cellStyle name="Total 2 2 6" xfId="2902"/>
    <cellStyle name="Total 2 2 7" xfId="3274"/>
    <cellStyle name="Total 2 3" xfId="316"/>
    <cellStyle name="Total 2 3 2" xfId="1332"/>
    <cellStyle name="Total 2 4" xfId="512"/>
    <cellStyle name="Total 2 5" xfId="635"/>
    <cellStyle name="Total 2 6" xfId="793"/>
    <cellStyle name="Total 2 7" xfId="794"/>
    <cellStyle name="Total 2 8" xfId="918"/>
    <cellStyle name="Total 2 8 2" xfId="1436"/>
    <cellStyle name="Total 2 9" xfId="999"/>
    <cellStyle name="Total 2 9 2" xfId="1541"/>
    <cellStyle name="Total 3" xfId="211"/>
    <cellStyle name="Total 3 10" xfId="3715"/>
    <cellStyle name="Total 3 2" xfId="1488"/>
    <cellStyle name="Total 3 2 2" xfId="1822"/>
    <cellStyle name="Total 3 2 3" xfId="2197"/>
    <cellStyle name="Total 3 2 4" xfId="2571"/>
    <cellStyle name="Total 3 2 5" xfId="2943"/>
    <cellStyle name="Total 3 2 6" xfId="3315"/>
    <cellStyle name="Total 3 3" xfId="1615"/>
    <cellStyle name="Total 3 3 2" xfId="1899"/>
    <cellStyle name="Total 3 3 3" xfId="2274"/>
    <cellStyle name="Total 3 3 4" xfId="2647"/>
    <cellStyle name="Total 3 3 5" xfId="3020"/>
    <cellStyle name="Total 3 3 6" xfId="3391"/>
    <cellStyle name="Total 3 4" xfId="1758"/>
    <cellStyle name="Total 3 4 2" xfId="1943"/>
    <cellStyle name="Total 3 4 3" xfId="2318"/>
    <cellStyle name="Total 3 4 4" xfId="2691"/>
    <cellStyle name="Total 3 4 5" xfId="3064"/>
    <cellStyle name="Total 3 4 6" xfId="3435"/>
    <cellStyle name="Total 3 5" xfId="2093"/>
    <cellStyle name="Total 3 6" xfId="2467"/>
    <cellStyle name="Total 3 7" xfId="2839"/>
    <cellStyle name="Total 3 8" xfId="3210"/>
    <cellStyle name="Total 3 9" xfId="3579"/>
    <cellStyle name="Total 4" xfId="275"/>
    <cellStyle name="Total 4 10" xfId="3759"/>
    <cellStyle name="Total 4 11" xfId="1293"/>
    <cellStyle name="Total 4 2" xfId="1533"/>
    <cellStyle name="Total 4 3" xfId="1658"/>
    <cellStyle name="Total 4 4" xfId="1765"/>
    <cellStyle name="Total 4 5" xfId="2100"/>
    <cellStyle name="Total 4 6" xfId="2474"/>
    <cellStyle name="Total 4 7" xfId="2846"/>
    <cellStyle name="Total 4 8" xfId="3217"/>
    <cellStyle name="Total 4 9" xfId="3622"/>
    <cellStyle name="Total 4 9 2" xfId="5217"/>
    <cellStyle name="Total 4 9 3" xfId="5125"/>
    <cellStyle name="Total 5" xfId="513"/>
    <cellStyle name="Total 5 2" xfId="1882"/>
    <cellStyle name="Total 5 2 2" xfId="5219"/>
    <cellStyle name="Total 5 2 3" xfId="5127"/>
    <cellStyle name="Total 5 3" xfId="2257"/>
    <cellStyle name="Total 5 3 2" xfId="5220"/>
    <cellStyle name="Total 5 3 3" xfId="5128"/>
    <cellStyle name="Total 5 4" xfId="2630"/>
    <cellStyle name="Total 5 4 2" xfId="5221"/>
    <cellStyle name="Total 5 4 3" xfId="5129"/>
    <cellStyle name="Total 5 5" xfId="3003"/>
    <cellStyle name="Total 5 5 2" xfId="5222"/>
    <cellStyle name="Total 5 5 3" xfId="5130"/>
    <cellStyle name="Total 5 6" xfId="3374"/>
    <cellStyle name="Total 5 6 2" xfId="5223"/>
    <cellStyle name="Total 5 6 3" xfId="5131"/>
    <cellStyle name="Total 5 7" xfId="5218"/>
    <cellStyle name="Total 5 8" xfId="5126"/>
    <cellStyle name="Total 6" xfId="514"/>
    <cellStyle name="Total 6 2" xfId="2009"/>
    <cellStyle name="Total 6 2 2" xfId="5225"/>
    <cellStyle name="Total 6 2 3" xfId="5133"/>
    <cellStyle name="Total 6 3" xfId="2384"/>
    <cellStyle name="Total 6 3 2" xfId="5226"/>
    <cellStyle name="Total 6 3 3" xfId="5134"/>
    <cellStyle name="Total 6 4" xfId="2757"/>
    <cellStyle name="Total 6 4 2" xfId="5227"/>
    <cellStyle name="Total 6 4 3" xfId="5135"/>
    <cellStyle name="Total 6 5" xfId="3130"/>
    <cellStyle name="Total 6 5 2" xfId="5228"/>
    <cellStyle name="Total 6 5 3" xfId="5136"/>
    <cellStyle name="Total 6 6" xfId="3501"/>
    <cellStyle name="Total 6 6 2" xfId="5229"/>
    <cellStyle name="Total 6 6 3" xfId="5137"/>
    <cellStyle name="Total 6 7" xfId="3807"/>
    <cellStyle name="Total 6 7 2" xfId="5230"/>
    <cellStyle name="Total 6 7 3" xfId="5138"/>
    <cellStyle name="Total 6 8" xfId="5224"/>
    <cellStyle name="Total 6 9" xfId="5132"/>
    <cellStyle name="Total 7" xfId="515"/>
    <cellStyle name="Total 7 2" xfId="5231"/>
    <cellStyle name="Total 7 3" xfId="5139"/>
    <cellStyle name="Total 8" xfId="636"/>
    <cellStyle name="Total 8 2" xfId="5232"/>
    <cellStyle name="Total 8 3" xfId="5140"/>
    <cellStyle name="Total 9" xfId="637"/>
    <cellStyle name="Total 9 2" xfId="5233"/>
    <cellStyle name="Total 9 3" xfId="5141"/>
    <cellStyle name="Warning Text 10" xfId="795"/>
    <cellStyle name="Warning Text 10 2" xfId="5234"/>
    <cellStyle name="Warning Text 10 3" xfId="5142"/>
    <cellStyle name="Warning Text 11" xfId="796"/>
    <cellStyle name="Warning Text 11 2" xfId="5235"/>
    <cellStyle name="Warning Text 11 3" xfId="5143"/>
    <cellStyle name="Warning Text 12" xfId="919"/>
    <cellStyle name="Warning Text 13" xfId="920"/>
    <cellStyle name="Warning Text 14" xfId="1000"/>
    <cellStyle name="Warning Text 2" xfId="110"/>
    <cellStyle name="Warning Text 2 10" xfId="1712"/>
    <cellStyle name="Warning Text 2 10 2" xfId="5237"/>
    <cellStyle name="Warning Text 2 10 3" xfId="5145"/>
    <cellStyle name="Warning Text 2 11" xfId="2047"/>
    <cellStyle name="Warning Text 2 11 2" xfId="5238"/>
    <cellStyle name="Warning Text 2 11 3" xfId="5146"/>
    <cellStyle name="Warning Text 2 12" xfId="2421"/>
    <cellStyle name="Warning Text 2 12 2" xfId="5239"/>
    <cellStyle name="Warning Text 2 12 3" xfId="5147"/>
    <cellStyle name="Warning Text 2 13" xfId="2793"/>
    <cellStyle name="Warning Text 2 13 2" xfId="5240"/>
    <cellStyle name="Warning Text 2 13 3" xfId="5148"/>
    <cellStyle name="Warning Text 2 14" xfId="3164"/>
    <cellStyle name="Warning Text 2 14 2" xfId="5241"/>
    <cellStyle name="Warning Text 2 14 3" xfId="5149"/>
    <cellStyle name="Warning Text 2 15" xfId="3535"/>
    <cellStyle name="Warning Text 2 15 2" xfId="5242"/>
    <cellStyle name="Warning Text 2 15 3" xfId="5150"/>
    <cellStyle name="Warning Text 2 16" xfId="3671"/>
    <cellStyle name="Warning Text 2 16 2" xfId="5243"/>
    <cellStyle name="Warning Text 2 16 3" xfId="5151"/>
    <cellStyle name="Warning Text 2 17" xfId="5236"/>
    <cellStyle name="Warning Text 2 18" xfId="5144"/>
    <cellStyle name="Warning Text 2 2" xfId="153"/>
    <cellStyle name="Warning Text 2 2 2" xfId="167"/>
    <cellStyle name="Warning Text 2 2 2 2" xfId="5245"/>
    <cellStyle name="Warning Text 2 2 2 3" xfId="5153"/>
    <cellStyle name="Warning Text 2 2 3" xfId="331"/>
    <cellStyle name="Warning Text 2 2 3 2" xfId="5246"/>
    <cellStyle name="Warning Text 2 2 3 3" xfId="5154"/>
    <cellStyle name="Warning Text 2 2 4" xfId="2154"/>
    <cellStyle name="Warning Text 2 2 4 2" xfId="5247"/>
    <cellStyle name="Warning Text 2 2 4 3" xfId="5155"/>
    <cellStyle name="Warning Text 2 2 5" xfId="2528"/>
    <cellStyle name="Warning Text 2 2 5 2" xfId="5248"/>
    <cellStyle name="Warning Text 2 2 5 3" xfId="5156"/>
    <cellStyle name="Warning Text 2 2 6" xfId="2900"/>
    <cellStyle name="Warning Text 2 2 6 2" xfId="5249"/>
    <cellStyle name="Warning Text 2 2 6 3" xfId="5157"/>
    <cellStyle name="Warning Text 2 2 7" xfId="3271"/>
    <cellStyle name="Warning Text 2 2 7 2" xfId="5250"/>
    <cellStyle name="Warning Text 2 2 7 3" xfId="5158"/>
    <cellStyle name="Warning Text 2 2 8" xfId="5244"/>
    <cellStyle name="Warning Text 2 2 9" xfId="5152"/>
    <cellStyle name="Warning Text 2 3" xfId="317"/>
    <cellStyle name="Warning Text 2 3 2" xfId="1330"/>
    <cellStyle name="Warning Text 2 3 3" xfId="5159"/>
    <cellStyle name="Warning Text 2 4" xfId="516"/>
    <cellStyle name="Warning Text 2 4 2" xfId="5251"/>
    <cellStyle name="Warning Text 2 4 3" xfId="5160"/>
    <cellStyle name="Warning Text 2 5" xfId="638"/>
    <cellStyle name="Warning Text 2 5 2" xfId="5252"/>
    <cellStyle name="Warning Text 2 5 3" xfId="5161"/>
    <cellStyle name="Warning Text 2 6" xfId="797"/>
    <cellStyle name="Warning Text 2 6 2" xfId="5253"/>
    <cellStyle name="Warning Text 2 6 3" xfId="5162"/>
    <cellStyle name="Warning Text 2 7" xfId="798"/>
    <cellStyle name="Warning Text 2 7 2" xfId="5254"/>
    <cellStyle name="Warning Text 2 7 3" xfId="5163"/>
    <cellStyle name="Warning Text 2 8" xfId="921"/>
    <cellStyle name="Warning Text 2 8 2" xfId="1437"/>
    <cellStyle name="Warning Text 2 8 3" xfId="5164"/>
    <cellStyle name="Warning Text 2 9" xfId="1001"/>
    <cellStyle name="Warning Text 2 9 2" xfId="1540"/>
    <cellStyle name="Warning Text 2 9 3" xfId="5165"/>
    <cellStyle name="Warning Text 3" xfId="208"/>
    <cellStyle name="Warning Text 3 10" xfId="3716"/>
    <cellStyle name="Warning Text 3 10 2" xfId="5256"/>
    <cellStyle name="Warning Text 3 10 3" xfId="5167"/>
    <cellStyle name="Warning Text 3 11" xfId="5255"/>
    <cellStyle name="Warning Text 3 12" xfId="5166"/>
    <cellStyle name="Warning Text 3 2" xfId="1489"/>
    <cellStyle name="Warning Text 3 2 2" xfId="1819"/>
    <cellStyle name="Warning Text 3 2 2 2" xfId="5258"/>
    <cellStyle name="Warning Text 3 2 2 3" xfId="5169"/>
    <cellStyle name="Warning Text 3 2 3" xfId="2194"/>
    <cellStyle name="Warning Text 3 2 3 2" xfId="5259"/>
    <cellStyle name="Warning Text 3 2 3 3" xfId="5170"/>
    <cellStyle name="Warning Text 3 2 4" xfId="2568"/>
    <cellStyle name="Warning Text 3 2 4 2" xfId="5260"/>
    <cellStyle name="Warning Text 3 2 4 3" xfId="5171"/>
    <cellStyle name="Warning Text 3 2 5" xfId="2940"/>
    <cellStyle name="Warning Text 3 2 5 2" xfId="5261"/>
    <cellStyle name="Warning Text 3 2 5 3" xfId="5172"/>
    <cellStyle name="Warning Text 3 2 6" xfId="3312"/>
    <cellStyle name="Warning Text 3 2 6 2" xfId="5262"/>
    <cellStyle name="Warning Text 3 2 6 3" xfId="5173"/>
    <cellStyle name="Warning Text 3 2 7" xfId="5257"/>
    <cellStyle name="Warning Text 3 2 8" xfId="5168"/>
    <cellStyle name="Warning Text 3 3" xfId="1616"/>
    <cellStyle name="Warning Text 3 3 2" xfId="1896"/>
    <cellStyle name="Warning Text 3 3 2 2" xfId="5264"/>
    <cellStyle name="Warning Text 3 3 2 3" xfId="5175"/>
    <cellStyle name="Warning Text 3 3 3" xfId="2271"/>
    <cellStyle name="Warning Text 3 3 3 2" xfId="5265"/>
    <cellStyle name="Warning Text 3 3 3 3" xfId="5176"/>
    <cellStyle name="Warning Text 3 3 4" xfId="2644"/>
    <cellStyle name="Warning Text 3 3 4 2" xfId="5266"/>
    <cellStyle name="Warning Text 3 3 4 3" xfId="5177"/>
    <cellStyle name="Warning Text 3 3 5" xfId="3017"/>
    <cellStyle name="Warning Text 3 3 5 2" xfId="5267"/>
    <cellStyle name="Warning Text 3 3 5 3" xfId="5178"/>
    <cellStyle name="Warning Text 3 3 6" xfId="3388"/>
    <cellStyle name="Warning Text 3 3 6 2" xfId="5268"/>
    <cellStyle name="Warning Text 3 3 6 3" xfId="5179"/>
    <cellStyle name="Warning Text 3 3 7" xfId="5263"/>
    <cellStyle name="Warning Text 3 3 8" xfId="5174"/>
    <cellStyle name="Warning Text 3 4" xfId="1759"/>
    <cellStyle name="Warning Text 3 4 2" xfId="1940"/>
    <cellStyle name="Warning Text 3 4 2 2" xfId="5270"/>
    <cellStyle name="Warning Text 3 4 2 3" xfId="5181"/>
    <cellStyle name="Warning Text 3 4 3" xfId="2315"/>
    <cellStyle name="Warning Text 3 4 3 2" xfId="5271"/>
    <cellStyle name="Warning Text 3 4 3 3" xfId="5182"/>
    <cellStyle name="Warning Text 3 4 4" xfId="2688"/>
    <cellStyle name="Warning Text 3 4 4 2" xfId="5272"/>
    <cellStyle name="Warning Text 3 4 4 3" xfId="5183"/>
    <cellStyle name="Warning Text 3 4 5" xfId="3061"/>
    <cellStyle name="Warning Text 3 4 5 2" xfId="5273"/>
    <cellStyle name="Warning Text 3 4 5 3" xfId="5184"/>
    <cellStyle name="Warning Text 3 4 6" xfId="3432"/>
    <cellStyle name="Warning Text 3 4 6 2" xfId="5274"/>
    <cellStyle name="Warning Text 3 4 6 3" xfId="5185"/>
    <cellStyle name="Warning Text 3 4 7" xfId="5269"/>
    <cellStyle name="Warning Text 3 4 8" xfId="5180"/>
    <cellStyle name="Warning Text 3 5" xfId="2094"/>
    <cellStyle name="Warning Text 3 5 2" xfId="5275"/>
    <cellStyle name="Warning Text 3 5 3" xfId="5186"/>
    <cellStyle name="Warning Text 3 6" xfId="2468"/>
    <cellStyle name="Warning Text 3 6 2" xfId="5276"/>
    <cellStyle name="Warning Text 3 6 3" xfId="5187"/>
    <cellStyle name="Warning Text 3 7" xfId="2840"/>
    <cellStyle name="Warning Text 3 7 2" xfId="5277"/>
    <cellStyle name="Warning Text 3 7 3" xfId="5188"/>
    <cellStyle name="Warning Text 3 8" xfId="3211"/>
    <cellStyle name="Warning Text 3 8 2" xfId="5278"/>
    <cellStyle name="Warning Text 3 8 3" xfId="5189"/>
    <cellStyle name="Warning Text 3 9" xfId="3580"/>
    <cellStyle name="Warning Text 3 9 2" xfId="5279"/>
    <cellStyle name="Warning Text 3 9 3" xfId="5190"/>
    <cellStyle name="Warning Text 4" xfId="276"/>
    <cellStyle name="Warning Text 4 10" xfId="3760"/>
    <cellStyle name="Warning Text 4 10 2" xfId="5280"/>
    <cellStyle name="Warning Text 4 10 3" xfId="5192"/>
    <cellStyle name="Warning Text 4 11" xfId="1290"/>
    <cellStyle name="Warning Text 4 12" xfId="5191"/>
    <cellStyle name="Warning Text 4 2" xfId="1534"/>
    <cellStyle name="Warning Text 4 2 2" xfId="5281"/>
    <cellStyle name="Warning Text 4 2 3" xfId="5193"/>
    <cellStyle name="Warning Text 4 3" xfId="1659"/>
    <cellStyle name="Warning Text 4 3 2" xfId="5282"/>
    <cellStyle name="Warning Text 4 3 3" xfId="5194"/>
    <cellStyle name="Warning Text 4 4" xfId="1764"/>
    <cellStyle name="Warning Text 4 4 2" xfId="5283"/>
    <cellStyle name="Warning Text 4 4 3" xfId="5195"/>
    <cellStyle name="Warning Text 4 5" xfId="2099"/>
    <cellStyle name="Warning Text 4 5 2" xfId="5284"/>
    <cellStyle name="Warning Text 4 5 3" xfId="5196"/>
    <cellStyle name="Warning Text 4 6" xfId="2473"/>
    <cellStyle name="Warning Text 4 6 2" xfId="5285"/>
    <cellStyle name="Warning Text 4 6 3" xfId="5197"/>
    <cellStyle name="Warning Text 4 7" xfId="2845"/>
    <cellStyle name="Warning Text 4 7 2" xfId="5286"/>
    <cellStyle name="Warning Text 4 7 3" xfId="5198"/>
    <cellStyle name="Warning Text 4 8" xfId="3216"/>
    <cellStyle name="Warning Text 4 8 2" xfId="5287"/>
    <cellStyle name="Warning Text 4 8 3" xfId="5199"/>
    <cellStyle name="Warning Text 4 9" xfId="3623"/>
    <cellStyle name="Warning Text 4 9 2" xfId="5288"/>
    <cellStyle name="Warning Text 4 9 3" xfId="5200"/>
    <cellStyle name="Warning Text 5" xfId="517"/>
    <cellStyle name="Warning Text 5 2" xfId="1848"/>
    <cellStyle name="Warning Text 5 2 2" xfId="5290"/>
    <cellStyle name="Warning Text 5 2 3" xfId="5202"/>
    <cellStyle name="Warning Text 5 3" xfId="2223"/>
    <cellStyle name="Warning Text 5 3 2" xfId="5291"/>
    <cellStyle name="Warning Text 5 3 3" xfId="5203"/>
    <cellStyle name="Warning Text 5 4" xfId="2597"/>
    <cellStyle name="Warning Text 5 4 2" xfId="5292"/>
    <cellStyle name="Warning Text 5 4 3" xfId="5204"/>
    <cellStyle name="Warning Text 5 5" xfId="2969"/>
    <cellStyle name="Warning Text 5 5 2" xfId="5293"/>
    <cellStyle name="Warning Text 5 5 3" xfId="5205"/>
    <cellStyle name="Warning Text 5 6" xfId="3341"/>
    <cellStyle name="Warning Text 5 6 2" xfId="5294"/>
    <cellStyle name="Warning Text 5 6 3" xfId="5206"/>
    <cellStyle name="Warning Text 5 7" xfId="5289"/>
    <cellStyle name="Warning Text 5 8" xfId="5201"/>
    <cellStyle name="Warning Text 6" xfId="518"/>
    <cellStyle name="Warning Text 6 2" xfId="2010"/>
    <cellStyle name="Warning Text 6 2 2" xfId="5296"/>
    <cellStyle name="Warning Text 6 2 3" xfId="5208"/>
    <cellStyle name="Warning Text 6 3" xfId="2385"/>
    <cellStyle name="Warning Text 6 3 2" xfId="5297"/>
    <cellStyle name="Warning Text 6 3 3" xfId="5209"/>
    <cellStyle name="Warning Text 6 4" xfId="2758"/>
    <cellStyle name="Warning Text 6 4 2" xfId="5298"/>
    <cellStyle name="Warning Text 6 4 3" xfId="5210"/>
    <cellStyle name="Warning Text 6 5" xfId="3131"/>
    <cellStyle name="Warning Text 6 5 2" xfId="5299"/>
    <cellStyle name="Warning Text 6 5 3" xfId="5211"/>
    <cellStyle name="Warning Text 6 6" xfId="3502"/>
    <cellStyle name="Warning Text 6 6 2" xfId="5300"/>
    <cellStyle name="Warning Text 6 6 3" xfId="5212"/>
    <cellStyle name="Warning Text 6 7" xfId="3808"/>
    <cellStyle name="Warning Text 6 7 2" xfId="5301"/>
    <cellStyle name="Warning Text 6 7 3" xfId="5213"/>
    <cellStyle name="Warning Text 6 8" xfId="5295"/>
    <cellStyle name="Warning Text 6 9" xfId="5207"/>
    <cellStyle name="Warning Text 7" xfId="519"/>
    <cellStyle name="Warning Text 7 2" xfId="5302"/>
    <cellStyle name="Warning Text 7 3" xfId="5214"/>
    <cellStyle name="Warning Text 8" xfId="639"/>
    <cellStyle name="Warning Text 8 2" xfId="5303"/>
    <cellStyle name="Warning Text 8 3" xfId="5215"/>
    <cellStyle name="Warning Text 9" xfId="640"/>
    <cellStyle name="Warning Text 9 2" xfId="5304"/>
    <cellStyle name="Warning Text 9 3" xfId="5216"/>
  </cellStyles>
  <dxfs count="5">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ms6447\Desktop\LOOK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29</v>
          </cell>
          <cell r="D2">
            <v>39994</v>
          </cell>
          <cell r="E2" t="str">
            <v>454101</v>
          </cell>
          <cell r="F2" t="str">
            <v>060157</v>
          </cell>
          <cell r="G2" t="str">
            <v>#325 ADD CPI FEE</v>
          </cell>
          <cell r="H2">
            <v>-25</v>
          </cell>
          <cell r="I2" t="str">
            <v>856</v>
          </cell>
          <cell r="J2" t="str">
            <v>JULY Rent REV</v>
          </cell>
        </row>
        <row r="3">
          <cell r="C3">
            <v>111</v>
          </cell>
          <cell r="D3">
            <v>40086</v>
          </cell>
          <cell r="E3" t="str">
            <v>454101</v>
          </cell>
          <cell r="F3" t="str">
            <v>090034</v>
          </cell>
          <cell r="G3" t="str">
            <v>AFP cottage rents</v>
          </cell>
          <cell r="H3">
            <v>-50</v>
          </cell>
          <cell r="I3" t="str">
            <v>632</v>
          </cell>
          <cell r="J3" t="str">
            <v>Misc Cash Acctg ID 0000204567</v>
          </cell>
        </row>
        <row r="4">
          <cell r="C4">
            <v>112</v>
          </cell>
          <cell r="D4">
            <v>40086</v>
          </cell>
          <cell r="E4" t="str">
            <v>454101</v>
          </cell>
          <cell r="F4" t="str">
            <v>090034</v>
          </cell>
          <cell r="G4" t="str">
            <v>AFP Cottage rents income</v>
          </cell>
          <cell r="H4">
            <v>-50</v>
          </cell>
          <cell r="I4" t="str">
            <v>632</v>
          </cell>
          <cell r="J4" t="str">
            <v>Misc Cash Acctg ID 0000203755</v>
          </cell>
        </row>
        <row r="5">
          <cell r="C5">
            <v>113</v>
          </cell>
          <cell r="D5">
            <v>40025</v>
          </cell>
          <cell r="E5" t="str">
            <v>454101</v>
          </cell>
          <cell r="F5" t="str">
            <v>070034</v>
          </cell>
          <cell r="G5" t="str">
            <v>AFP INCOME</v>
          </cell>
          <cell r="H5">
            <v>-50</v>
          </cell>
          <cell r="I5" t="str">
            <v>632</v>
          </cell>
          <cell r="J5" t="str">
            <v>Misc Cash Acctg ID 0000200818</v>
          </cell>
        </row>
        <row r="6">
          <cell r="C6">
            <v>114</v>
          </cell>
          <cell r="D6">
            <v>40117</v>
          </cell>
          <cell r="E6" t="str">
            <v>454101</v>
          </cell>
          <cell r="F6" t="str">
            <v>100034</v>
          </cell>
          <cell r="G6" t="str">
            <v>AFP INCOME</v>
          </cell>
          <cell r="H6">
            <v>-50</v>
          </cell>
          <cell r="I6" t="str">
            <v>632</v>
          </cell>
          <cell r="J6" t="str">
            <v>Misc Cash Acctg ID 0000206225</v>
          </cell>
        </row>
        <row r="7">
          <cell r="C7">
            <v>115</v>
          </cell>
          <cell r="D7">
            <v>40147</v>
          </cell>
          <cell r="E7" t="str">
            <v>454101</v>
          </cell>
          <cell r="F7" t="str">
            <v>110034</v>
          </cell>
          <cell r="G7" t="str">
            <v>AFP INCOME</v>
          </cell>
          <cell r="H7">
            <v>-50</v>
          </cell>
          <cell r="I7" t="str">
            <v>632</v>
          </cell>
          <cell r="J7" t="str">
            <v>Misc Cash Acctg ID 0000207773</v>
          </cell>
        </row>
        <row r="8">
          <cell r="C8">
            <v>116</v>
          </cell>
          <cell r="D8">
            <v>40178</v>
          </cell>
          <cell r="E8" t="str">
            <v>454101</v>
          </cell>
          <cell r="F8" t="str">
            <v>120034</v>
          </cell>
          <cell r="G8" t="str">
            <v>AFP INCOME</v>
          </cell>
          <cell r="H8">
            <v>-50</v>
          </cell>
          <cell r="I8" t="str">
            <v>632</v>
          </cell>
          <cell r="J8" t="str">
            <v>Misc Cash Acctg ID 0000209640</v>
          </cell>
        </row>
        <row r="9">
          <cell r="C9">
            <v>76</v>
          </cell>
          <cell r="D9">
            <v>40056</v>
          </cell>
          <cell r="E9" t="str">
            <v>454101</v>
          </cell>
          <cell r="F9" t="str">
            <v>080157</v>
          </cell>
          <cell r="G9" t="str">
            <v>031 AIRFORCE LEASE</v>
          </cell>
          <cell r="H9">
            <v>-130</v>
          </cell>
          <cell r="I9" t="str">
            <v>856</v>
          </cell>
          <cell r="J9" t="str">
            <v>SEPT RENT REV</v>
          </cell>
        </row>
        <row r="10">
          <cell r="C10">
            <v>117</v>
          </cell>
          <cell r="D10">
            <v>40025</v>
          </cell>
          <cell r="E10" t="str">
            <v>454102</v>
          </cell>
          <cell r="F10" t="str">
            <v>070157</v>
          </cell>
          <cell r="G10" t="str">
            <v>ASSOCIATED FOODS RD PERMI</v>
          </cell>
          <cell r="H10">
            <v>-492.34</v>
          </cell>
          <cell r="I10" t="str">
            <v>856</v>
          </cell>
          <cell r="J10" t="str">
            <v>AUG RENT REV</v>
          </cell>
        </row>
        <row r="11">
          <cell r="C11">
            <v>118</v>
          </cell>
          <cell r="D11">
            <v>40178</v>
          </cell>
          <cell r="E11" t="str">
            <v>454101</v>
          </cell>
          <cell r="F11" t="str">
            <v>120157</v>
          </cell>
          <cell r="G11" t="str">
            <v>ATKINSON 373</v>
          </cell>
          <cell r="H11">
            <v>-345</v>
          </cell>
          <cell r="I11" t="str">
            <v>856</v>
          </cell>
          <cell r="J11" t="str">
            <v>Jan Rent Rev</v>
          </cell>
        </row>
        <row r="12">
          <cell r="C12">
            <v>119</v>
          </cell>
          <cell r="D12">
            <v>39872</v>
          </cell>
          <cell r="E12" t="str">
            <v>454101</v>
          </cell>
          <cell r="F12" t="str">
            <v>020157</v>
          </cell>
          <cell r="G12" t="str">
            <v>ATT HAGERMAN LEASE 408</v>
          </cell>
          <cell r="H12">
            <v>-1971.61</v>
          </cell>
          <cell r="I12" t="str">
            <v>856</v>
          </cell>
          <cell r="J12" t="str">
            <v>March RENT REV</v>
          </cell>
        </row>
        <row r="13">
          <cell r="C13">
            <v>120</v>
          </cell>
          <cell r="D13">
            <v>40117</v>
          </cell>
          <cell r="E13" t="str">
            <v>454101</v>
          </cell>
          <cell r="F13" t="str">
            <v>100157</v>
          </cell>
          <cell r="G13" t="str">
            <v>BAXTER LEASE 248</v>
          </cell>
          <cell r="H13">
            <v>-100</v>
          </cell>
          <cell r="I13" t="str">
            <v>856</v>
          </cell>
          <cell r="J13" t="str">
            <v>NOVEMBER RENT REV</v>
          </cell>
        </row>
        <row r="14">
          <cell r="C14">
            <v>121</v>
          </cell>
          <cell r="D14">
            <v>40147</v>
          </cell>
          <cell r="E14" t="str">
            <v>454101</v>
          </cell>
          <cell r="F14" t="str">
            <v>110157</v>
          </cell>
          <cell r="G14" t="str">
            <v>BOTH METRO RENTALS</v>
          </cell>
          <cell r="H14">
            <v>-859.75</v>
          </cell>
          <cell r="I14" t="str">
            <v>856</v>
          </cell>
          <cell r="J14" t="str">
            <v>DEC RENT REV</v>
          </cell>
        </row>
        <row r="15">
          <cell r="C15">
            <v>122</v>
          </cell>
          <cell r="D15">
            <v>39844</v>
          </cell>
          <cell r="E15" t="str">
            <v>454102</v>
          </cell>
          <cell r="F15" t="str">
            <v>010034</v>
          </cell>
          <cell r="G15" t="str">
            <v>BRNLEE TRLR PRK LOT RENTA</v>
          </cell>
          <cell r="H15">
            <v>-180</v>
          </cell>
          <cell r="I15" t="str">
            <v>614</v>
          </cell>
          <cell r="J15" t="str">
            <v>Misc Cash Acctg ID 0000187854</v>
          </cell>
        </row>
        <row r="16">
          <cell r="C16">
            <v>40</v>
          </cell>
          <cell r="D16">
            <v>39964</v>
          </cell>
          <cell r="E16" t="str">
            <v>454102</v>
          </cell>
          <cell r="F16" t="str">
            <v>050157</v>
          </cell>
          <cell r="G16" t="str">
            <v>#359 BYRL LANDERS</v>
          </cell>
          <cell r="H16">
            <v>-100</v>
          </cell>
          <cell r="I16" t="str">
            <v>856</v>
          </cell>
          <cell r="J16" t="str">
            <v>June RENT REV</v>
          </cell>
        </row>
        <row r="17">
          <cell r="C17">
            <v>98</v>
          </cell>
          <cell r="D17">
            <v>40147</v>
          </cell>
          <cell r="E17" t="str">
            <v>454101</v>
          </cell>
          <cell r="F17" t="str">
            <v>110157</v>
          </cell>
          <cell r="G17" t="str">
            <v>372 CAMBRIDGE STORAGE</v>
          </cell>
          <cell r="H17">
            <v>-575</v>
          </cell>
          <cell r="I17" t="str">
            <v>856</v>
          </cell>
          <cell r="J17" t="str">
            <v>DEC RENT REV</v>
          </cell>
        </row>
        <row r="18">
          <cell r="C18">
            <v>123</v>
          </cell>
          <cell r="D18">
            <v>40086</v>
          </cell>
          <cell r="E18" t="str">
            <v>454101</v>
          </cell>
          <cell r="F18" t="str">
            <v>090018</v>
          </cell>
          <cell r="G18" t="str">
            <v>CASCADE HOUSE RENT REC.</v>
          </cell>
          <cell r="H18">
            <v>-500</v>
          </cell>
          <cell r="I18" t="str">
            <v>638</v>
          </cell>
          <cell r="J18" t="str">
            <v>SEP09 NON-REVERSING ENTRIES</v>
          </cell>
        </row>
        <row r="19">
          <cell r="C19">
            <v>124</v>
          </cell>
          <cell r="D19">
            <v>40117</v>
          </cell>
          <cell r="E19" t="str">
            <v>454101</v>
          </cell>
          <cell r="F19" t="str">
            <v>100018</v>
          </cell>
          <cell r="G19" t="str">
            <v>CASCADE HOUSE RENT REC.</v>
          </cell>
          <cell r="H19">
            <v>-500</v>
          </cell>
          <cell r="I19" t="str">
            <v>638</v>
          </cell>
          <cell r="J19" t="str">
            <v>OCT09 NON-REVERSING ENTRIES</v>
          </cell>
        </row>
        <row r="20">
          <cell r="C20">
            <v>125</v>
          </cell>
          <cell r="D20">
            <v>40147</v>
          </cell>
          <cell r="E20" t="str">
            <v>454101</v>
          </cell>
          <cell r="F20" t="str">
            <v>110018</v>
          </cell>
          <cell r="G20" t="str">
            <v>CASCADE HOUSE RENT REC.</v>
          </cell>
          <cell r="H20">
            <v>-500</v>
          </cell>
          <cell r="I20" t="str">
            <v>638</v>
          </cell>
          <cell r="J20" t="str">
            <v>NOV09 NON-REVERSING ENTRIES</v>
          </cell>
        </row>
        <row r="21">
          <cell r="C21">
            <v>126</v>
          </cell>
          <cell r="D21">
            <v>40178</v>
          </cell>
          <cell r="E21" t="str">
            <v>454101</v>
          </cell>
          <cell r="F21" t="str">
            <v>120018</v>
          </cell>
          <cell r="G21" t="str">
            <v>CASCADE HOUSE RENT REC.</v>
          </cell>
          <cell r="H21">
            <v>-500</v>
          </cell>
          <cell r="I21" t="str">
            <v>638</v>
          </cell>
          <cell r="J21" t="str">
            <v>DEC09 NON-REVERSING ENTRIES</v>
          </cell>
        </row>
        <row r="22">
          <cell r="C22">
            <v>30</v>
          </cell>
          <cell r="D22">
            <v>40025</v>
          </cell>
          <cell r="E22" t="str">
            <v>454101</v>
          </cell>
          <cell r="F22" t="str">
            <v>070157</v>
          </cell>
          <cell r="G22" t="str">
            <v>#325 CHQ PENTHOUSE</v>
          </cell>
          <cell r="H22">
            <v>-2524.46</v>
          </cell>
          <cell r="I22" t="str">
            <v>856</v>
          </cell>
          <cell r="J22" t="str">
            <v>AUG RENT REV</v>
          </cell>
        </row>
        <row r="23">
          <cell r="C23">
            <v>89</v>
          </cell>
          <cell r="D23">
            <v>40086</v>
          </cell>
          <cell r="E23" t="str">
            <v>454101</v>
          </cell>
          <cell r="F23" t="str">
            <v>090157</v>
          </cell>
          <cell r="G23" t="str">
            <v>325 CHQ PENTHOUSE</v>
          </cell>
          <cell r="H23">
            <v>-2524.46</v>
          </cell>
          <cell r="I23" t="str">
            <v>856</v>
          </cell>
          <cell r="J23" t="str">
            <v>OCTOBER RENT REV</v>
          </cell>
        </row>
        <row r="24">
          <cell r="C24">
            <v>101</v>
          </cell>
          <cell r="D24">
            <v>40178</v>
          </cell>
          <cell r="E24" t="str">
            <v>454102</v>
          </cell>
          <cell r="F24" t="str">
            <v>120157</v>
          </cell>
          <cell r="G24" t="str">
            <v>375 COX BROWNLEE CABIN</v>
          </cell>
          <cell r="H24">
            <v>-100</v>
          </cell>
          <cell r="I24" t="str">
            <v>856</v>
          </cell>
          <cell r="J24" t="str">
            <v>Jan Rent Rev</v>
          </cell>
        </row>
        <row r="25">
          <cell r="C25">
            <v>127</v>
          </cell>
          <cell r="D25">
            <v>40056</v>
          </cell>
          <cell r="E25" t="str">
            <v>454101</v>
          </cell>
          <cell r="F25" t="str">
            <v>080157</v>
          </cell>
          <cell r="G25" t="str">
            <v>DAWSON DRILL 372</v>
          </cell>
          <cell r="H25">
            <v>-575</v>
          </cell>
          <cell r="I25" t="str">
            <v>856</v>
          </cell>
          <cell r="J25" t="str">
            <v>SEPT RENT REV</v>
          </cell>
        </row>
        <row r="26">
          <cell r="C26">
            <v>128</v>
          </cell>
          <cell r="D26">
            <v>40117</v>
          </cell>
          <cell r="E26" t="str">
            <v>454101</v>
          </cell>
          <cell r="F26" t="str">
            <v>100157</v>
          </cell>
          <cell r="G26" t="str">
            <v>DAWSON DRILLING</v>
          </cell>
          <cell r="H26">
            <v>-575</v>
          </cell>
          <cell r="I26" t="str">
            <v>856</v>
          </cell>
          <cell r="J26" t="str">
            <v>NOVEMBER RENT REV</v>
          </cell>
        </row>
        <row r="27">
          <cell r="C27">
            <v>49</v>
          </cell>
          <cell r="D27">
            <v>39844</v>
          </cell>
          <cell r="E27" t="str">
            <v>454101</v>
          </cell>
          <cell r="F27" t="str">
            <v>010157</v>
          </cell>
          <cell r="G27" t="str">
            <v>#372 DAWSON DRILLING</v>
          </cell>
          <cell r="H27">
            <v>-575</v>
          </cell>
          <cell r="I27" t="str">
            <v>856</v>
          </cell>
          <cell r="J27" t="str">
            <v>Feb RENT REV</v>
          </cell>
        </row>
        <row r="28">
          <cell r="C28">
            <v>50</v>
          </cell>
          <cell r="D28">
            <v>39872</v>
          </cell>
          <cell r="E28" t="str">
            <v>454101</v>
          </cell>
          <cell r="F28" t="str">
            <v>020157</v>
          </cell>
          <cell r="G28" t="str">
            <v>#372 DAWSON DRILLING</v>
          </cell>
          <cell r="H28">
            <v>-575</v>
          </cell>
          <cell r="I28" t="str">
            <v>856</v>
          </cell>
          <cell r="J28" t="str">
            <v>March RENT REV</v>
          </cell>
        </row>
        <row r="29">
          <cell r="C29">
            <v>51</v>
          </cell>
          <cell r="D29">
            <v>39903</v>
          </cell>
          <cell r="E29" t="str">
            <v>454101</v>
          </cell>
          <cell r="F29" t="str">
            <v>030157</v>
          </cell>
          <cell r="G29" t="str">
            <v>#372 DAWSON DRILLING</v>
          </cell>
          <cell r="H29">
            <v>-575</v>
          </cell>
          <cell r="I29" t="str">
            <v>856</v>
          </cell>
          <cell r="J29" t="str">
            <v>April RENT REV</v>
          </cell>
        </row>
        <row r="30">
          <cell r="C30">
            <v>52</v>
          </cell>
          <cell r="D30">
            <v>39933</v>
          </cell>
          <cell r="E30" t="str">
            <v>454101</v>
          </cell>
          <cell r="F30" t="str">
            <v>040157</v>
          </cell>
          <cell r="G30" t="str">
            <v>#372 DAWSON DRILLING</v>
          </cell>
          <cell r="H30">
            <v>-575</v>
          </cell>
          <cell r="I30" t="str">
            <v>856</v>
          </cell>
          <cell r="J30" t="str">
            <v>MAY RENT REV</v>
          </cell>
        </row>
        <row r="31">
          <cell r="C31">
            <v>53</v>
          </cell>
          <cell r="D31">
            <v>39964</v>
          </cell>
          <cell r="E31" t="str">
            <v>454101</v>
          </cell>
          <cell r="F31" t="str">
            <v>050157</v>
          </cell>
          <cell r="G31" t="str">
            <v>#372 DAWSON DRILLING</v>
          </cell>
          <cell r="H31">
            <v>-575</v>
          </cell>
          <cell r="I31" t="str">
            <v>856</v>
          </cell>
          <cell r="J31" t="str">
            <v>June RENT REV</v>
          </cell>
        </row>
        <row r="32">
          <cell r="C32">
            <v>54</v>
          </cell>
          <cell r="D32">
            <v>39994</v>
          </cell>
          <cell r="E32" t="str">
            <v>454101</v>
          </cell>
          <cell r="F32" t="str">
            <v>060157</v>
          </cell>
          <cell r="G32" t="str">
            <v>#372 DAWSON DRILLING</v>
          </cell>
          <cell r="H32">
            <v>-575</v>
          </cell>
          <cell r="I32" t="str">
            <v>856</v>
          </cell>
          <cell r="J32" t="str">
            <v>JULY Rent REV</v>
          </cell>
        </row>
        <row r="33">
          <cell r="C33">
            <v>55</v>
          </cell>
          <cell r="D33">
            <v>40025</v>
          </cell>
          <cell r="E33" t="str">
            <v>454101</v>
          </cell>
          <cell r="F33" t="str">
            <v>070157</v>
          </cell>
          <cell r="G33" t="str">
            <v>#372 DAWSON DRILLING</v>
          </cell>
          <cell r="H33">
            <v>-575</v>
          </cell>
          <cell r="I33" t="str">
            <v>856</v>
          </cell>
          <cell r="J33" t="str">
            <v>AUG RENT REV</v>
          </cell>
        </row>
        <row r="34">
          <cell r="C34">
            <v>99</v>
          </cell>
          <cell r="D34">
            <v>40086</v>
          </cell>
          <cell r="E34" t="str">
            <v>454101</v>
          </cell>
          <cell r="F34" t="str">
            <v>090157</v>
          </cell>
          <cell r="G34" t="str">
            <v>372 DAWSON DRILLING</v>
          </cell>
          <cell r="H34">
            <v>-575</v>
          </cell>
          <cell r="I34" t="str">
            <v>856</v>
          </cell>
          <cell r="J34" t="str">
            <v>OCTOBER RENT REV</v>
          </cell>
        </row>
        <row r="35">
          <cell r="C35">
            <v>100</v>
          </cell>
          <cell r="D35">
            <v>40178</v>
          </cell>
          <cell r="E35" t="str">
            <v>454101</v>
          </cell>
          <cell r="F35" t="str">
            <v>120157</v>
          </cell>
          <cell r="G35" t="str">
            <v>372 DAWSON DRILLING</v>
          </cell>
          <cell r="H35">
            <v>-575</v>
          </cell>
          <cell r="I35" t="str">
            <v>856</v>
          </cell>
          <cell r="J35" t="str">
            <v>Jan Rent Rev</v>
          </cell>
        </row>
        <row r="36">
          <cell r="C36">
            <v>56</v>
          </cell>
          <cell r="D36">
            <v>39872</v>
          </cell>
          <cell r="E36" t="str">
            <v>454101</v>
          </cell>
          <cell r="F36" t="str">
            <v>020157</v>
          </cell>
          <cell r="G36" t="str">
            <v>#387 DEAD HORSE RANCH</v>
          </cell>
          <cell r="H36">
            <v>-50</v>
          </cell>
          <cell r="I36" t="str">
            <v>856</v>
          </cell>
          <cell r="J36" t="str">
            <v>March RENT REV</v>
          </cell>
        </row>
        <row r="37">
          <cell r="C37">
            <v>109</v>
          </cell>
          <cell r="D37">
            <v>40178</v>
          </cell>
          <cell r="E37" t="str">
            <v>454101</v>
          </cell>
          <cell r="F37" t="str">
            <v>120157</v>
          </cell>
          <cell r="G37" t="str">
            <v>41 DIAMOND LIVESTOCK</v>
          </cell>
          <cell r="H37">
            <v>-125</v>
          </cell>
          <cell r="I37" t="str">
            <v>856</v>
          </cell>
          <cell r="J37" t="str">
            <v>Jan Rent Rev</v>
          </cell>
        </row>
        <row r="38">
          <cell r="C38">
            <v>72</v>
          </cell>
          <cell r="D38">
            <v>39872</v>
          </cell>
          <cell r="E38" t="str">
            <v>454101</v>
          </cell>
          <cell r="F38" t="str">
            <v>020157</v>
          </cell>
          <cell r="G38" t="str">
            <v>#41 DIAMOND LIVESTOCK</v>
          </cell>
          <cell r="H38">
            <v>-125</v>
          </cell>
          <cell r="I38" t="str">
            <v>856</v>
          </cell>
          <cell r="J38" t="str">
            <v>March RENT REV</v>
          </cell>
        </row>
        <row r="39">
          <cell r="C39">
            <v>130</v>
          </cell>
          <cell r="D39">
            <v>40056</v>
          </cell>
          <cell r="E39" t="str">
            <v>454101</v>
          </cell>
          <cell r="F39" t="str">
            <v>080157</v>
          </cell>
          <cell r="G39" t="str">
            <v>DIVOTZ 319</v>
          </cell>
          <cell r="H39">
            <v>-500</v>
          </cell>
          <cell r="I39" t="str">
            <v>856</v>
          </cell>
          <cell r="J39" t="str">
            <v>SEPT RENT REV</v>
          </cell>
        </row>
        <row r="40">
          <cell r="C40">
            <v>131</v>
          </cell>
          <cell r="D40">
            <v>40178</v>
          </cell>
          <cell r="E40" t="str">
            <v>454101</v>
          </cell>
          <cell r="F40" t="str">
            <v>120157</v>
          </cell>
          <cell r="G40" t="str">
            <v>DIVOTZ 319</v>
          </cell>
          <cell r="H40">
            <v>-450</v>
          </cell>
          <cell r="I40" t="str">
            <v>856</v>
          </cell>
          <cell r="J40" t="str">
            <v>Jan Rent Rev</v>
          </cell>
        </row>
        <row r="41">
          <cell r="C41">
            <v>20</v>
          </cell>
          <cell r="D41">
            <v>39844</v>
          </cell>
          <cell r="E41" t="str">
            <v>454101</v>
          </cell>
          <cell r="F41" t="str">
            <v>010157</v>
          </cell>
          <cell r="G41" t="str">
            <v>#319 DIVOTZ</v>
          </cell>
          <cell r="H41">
            <v>-500</v>
          </cell>
          <cell r="I41" t="str">
            <v>856</v>
          </cell>
          <cell r="J41" t="str">
            <v>Feb RENT REV</v>
          </cell>
        </row>
        <row r="42">
          <cell r="C42">
            <v>21</v>
          </cell>
          <cell r="D42">
            <v>39872</v>
          </cell>
          <cell r="E42" t="str">
            <v>454101</v>
          </cell>
          <cell r="F42" t="str">
            <v>020157</v>
          </cell>
          <cell r="G42" t="str">
            <v>#319 DIVOTZ</v>
          </cell>
          <cell r="H42">
            <v>-500</v>
          </cell>
          <cell r="I42" t="str">
            <v>856</v>
          </cell>
          <cell r="J42" t="str">
            <v>March RENT REV</v>
          </cell>
        </row>
        <row r="43">
          <cell r="C43">
            <v>22</v>
          </cell>
          <cell r="D43">
            <v>39903</v>
          </cell>
          <cell r="E43" t="str">
            <v>454101</v>
          </cell>
          <cell r="F43" t="str">
            <v>030157</v>
          </cell>
          <cell r="G43" t="str">
            <v>#319 DIVOTZ</v>
          </cell>
          <cell r="H43">
            <v>-500</v>
          </cell>
          <cell r="I43" t="str">
            <v>856</v>
          </cell>
          <cell r="J43" t="str">
            <v>April RENT REV</v>
          </cell>
        </row>
        <row r="44">
          <cell r="C44">
            <v>23</v>
          </cell>
          <cell r="D44">
            <v>39964</v>
          </cell>
          <cell r="E44" t="str">
            <v>454101</v>
          </cell>
          <cell r="F44" t="str">
            <v>050157</v>
          </cell>
          <cell r="G44" t="str">
            <v>#319 DIVOTZ</v>
          </cell>
          <cell r="H44">
            <v>-500</v>
          </cell>
          <cell r="I44" t="str">
            <v>856</v>
          </cell>
          <cell r="J44" t="str">
            <v>June RENT REV</v>
          </cell>
        </row>
        <row r="45">
          <cell r="C45">
            <v>24</v>
          </cell>
          <cell r="D45">
            <v>39994</v>
          </cell>
          <cell r="E45" t="str">
            <v>454101</v>
          </cell>
          <cell r="F45" t="str">
            <v>060157</v>
          </cell>
          <cell r="G45" t="str">
            <v>#319 DIVOTZ</v>
          </cell>
          <cell r="H45">
            <v>-500</v>
          </cell>
          <cell r="I45" t="str">
            <v>856</v>
          </cell>
          <cell r="J45" t="str">
            <v>JULY Rent REV</v>
          </cell>
        </row>
        <row r="46">
          <cell r="C46">
            <v>25</v>
          </cell>
          <cell r="D46">
            <v>40025</v>
          </cell>
          <cell r="E46" t="str">
            <v>454101</v>
          </cell>
          <cell r="F46" t="str">
            <v>070157</v>
          </cell>
          <cell r="G46" t="str">
            <v>#319 DIVOTZ</v>
          </cell>
          <cell r="H46">
            <v>-500</v>
          </cell>
          <cell r="I46" t="str">
            <v>856</v>
          </cell>
          <cell r="J46" t="str">
            <v>AUG RENT REV</v>
          </cell>
        </row>
        <row r="47">
          <cell r="C47">
            <v>26</v>
          </cell>
          <cell r="D47">
            <v>40086</v>
          </cell>
          <cell r="E47" t="str">
            <v>454101</v>
          </cell>
          <cell r="F47" t="str">
            <v>090157</v>
          </cell>
          <cell r="G47" t="str">
            <v>#319 DIVOTZ</v>
          </cell>
          <cell r="H47">
            <v>-500</v>
          </cell>
          <cell r="I47" t="str">
            <v>856</v>
          </cell>
          <cell r="J47" t="str">
            <v>OCTOBER RENT REV</v>
          </cell>
        </row>
        <row r="48">
          <cell r="C48">
            <v>85</v>
          </cell>
          <cell r="D48">
            <v>40178</v>
          </cell>
          <cell r="E48" t="str">
            <v>454101</v>
          </cell>
          <cell r="F48" t="str">
            <v>120157</v>
          </cell>
          <cell r="G48" t="str">
            <v>319 DIVOTZ DISCOUNT GOLF</v>
          </cell>
          <cell r="H48">
            <v>-500</v>
          </cell>
          <cell r="I48" t="str">
            <v>856</v>
          </cell>
          <cell r="J48" t="str">
            <v>Jan Rent Rev</v>
          </cell>
        </row>
        <row r="49">
          <cell r="C49">
            <v>27</v>
          </cell>
          <cell r="D49">
            <v>39933</v>
          </cell>
          <cell r="E49" t="str">
            <v>454101</v>
          </cell>
          <cell r="F49" t="str">
            <v>040157</v>
          </cell>
          <cell r="G49" t="str">
            <v>#319 DIVOTZ LEASE</v>
          </cell>
          <cell r="H49">
            <v>-500</v>
          </cell>
          <cell r="I49" t="str">
            <v>856</v>
          </cell>
          <cell r="J49" t="str">
            <v>MAY RENT REV</v>
          </cell>
        </row>
        <row r="50">
          <cell r="C50">
            <v>28</v>
          </cell>
          <cell r="D50">
            <v>39933</v>
          </cell>
          <cell r="E50" t="str">
            <v>454102</v>
          </cell>
          <cell r="F50" t="str">
            <v>040157</v>
          </cell>
          <cell r="G50" t="str">
            <v>#319 DIVOTZ LEASE</v>
          </cell>
          <cell r="H50">
            <v>-50</v>
          </cell>
          <cell r="I50" t="str">
            <v>856</v>
          </cell>
          <cell r="J50" t="str">
            <v>MAY RENT REV</v>
          </cell>
        </row>
        <row r="51">
          <cell r="C51">
            <v>86</v>
          </cell>
          <cell r="D51">
            <v>40117</v>
          </cell>
          <cell r="E51" t="str">
            <v>454101</v>
          </cell>
          <cell r="F51" t="str">
            <v>100157</v>
          </cell>
          <cell r="G51" t="str">
            <v>319 DIVOTZ LEASE</v>
          </cell>
          <cell r="H51">
            <v>-500</v>
          </cell>
          <cell r="I51" t="str">
            <v>856</v>
          </cell>
          <cell r="J51" t="str">
            <v>NOVEMBER RENT REV</v>
          </cell>
        </row>
        <row r="52">
          <cell r="C52">
            <v>134</v>
          </cell>
          <cell r="D52">
            <v>40025</v>
          </cell>
          <cell r="E52" t="str">
            <v>454101</v>
          </cell>
          <cell r="F52" t="str">
            <v>070157</v>
          </cell>
          <cell r="G52" t="str">
            <v>DIVOTZ QUATERLY FEE</v>
          </cell>
          <cell r="H52">
            <v>-10245.25</v>
          </cell>
          <cell r="I52" t="str">
            <v>856</v>
          </cell>
          <cell r="J52" t="str">
            <v>AUG RENT REV</v>
          </cell>
        </row>
        <row r="53">
          <cell r="C53">
            <v>132</v>
          </cell>
          <cell r="D53">
            <v>40117</v>
          </cell>
          <cell r="E53" t="str">
            <v>454101</v>
          </cell>
          <cell r="F53" t="str">
            <v>100157</v>
          </cell>
          <cell r="G53" t="str">
            <v>DIVOTZ 3RD QUARTER</v>
          </cell>
          <cell r="H53">
            <v>-8137.43</v>
          </cell>
          <cell r="I53" t="str">
            <v>856</v>
          </cell>
          <cell r="J53" t="str">
            <v>NOVEMBER RENT REV</v>
          </cell>
        </row>
        <row r="54">
          <cell r="C54">
            <v>129</v>
          </cell>
          <cell r="D54">
            <v>39933</v>
          </cell>
          <cell r="E54" t="str">
            <v>454101</v>
          </cell>
          <cell r="F54" t="str">
            <v>040157</v>
          </cell>
          <cell r="G54" t="str">
            <v>DIVOTZ 1RST QUARTER PAYME</v>
          </cell>
          <cell r="H54">
            <v>-4270.8599999999997</v>
          </cell>
          <cell r="I54" t="str">
            <v>856</v>
          </cell>
          <cell r="J54" t="str">
            <v>MAY RENT REV</v>
          </cell>
        </row>
        <row r="55">
          <cell r="C55">
            <v>133</v>
          </cell>
          <cell r="D55">
            <v>39844</v>
          </cell>
          <cell r="E55" t="str">
            <v>454101</v>
          </cell>
          <cell r="F55" t="str">
            <v>010157</v>
          </cell>
          <cell r="G55" t="str">
            <v>DIVOTZ 4TH QTR PAYMENT</v>
          </cell>
          <cell r="H55">
            <v>-3695.38</v>
          </cell>
          <cell r="I55" t="str">
            <v>856</v>
          </cell>
          <cell r="J55" t="str">
            <v>Feb RENT REV</v>
          </cell>
        </row>
        <row r="56">
          <cell r="C56">
            <v>135</v>
          </cell>
          <cell r="D56">
            <v>40086</v>
          </cell>
          <cell r="E56" t="str">
            <v>454101</v>
          </cell>
          <cell r="F56" t="str">
            <v>090157</v>
          </cell>
          <cell r="G56" t="str">
            <v>DWIGHT HILL 259</v>
          </cell>
          <cell r="H56">
            <v>-500</v>
          </cell>
          <cell r="I56" t="str">
            <v>856</v>
          </cell>
          <cell r="J56" t="str">
            <v>OCTOBER RENT REV</v>
          </cell>
        </row>
        <row r="57">
          <cell r="C57">
            <v>136</v>
          </cell>
          <cell r="D57">
            <v>40025</v>
          </cell>
          <cell r="E57" t="str">
            <v>454101</v>
          </cell>
          <cell r="F57" t="str">
            <v>070157</v>
          </cell>
          <cell r="G57" t="str">
            <v>FA10129831 HAGERMAN #408</v>
          </cell>
          <cell r="H57">
            <v>-7300</v>
          </cell>
          <cell r="I57" t="str">
            <v>856</v>
          </cell>
          <cell r="J57" t="str">
            <v>AUG RENT REV</v>
          </cell>
        </row>
        <row r="58">
          <cell r="C58">
            <v>137</v>
          </cell>
          <cell r="D58">
            <v>39872</v>
          </cell>
          <cell r="E58" t="str">
            <v>454101</v>
          </cell>
          <cell r="F58" t="str">
            <v>020157</v>
          </cell>
          <cell r="G58" t="str">
            <v>FEB REV CORRECTION #291</v>
          </cell>
          <cell r="H58">
            <v>-1890</v>
          </cell>
          <cell r="I58" t="str">
            <v>856</v>
          </cell>
          <cell r="J58" t="str">
            <v>March RENT REV</v>
          </cell>
        </row>
        <row r="59">
          <cell r="C59">
            <v>6</v>
          </cell>
          <cell r="D59">
            <v>39994</v>
          </cell>
          <cell r="E59" t="str">
            <v>454102</v>
          </cell>
          <cell r="F59" t="str">
            <v>060157</v>
          </cell>
          <cell r="G59" t="str">
            <v>#151 FORSEA AND SONS</v>
          </cell>
          <cell r="H59">
            <v>-350</v>
          </cell>
          <cell r="I59" t="str">
            <v>856</v>
          </cell>
          <cell r="J59" t="str">
            <v>JULY Rent REV</v>
          </cell>
        </row>
        <row r="60">
          <cell r="C60">
            <v>79</v>
          </cell>
          <cell r="D60">
            <v>40086</v>
          </cell>
          <cell r="E60" t="str">
            <v>454101</v>
          </cell>
          <cell r="F60" t="str">
            <v>090157</v>
          </cell>
          <cell r="G60" t="str">
            <v>247 GINGERICH</v>
          </cell>
          <cell r="H60">
            <v>-1140</v>
          </cell>
          <cell r="I60" t="str">
            <v>856</v>
          </cell>
          <cell r="J60" t="str">
            <v>OCTOBER RENT REV</v>
          </cell>
        </row>
        <row r="61">
          <cell r="C61">
            <v>138</v>
          </cell>
          <cell r="D61">
            <v>40147</v>
          </cell>
          <cell r="E61" t="str">
            <v>454101</v>
          </cell>
          <cell r="F61" t="str">
            <v>110157</v>
          </cell>
          <cell r="G61" t="str">
            <v>GROVE SUB 291</v>
          </cell>
          <cell r="H61">
            <v>-1890</v>
          </cell>
          <cell r="I61" t="str">
            <v>856</v>
          </cell>
          <cell r="J61" t="str">
            <v>DEC RENT REV</v>
          </cell>
        </row>
        <row r="62">
          <cell r="C62">
            <v>81</v>
          </cell>
          <cell r="D62">
            <v>40178</v>
          </cell>
          <cell r="E62" t="str">
            <v>454101</v>
          </cell>
          <cell r="F62" t="str">
            <v>120157</v>
          </cell>
          <cell r="G62" t="str">
            <v>291 GROVE SUB PARKING</v>
          </cell>
          <cell r="H62">
            <v>-1890</v>
          </cell>
          <cell r="I62" t="str">
            <v>856</v>
          </cell>
          <cell r="J62" t="str">
            <v>Jan Rent Rev</v>
          </cell>
        </row>
        <row r="63">
          <cell r="C63">
            <v>139</v>
          </cell>
          <cell r="D63">
            <v>40147</v>
          </cell>
          <cell r="E63" t="str">
            <v>454101</v>
          </cell>
          <cell r="F63" t="str">
            <v>110157</v>
          </cell>
          <cell r="G63" t="str">
            <v>HAGAR HUNT</v>
          </cell>
          <cell r="H63">
            <v>-200</v>
          </cell>
          <cell r="I63" t="str">
            <v>856</v>
          </cell>
          <cell r="J63" t="str">
            <v>DEC RENT REV</v>
          </cell>
        </row>
        <row r="64">
          <cell r="C64">
            <v>140</v>
          </cell>
          <cell r="D64">
            <v>40025</v>
          </cell>
          <cell r="E64" t="str">
            <v>454101</v>
          </cell>
          <cell r="F64" t="str">
            <v>070157</v>
          </cell>
          <cell r="G64" t="str">
            <v>HAGER HUNT</v>
          </cell>
          <cell r="H64">
            <v>-200</v>
          </cell>
          <cell r="I64" t="str">
            <v>856</v>
          </cell>
          <cell r="J64" t="str">
            <v>AUG RENT REV</v>
          </cell>
        </row>
        <row r="65">
          <cell r="C65">
            <v>141</v>
          </cell>
          <cell r="D65">
            <v>40178</v>
          </cell>
          <cell r="E65" t="str">
            <v>454101</v>
          </cell>
          <cell r="F65" t="str">
            <v>120157</v>
          </cell>
          <cell r="G65" t="str">
            <v>HAGER HUNT</v>
          </cell>
          <cell r="H65">
            <v>-200</v>
          </cell>
          <cell r="I65" t="str">
            <v>856</v>
          </cell>
          <cell r="J65" t="str">
            <v>Jan Rent Rev</v>
          </cell>
        </row>
        <row r="66">
          <cell r="C66">
            <v>142</v>
          </cell>
          <cell r="D66">
            <v>39872</v>
          </cell>
          <cell r="E66" t="str">
            <v>454101</v>
          </cell>
          <cell r="F66" t="str">
            <v>020157</v>
          </cell>
          <cell r="G66" t="str">
            <v>HAGER HUNT RENTAL</v>
          </cell>
          <cell r="H66">
            <v>-200</v>
          </cell>
          <cell r="I66" t="str">
            <v>856</v>
          </cell>
          <cell r="J66" t="str">
            <v>March RENT REV</v>
          </cell>
        </row>
        <row r="67">
          <cell r="C67">
            <v>143</v>
          </cell>
          <cell r="D67">
            <v>40117</v>
          </cell>
          <cell r="E67" t="str">
            <v>454101</v>
          </cell>
          <cell r="F67" t="str">
            <v>100157</v>
          </cell>
          <cell r="G67" t="str">
            <v>HAGER HUNT SUB</v>
          </cell>
          <cell r="H67">
            <v>-200</v>
          </cell>
          <cell r="I67" t="str">
            <v>856</v>
          </cell>
          <cell r="J67" t="str">
            <v>NOVEMBER RENT REV</v>
          </cell>
        </row>
        <row r="68">
          <cell r="C68">
            <v>144</v>
          </cell>
          <cell r="D68">
            <v>39994</v>
          </cell>
          <cell r="E68" t="str">
            <v>454101</v>
          </cell>
          <cell r="F68" t="str">
            <v>060157</v>
          </cell>
          <cell r="G68" t="str">
            <v>HAGER JUNE AND JULY</v>
          </cell>
          <cell r="H68">
            <v>-400</v>
          </cell>
          <cell r="I68" t="str">
            <v>856</v>
          </cell>
          <cell r="J68" t="str">
            <v>JULY Rent REV</v>
          </cell>
        </row>
        <row r="69">
          <cell r="C69">
            <v>145</v>
          </cell>
          <cell r="D69">
            <v>39903</v>
          </cell>
          <cell r="E69" t="str">
            <v>454101</v>
          </cell>
          <cell r="F69" t="str">
            <v>030157</v>
          </cell>
          <cell r="G69" t="str">
            <v>HAGER RENTAL</v>
          </cell>
          <cell r="H69">
            <v>-200</v>
          </cell>
          <cell r="I69" t="str">
            <v>856</v>
          </cell>
          <cell r="J69" t="str">
            <v>April RENT REV</v>
          </cell>
        </row>
        <row r="70">
          <cell r="C70">
            <v>146</v>
          </cell>
          <cell r="D70">
            <v>39933</v>
          </cell>
          <cell r="E70" t="str">
            <v>454101</v>
          </cell>
          <cell r="F70" t="str">
            <v>040157</v>
          </cell>
          <cell r="G70" t="str">
            <v>HAGER RENTAL</v>
          </cell>
          <cell r="H70">
            <v>-200</v>
          </cell>
          <cell r="I70" t="str">
            <v>856</v>
          </cell>
          <cell r="J70" t="str">
            <v>MAY RENT REV</v>
          </cell>
        </row>
        <row r="71">
          <cell r="C71">
            <v>147</v>
          </cell>
          <cell r="D71">
            <v>40056</v>
          </cell>
          <cell r="E71" t="str">
            <v>454101</v>
          </cell>
          <cell r="F71" t="str">
            <v>080157</v>
          </cell>
          <cell r="G71" t="str">
            <v>HAGER RENTAL</v>
          </cell>
          <cell r="H71">
            <v>-200</v>
          </cell>
          <cell r="I71" t="str">
            <v>856</v>
          </cell>
          <cell r="J71" t="str">
            <v>SEPT RENT REV</v>
          </cell>
        </row>
        <row r="72">
          <cell r="C72">
            <v>148</v>
          </cell>
          <cell r="D72">
            <v>40086</v>
          </cell>
          <cell r="E72" t="str">
            <v>454101</v>
          </cell>
          <cell r="F72" t="str">
            <v>090157</v>
          </cell>
          <cell r="G72" t="str">
            <v>HAGER RENTAL</v>
          </cell>
          <cell r="H72">
            <v>-200</v>
          </cell>
          <cell r="I72" t="str">
            <v>856</v>
          </cell>
          <cell r="J72" t="str">
            <v>OCTOBER RENT REV</v>
          </cell>
        </row>
        <row r="73">
          <cell r="C73">
            <v>149</v>
          </cell>
          <cell r="D73">
            <v>39844</v>
          </cell>
          <cell r="E73" t="str">
            <v>454101</v>
          </cell>
          <cell r="F73" t="str">
            <v>010157</v>
          </cell>
          <cell r="G73" t="str">
            <v>HAGER RENTAL HUNT SUB</v>
          </cell>
          <cell r="H73">
            <v>-200</v>
          </cell>
          <cell r="I73" t="str">
            <v>856</v>
          </cell>
          <cell r="J73" t="str">
            <v>Feb RENT REV</v>
          </cell>
        </row>
        <row r="74">
          <cell r="C74">
            <v>150</v>
          </cell>
          <cell r="D74">
            <v>40178</v>
          </cell>
          <cell r="E74" t="str">
            <v>454101</v>
          </cell>
          <cell r="F74" t="str">
            <v>120157</v>
          </cell>
          <cell r="G74" t="str">
            <v>HAGER-EDEN</v>
          </cell>
          <cell r="H74">
            <v>-200</v>
          </cell>
          <cell r="I74" t="str">
            <v>856</v>
          </cell>
          <cell r="J74" t="str">
            <v>Jan Rent Rev</v>
          </cell>
        </row>
        <row r="75">
          <cell r="C75">
            <v>151</v>
          </cell>
          <cell r="D75">
            <v>40178</v>
          </cell>
          <cell r="E75" t="str">
            <v>454102</v>
          </cell>
          <cell r="F75" t="str">
            <v>120034</v>
          </cell>
          <cell r="G75" t="str">
            <v>HORIZON WIND PERMIT</v>
          </cell>
          <cell r="H75">
            <v>-2500</v>
          </cell>
          <cell r="I75" t="str">
            <v>856</v>
          </cell>
          <cell r="J75" t="str">
            <v>Misc Cash Acctg ID 0000208379</v>
          </cell>
        </row>
        <row r="76">
          <cell r="C76">
            <v>152</v>
          </cell>
          <cell r="D76">
            <v>40178</v>
          </cell>
          <cell r="E76" t="str">
            <v>454101</v>
          </cell>
          <cell r="F76" t="str">
            <v>120034</v>
          </cell>
          <cell r="G76" t="str">
            <v>ID TRANS DEPT EASEMENT SA</v>
          </cell>
          <cell r="H76">
            <v>-29182</v>
          </cell>
          <cell r="I76" t="str">
            <v>856</v>
          </cell>
          <cell r="J76" t="str">
            <v>Misc Cash Acctg ID 0000208379</v>
          </cell>
        </row>
        <row r="77">
          <cell r="C77">
            <v>102</v>
          </cell>
          <cell r="D77">
            <v>40178</v>
          </cell>
          <cell r="E77" t="str">
            <v>454101</v>
          </cell>
          <cell r="F77" t="str">
            <v>120157</v>
          </cell>
          <cell r="G77" t="str">
            <v>388 JENTZCH-KEARL FARMS</v>
          </cell>
          <cell r="H77">
            <v>-50</v>
          </cell>
          <cell r="I77" t="str">
            <v>856</v>
          </cell>
          <cell r="J77" t="str">
            <v>Jan Rent Rev</v>
          </cell>
        </row>
        <row r="78">
          <cell r="C78">
            <v>57</v>
          </cell>
          <cell r="D78">
            <v>39872</v>
          </cell>
          <cell r="E78" t="str">
            <v>454101</v>
          </cell>
          <cell r="F78" t="str">
            <v>020157</v>
          </cell>
          <cell r="G78" t="str">
            <v>#388 JENTZSCH-KEARL FARMS</v>
          </cell>
          <cell r="H78">
            <v>-50</v>
          </cell>
          <cell r="I78" t="str">
            <v>856</v>
          </cell>
          <cell r="J78" t="str">
            <v>March RENT REV</v>
          </cell>
        </row>
        <row r="79">
          <cell r="C79">
            <v>73</v>
          </cell>
          <cell r="D79">
            <v>39964</v>
          </cell>
          <cell r="E79" t="str">
            <v>454102</v>
          </cell>
          <cell r="F79" t="str">
            <v>050157</v>
          </cell>
          <cell r="G79" t="str">
            <v>#419 JOHN AMES</v>
          </cell>
          <cell r="H79">
            <v>-100</v>
          </cell>
          <cell r="I79" t="str">
            <v>856</v>
          </cell>
          <cell r="J79" t="str">
            <v>June RENT REV</v>
          </cell>
        </row>
        <row r="80">
          <cell r="C80">
            <v>153</v>
          </cell>
          <cell r="D80">
            <v>40086</v>
          </cell>
          <cell r="E80" t="str">
            <v>454101</v>
          </cell>
          <cell r="F80" t="str">
            <v>090157</v>
          </cell>
          <cell r="G80" t="str">
            <v>KILL HILL IRRIGATION PERM</v>
          </cell>
          <cell r="H80">
            <v>-100</v>
          </cell>
          <cell r="I80" t="str">
            <v>856</v>
          </cell>
          <cell r="J80" t="str">
            <v>OCTOBER RENT REV</v>
          </cell>
        </row>
        <row r="81">
          <cell r="C81">
            <v>74</v>
          </cell>
          <cell r="D81">
            <v>39872</v>
          </cell>
          <cell r="E81" t="str">
            <v>454102</v>
          </cell>
          <cell r="F81" t="str">
            <v>020157</v>
          </cell>
          <cell r="G81" t="str">
            <v>#48 KIM WRIGHT</v>
          </cell>
          <cell r="H81">
            <v>-10</v>
          </cell>
          <cell r="I81" t="str">
            <v>856</v>
          </cell>
          <cell r="J81" t="str">
            <v>March RENT REV</v>
          </cell>
        </row>
        <row r="82">
          <cell r="C82">
            <v>5</v>
          </cell>
          <cell r="D82">
            <v>39994</v>
          </cell>
          <cell r="E82" t="str">
            <v>454101</v>
          </cell>
          <cell r="F82" t="str">
            <v>060157</v>
          </cell>
          <cell r="G82" t="str">
            <v>#124 KNIGHT GRAZING LEASE</v>
          </cell>
          <cell r="H82">
            <v>-100</v>
          </cell>
          <cell r="I82" t="str">
            <v>856</v>
          </cell>
          <cell r="J82" t="str">
            <v>JULY Rent REV</v>
          </cell>
        </row>
        <row r="83">
          <cell r="C83">
            <v>154</v>
          </cell>
          <cell r="D83">
            <v>40086</v>
          </cell>
          <cell r="E83" t="str">
            <v>454101</v>
          </cell>
          <cell r="F83" t="str">
            <v>090157</v>
          </cell>
          <cell r="G83" t="str">
            <v>LAMAR 345 357 358</v>
          </cell>
          <cell r="H83">
            <v>-5709.39</v>
          </cell>
          <cell r="I83" t="str">
            <v>856</v>
          </cell>
          <cell r="J83" t="str">
            <v>OCTOBER RENT REV</v>
          </cell>
        </row>
        <row r="84">
          <cell r="C84">
            <v>92</v>
          </cell>
          <cell r="D84">
            <v>40147</v>
          </cell>
          <cell r="E84" t="str">
            <v>454101</v>
          </cell>
          <cell r="F84" t="str">
            <v>110157</v>
          </cell>
          <cell r="G84" t="str">
            <v>346 LAMAR</v>
          </cell>
          <cell r="H84">
            <v>-1695.33</v>
          </cell>
          <cell r="I84" t="str">
            <v>856</v>
          </cell>
          <cell r="J84" t="str">
            <v>DEC RENT REV</v>
          </cell>
        </row>
        <row r="85">
          <cell r="C85">
            <v>8</v>
          </cell>
          <cell r="D85">
            <v>39872</v>
          </cell>
          <cell r="E85" t="str">
            <v>454101</v>
          </cell>
          <cell r="F85" t="str">
            <v>020157</v>
          </cell>
          <cell r="G85" t="str">
            <v>#264 LAMAR OUTDOOR</v>
          </cell>
          <cell r="H85">
            <v>-1354.17</v>
          </cell>
          <cell r="I85" t="str">
            <v>856</v>
          </cell>
          <cell r="J85" t="str">
            <v>March RENT REV</v>
          </cell>
        </row>
        <row r="86">
          <cell r="C86">
            <v>93</v>
          </cell>
          <cell r="D86">
            <v>40147</v>
          </cell>
          <cell r="E86" t="str">
            <v>454101</v>
          </cell>
          <cell r="F86" t="str">
            <v>110157</v>
          </cell>
          <cell r="G86" t="str">
            <v>348 LAMAR OUTDOOR AD</v>
          </cell>
          <cell r="H86">
            <v>-1695.33</v>
          </cell>
          <cell r="I86" t="str">
            <v>856</v>
          </cell>
          <cell r="J86" t="str">
            <v>DEC RENT REV</v>
          </cell>
        </row>
        <row r="87">
          <cell r="C87">
            <v>19</v>
          </cell>
          <cell r="D87">
            <v>39903</v>
          </cell>
          <cell r="E87" t="str">
            <v>454101</v>
          </cell>
          <cell r="F87" t="str">
            <v>030157</v>
          </cell>
          <cell r="G87" t="str">
            <v>#314 LAMAR SHORELINE</v>
          </cell>
          <cell r="H87">
            <v>-2186.66</v>
          </cell>
          <cell r="I87" t="str">
            <v>856</v>
          </cell>
          <cell r="J87" t="str">
            <v>April RENT REV</v>
          </cell>
        </row>
        <row r="88">
          <cell r="C88">
            <v>155</v>
          </cell>
          <cell r="D88">
            <v>39872</v>
          </cell>
          <cell r="E88" t="str">
            <v>454101</v>
          </cell>
          <cell r="F88" t="str">
            <v>020157</v>
          </cell>
          <cell r="G88" t="str">
            <v>LEVEL 3 COMM LEASE 407</v>
          </cell>
          <cell r="H88">
            <v>-3250.57</v>
          </cell>
          <cell r="I88" t="str">
            <v>856</v>
          </cell>
          <cell r="J88" t="str">
            <v>March RENT REV</v>
          </cell>
        </row>
        <row r="89">
          <cell r="C89">
            <v>10</v>
          </cell>
          <cell r="D89">
            <v>39964</v>
          </cell>
          <cell r="E89" t="str">
            <v>454101</v>
          </cell>
          <cell r="F89" t="str">
            <v>050157</v>
          </cell>
          <cell r="G89" t="str">
            <v>#289 LOTT</v>
          </cell>
          <cell r="H89">
            <v>-100</v>
          </cell>
          <cell r="I89" t="str">
            <v>856</v>
          </cell>
          <cell r="J89" t="str">
            <v>June RENT REV</v>
          </cell>
        </row>
        <row r="90">
          <cell r="C90">
            <v>75</v>
          </cell>
          <cell r="D90">
            <v>39872</v>
          </cell>
          <cell r="E90" t="str">
            <v>454101</v>
          </cell>
          <cell r="F90" t="str">
            <v>020157</v>
          </cell>
          <cell r="G90" t="str">
            <v>#66 LUNDY LEASE</v>
          </cell>
          <cell r="H90">
            <v>-100</v>
          </cell>
          <cell r="I90" t="str">
            <v>856</v>
          </cell>
          <cell r="J90" t="str">
            <v>March RENT REV</v>
          </cell>
        </row>
        <row r="91">
          <cell r="C91">
            <v>87</v>
          </cell>
          <cell r="D91">
            <v>40147</v>
          </cell>
          <cell r="E91" t="str">
            <v>454101</v>
          </cell>
          <cell r="F91" t="str">
            <v>110157</v>
          </cell>
          <cell r="G91" t="str">
            <v>319 MCBIRNEY</v>
          </cell>
          <cell r="H91">
            <v>-500</v>
          </cell>
          <cell r="I91" t="str">
            <v>856</v>
          </cell>
          <cell r="J91" t="str">
            <v>DEC RENT REV</v>
          </cell>
        </row>
        <row r="92">
          <cell r="C92">
            <v>103</v>
          </cell>
          <cell r="D92">
            <v>40178</v>
          </cell>
          <cell r="E92" t="str">
            <v>454101</v>
          </cell>
          <cell r="F92" t="str">
            <v>120157</v>
          </cell>
          <cell r="G92" t="str">
            <v>394 MCFARLAND</v>
          </cell>
          <cell r="H92">
            <v>-400</v>
          </cell>
          <cell r="I92" t="str">
            <v>856</v>
          </cell>
          <cell r="J92" t="str">
            <v>Jan Rent Rev</v>
          </cell>
        </row>
        <row r="93">
          <cell r="C93">
            <v>156</v>
          </cell>
          <cell r="D93">
            <v>40117</v>
          </cell>
          <cell r="E93" t="str">
            <v>454101</v>
          </cell>
          <cell r="F93" t="str">
            <v>100157</v>
          </cell>
          <cell r="G93" t="str">
            <v>MCFARLAND CASCADE #394</v>
          </cell>
          <cell r="H93">
            <v>-400</v>
          </cell>
          <cell r="I93" t="str">
            <v>856</v>
          </cell>
          <cell r="J93" t="str">
            <v>NOVEMBER RENT REV</v>
          </cell>
        </row>
        <row r="94">
          <cell r="C94">
            <v>157</v>
          </cell>
          <cell r="D94">
            <v>40056</v>
          </cell>
          <cell r="E94" t="str">
            <v>454101</v>
          </cell>
          <cell r="F94" t="str">
            <v>080157</v>
          </cell>
          <cell r="G94" t="str">
            <v>MCFARLAND CASCADE 394</v>
          </cell>
          <cell r="H94">
            <v>-400</v>
          </cell>
          <cell r="I94" t="str">
            <v>856</v>
          </cell>
          <cell r="J94" t="str">
            <v>SEPT RENT REV</v>
          </cell>
        </row>
        <row r="95">
          <cell r="C95">
            <v>58</v>
          </cell>
          <cell r="D95">
            <v>39844</v>
          </cell>
          <cell r="E95" t="str">
            <v>454101</v>
          </cell>
          <cell r="F95" t="str">
            <v>010157</v>
          </cell>
          <cell r="G95" t="str">
            <v>#394 MCFARLAND CASCADE</v>
          </cell>
          <cell r="H95">
            <v>-400</v>
          </cell>
          <cell r="I95" t="str">
            <v>856</v>
          </cell>
          <cell r="J95" t="str">
            <v>Feb RENT REV</v>
          </cell>
        </row>
        <row r="96">
          <cell r="C96">
            <v>59</v>
          </cell>
          <cell r="D96">
            <v>39872</v>
          </cell>
          <cell r="E96" t="str">
            <v>454101</v>
          </cell>
          <cell r="F96" t="str">
            <v>020157</v>
          </cell>
          <cell r="G96" t="str">
            <v>#394 MCFARLAND CASCADE</v>
          </cell>
          <cell r="H96">
            <v>-400</v>
          </cell>
          <cell r="I96" t="str">
            <v>856</v>
          </cell>
          <cell r="J96" t="str">
            <v>March RENT REV</v>
          </cell>
        </row>
        <row r="97">
          <cell r="C97">
            <v>60</v>
          </cell>
          <cell r="D97">
            <v>39903</v>
          </cell>
          <cell r="E97" t="str">
            <v>454101</v>
          </cell>
          <cell r="F97" t="str">
            <v>030157</v>
          </cell>
          <cell r="G97" t="str">
            <v>#394 MCFARLAND CASCADE</v>
          </cell>
          <cell r="H97">
            <v>-400</v>
          </cell>
          <cell r="I97" t="str">
            <v>856</v>
          </cell>
          <cell r="J97" t="str">
            <v>April RENT REV</v>
          </cell>
        </row>
        <row r="98">
          <cell r="C98">
            <v>61</v>
          </cell>
          <cell r="D98">
            <v>39933</v>
          </cell>
          <cell r="E98" t="str">
            <v>454101</v>
          </cell>
          <cell r="F98" t="str">
            <v>040157</v>
          </cell>
          <cell r="G98" t="str">
            <v>#394 MCFARLAND CASCADE</v>
          </cell>
          <cell r="H98">
            <v>-400</v>
          </cell>
          <cell r="I98" t="str">
            <v>856</v>
          </cell>
          <cell r="J98" t="str">
            <v>MAY RENT REV</v>
          </cell>
        </row>
        <row r="99">
          <cell r="C99">
            <v>62</v>
          </cell>
          <cell r="D99">
            <v>39964</v>
          </cell>
          <cell r="E99" t="str">
            <v>454101</v>
          </cell>
          <cell r="F99" t="str">
            <v>050157</v>
          </cell>
          <cell r="G99" t="str">
            <v>#394 MCFARLAND CASCADE</v>
          </cell>
          <cell r="H99">
            <v>-400</v>
          </cell>
          <cell r="I99" t="str">
            <v>856</v>
          </cell>
          <cell r="J99" t="str">
            <v>June RENT REV</v>
          </cell>
        </row>
        <row r="100">
          <cell r="C100">
            <v>63</v>
          </cell>
          <cell r="D100">
            <v>39994</v>
          </cell>
          <cell r="E100" t="str">
            <v>454101</v>
          </cell>
          <cell r="F100" t="str">
            <v>060157</v>
          </cell>
          <cell r="G100" t="str">
            <v>#394 MCFARLAND CASCADE</v>
          </cell>
          <cell r="H100">
            <v>-400</v>
          </cell>
          <cell r="I100" t="str">
            <v>856</v>
          </cell>
          <cell r="J100" t="str">
            <v>JULY Rent REV</v>
          </cell>
        </row>
        <row r="101">
          <cell r="C101">
            <v>64</v>
          </cell>
          <cell r="D101">
            <v>40025</v>
          </cell>
          <cell r="E101" t="str">
            <v>454101</v>
          </cell>
          <cell r="F101" t="str">
            <v>070157</v>
          </cell>
          <cell r="G101" t="str">
            <v>#394 MCFARLAND CASCADE</v>
          </cell>
          <cell r="H101">
            <v>-400</v>
          </cell>
          <cell r="I101" t="str">
            <v>856</v>
          </cell>
          <cell r="J101" t="str">
            <v>AUG RENT REV</v>
          </cell>
        </row>
        <row r="102">
          <cell r="C102">
            <v>104</v>
          </cell>
          <cell r="D102">
            <v>40086</v>
          </cell>
          <cell r="E102" t="str">
            <v>454101</v>
          </cell>
          <cell r="F102" t="str">
            <v>090157</v>
          </cell>
          <cell r="G102" t="str">
            <v>394 MCFARLAND CASCADE</v>
          </cell>
          <cell r="H102">
            <v>-400</v>
          </cell>
          <cell r="I102" t="str">
            <v>856</v>
          </cell>
          <cell r="J102" t="str">
            <v>OCTOBER RENT REV</v>
          </cell>
        </row>
        <row r="103">
          <cell r="C103">
            <v>105</v>
          </cell>
          <cell r="D103">
            <v>40147</v>
          </cell>
          <cell r="E103" t="str">
            <v>454101</v>
          </cell>
          <cell r="F103" t="str">
            <v>110157</v>
          </cell>
          <cell r="G103" t="str">
            <v>394 MCFARLAND CASCADE</v>
          </cell>
          <cell r="H103">
            <v>-400</v>
          </cell>
          <cell r="I103" t="str">
            <v>856</v>
          </cell>
          <cell r="J103" t="str">
            <v>DEC RENT REV</v>
          </cell>
        </row>
        <row r="104">
          <cell r="C104">
            <v>91</v>
          </cell>
          <cell r="D104">
            <v>40178</v>
          </cell>
          <cell r="E104" t="str">
            <v>454101</v>
          </cell>
          <cell r="F104" t="str">
            <v>120157</v>
          </cell>
          <cell r="G104" t="str">
            <v>330 MEADOW OUTDOOR AD</v>
          </cell>
          <cell r="H104">
            <v>-9017.56</v>
          </cell>
          <cell r="I104" t="str">
            <v>856</v>
          </cell>
          <cell r="J104" t="str">
            <v>Jan Rent Rev</v>
          </cell>
        </row>
        <row r="105">
          <cell r="C105">
            <v>37</v>
          </cell>
          <cell r="D105">
            <v>39903</v>
          </cell>
          <cell r="E105" t="str">
            <v>454102</v>
          </cell>
          <cell r="F105" t="str">
            <v>030157</v>
          </cell>
          <cell r="G105" t="str">
            <v>#326 MEL CROSS LEASE</v>
          </cell>
          <cell r="H105">
            <v>-100</v>
          </cell>
          <cell r="I105" t="str">
            <v>856</v>
          </cell>
          <cell r="J105" t="str">
            <v>April RENT REV</v>
          </cell>
        </row>
        <row r="106">
          <cell r="C106">
            <v>158</v>
          </cell>
          <cell r="D106">
            <v>40086</v>
          </cell>
          <cell r="E106" t="str">
            <v>454101</v>
          </cell>
          <cell r="F106" t="str">
            <v>090157</v>
          </cell>
          <cell r="G106" t="str">
            <v>METRO BOTH</v>
          </cell>
          <cell r="H106">
            <v>-864.6</v>
          </cell>
          <cell r="I106" t="str">
            <v>856</v>
          </cell>
          <cell r="J106" t="str">
            <v>OCTOBER RENT REV</v>
          </cell>
        </row>
        <row r="107">
          <cell r="C107">
            <v>159</v>
          </cell>
          <cell r="D107">
            <v>39903</v>
          </cell>
          <cell r="E107" t="str">
            <v>454101</v>
          </cell>
          <cell r="F107" t="str">
            <v>030157</v>
          </cell>
          <cell r="G107" t="str">
            <v>METRO BOTH RENTALS</v>
          </cell>
          <cell r="H107">
            <v>-716.77</v>
          </cell>
          <cell r="I107" t="str">
            <v>856</v>
          </cell>
          <cell r="J107" t="str">
            <v>April RENT REV</v>
          </cell>
        </row>
        <row r="108">
          <cell r="C108">
            <v>160</v>
          </cell>
          <cell r="D108">
            <v>39933</v>
          </cell>
          <cell r="E108" t="str">
            <v>454101</v>
          </cell>
          <cell r="F108" t="str">
            <v>040157</v>
          </cell>
          <cell r="G108" t="str">
            <v>METRO BOTH RENTALS</v>
          </cell>
          <cell r="H108">
            <v>-870.33</v>
          </cell>
          <cell r="I108" t="str">
            <v>856</v>
          </cell>
          <cell r="J108" t="str">
            <v>MAY RENT REV</v>
          </cell>
        </row>
        <row r="109">
          <cell r="C109">
            <v>161</v>
          </cell>
          <cell r="D109">
            <v>39964</v>
          </cell>
          <cell r="E109" t="str">
            <v>454101</v>
          </cell>
          <cell r="F109" t="str">
            <v>050157</v>
          </cell>
          <cell r="G109" t="str">
            <v>METRO BOTH RENTALS</v>
          </cell>
          <cell r="H109">
            <v>-711.02</v>
          </cell>
          <cell r="I109" t="str">
            <v>856</v>
          </cell>
          <cell r="J109" t="str">
            <v>June RENT REV</v>
          </cell>
        </row>
        <row r="110">
          <cell r="C110">
            <v>162</v>
          </cell>
          <cell r="D110">
            <v>40117</v>
          </cell>
          <cell r="E110" t="str">
            <v>454101</v>
          </cell>
          <cell r="F110" t="str">
            <v>100157</v>
          </cell>
          <cell r="G110" t="str">
            <v>METRO BOTH RENTALS</v>
          </cell>
          <cell r="H110">
            <v>-845.06</v>
          </cell>
          <cell r="I110" t="str">
            <v>856</v>
          </cell>
          <cell r="J110" t="str">
            <v>NOVEMBER RENT REV</v>
          </cell>
        </row>
        <row r="111">
          <cell r="C111">
            <v>163</v>
          </cell>
          <cell r="D111">
            <v>39994</v>
          </cell>
          <cell r="E111" t="str">
            <v>454101</v>
          </cell>
          <cell r="F111" t="str">
            <v>060157</v>
          </cell>
          <cell r="G111" t="str">
            <v>METRO JUNE BOTH RENTALS</v>
          </cell>
          <cell r="H111">
            <v>-476.47</v>
          </cell>
          <cell r="I111" t="str">
            <v>856</v>
          </cell>
          <cell r="J111" t="str">
            <v>JULY Rent REV</v>
          </cell>
        </row>
        <row r="112">
          <cell r="C112">
            <v>164</v>
          </cell>
          <cell r="D112">
            <v>39844</v>
          </cell>
          <cell r="E112" t="str">
            <v>454101</v>
          </cell>
          <cell r="F112" t="str">
            <v>010157</v>
          </cell>
          <cell r="G112" t="str">
            <v>METRO MANAGE BOTH RENTALS</v>
          </cell>
          <cell r="H112">
            <v>-800.3</v>
          </cell>
          <cell r="I112" t="str">
            <v>856</v>
          </cell>
          <cell r="J112" t="str">
            <v>Feb RENT REV</v>
          </cell>
        </row>
        <row r="113">
          <cell r="C113">
            <v>165</v>
          </cell>
          <cell r="D113">
            <v>40178</v>
          </cell>
          <cell r="E113" t="str">
            <v>454101</v>
          </cell>
          <cell r="F113" t="str">
            <v>120157</v>
          </cell>
          <cell r="G113" t="str">
            <v>METRO MANAGEMENT - BOTH</v>
          </cell>
          <cell r="H113">
            <v>-879.25</v>
          </cell>
          <cell r="I113" t="str">
            <v>856</v>
          </cell>
          <cell r="J113" t="str">
            <v>Jan Rent Rev</v>
          </cell>
        </row>
        <row r="114">
          <cell r="C114">
            <v>166</v>
          </cell>
          <cell r="D114">
            <v>39903</v>
          </cell>
          <cell r="E114" t="str">
            <v>454101</v>
          </cell>
          <cell r="F114" t="str">
            <v>030157</v>
          </cell>
          <cell r="G114" t="str">
            <v>METRO MANAGEMENT BOTH</v>
          </cell>
          <cell r="H114">
            <v>-523.75</v>
          </cell>
          <cell r="I114" t="str">
            <v>856</v>
          </cell>
          <cell r="J114" t="str">
            <v>April RENT REV</v>
          </cell>
        </row>
        <row r="115">
          <cell r="C115">
            <v>167</v>
          </cell>
          <cell r="D115">
            <v>40086</v>
          </cell>
          <cell r="E115" t="str">
            <v>454101</v>
          </cell>
          <cell r="F115" t="str">
            <v>090157</v>
          </cell>
          <cell r="G115" t="str">
            <v>METRO MAPLE GROVE ONLY</v>
          </cell>
          <cell r="H115">
            <v>-581.51</v>
          </cell>
          <cell r="I115" t="str">
            <v>856</v>
          </cell>
          <cell r="J115" t="str">
            <v>OCTOBER RENT REV</v>
          </cell>
        </row>
        <row r="116">
          <cell r="C116">
            <v>9</v>
          </cell>
          <cell r="D116">
            <v>39964</v>
          </cell>
          <cell r="E116" t="str">
            <v>454101</v>
          </cell>
          <cell r="F116" t="str">
            <v>050157</v>
          </cell>
          <cell r="G116" t="str">
            <v>#276 MUSSMANN HUNT</v>
          </cell>
          <cell r="H116">
            <v>-650</v>
          </cell>
          <cell r="I116" t="str">
            <v>856</v>
          </cell>
          <cell r="J116" t="str">
            <v>June RENT REV</v>
          </cell>
        </row>
        <row r="117">
          <cell r="C117">
            <v>4</v>
          </cell>
          <cell r="D117">
            <v>39903</v>
          </cell>
          <cell r="E117" t="str">
            <v>454102</v>
          </cell>
          <cell r="F117" t="str">
            <v>030157</v>
          </cell>
          <cell r="G117" t="str">
            <v>#046  OLMSTEAD LEASE</v>
          </cell>
          <cell r="H117">
            <v>-175</v>
          </cell>
          <cell r="I117" t="str">
            <v>856</v>
          </cell>
          <cell r="J117" t="str">
            <v>April RENT REV</v>
          </cell>
        </row>
        <row r="118">
          <cell r="C118">
            <v>80</v>
          </cell>
          <cell r="D118">
            <v>40178</v>
          </cell>
          <cell r="E118" t="str">
            <v>454102</v>
          </cell>
          <cell r="F118" t="str">
            <v>120157</v>
          </cell>
          <cell r="G118" t="str">
            <v>250 OXBOW CHRISTIAN</v>
          </cell>
          <cell r="H118">
            <v>-300</v>
          </cell>
          <cell r="I118" t="str">
            <v>856</v>
          </cell>
          <cell r="J118" t="str">
            <v>Jan Rent Rev</v>
          </cell>
        </row>
        <row r="119">
          <cell r="C119">
            <v>168</v>
          </cell>
          <cell r="D119">
            <v>40117</v>
          </cell>
          <cell r="E119" t="str">
            <v>454102</v>
          </cell>
          <cell r="F119" t="str">
            <v>100157</v>
          </cell>
          <cell r="G119" t="str">
            <v>OXBOW MAIL</v>
          </cell>
          <cell r="H119">
            <v>-50</v>
          </cell>
          <cell r="I119" t="str">
            <v>856</v>
          </cell>
          <cell r="J119" t="str">
            <v>NOVEMBER RENT REV</v>
          </cell>
        </row>
        <row r="120">
          <cell r="C120">
            <v>169</v>
          </cell>
          <cell r="D120">
            <v>39994</v>
          </cell>
          <cell r="E120" t="str">
            <v>454102</v>
          </cell>
          <cell r="F120" t="str">
            <v>060157</v>
          </cell>
          <cell r="G120" t="str">
            <v>OXBOW MAIN POST OFFICE</v>
          </cell>
          <cell r="H120">
            <v>-50</v>
          </cell>
          <cell r="I120" t="str">
            <v>856</v>
          </cell>
          <cell r="J120" t="str">
            <v>JULY Rent REV</v>
          </cell>
        </row>
        <row r="121">
          <cell r="C121">
            <v>170</v>
          </cell>
          <cell r="D121">
            <v>40025</v>
          </cell>
          <cell r="E121" t="str">
            <v>454102</v>
          </cell>
          <cell r="F121" t="str">
            <v>070157</v>
          </cell>
          <cell r="G121" t="str">
            <v>OXBOW MAIN POST OFFICE</v>
          </cell>
          <cell r="H121">
            <v>-50</v>
          </cell>
          <cell r="I121" t="str">
            <v>856</v>
          </cell>
          <cell r="J121" t="str">
            <v>AUG RENT REV</v>
          </cell>
        </row>
        <row r="122">
          <cell r="C122">
            <v>171</v>
          </cell>
          <cell r="D122">
            <v>40086</v>
          </cell>
          <cell r="E122" t="str">
            <v>454102</v>
          </cell>
          <cell r="F122" t="str">
            <v>090157</v>
          </cell>
          <cell r="G122" t="str">
            <v>OXBOW MAIN POST OFFICE</v>
          </cell>
          <cell r="H122">
            <v>-50</v>
          </cell>
          <cell r="I122" t="str">
            <v>856</v>
          </cell>
          <cell r="J122" t="str">
            <v>OCTOBER RENT REV</v>
          </cell>
        </row>
        <row r="123">
          <cell r="C123">
            <v>172</v>
          </cell>
          <cell r="D123">
            <v>40147</v>
          </cell>
          <cell r="E123" t="str">
            <v>454102</v>
          </cell>
          <cell r="F123" t="str">
            <v>110157</v>
          </cell>
          <cell r="G123" t="str">
            <v>OXBOW MAIN POST OFFICE</v>
          </cell>
          <cell r="H123">
            <v>-50</v>
          </cell>
          <cell r="I123" t="str">
            <v>856</v>
          </cell>
          <cell r="J123" t="str">
            <v>DEC RENT REV</v>
          </cell>
        </row>
        <row r="124">
          <cell r="C124">
            <v>173</v>
          </cell>
          <cell r="D124">
            <v>40178</v>
          </cell>
          <cell r="E124" t="str">
            <v>454102</v>
          </cell>
          <cell r="F124" t="str">
            <v>120157</v>
          </cell>
          <cell r="G124" t="str">
            <v>OXBOW MAIN POST OFFICE</v>
          </cell>
          <cell r="H124">
            <v>-50</v>
          </cell>
          <cell r="I124" t="str">
            <v>856</v>
          </cell>
          <cell r="J124" t="str">
            <v>Jan Rent Rev</v>
          </cell>
        </row>
        <row r="125">
          <cell r="C125">
            <v>174</v>
          </cell>
          <cell r="D125">
            <v>39872</v>
          </cell>
          <cell r="E125" t="str">
            <v>454102</v>
          </cell>
          <cell r="F125" t="str">
            <v>020157</v>
          </cell>
          <cell r="G125" t="str">
            <v>OXBOW POST OFFICE</v>
          </cell>
          <cell r="H125">
            <v>-50</v>
          </cell>
          <cell r="I125" t="str">
            <v>856</v>
          </cell>
          <cell r="J125" t="str">
            <v>March RENT REV</v>
          </cell>
        </row>
        <row r="126">
          <cell r="C126">
            <v>175</v>
          </cell>
          <cell r="D126">
            <v>39903</v>
          </cell>
          <cell r="E126" t="str">
            <v>454102</v>
          </cell>
          <cell r="F126" t="str">
            <v>030157</v>
          </cell>
          <cell r="G126" t="str">
            <v>OXBOW POST OFFICE</v>
          </cell>
          <cell r="H126">
            <v>-50</v>
          </cell>
          <cell r="I126" t="str">
            <v>856</v>
          </cell>
          <cell r="J126" t="str">
            <v>April RENT REV</v>
          </cell>
        </row>
        <row r="127">
          <cell r="C127">
            <v>176</v>
          </cell>
          <cell r="D127">
            <v>39964</v>
          </cell>
          <cell r="E127" t="str">
            <v>454102</v>
          </cell>
          <cell r="F127" t="str">
            <v>050157</v>
          </cell>
          <cell r="G127" t="str">
            <v>OXBOW POST OFFICE</v>
          </cell>
          <cell r="H127">
            <v>-50</v>
          </cell>
          <cell r="I127" t="str">
            <v>856</v>
          </cell>
          <cell r="J127" t="str">
            <v>June RENT REV</v>
          </cell>
        </row>
        <row r="128">
          <cell r="C128">
            <v>177</v>
          </cell>
          <cell r="D128">
            <v>40056</v>
          </cell>
          <cell r="E128" t="str">
            <v>454102</v>
          </cell>
          <cell r="F128" t="str">
            <v>080157</v>
          </cell>
          <cell r="G128" t="str">
            <v>OXBOW POST OFFICE</v>
          </cell>
          <cell r="H128">
            <v>-50</v>
          </cell>
          <cell r="I128" t="str">
            <v>856</v>
          </cell>
          <cell r="J128" t="str">
            <v>SEPT RENT REV</v>
          </cell>
        </row>
        <row r="129">
          <cell r="C129">
            <v>178</v>
          </cell>
          <cell r="D129">
            <v>39844</v>
          </cell>
          <cell r="E129" t="str">
            <v>454102</v>
          </cell>
          <cell r="F129" t="str">
            <v>010157</v>
          </cell>
          <cell r="G129" t="str">
            <v>OXBOW POSTOFFICE</v>
          </cell>
          <cell r="H129">
            <v>-50</v>
          </cell>
          <cell r="I129" t="str">
            <v>856</v>
          </cell>
          <cell r="J129" t="str">
            <v>Feb RENT REV</v>
          </cell>
        </row>
        <row r="130">
          <cell r="C130">
            <v>88</v>
          </cell>
          <cell r="D130">
            <v>40147</v>
          </cell>
          <cell r="E130" t="str">
            <v>454101</v>
          </cell>
          <cell r="F130" t="str">
            <v>110157</v>
          </cell>
          <cell r="G130" t="str">
            <v>323 PHILIP BRADLEY</v>
          </cell>
          <cell r="H130">
            <v>-100</v>
          </cell>
          <cell r="I130" t="str">
            <v>856</v>
          </cell>
          <cell r="J130" t="str">
            <v>DEC RENT REV</v>
          </cell>
        </row>
        <row r="131">
          <cell r="C131">
            <v>179</v>
          </cell>
          <cell r="D131">
            <v>39933</v>
          </cell>
          <cell r="E131" t="str">
            <v>454102</v>
          </cell>
          <cell r="F131" t="str">
            <v>040157</v>
          </cell>
          <cell r="G131" t="str">
            <v>PINE TELEPHONE OHC004</v>
          </cell>
          <cell r="H131">
            <v>-300</v>
          </cell>
          <cell r="I131" t="str">
            <v>856</v>
          </cell>
          <cell r="J131" t="str">
            <v>MAY RENT REV</v>
          </cell>
        </row>
        <row r="132">
          <cell r="C132">
            <v>18</v>
          </cell>
          <cell r="D132">
            <v>39903</v>
          </cell>
          <cell r="E132" t="str">
            <v>454101</v>
          </cell>
          <cell r="F132" t="str">
            <v>030157</v>
          </cell>
          <cell r="G132" t="str">
            <v>#295 ROCKING CATTLE</v>
          </cell>
          <cell r="H132">
            <v>-1500</v>
          </cell>
          <cell r="I132" t="str">
            <v>856</v>
          </cell>
          <cell r="J132" t="str">
            <v>April RENT REV</v>
          </cell>
        </row>
        <row r="133">
          <cell r="C133">
            <v>84</v>
          </cell>
          <cell r="D133">
            <v>40117</v>
          </cell>
          <cell r="E133" t="str">
            <v>454101</v>
          </cell>
          <cell r="F133" t="str">
            <v>100157</v>
          </cell>
          <cell r="G133" t="str">
            <v>295 ROCKING M CATTLE</v>
          </cell>
          <cell r="H133">
            <v>-1500</v>
          </cell>
          <cell r="I133" t="str">
            <v>856</v>
          </cell>
          <cell r="J133" t="str">
            <v>NOVEMBER RENT REV</v>
          </cell>
        </row>
        <row r="134">
          <cell r="C134">
            <v>77</v>
          </cell>
          <cell r="D134">
            <v>40086</v>
          </cell>
          <cell r="E134" t="str">
            <v>454101</v>
          </cell>
          <cell r="F134" t="str">
            <v>090157</v>
          </cell>
          <cell r="G134" t="str">
            <v>034 SALMON FALLS HENSLEE</v>
          </cell>
          <cell r="H134">
            <v>-190</v>
          </cell>
          <cell r="I134" t="str">
            <v>856</v>
          </cell>
          <cell r="J134" t="str">
            <v>OCTOBER RENT REV</v>
          </cell>
        </row>
        <row r="135">
          <cell r="C135">
            <v>78</v>
          </cell>
          <cell r="D135">
            <v>40086</v>
          </cell>
          <cell r="E135" t="str">
            <v>454101</v>
          </cell>
          <cell r="F135" t="str">
            <v>090157</v>
          </cell>
          <cell r="G135" t="str">
            <v>035 SALMON FALLS HENSLEE</v>
          </cell>
          <cell r="H135">
            <v>-470</v>
          </cell>
          <cell r="I135" t="str">
            <v>856</v>
          </cell>
          <cell r="J135" t="str">
            <v>OCTOBER RENT REV</v>
          </cell>
        </row>
        <row r="136">
          <cell r="C136">
            <v>2</v>
          </cell>
          <cell r="D136">
            <v>39844</v>
          </cell>
          <cell r="E136" t="str">
            <v>454101</v>
          </cell>
          <cell r="F136" t="str">
            <v>010157</v>
          </cell>
          <cell r="G136" t="str">
            <v>#406 SNOWBANK COMM SITE</v>
          </cell>
          <cell r="H136">
            <v>-4024.29</v>
          </cell>
          <cell r="I136" t="str">
            <v>856</v>
          </cell>
          <cell r="J136" t="str">
            <v>Feb RENT REV</v>
          </cell>
        </row>
        <row r="137">
          <cell r="C137">
            <v>180</v>
          </cell>
          <cell r="D137">
            <v>40056</v>
          </cell>
          <cell r="E137" t="str">
            <v>454101</v>
          </cell>
          <cell r="F137" t="str">
            <v>080157</v>
          </cell>
          <cell r="G137" t="str">
            <v>SPRINT NEXTEL 367</v>
          </cell>
          <cell r="H137">
            <v>-2271.48</v>
          </cell>
          <cell r="I137" t="str">
            <v>856</v>
          </cell>
          <cell r="J137" t="str">
            <v>SEPT RENT REV</v>
          </cell>
        </row>
        <row r="138">
          <cell r="C138">
            <v>41</v>
          </cell>
          <cell r="D138">
            <v>39872</v>
          </cell>
          <cell r="E138" t="str">
            <v>454101</v>
          </cell>
          <cell r="F138" t="str">
            <v>020157</v>
          </cell>
          <cell r="G138" t="str">
            <v>#367 SPRINT NEXTEL</v>
          </cell>
          <cell r="H138">
            <v>-2271.48</v>
          </cell>
          <cell r="I138" t="str">
            <v>856</v>
          </cell>
          <cell r="J138" t="str">
            <v>March RENT REV</v>
          </cell>
        </row>
        <row r="139">
          <cell r="C139">
            <v>42</v>
          </cell>
          <cell r="D139">
            <v>39903</v>
          </cell>
          <cell r="E139" t="str">
            <v>454101</v>
          </cell>
          <cell r="F139" t="str">
            <v>030157</v>
          </cell>
          <cell r="G139" t="str">
            <v>#367 SPRINT NEXTEL</v>
          </cell>
          <cell r="H139">
            <v>-2271.48</v>
          </cell>
          <cell r="I139" t="str">
            <v>856</v>
          </cell>
          <cell r="J139" t="str">
            <v>April RENT REV</v>
          </cell>
        </row>
        <row r="140">
          <cell r="C140">
            <v>43</v>
          </cell>
          <cell r="D140">
            <v>39933</v>
          </cell>
          <cell r="E140" t="str">
            <v>454101</v>
          </cell>
          <cell r="F140" t="str">
            <v>040157</v>
          </cell>
          <cell r="G140" t="str">
            <v>#367 SPRINT NEXTEL</v>
          </cell>
          <cell r="H140">
            <v>-2271.48</v>
          </cell>
          <cell r="I140" t="str">
            <v>856</v>
          </cell>
          <cell r="J140" t="str">
            <v>MAY RENT REV</v>
          </cell>
        </row>
        <row r="141">
          <cell r="C141">
            <v>44</v>
          </cell>
          <cell r="D141">
            <v>39994</v>
          </cell>
          <cell r="E141" t="str">
            <v>454101</v>
          </cell>
          <cell r="F141" t="str">
            <v>060157</v>
          </cell>
          <cell r="G141" t="str">
            <v>#367 SPRINT NEXTEL</v>
          </cell>
          <cell r="H141">
            <v>-2271.48</v>
          </cell>
          <cell r="I141" t="str">
            <v>856</v>
          </cell>
          <cell r="J141" t="str">
            <v>JULY Rent REV</v>
          </cell>
        </row>
        <row r="142">
          <cell r="C142">
            <v>45</v>
          </cell>
          <cell r="D142">
            <v>40025</v>
          </cell>
          <cell r="E142" t="str">
            <v>454101</v>
          </cell>
          <cell r="F142" t="str">
            <v>070157</v>
          </cell>
          <cell r="G142" t="str">
            <v>#367 SPRINT NEXTEL</v>
          </cell>
          <cell r="H142">
            <v>-2271.48</v>
          </cell>
          <cell r="I142" t="str">
            <v>856</v>
          </cell>
          <cell r="J142" t="str">
            <v>AUG RENT REV</v>
          </cell>
        </row>
        <row r="143">
          <cell r="C143">
            <v>46</v>
          </cell>
          <cell r="D143">
            <v>39844</v>
          </cell>
          <cell r="E143" t="str">
            <v>454101</v>
          </cell>
          <cell r="F143" t="str">
            <v>010157</v>
          </cell>
          <cell r="G143" t="str">
            <v>#367 SPRINT NEXTELL</v>
          </cell>
          <cell r="H143">
            <v>-2271.48</v>
          </cell>
          <cell r="I143" t="str">
            <v>856</v>
          </cell>
          <cell r="J143" t="str">
            <v>Feb RENT REV</v>
          </cell>
        </row>
        <row r="144">
          <cell r="C144">
            <v>47</v>
          </cell>
          <cell r="D144">
            <v>39964</v>
          </cell>
          <cell r="E144" t="str">
            <v>454101</v>
          </cell>
          <cell r="F144" t="str">
            <v>050157</v>
          </cell>
          <cell r="G144" t="str">
            <v>#367 SPRINT NEXTELL</v>
          </cell>
          <cell r="H144">
            <v>-2271.48</v>
          </cell>
          <cell r="I144" t="str">
            <v>856</v>
          </cell>
          <cell r="J144" t="str">
            <v>June RENT REV</v>
          </cell>
        </row>
        <row r="145">
          <cell r="C145">
            <v>94</v>
          </cell>
          <cell r="D145">
            <v>40086</v>
          </cell>
          <cell r="E145" t="str">
            <v>454101</v>
          </cell>
          <cell r="F145" t="str">
            <v>090157</v>
          </cell>
          <cell r="G145" t="str">
            <v>367 SPRINT NEXTEL</v>
          </cell>
          <cell r="H145">
            <v>-2271.48</v>
          </cell>
          <cell r="I145" t="str">
            <v>856</v>
          </cell>
          <cell r="J145" t="str">
            <v>OCTOBER RENT REV</v>
          </cell>
        </row>
        <row r="146">
          <cell r="C146">
            <v>95</v>
          </cell>
          <cell r="D146">
            <v>40147</v>
          </cell>
          <cell r="E146" t="str">
            <v>454101</v>
          </cell>
          <cell r="F146" t="str">
            <v>110157</v>
          </cell>
          <cell r="G146" t="str">
            <v>367 SPRINT NEXTEL</v>
          </cell>
          <cell r="H146">
            <v>-2271.48</v>
          </cell>
          <cell r="I146" t="str">
            <v>856</v>
          </cell>
          <cell r="J146" t="str">
            <v>DEC RENT REV</v>
          </cell>
        </row>
        <row r="147">
          <cell r="C147">
            <v>96</v>
          </cell>
          <cell r="D147">
            <v>40178</v>
          </cell>
          <cell r="E147" t="str">
            <v>454101</v>
          </cell>
          <cell r="F147" t="str">
            <v>120157</v>
          </cell>
          <cell r="G147" t="str">
            <v>367 SPRINT NEXTEL</v>
          </cell>
          <cell r="H147">
            <v>-4542.96</v>
          </cell>
          <cell r="I147" t="str">
            <v>856</v>
          </cell>
          <cell r="J147" t="str">
            <v>Jan Rent Rev</v>
          </cell>
        </row>
        <row r="148">
          <cell r="C148">
            <v>181</v>
          </cell>
          <cell r="D148">
            <v>40056</v>
          </cell>
          <cell r="E148" t="str">
            <v>454101</v>
          </cell>
          <cell r="F148" t="str">
            <v>080157</v>
          </cell>
          <cell r="G148" t="str">
            <v>STATE OF ID 291</v>
          </cell>
          <cell r="H148">
            <v>-1890</v>
          </cell>
          <cell r="I148" t="str">
            <v>856</v>
          </cell>
          <cell r="J148" t="str">
            <v>SEPT RENT REV</v>
          </cell>
        </row>
        <row r="149">
          <cell r="C149">
            <v>82</v>
          </cell>
          <cell r="D149">
            <v>40086</v>
          </cell>
          <cell r="E149" t="str">
            <v>454101</v>
          </cell>
          <cell r="F149" t="str">
            <v>090157</v>
          </cell>
          <cell r="G149" t="str">
            <v>291 STATE OF ID</v>
          </cell>
          <cell r="H149">
            <v>-1890</v>
          </cell>
          <cell r="I149" t="str">
            <v>856</v>
          </cell>
          <cell r="J149" t="str">
            <v>OCTOBER RENT REV</v>
          </cell>
        </row>
        <row r="150">
          <cell r="C150">
            <v>11</v>
          </cell>
          <cell r="D150">
            <v>40025</v>
          </cell>
          <cell r="E150" t="str">
            <v>454101</v>
          </cell>
          <cell r="F150" t="str">
            <v>070157</v>
          </cell>
          <cell r="G150" t="str">
            <v>#291 STATE OF ID AUG</v>
          </cell>
          <cell r="H150">
            <v>-1890</v>
          </cell>
          <cell r="I150" t="str">
            <v>856</v>
          </cell>
          <cell r="J150" t="str">
            <v>AUG RENT REV</v>
          </cell>
        </row>
        <row r="151">
          <cell r="C151">
            <v>83</v>
          </cell>
          <cell r="D151">
            <v>40147</v>
          </cell>
          <cell r="E151" t="str">
            <v>454101</v>
          </cell>
          <cell r="F151" t="str">
            <v>110157</v>
          </cell>
          <cell r="G151" t="str">
            <v>291 STATE OF ID- DEPT LAB</v>
          </cell>
          <cell r="H151">
            <v>-1890</v>
          </cell>
          <cell r="I151" t="str">
            <v>856</v>
          </cell>
          <cell r="J151" t="str">
            <v>DEC RENT REV</v>
          </cell>
        </row>
        <row r="152">
          <cell r="C152">
            <v>182</v>
          </cell>
          <cell r="D152">
            <v>40178</v>
          </cell>
          <cell r="E152" t="str">
            <v>454101</v>
          </cell>
          <cell r="F152" t="str">
            <v>120157</v>
          </cell>
          <cell r="G152" t="str">
            <v>STATE OF ID, GROVE 291</v>
          </cell>
          <cell r="H152">
            <v>-1890</v>
          </cell>
          <cell r="I152" t="str">
            <v>856</v>
          </cell>
          <cell r="J152" t="str">
            <v>Jan Rent Rev</v>
          </cell>
        </row>
        <row r="153">
          <cell r="C153">
            <v>12</v>
          </cell>
          <cell r="D153">
            <v>39844</v>
          </cell>
          <cell r="E153" t="str">
            <v>454101</v>
          </cell>
          <cell r="F153" t="str">
            <v>010157</v>
          </cell>
          <cell r="G153" t="str">
            <v>#291 STATE OF IDAHO</v>
          </cell>
          <cell r="H153">
            <v>1890</v>
          </cell>
          <cell r="I153" t="str">
            <v>856</v>
          </cell>
          <cell r="J153" t="str">
            <v>Feb RENT REV</v>
          </cell>
        </row>
        <row r="154">
          <cell r="C154">
            <v>13</v>
          </cell>
          <cell r="D154">
            <v>39872</v>
          </cell>
          <cell r="E154" t="str">
            <v>454101</v>
          </cell>
          <cell r="F154" t="str">
            <v>020157</v>
          </cell>
          <cell r="G154" t="str">
            <v>#291 STATE OF IDAHO</v>
          </cell>
          <cell r="H154">
            <v>-1890</v>
          </cell>
          <cell r="I154" t="str">
            <v>856</v>
          </cell>
          <cell r="J154" t="str">
            <v>March RENT REV</v>
          </cell>
        </row>
        <row r="155">
          <cell r="C155">
            <v>14</v>
          </cell>
          <cell r="D155">
            <v>39903</v>
          </cell>
          <cell r="E155" t="str">
            <v>454101</v>
          </cell>
          <cell r="F155" t="str">
            <v>030157</v>
          </cell>
          <cell r="G155" t="str">
            <v>#291 STATE OF IDAHO</v>
          </cell>
          <cell r="H155">
            <v>-1890</v>
          </cell>
          <cell r="I155" t="str">
            <v>856</v>
          </cell>
          <cell r="J155" t="str">
            <v>April RENT REV</v>
          </cell>
        </row>
        <row r="156">
          <cell r="C156">
            <v>15</v>
          </cell>
          <cell r="D156">
            <v>39933</v>
          </cell>
          <cell r="E156" t="str">
            <v>454101</v>
          </cell>
          <cell r="F156" t="str">
            <v>040157</v>
          </cell>
          <cell r="G156" t="str">
            <v>#291 STATE OF IDAHO</v>
          </cell>
          <cell r="H156">
            <v>-1890</v>
          </cell>
          <cell r="I156" t="str">
            <v>856</v>
          </cell>
          <cell r="J156" t="str">
            <v>MAY RENT REV</v>
          </cell>
        </row>
        <row r="157">
          <cell r="C157">
            <v>16</v>
          </cell>
          <cell r="D157">
            <v>39964</v>
          </cell>
          <cell r="E157" t="str">
            <v>454101</v>
          </cell>
          <cell r="F157" t="str">
            <v>050157</v>
          </cell>
          <cell r="G157" t="str">
            <v>#291 STATE OF IDAHO</v>
          </cell>
          <cell r="H157">
            <v>-1890</v>
          </cell>
          <cell r="I157" t="str">
            <v>856</v>
          </cell>
          <cell r="J157" t="str">
            <v>June RENT REV</v>
          </cell>
        </row>
        <row r="158">
          <cell r="C158">
            <v>17</v>
          </cell>
          <cell r="D158">
            <v>39994</v>
          </cell>
          <cell r="E158" t="str">
            <v>454101</v>
          </cell>
          <cell r="F158" t="str">
            <v>060157</v>
          </cell>
          <cell r="G158" t="str">
            <v>#291 STATE OF IDAHO</v>
          </cell>
          <cell r="H158">
            <v>-1890</v>
          </cell>
          <cell r="I158" t="str">
            <v>856</v>
          </cell>
          <cell r="J158" t="str">
            <v>JULY Rent REV</v>
          </cell>
        </row>
        <row r="159">
          <cell r="C159">
            <v>65</v>
          </cell>
          <cell r="D159">
            <v>39964</v>
          </cell>
          <cell r="E159" t="str">
            <v>454101</v>
          </cell>
          <cell r="F159" t="str">
            <v>050157</v>
          </cell>
          <cell r="G159" t="str">
            <v>#397 SUTFIN</v>
          </cell>
          <cell r="H159">
            <v>-700</v>
          </cell>
          <cell r="I159" t="str">
            <v>856</v>
          </cell>
          <cell r="J159" t="str">
            <v>June RENT REV</v>
          </cell>
        </row>
        <row r="160">
          <cell r="C160">
            <v>66</v>
          </cell>
          <cell r="D160">
            <v>39994</v>
          </cell>
          <cell r="E160" t="str">
            <v>454101</v>
          </cell>
          <cell r="F160" t="str">
            <v>060157</v>
          </cell>
          <cell r="G160" t="str">
            <v>#397 SUTFIN</v>
          </cell>
          <cell r="H160">
            <v>-700</v>
          </cell>
          <cell r="I160" t="str">
            <v>856</v>
          </cell>
          <cell r="J160" t="str">
            <v>JULY Rent REV</v>
          </cell>
        </row>
        <row r="161">
          <cell r="C161">
            <v>67</v>
          </cell>
          <cell r="D161">
            <v>40025</v>
          </cell>
          <cell r="E161" t="str">
            <v>454101</v>
          </cell>
          <cell r="F161" t="str">
            <v>070157</v>
          </cell>
          <cell r="G161" t="str">
            <v>#397 SUTFIN</v>
          </cell>
          <cell r="H161">
            <v>-700</v>
          </cell>
          <cell r="I161" t="str">
            <v>856</v>
          </cell>
          <cell r="J161" t="str">
            <v>AUG RENT REV</v>
          </cell>
        </row>
        <row r="162">
          <cell r="C162">
            <v>106</v>
          </cell>
          <cell r="D162">
            <v>40147</v>
          </cell>
          <cell r="E162" t="str">
            <v>454101</v>
          </cell>
          <cell r="F162" t="str">
            <v>110157</v>
          </cell>
          <cell r="G162" t="str">
            <v>397 SUTFIN</v>
          </cell>
          <cell r="H162">
            <v>-700</v>
          </cell>
          <cell r="I162" t="str">
            <v>856</v>
          </cell>
          <cell r="J162" t="str">
            <v>DEC RENT REV</v>
          </cell>
        </row>
        <row r="163">
          <cell r="C163">
            <v>107</v>
          </cell>
          <cell r="D163">
            <v>40178</v>
          </cell>
          <cell r="E163" t="str">
            <v>454101</v>
          </cell>
          <cell r="F163" t="str">
            <v>120157</v>
          </cell>
          <cell r="G163" t="str">
            <v>397 SUTFIN</v>
          </cell>
          <cell r="H163">
            <v>-700</v>
          </cell>
          <cell r="I163" t="str">
            <v>856</v>
          </cell>
          <cell r="J163" t="str">
            <v>Jan Rent Rev</v>
          </cell>
        </row>
        <row r="164">
          <cell r="C164">
            <v>183</v>
          </cell>
          <cell r="D164">
            <v>40056</v>
          </cell>
          <cell r="E164" t="str">
            <v>454101</v>
          </cell>
          <cell r="F164" t="str">
            <v>080157</v>
          </cell>
          <cell r="G164" t="str">
            <v>SUTFIN LEASE 397</v>
          </cell>
          <cell r="H164">
            <v>-700</v>
          </cell>
          <cell r="I164" t="str">
            <v>856</v>
          </cell>
          <cell r="J164" t="str">
            <v>SEPT RENT REV</v>
          </cell>
        </row>
        <row r="165">
          <cell r="C165">
            <v>1</v>
          </cell>
          <cell r="D165">
            <v>40086</v>
          </cell>
          <cell r="E165" t="str">
            <v>454101</v>
          </cell>
          <cell r="F165" t="str">
            <v>090157</v>
          </cell>
          <cell r="G165" t="str">
            <v>#397 SUTFIN LEASE</v>
          </cell>
          <cell r="H165">
            <v>-700</v>
          </cell>
          <cell r="I165" t="str">
            <v>856</v>
          </cell>
          <cell r="J165" t="str">
            <v>OCTOBER RENT REV</v>
          </cell>
        </row>
        <row r="166">
          <cell r="C166">
            <v>68</v>
          </cell>
          <cell r="D166">
            <v>39844</v>
          </cell>
          <cell r="E166" t="str">
            <v>454101</v>
          </cell>
          <cell r="F166" t="str">
            <v>010157</v>
          </cell>
          <cell r="G166" t="str">
            <v>#397 SUTFIN LEASE</v>
          </cell>
          <cell r="H166">
            <v>-700</v>
          </cell>
          <cell r="I166" t="str">
            <v>856</v>
          </cell>
          <cell r="J166" t="str">
            <v>Feb RENT REV</v>
          </cell>
        </row>
        <row r="167">
          <cell r="C167">
            <v>69</v>
          </cell>
          <cell r="D167">
            <v>39872</v>
          </cell>
          <cell r="E167" t="str">
            <v>454101</v>
          </cell>
          <cell r="F167" t="str">
            <v>020157</v>
          </cell>
          <cell r="G167" t="str">
            <v>#397 SUTFIN LEASE</v>
          </cell>
          <cell r="H167">
            <v>-700</v>
          </cell>
          <cell r="I167" t="str">
            <v>856</v>
          </cell>
          <cell r="J167" t="str">
            <v>March RENT REV</v>
          </cell>
        </row>
        <row r="168">
          <cell r="C168">
            <v>70</v>
          </cell>
          <cell r="D168">
            <v>39903</v>
          </cell>
          <cell r="E168" t="str">
            <v>454101</v>
          </cell>
          <cell r="F168" t="str">
            <v>030157</v>
          </cell>
          <cell r="G168" t="str">
            <v>#397 SUTFIN LEASE</v>
          </cell>
          <cell r="H168">
            <v>-700</v>
          </cell>
          <cell r="I168" t="str">
            <v>856</v>
          </cell>
          <cell r="J168" t="str">
            <v>April RENT REV</v>
          </cell>
        </row>
        <row r="169">
          <cell r="C169">
            <v>71</v>
          </cell>
          <cell r="D169">
            <v>39933</v>
          </cell>
          <cell r="E169" t="str">
            <v>454101</v>
          </cell>
          <cell r="F169" t="str">
            <v>040157</v>
          </cell>
          <cell r="G169" t="str">
            <v>#397 SUTFIN LEASE</v>
          </cell>
          <cell r="H169">
            <v>-700</v>
          </cell>
          <cell r="I169" t="str">
            <v>856</v>
          </cell>
          <cell r="J169" t="str">
            <v>MAY RENT REV</v>
          </cell>
        </row>
        <row r="170">
          <cell r="C170">
            <v>108</v>
          </cell>
          <cell r="D170">
            <v>40117</v>
          </cell>
          <cell r="E170" t="str">
            <v>454101</v>
          </cell>
          <cell r="F170" t="str">
            <v>100157</v>
          </cell>
          <cell r="G170" t="str">
            <v>397 SUTFIN LEASE</v>
          </cell>
          <cell r="H170">
            <v>-700</v>
          </cell>
          <cell r="I170" t="str">
            <v>856</v>
          </cell>
          <cell r="J170" t="str">
            <v>NOVEMBER RENT REV</v>
          </cell>
        </row>
        <row r="171">
          <cell r="C171">
            <v>3</v>
          </cell>
          <cell r="D171">
            <v>39964</v>
          </cell>
          <cell r="E171" t="str">
            <v>454102</v>
          </cell>
          <cell r="F171" t="str">
            <v>050157</v>
          </cell>
          <cell r="G171" t="str">
            <v>#032 SUTTON CREEK TEW</v>
          </cell>
          <cell r="H171">
            <v>-100</v>
          </cell>
          <cell r="I171" t="str">
            <v>856</v>
          </cell>
          <cell r="J171" t="str">
            <v>June RENT REV</v>
          </cell>
        </row>
        <row r="172">
          <cell r="C172">
            <v>97</v>
          </cell>
          <cell r="D172">
            <v>40178</v>
          </cell>
          <cell r="E172" t="str">
            <v>454101</v>
          </cell>
          <cell r="F172" t="str">
            <v>120157</v>
          </cell>
          <cell r="G172" t="str">
            <v>370 T &amp;K FARMS, INC.</v>
          </cell>
          <cell r="H172">
            <v>-6000</v>
          </cell>
          <cell r="I172" t="str">
            <v>856</v>
          </cell>
          <cell r="J172" t="str">
            <v>Jan Rent Rev</v>
          </cell>
        </row>
        <row r="173">
          <cell r="C173">
            <v>48</v>
          </cell>
          <cell r="D173">
            <v>39844</v>
          </cell>
          <cell r="E173" t="str">
            <v>454101</v>
          </cell>
          <cell r="F173" t="str">
            <v>010157</v>
          </cell>
          <cell r="G173" t="str">
            <v>#370 T&amp;K FARM LEASE</v>
          </cell>
          <cell r="H173">
            <v>-6000</v>
          </cell>
          <cell r="I173" t="str">
            <v>856</v>
          </cell>
          <cell r="J173" t="str">
            <v>Feb RENT REV</v>
          </cell>
        </row>
        <row r="174">
          <cell r="C174">
            <v>110</v>
          </cell>
          <cell r="D174">
            <v>40178</v>
          </cell>
          <cell r="E174" t="str">
            <v>454101</v>
          </cell>
          <cell r="F174" t="str">
            <v>120157</v>
          </cell>
          <cell r="G174" t="str">
            <v>60 TARA FARMS</v>
          </cell>
          <cell r="H174">
            <v>-175</v>
          </cell>
          <cell r="I174" t="str">
            <v>856</v>
          </cell>
          <cell r="J174" t="str">
            <v>Jan Rent Rev</v>
          </cell>
        </row>
        <row r="175">
          <cell r="C175">
            <v>184</v>
          </cell>
          <cell r="D175">
            <v>40086</v>
          </cell>
          <cell r="E175" t="str">
            <v>454101</v>
          </cell>
          <cell r="F175" t="str">
            <v>090034</v>
          </cell>
          <cell r="G175" t="str">
            <v>TCP cottage rents</v>
          </cell>
          <cell r="H175">
            <v>-490</v>
          </cell>
          <cell r="I175" t="str">
            <v>623</v>
          </cell>
          <cell r="J175" t="str">
            <v>Misc Cash Acctg ID 0000204567</v>
          </cell>
        </row>
        <row r="176">
          <cell r="C176">
            <v>185</v>
          </cell>
          <cell r="D176">
            <v>40086</v>
          </cell>
          <cell r="E176" t="str">
            <v>454101</v>
          </cell>
          <cell r="F176" t="str">
            <v>090034</v>
          </cell>
          <cell r="G176" t="str">
            <v>TCP Cottage rents income</v>
          </cell>
          <cell r="H176">
            <v>-490</v>
          </cell>
          <cell r="I176" t="str">
            <v>623</v>
          </cell>
          <cell r="J176" t="str">
            <v>Misc Cash Acctg ID 0000203755</v>
          </cell>
        </row>
        <row r="177">
          <cell r="C177">
            <v>186</v>
          </cell>
          <cell r="D177">
            <v>39964</v>
          </cell>
          <cell r="E177" t="str">
            <v>454101</v>
          </cell>
          <cell r="F177" t="str">
            <v>050034</v>
          </cell>
          <cell r="G177" t="str">
            <v>TCP INCOME</v>
          </cell>
          <cell r="H177">
            <v>-111.68</v>
          </cell>
          <cell r="I177" t="str">
            <v>623</v>
          </cell>
          <cell r="J177" t="str">
            <v>Misc Cash Acctg ID 0000196728</v>
          </cell>
        </row>
        <row r="178">
          <cell r="C178">
            <v>187</v>
          </cell>
          <cell r="D178">
            <v>40025</v>
          </cell>
          <cell r="E178" t="str">
            <v>454101</v>
          </cell>
          <cell r="F178" t="str">
            <v>070034</v>
          </cell>
          <cell r="G178" t="str">
            <v>TCP INCOME</v>
          </cell>
          <cell r="H178">
            <v>-490</v>
          </cell>
          <cell r="I178" t="str">
            <v>623</v>
          </cell>
          <cell r="J178" t="str">
            <v>Misc Cash Acctg ID 0000200818</v>
          </cell>
        </row>
        <row r="179">
          <cell r="C179">
            <v>188</v>
          </cell>
          <cell r="D179">
            <v>40117</v>
          </cell>
          <cell r="E179" t="str">
            <v>454101</v>
          </cell>
          <cell r="F179" t="str">
            <v>100034</v>
          </cell>
          <cell r="G179" t="str">
            <v>TCP INCOME</v>
          </cell>
          <cell r="H179">
            <v>-490</v>
          </cell>
          <cell r="I179" t="str">
            <v>623</v>
          </cell>
          <cell r="J179" t="str">
            <v>Misc Cash Acctg ID 0000206225</v>
          </cell>
        </row>
        <row r="180">
          <cell r="C180">
            <v>189</v>
          </cell>
          <cell r="D180">
            <v>40147</v>
          </cell>
          <cell r="E180" t="str">
            <v>454101</v>
          </cell>
          <cell r="F180" t="str">
            <v>110034</v>
          </cell>
          <cell r="G180" t="str">
            <v>TCP INCOME</v>
          </cell>
          <cell r="H180">
            <v>-490</v>
          </cell>
          <cell r="I180" t="str">
            <v>623</v>
          </cell>
          <cell r="J180" t="str">
            <v>Misc Cash Acctg ID 0000207773</v>
          </cell>
        </row>
        <row r="181">
          <cell r="C181">
            <v>190</v>
          </cell>
          <cell r="D181">
            <v>40178</v>
          </cell>
          <cell r="E181" t="str">
            <v>454101</v>
          </cell>
          <cell r="F181" t="str">
            <v>120034</v>
          </cell>
          <cell r="G181" t="str">
            <v>TCP INCOME</v>
          </cell>
          <cell r="H181">
            <v>-490</v>
          </cell>
          <cell r="I181" t="str">
            <v>623</v>
          </cell>
          <cell r="J181" t="str">
            <v>Misc Cash Acctg ID 0000209640</v>
          </cell>
        </row>
        <row r="182">
          <cell r="C182">
            <v>191</v>
          </cell>
          <cell r="D182">
            <v>40056</v>
          </cell>
          <cell r="E182" t="str">
            <v>454101</v>
          </cell>
          <cell r="F182" t="str">
            <v>080157</v>
          </cell>
          <cell r="G182" t="str">
            <v>TMOBILE 325</v>
          </cell>
          <cell r="H182">
            <v>-2524.46</v>
          </cell>
          <cell r="I182" t="str">
            <v>856</v>
          </cell>
          <cell r="J182" t="str">
            <v>SEPT RENT REV</v>
          </cell>
        </row>
        <row r="183">
          <cell r="C183">
            <v>192</v>
          </cell>
          <cell r="D183">
            <v>40117</v>
          </cell>
          <cell r="E183" t="str">
            <v>454101</v>
          </cell>
          <cell r="F183" t="str">
            <v>100157</v>
          </cell>
          <cell r="G183" t="str">
            <v>TMOBILE 325</v>
          </cell>
          <cell r="H183">
            <v>-2524.46</v>
          </cell>
          <cell r="I183" t="str">
            <v>856</v>
          </cell>
          <cell r="J183" t="str">
            <v>NOVEMBER RENT REV</v>
          </cell>
        </row>
        <row r="184">
          <cell r="C184">
            <v>31</v>
          </cell>
          <cell r="D184">
            <v>39964</v>
          </cell>
          <cell r="E184" t="str">
            <v>454101</v>
          </cell>
          <cell r="F184" t="str">
            <v>050157</v>
          </cell>
          <cell r="G184" t="str">
            <v>#325 TMOBILE</v>
          </cell>
          <cell r="H184">
            <v>-2499.46</v>
          </cell>
          <cell r="I184" t="str">
            <v>856</v>
          </cell>
          <cell r="J184" t="str">
            <v>June RENT REV</v>
          </cell>
        </row>
        <row r="185">
          <cell r="C185">
            <v>32</v>
          </cell>
          <cell r="D185">
            <v>40147</v>
          </cell>
          <cell r="E185" t="str">
            <v>454101</v>
          </cell>
          <cell r="F185" t="str">
            <v>110157</v>
          </cell>
          <cell r="G185" t="str">
            <v>#325 TMOBILE</v>
          </cell>
          <cell r="H185">
            <v>-2524.46</v>
          </cell>
          <cell r="I185" t="str">
            <v>856</v>
          </cell>
          <cell r="J185" t="str">
            <v>DEC RENT REV</v>
          </cell>
        </row>
        <row r="186">
          <cell r="C186">
            <v>38</v>
          </cell>
          <cell r="D186">
            <v>39872</v>
          </cell>
          <cell r="E186" t="str">
            <v>454101</v>
          </cell>
          <cell r="F186" t="str">
            <v>020157</v>
          </cell>
          <cell r="G186" t="str">
            <v>#326 TMOBILE</v>
          </cell>
          <cell r="H186">
            <v>-8424.4599999999991</v>
          </cell>
          <cell r="I186" t="str">
            <v>856</v>
          </cell>
          <cell r="J186" t="str">
            <v>March RENT REV</v>
          </cell>
        </row>
        <row r="187">
          <cell r="C187">
            <v>33</v>
          </cell>
          <cell r="D187">
            <v>39933</v>
          </cell>
          <cell r="E187" t="str">
            <v>454101</v>
          </cell>
          <cell r="F187" t="str">
            <v>040157</v>
          </cell>
          <cell r="G187" t="str">
            <v>#325 TMOBILE APRIL CPI</v>
          </cell>
          <cell r="H187">
            <v>-2524.46</v>
          </cell>
          <cell r="I187" t="str">
            <v>856</v>
          </cell>
          <cell r="J187" t="str">
            <v>MAY RENT REV</v>
          </cell>
        </row>
        <row r="188">
          <cell r="C188">
            <v>34</v>
          </cell>
          <cell r="D188">
            <v>39994</v>
          </cell>
          <cell r="E188" t="str">
            <v>454101</v>
          </cell>
          <cell r="F188" t="str">
            <v>060157</v>
          </cell>
          <cell r="G188" t="str">
            <v>#325 TMOBILE CHQ</v>
          </cell>
          <cell r="H188">
            <v>-2524.46</v>
          </cell>
          <cell r="I188" t="str">
            <v>856</v>
          </cell>
          <cell r="J188" t="str">
            <v>JULY Rent REV</v>
          </cell>
        </row>
        <row r="189">
          <cell r="C189">
            <v>193</v>
          </cell>
          <cell r="D189">
            <v>39844</v>
          </cell>
          <cell r="E189" t="str">
            <v>454101</v>
          </cell>
          <cell r="F189" t="str">
            <v>010157</v>
          </cell>
          <cell r="G189" t="str">
            <v>TMOBILE CPI #326</v>
          </cell>
          <cell r="H189">
            <v>-2499.46</v>
          </cell>
          <cell r="I189" t="str">
            <v>856</v>
          </cell>
          <cell r="J189" t="str">
            <v>Feb RENT REV</v>
          </cell>
        </row>
        <row r="190">
          <cell r="C190">
            <v>35</v>
          </cell>
          <cell r="D190">
            <v>39903</v>
          </cell>
          <cell r="E190" t="str">
            <v>454101</v>
          </cell>
          <cell r="F190" t="str">
            <v>030157</v>
          </cell>
          <cell r="G190" t="str">
            <v>#325 TMOBILE CPI</v>
          </cell>
          <cell r="H190">
            <v>-2524.46</v>
          </cell>
          <cell r="I190" t="str">
            <v>856</v>
          </cell>
          <cell r="J190" t="str">
            <v>April RENT REV</v>
          </cell>
        </row>
        <row r="191">
          <cell r="C191">
            <v>36</v>
          </cell>
          <cell r="D191">
            <v>39933</v>
          </cell>
          <cell r="E191" t="str">
            <v>454101</v>
          </cell>
          <cell r="F191" t="str">
            <v>040157</v>
          </cell>
          <cell r="G191" t="str">
            <v>#325 TMOBILE MARCH CPI</v>
          </cell>
          <cell r="H191">
            <v>-2524.46</v>
          </cell>
          <cell r="I191" t="str">
            <v>856</v>
          </cell>
          <cell r="J191" t="str">
            <v>MAY RENT REV</v>
          </cell>
        </row>
        <row r="192">
          <cell r="C192">
            <v>90</v>
          </cell>
          <cell r="D192">
            <v>40178</v>
          </cell>
          <cell r="E192" t="str">
            <v>454101</v>
          </cell>
          <cell r="F192" t="str">
            <v>120157</v>
          </cell>
          <cell r="G192" t="str">
            <v>325 T-MOBILE PENTHOUSE</v>
          </cell>
          <cell r="H192">
            <v>0</v>
          </cell>
          <cell r="I192" t="str">
            <v>856</v>
          </cell>
          <cell r="J192" t="str">
            <v>Jan Rent Rev</v>
          </cell>
        </row>
        <row r="193">
          <cell r="C193">
            <v>194</v>
          </cell>
          <cell r="D193">
            <v>40025</v>
          </cell>
          <cell r="E193" t="str">
            <v>454101</v>
          </cell>
          <cell r="F193" t="str">
            <v>070157</v>
          </cell>
          <cell r="G193" t="str">
            <v>WALLACE TRUCKING RD PERMI</v>
          </cell>
          <cell r="H193">
            <v>-800.72</v>
          </cell>
          <cell r="I193" t="str">
            <v>856</v>
          </cell>
          <cell r="J193" t="str">
            <v>AUG RENT REV</v>
          </cell>
        </row>
        <row r="194">
          <cell r="C194">
            <v>7</v>
          </cell>
          <cell r="D194">
            <v>39872</v>
          </cell>
          <cell r="E194" t="str">
            <v>454101</v>
          </cell>
          <cell r="F194" t="str">
            <v>020157</v>
          </cell>
          <cell r="G194" t="str">
            <v>#168 WILL ROWE</v>
          </cell>
          <cell r="H194">
            <v>-13992</v>
          </cell>
          <cell r="I194" t="str">
            <v>856</v>
          </cell>
          <cell r="J194" t="str">
            <v>March RENT REV</v>
          </cell>
        </row>
        <row r="195">
          <cell r="C195">
            <v>39</v>
          </cell>
          <cell r="D195">
            <v>39933</v>
          </cell>
          <cell r="E195" t="str">
            <v>454101</v>
          </cell>
          <cell r="F195" t="str">
            <v>040157</v>
          </cell>
          <cell r="G195" t="str">
            <v>#343 WILTEL COMMUNICATION</v>
          </cell>
          <cell r="H195">
            <v>-4995.63</v>
          </cell>
          <cell r="I195" t="str">
            <v>856</v>
          </cell>
          <cell r="J195" t="str">
            <v>MAY RENT REV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53"/>
  <sheetViews>
    <sheetView tabSelected="1" zoomScaleNormal="100" zoomScaleSheetLayoutView="100" workbookViewId="0">
      <selection activeCell="E23" sqref="E23"/>
    </sheetView>
  </sheetViews>
  <sheetFormatPr defaultRowHeight="15.75"/>
  <cols>
    <col min="1" max="1" width="10.140625" style="11" bestFit="1" customWidth="1"/>
    <col min="2" max="3" width="11.42578125" style="11" bestFit="1" customWidth="1"/>
    <col min="4" max="4" width="9.140625" style="11"/>
    <col min="5" max="5" width="11.5703125" style="11" bestFit="1" customWidth="1"/>
    <col min="6" max="7" width="9.140625" style="11"/>
    <col min="8" max="8" width="19.7109375" style="11" bestFit="1" customWidth="1"/>
    <col min="9" max="16384" width="9.140625" style="11"/>
  </cols>
  <sheetData>
    <row r="1" spans="1:9">
      <c r="A1" s="9"/>
      <c r="B1" s="10"/>
      <c r="C1" s="9"/>
      <c r="G1" s="12"/>
      <c r="H1" s="13"/>
    </row>
    <row r="2" spans="1:9">
      <c r="A2" s="653"/>
      <c r="B2" s="653"/>
      <c r="C2" s="653"/>
      <c r="D2" s="653"/>
      <c r="E2" s="653"/>
      <c r="F2" s="653"/>
      <c r="G2" s="653"/>
      <c r="H2" s="653"/>
      <c r="I2" s="653"/>
    </row>
    <row r="3" spans="1:9">
      <c r="B3" s="14"/>
    </row>
    <row r="4" spans="1:9">
      <c r="A4" s="654" t="s">
        <v>550</v>
      </c>
      <c r="B4" s="654"/>
      <c r="C4" s="654"/>
      <c r="D4" s="654"/>
      <c r="E4" s="654"/>
      <c r="F4" s="654"/>
      <c r="G4" s="654"/>
      <c r="H4" s="654"/>
      <c r="I4" s="654"/>
    </row>
    <row r="6" spans="1:9">
      <c r="A6" s="654" t="s">
        <v>1049</v>
      </c>
      <c r="B6" s="654"/>
      <c r="C6" s="654"/>
      <c r="D6" s="654"/>
      <c r="E6" s="654"/>
      <c r="F6" s="654"/>
      <c r="G6" s="654"/>
      <c r="H6" s="654"/>
      <c r="I6" s="654"/>
    </row>
    <row r="7" spans="1:9">
      <c r="A7" s="654"/>
      <c r="B7" s="654"/>
      <c r="C7" s="654"/>
      <c r="D7" s="654"/>
      <c r="E7" s="654"/>
      <c r="F7" s="654"/>
      <c r="G7" s="654"/>
      <c r="H7" s="654"/>
      <c r="I7" s="654"/>
    </row>
    <row r="8" spans="1:9">
      <c r="A8" s="162"/>
      <c r="B8" s="162"/>
      <c r="C8" s="162"/>
      <c r="D8" s="162"/>
      <c r="E8" s="162"/>
      <c r="F8" s="162"/>
      <c r="G8" s="162"/>
      <c r="H8" s="162"/>
      <c r="I8" s="162"/>
    </row>
    <row r="9" spans="1:9">
      <c r="A9" s="654" t="s">
        <v>159</v>
      </c>
      <c r="B9" s="654"/>
      <c r="C9" s="654"/>
      <c r="D9" s="654"/>
      <c r="E9" s="654"/>
      <c r="F9" s="654"/>
      <c r="G9" s="654"/>
      <c r="H9" s="654"/>
      <c r="I9" s="654"/>
    </row>
    <row r="10" spans="1:9">
      <c r="A10" s="656" t="s">
        <v>1139</v>
      </c>
      <c r="B10" s="656"/>
      <c r="C10" s="656"/>
      <c r="D10" s="656"/>
      <c r="E10" s="656"/>
      <c r="F10" s="656"/>
      <c r="G10" s="656"/>
      <c r="H10" s="656"/>
      <c r="I10" s="656"/>
    </row>
    <row r="12" spans="1:9">
      <c r="A12" s="16"/>
      <c r="B12" s="16"/>
      <c r="C12" s="16"/>
      <c r="D12" s="16"/>
      <c r="E12" s="16"/>
      <c r="F12" s="16"/>
      <c r="G12" s="16"/>
      <c r="H12" s="16"/>
      <c r="I12" s="16"/>
    </row>
    <row r="13" spans="1:9">
      <c r="A13" s="656" t="s">
        <v>1138</v>
      </c>
      <c r="B13" s="656"/>
      <c r="C13" s="656"/>
      <c r="D13" s="656"/>
      <c r="E13" s="656"/>
      <c r="F13" s="656"/>
      <c r="G13" s="656"/>
      <c r="H13" s="656"/>
      <c r="I13" s="656"/>
    </row>
    <row r="14" spans="1:9">
      <c r="A14" s="654"/>
      <c r="B14" s="654"/>
      <c r="C14" s="654"/>
      <c r="D14" s="654"/>
      <c r="E14" s="654"/>
      <c r="F14" s="654"/>
      <c r="G14" s="654"/>
      <c r="H14" s="654"/>
      <c r="I14" s="654"/>
    </row>
    <row r="15" spans="1:9">
      <c r="A15" s="15"/>
      <c r="B15" s="15"/>
      <c r="C15" s="15"/>
      <c r="D15" s="15"/>
      <c r="E15" s="15"/>
      <c r="F15" s="15"/>
      <c r="G15" s="15"/>
      <c r="H15" s="15"/>
      <c r="I15" s="15"/>
    </row>
    <row r="18" spans="1:9">
      <c r="A18" s="657">
        <v>41425</v>
      </c>
      <c r="B18" s="657"/>
      <c r="C18" s="657"/>
      <c r="D18" s="657"/>
      <c r="E18" s="657"/>
      <c r="F18" s="657"/>
      <c r="G18" s="657"/>
      <c r="H18" s="657"/>
      <c r="I18" s="657"/>
    </row>
    <row r="21" spans="1:9">
      <c r="A21" s="655"/>
      <c r="B21" s="655"/>
      <c r="C21" s="655"/>
      <c r="D21" s="655"/>
      <c r="E21" s="655"/>
      <c r="F21" s="655"/>
      <c r="G21" s="655"/>
      <c r="H21" s="655"/>
      <c r="I21" s="655"/>
    </row>
    <row r="22" spans="1:9">
      <c r="B22" s="150"/>
      <c r="C22" s="150"/>
      <c r="D22" s="150"/>
      <c r="E22" s="150"/>
      <c r="F22" s="150"/>
    </row>
    <row r="23" spans="1:9">
      <c r="B23" s="150"/>
      <c r="C23" s="150"/>
      <c r="D23" s="150"/>
      <c r="E23" s="150"/>
      <c r="F23" s="150"/>
    </row>
    <row r="24" spans="1:9">
      <c r="B24" s="150"/>
      <c r="C24" s="150"/>
      <c r="D24" s="150"/>
      <c r="E24" s="150"/>
      <c r="F24" s="150"/>
    </row>
    <row r="25" spans="1:9">
      <c r="B25" s="150"/>
      <c r="C25" s="150"/>
      <c r="D25" s="150"/>
      <c r="E25" s="150"/>
      <c r="F25" s="150"/>
    </row>
    <row r="26" spans="1:9">
      <c r="B26" s="150"/>
      <c r="C26" s="150"/>
      <c r="D26" s="150"/>
      <c r="E26" s="150"/>
      <c r="F26" s="150"/>
    </row>
    <row r="53" spans="1:9">
      <c r="A53" s="655"/>
      <c r="B53" s="655"/>
      <c r="C53" s="655"/>
      <c r="D53" s="655"/>
      <c r="E53" s="655"/>
      <c r="F53" s="655"/>
      <c r="G53" s="655"/>
      <c r="H53" s="655"/>
      <c r="I53" s="655"/>
    </row>
  </sheetData>
  <mergeCells count="11">
    <mergeCell ref="A2:I2"/>
    <mergeCell ref="A4:I4"/>
    <mergeCell ref="A6:I6"/>
    <mergeCell ref="A53:I53"/>
    <mergeCell ref="A7:I7"/>
    <mergeCell ref="A13:I13"/>
    <mergeCell ref="A18:I18"/>
    <mergeCell ref="A14:I14"/>
    <mergeCell ref="A21:I21"/>
    <mergeCell ref="A9:I9"/>
    <mergeCell ref="A10:I10"/>
  </mergeCells>
  <phoneticPr fontId="12" type="noConversion"/>
  <pageMargins left="0.75" right="0.75" top="1" bottom="1" header="0.5" footer="0.5"/>
  <pageSetup scale="90" orientation="portrait" r:id="rId1"/>
  <headerFooter alignWithMargins="0">
    <oddFooter>&amp;L&amp;F, &amp;A</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59"/>
  <sheetViews>
    <sheetView zoomScaleNormal="100" zoomScaleSheetLayoutView="100" workbookViewId="0">
      <selection activeCell="F33" sqref="F33:F35"/>
    </sheetView>
  </sheetViews>
  <sheetFormatPr defaultRowHeight="12.75"/>
  <cols>
    <col min="1" max="1" width="4.5703125" style="488" customWidth="1"/>
    <col min="2" max="2" width="5.28515625" style="179" customWidth="1"/>
    <col min="3" max="3" width="4.7109375" style="179" customWidth="1"/>
    <col min="4" max="4" width="47.42578125" style="179" customWidth="1"/>
    <col min="5" max="5" width="66.7109375" style="179" bestFit="1" customWidth="1"/>
    <col min="6" max="6" width="18.5703125" style="179" customWidth="1"/>
    <col min="7" max="7" width="9.140625" style="179"/>
    <col min="8" max="8" width="15.85546875" style="179" bestFit="1" customWidth="1"/>
    <col min="9" max="16384" width="9.140625" style="179"/>
  </cols>
  <sheetData>
    <row r="1" spans="1:8">
      <c r="A1" s="668" t="s">
        <v>379</v>
      </c>
      <c r="B1" s="668"/>
      <c r="C1" s="668"/>
      <c r="D1" s="668"/>
      <c r="E1" s="668"/>
      <c r="F1" s="668"/>
    </row>
    <row r="2" spans="1:8">
      <c r="A2" s="668" t="s">
        <v>413</v>
      </c>
      <c r="B2" s="668"/>
      <c r="C2" s="668"/>
      <c r="D2" s="668"/>
      <c r="E2" s="668"/>
      <c r="F2" s="668"/>
    </row>
    <row r="5" spans="1:8">
      <c r="A5" s="488">
        <v>1</v>
      </c>
      <c r="B5" s="184" t="s">
        <v>186</v>
      </c>
    </row>
    <row r="6" spans="1:8">
      <c r="A6" s="488">
        <f>A5+1</f>
        <v>2</v>
      </c>
    </row>
    <row r="7" spans="1:8">
      <c r="A7" s="488">
        <f t="shared" ref="A7:A55" si="0">A6+1</f>
        <v>3</v>
      </c>
      <c r="D7" s="179" t="s">
        <v>207</v>
      </c>
      <c r="E7" s="186" t="s">
        <v>185</v>
      </c>
      <c r="F7" s="195">
        <f>-'Rate Calculation'!E8</f>
        <v>22535889.699999992</v>
      </c>
    </row>
    <row r="8" spans="1:8">
      <c r="A8" s="488">
        <f t="shared" si="0"/>
        <v>4</v>
      </c>
      <c r="D8" s="179" t="s">
        <v>796</v>
      </c>
      <c r="E8" s="186" t="s">
        <v>115</v>
      </c>
      <c r="F8" s="195">
        <f>'Rate Calculation'!E7</f>
        <v>930229982.66999996</v>
      </c>
      <c r="H8" s="250"/>
    </row>
    <row r="9" spans="1:8">
      <c r="A9" s="488">
        <f t="shared" si="0"/>
        <v>5</v>
      </c>
      <c r="D9" s="179" t="s">
        <v>186</v>
      </c>
      <c r="E9" s="188" t="s">
        <v>614</v>
      </c>
      <c r="F9" s="187">
        <f>ROUND(F7/F8,8)</f>
        <v>2.4226149999999998E-2</v>
      </c>
      <c r="H9" s="251"/>
    </row>
    <row r="10" spans="1:8">
      <c r="A10" s="488">
        <f t="shared" si="0"/>
        <v>6</v>
      </c>
      <c r="E10" s="188"/>
      <c r="F10" s="252"/>
    </row>
    <row r="11" spans="1:8">
      <c r="A11" s="488">
        <f t="shared" si="0"/>
        <v>7</v>
      </c>
      <c r="E11" s="188"/>
      <c r="F11" s="252"/>
    </row>
    <row r="12" spans="1:8">
      <c r="A12" s="488">
        <f t="shared" si="0"/>
        <v>8</v>
      </c>
      <c r="B12" s="184" t="s">
        <v>223</v>
      </c>
    </row>
    <row r="13" spans="1:8">
      <c r="A13" s="488">
        <f t="shared" si="0"/>
        <v>9</v>
      </c>
    </row>
    <row r="14" spans="1:8">
      <c r="A14" s="488">
        <f t="shared" si="0"/>
        <v>10</v>
      </c>
      <c r="D14" s="179" t="s">
        <v>224</v>
      </c>
      <c r="E14" s="186" t="s">
        <v>593</v>
      </c>
      <c r="F14" s="195">
        <f>'Schedule 8'!E17</f>
        <v>1041147.3400000001</v>
      </c>
    </row>
    <row r="15" spans="1:8">
      <c r="A15" s="488">
        <f t="shared" si="0"/>
        <v>11</v>
      </c>
      <c r="D15" s="179" t="s">
        <v>796</v>
      </c>
      <c r="E15" s="186" t="s">
        <v>115</v>
      </c>
      <c r="F15" s="195">
        <f>'Rate Calculation'!E7</f>
        <v>930229982.66999996</v>
      </c>
    </row>
    <row r="16" spans="1:8">
      <c r="A16" s="488">
        <f t="shared" si="0"/>
        <v>12</v>
      </c>
      <c r="D16" s="179" t="s">
        <v>223</v>
      </c>
      <c r="E16" s="188" t="s">
        <v>615</v>
      </c>
      <c r="F16" s="187">
        <f>ROUND(F14/F15,8)</f>
        <v>1.1192400000000001E-3</v>
      </c>
    </row>
    <row r="17" spans="1:8">
      <c r="A17" s="488">
        <f t="shared" si="0"/>
        <v>13</v>
      </c>
      <c r="E17" s="186"/>
      <c r="F17" s="253"/>
    </row>
    <row r="18" spans="1:8">
      <c r="A18" s="488">
        <f t="shared" si="0"/>
        <v>14</v>
      </c>
      <c r="E18" s="188"/>
      <c r="F18" s="252"/>
    </row>
    <row r="19" spans="1:8">
      <c r="A19" s="488">
        <f t="shared" si="0"/>
        <v>15</v>
      </c>
      <c r="B19" s="184" t="s">
        <v>274</v>
      </c>
    </row>
    <row r="20" spans="1:8">
      <c r="A20" s="488">
        <f t="shared" si="0"/>
        <v>16</v>
      </c>
    </row>
    <row r="21" spans="1:8">
      <c r="A21" s="488">
        <f t="shared" si="0"/>
        <v>17</v>
      </c>
      <c r="D21" s="179" t="s">
        <v>414</v>
      </c>
      <c r="E21" s="186" t="s">
        <v>1118</v>
      </c>
      <c r="F21" s="185">
        <v>10135853</v>
      </c>
    </row>
    <row r="22" spans="1:8">
      <c r="A22" s="488">
        <f t="shared" si="0"/>
        <v>18</v>
      </c>
      <c r="D22" s="179" t="s">
        <v>225</v>
      </c>
      <c r="E22" s="188" t="s">
        <v>297</v>
      </c>
      <c r="F22" s="190">
        <f>-(F9*F21)</f>
        <v>-245552.69515594997</v>
      </c>
    </row>
    <row r="23" spans="1:8">
      <c r="A23" s="488">
        <f t="shared" si="0"/>
        <v>19</v>
      </c>
      <c r="D23" s="179" t="s">
        <v>226</v>
      </c>
      <c r="E23" s="188" t="s">
        <v>298</v>
      </c>
      <c r="F23" s="190">
        <f>-(F21*F16)</f>
        <v>-11344.45211172</v>
      </c>
    </row>
    <row r="24" spans="1:8">
      <c r="A24" s="488">
        <f t="shared" si="0"/>
        <v>20</v>
      </c>
      <c r="D24" s="179" t="s">
        <v>227</v>
      </c>
      <c r="E24" s="188" t="s">
        <v>299</v>
      </c>
      <c r="F24" s="185">
        <f>SUM(F21:F23)</f>
        <v>9878955.8527323306</v>
      </c>
    </row>
    <row r="25" spans="1:8">
      <c r="A25" s="488">
        <f t="shared" si="0"/>
        <v>21</v>
      </c>
      <c r="D25" s="179" t="s">
        <v>415</v>
      </c>
      <c r="E25" s="186" t="s">
        <v>1119</v>
      </c>
      <c r="F25" s="185">
        <v>43975035</v>
      </c>
    </row>
    <row r="26" spans="1:8">
      <c r="A26" s="488">
        <f t="shared" si="0"/>
        <v>22</v>
      </c>
      <c r="D26" s="179" t="s">
        <v>416</v>
      </c>
      <c r="E26" s="186" t="s">
        <v>1120</v>
      </c>
      <c r="F26" s="185">
        <v>120054633</v>
      </c>
    </row>
    <row r="27" spans="1:8">
      <c r="A27" s="488">
        <f t="shared" si="0"/>
        <v>23</v>
      </c>
      <c r="D27" s="179" t="s">
        <v>539</v>
      </c>
      <c r="E27" s="188" t="s">
        <v>797</v>
      </c>
      <c r="F27" s="187">
        <f>ROUND(F24/(F26-F25),8)</f>
        <v>0.12985026</v>
      </c>
      <c r="H27" s="190"/>
    </row>
    <row r="28" spans="1:8">
      <c r="A28" s="488">
        <f t="shared" si="0"/>
        <v>24</v>
      </c>
      <c r="E28" s="188"/>
      <c r="F28" s="252"/>
    </row>
    <row r="29" spans="1:8">
      <c r="A29" s="488">
        <f t="shared" si="0"/>
        <v>25</v>
      </c>
      <c r="E29" s="188"/>
      <c r="F29" s="252"/>
    </row>
    <row r="30" spans="1:8">
      <c r="A30" s="488">
        <f t="shared" si="0"/>
        <v>26</v>
      </c>
      <c r="B30" s="184" t="s">
        <v>538</v>
      </c>
    </row>
    <row r="31" spans="1:8">
      <c r="A31" s="488">
        <f t="shared" si="0"/>
        <v>27</v>
      </c>
    </row>
    <row r="32" spans="1:8">
      <c r="A32" s="488">
        <f t="shared" si="0"/>
        <v>28</v>
      </c>
      <c r="E32" s="186"/>
      <c r="F32" s="185"/>
    </row>
    <row r="33" spans="1:6">
      <c r="A33" s="488">
        <f t="shared" si="0"/>
        <v>29</v>
      </c>
      <c r="D33" s="179" t="s">
        <v>796</v>
      </c>
      <c r="E33" s="186" t="s">
        <v>115</v>
      </c>
      <c r="F33" s="185">
        <f>'Rate Calculation'!E7</f>
        <v>930229982.66999996</v>
      </c>
    </row>
    <row r="34" spans="1:6">
      <c r="A34" s="488">
        <f t="shared" si="0"/>
        <v>30</v>
      </c>
      <c r="D34" s="179" t="s">
        <v>206</v>
      </c>
      <c r="E34" s="186" t="s">
        <v>185</v>
      </c>
      <c r="F34" s="185">
        <f>-'Schedule 7'!E80</f>
        <v>-22535889.699999992</v>
      </c>
    </row>
    <row r="35" spans="1:6">
      <c r="A35" s="488">
        <f t="shared" si="0"/>
        <v>31</v>
      </c>
      <c r="D35" s="179" t="s">
        <v>228</v>
      </c>
      <c r="E35" s="186" t="s">
        <v>593</v>
      </c>
      <c r="F35" s="185">
        <f>-('Schedule 8'!E17)</f>
        <v>-1041147.3400000001</v>
      </c>
    </row>
    <row r="36" spans="1:6">
      <c r="A36" s="488">
        <f t="shared" si="0"/>
        <v>32</v>
      </c>
      <c r="D36" s="179" t="s">
        <v>200</v>
      </c>
      <c r="E36" s="188" t="s">
        <v>300</v>
      </c>
      <c r="F36" s="185">
        <f>SUM(F33:F35)</f>
        <v>906652945.62999988</v>
      </c>
    </row>
    <row r="37" spans="1:6">
      <c r="A37" s="488">
        <f t="shared" si="0"/>
        <v>33</v>
      </c>
      <c r="D37" s="179" t="s">
        <v>447</v>
      </c>
      <c r="E37" s="167">
        <v>-49</v>
      </c>
      <c r="F37" s="185">
        <f>F53</f>
        <v>46135152.281908318</v>
      </c>
    </row>
    <row r="38" spans="1:6">
      <c r="A38" s="488">
        <f t="shared" si="0"/>
        <v>34</v>
      </c>
      <c r="D38" s="179" t="s">
        <v>798</v>
      </c>
      <c r="E38" s="186" t="s">
        <v>1077</v>
      </c>
      <c r="F38" s="185">
        <f>4915771669-10213514-643639</f>
        <v>4904914516</v>
      </c>
    </row>
    <row r="39" spans="1:6">
      <c r="A39" s="488">
        <f t="shared" si="0"/>
        <v>35</v>
      </c>
      <c r="D39" s="179" t="s">
        <v>538</v>
      </c>
      <c r="E39" s="188" t="s">
        <v>156</v>
      </c>
      <c r="F39" s="187">
        <f>ROUND((F36+F37)/F38,8)</f>
        <v>0.19425171999999999</v>
      </c>
    </row>
    <row r="40" spans="1:6">
      <c r="A40" s="488">
        <f t="shared" si="0"/>
        <v>36</v>
      </c>
    </row>
    <row r="41" spans="1:6">
      <c r="A41" s="488">
        <f t="shared" si="0"/>
        <v>37</v>
      </c>
    </row>
    <row r="42" spans="1:6">
      <c r="A42" s="488">
        <f t="shared" si="0"/>
        <v>38</v>
      </c>
      <c r="B42" s="184" t="s">
        <v>318</v>
      </c>
    </row>
    <row r="43" spans="1:6">
      <c r="A43" s="488">
        <f t="shared" si="0"/>
        <v>39</v>
      </c>
    </row>
    <row r="44" spans="1:6">
      <c r="A44" s="488">
        <f t="shared" si="0"/>
        <v>40</v>
      </c>
      <c r="D44" s="179" t="s">
        <v>201</v>
      </c>
      <c r="E44" s="186" t="s">
        <v>229</v>
      </c>
      <c r="F44" s="185">
        <f>F36</f>
        <v>906652945.62999988</v>
      </c>
    </row>
    <row r="45" spans="1:6">
      <c r="A45" s="488">
        <f t="shared" si="0"/>
        <v>41</v>
      </c>
      <c r="D45" s="179" t="s">
        <v>798</v>
      </c>
      <c r="E45" s="167">
        <v>-34</v>
      </c>
      <c r="F45" s="185">
        <f>F38</f>
        <v>4904914516</v>
      </c>
    </row>
    <row r="46" spans="1:6">
      <c r="A46" s="488">
        <f t="shared" si="0"/>
        <v>42</v>
      </c>
      <c r="D46" s="179" t="s">
        <v>318</v>
      </c>
      <c r="E46" s="188" t="s">
        <v>157</v>
      </c>
      <c r="F46" s="187">
        <f>ROUND(F44/F45,8)</f>
        <v>0.18484581999999999</v>
      </c>
    </row>
    <row r="47" spans="1:6">
      <c r="A47" s="488">
        <f t="shared" si="0"/>
        <v>43</v>
      </c>
    </row>
    <row r="48" spans="1:6">
      <c r="A48" s="488">
        <f t="shared" si="0"/>
        <v>44</v>
      </c>
    </row>
    <row r="49" spans="1:6">
      <c r="A49" s="488">
        <f t="shared" si="0"/>
        <v>45</v>
      </c>
      <c r="B49" s="184" t="s">
        <v>417</v>
      </c>
    </row>
    <row r="50" spans="1:6">
      <c r="A50" s="488">
        <f t="shared" si="0"/>
        <v>46</v>
      </c>
    </row>
    <row r="51" spans="1:6">
      <c r="A51" s="488">
        <f t="shared" si="0"/>
        <v>47</v>
      </c>
      <c r="D51" s="179" t="s">
        <v>448</v>
      </c>
      <c r="E51" s="186" t="s">
        <v>237</v>
      </c>
      <c r="F51" s="105">
        <f>'Schedule 1'!F22</f>
        <v>38319569.142566577</v>
      </c>
    </row>
    <row r="52" spans="1:6">
      <c r="A52" s="488">
        <f t="shared" si="0"/>
        <v>48</v>
      </c>
      <c r="D52" s="179" t="s">
        <v>449</v>
      </c>
      <c r="E52" s="186" t="s">
        <v>237</v>
      </c>
      <c r="F52" s="105">
        <f>'Schedule 1'!F36</f>
        <v>7815583.1393417399</v>
      </c>
    </row>
    <row r="53" spans="1:6">
      <c r="A53" s="488">
        <f t="shared" si="0"/>
        <v>49</v>
      </c>
      <c r="D53" s="179" t="s">
        <v>450</v>
      </c>
      <c r="E53" s="188" t="s">
        <v>301</v>
      </c>
      <c r="F53" s="105">
        <f>SUM(F51:F52)</f>
        <v>46135152.281908318</v>
      </c>
    </row>
    <row r="54" spans="1:6">
      <c r="A54" s="488">
        <f t="shared" si="0"/>
        <v>50</v>
      </c>
      <c r="D54" s="179" t="s">
        <v>798</v>
      </c>
      <c r="E54" s="167">
        <v>-34</v>
      </c>
      <c r="F54" s="185">
        <f>F38</f>
        <v>4904914516</v>
      </c>
    </row>
    <row r="55" spans="1:6">
      <c r="A55" s="488">
        <f t="shared" si="0"/>
        <v>51</v>
      </c>
      <c r="D55" s="179" t="s">
        <v>443</v>
      </c>
      <c r="E55" s="188" t="s">
        <v>158</v>
      </c>
      <c r="F55" s="179">
        <f>ROUND(F53/F54,8)</f>
        <v>9.4059E-3</v>
      </c>
    </row>
    <row r="59" spans="1:6">
      <c r="D59" s="195"/>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12/31/2012</oddHeader>
    <oddFooter>&amp;L&amp;F, &amp;A</oddFooter>
  </headerFooter>
</worksheet>
</file>

<file path=xl/worksheets/sheet11.xml><?xml version="1.0" encoding="utf-8"?>
<worksheet xmlns="http://schemas.openxmlformats.org/spreadsheetml/2006/main" xmlns:r="http://schemas.openxmlformats.org/officeDocument/2006/relationships">
  <sheetPr codeName="Sheet11"/>
  <dimension ref="A1:E43"/>
  <sheetViews>
    <sheetView zoomScaleNormal="100" zoomScaleSheetLayoutView="100" workbookViewId="0">
      <selection activeCell="D18" sqref="D18"/>
    </sheetView>
  </sheetViews>
  <sheetFormatPr defaultRowHeight="12.75"/>
  <cols>
    <col min="1" max="1" width="3.140625" style="179" customWidth="1"/>
    <col min="2" max="2" width="2.140625" style="179" customWidth="1"/>
    <col min="3" max="3" width="44.28515625" style="179" customWidth="1"/>
    <col min="4" max="4" width="37.7109375" style="105" customWidth="1"/>
    <col min="5" max="5" width="15.85546875" style="179" customWidth="1"/>
    <col min="6" max="16384" width="9.140625" style="179"/>
  </cols>
  <sheetData>
    <row r="1" spans="1:5">
      <c r="A1" s="668" t="s">
        <v>380</v>
      </c>
      <c r="B1" s="668"/>
      <c r="C1" s="668"/>
      <c r="D1" s="668"/>
      <c r="E1" s="668"/>
    </row>
    <row r="2" spans="1:5">
      <c r="A2" s="668" t="s">
        <v>306</v>
      </c>
      <c r="B2" s="668"/>
      <c r="C2" s="668"/>
      <c r="D2" s="668"/>
      <c r="E2" s="668"/>
    </row>
    <row r="3" spans="1:5">
      <c r="A3" s="668"/>
      <c r="B3" s="668"/>
      <c r="C3" s="668"/>
      <c r="D3" s="668"/>
      <c r="E3" s="668"/>
    </row>
    <row r="6" spans="1:5">
      <c r="A6" s="488">
        <v>1</v>
      </c>
      <c r="B6" s="184"/>
      <c r="C6" s="184" t="s">
        <v>490</v>
      </c>
    </row>
    <row r="7" spans="1:5">
      <c r="A7" s="488">
        <f>A6+1</f>
        <v>2</v>
      </c>
      <c r="B7" s="184"/>
      <c r="C7" s="179" t="s">
        <v>419</v>
      </c>
    </row>
    <row r="8" spans="1:5">
      <c r="A8" s="488">
        <f t="shared" ref="A8:A23" si="0">A7+1</f>
        <v>3</v>
      </c>
      <c r="B8" s="184"/>
      <c r="C8" s="179" t="s">
        <v>420</v>
      </c>
    </row>
    <row r="9" spans="1:5">
      <c r="A9" s="488">
        <f t="shared" si="0"/>
        <v>4</v>
      </c>
      <c r="B9" s="184"/>
      <c r="C9" s="179" t="s">
        <v>187</v>
      </c>
      <c r="D9" s="220" t="s">
        <v>657</v>
      </c>
      <c r="E9" s="629">
        <f>'Schedule 4 Workpaper page 1'!F12</f>
        <v>336089.94</v>
      </c>
    </row>
    <row r="10" spans="1:5">
      <c r="A10" s="488">
        <f t="shared" si="0"/>
        <v>5</v>
      </c>
      <c r="B10" s="184"/>
      <c r="C10" s="179" t="s">
        <v>221</v>
      </c>
      <c r="D10" s="220" t="s">
        <v>657</v>
      </c>
      <c r="E10" s="630">
        <f>'Schedule 4 Workpaper page 1'!F11</f>
        <v>82643.395288435204</v>
      </c>
    </row>
    <row r="11" spans="1:5">
      <c r="A11" s="488">
        <f t="shared" si="0"/>
        <v>6</v>
      </c>
      <c r="B11" s="184"/>
      <c r="C11" s="179" t="s">
        <v>232</v>
      </c>
      <c r="D11" s="220" t="s">
        <v>657</v>
      </c>
      <c r="E11" s="631">
        <f>'Schedule 4 Workpaper page 1'!F13</f>
        <v>231611.94999999995</v>
      </c>
    </row>
    <row r="12" spans="1:5">
      <c r="A12" s="488">
        <f t="shared" si="0"/>
        <v>7</v>
      </c>
      <c r="B12" s="184"/>
      <c r="C12" s="179" t="s">
        <v>1016</v>
      </c>
      <c r="D12" s="220" t="s">
        <v>657</v>
      </c>
      <c r="E12" s="632">
        <f>'Schedule 4 Workpaper page 1'!F32</f>
        <v>661619</v>
      </c>
    </row>
    <row r="13" spans="1:5">
      <c r="A13" s="488">
        <f t="shared" si="0"/>
        <v>8</v>
      </c>
      <c r="B13" s="184"/>
      <c r="C13" s="181" t="s">
        <v>196</v>
      </c>
      <c r="D13" s="220"/>
      <c r="E13" s="434">
        <f>SUM(E9:E12)</f>
        <v>1311964.2852884352</v>
      </c>
    </row>
    <row r="14" spans="1:5">
      <c r="A14" s="488">
        <f t="shared" si="0"/>
        <v>9</v>
      </c>
      <c r="B14" s="184"/>
      <c r="D14" s="220"/>
      <c r="E14" s="630"/>
    </row>
    <row r="15" spans="1:5">
      <c r="A15" s="488">
        <f t="shared" si="0"/>
        <v>10</v>
      </c>
      <c r="B15" s="184"/>
      <c r="C15" s="184" t="s">
        <v>421</v>
      </c>
      <c r="D15" s="220"/>
      <c r="E15" s="582"/>
    </row>
    <row r="16" spans="1:5">
      <c r="A16" s="488">
        <f t="shared" si="0"/>
        <v>11</v>
      </c>
      <c r="B16" s="184"/>
      <c r="C16" s="269" t="s">
        <v>187</v>
      </c>
      <c r="D16" s="633" t="s">
        <v>4</v>
      </c>
      <c r="E16" s="634">
        <f>'Schedule 4 Workpaper page 5'!G12</f>
        <v>1298.74</v>
      </c>
    </row>
    <row r="17" spans="1:5">
      <c r="A17" s="488">
        <f t="shared" si="0"/>
        <v>12</v>
      </c>
      <c r="B17" s="184"/>
      <c r="C17" s="269" t="s">
        <v>360</v>
      </c>
      <c r="D17" s="633" t="s">
        <v>1331</v>
      </c>
      <c r="E17" s="631">
        <f>16400*0.35</f>
        <v>5740</v>
      </c>
    </row>
    <row r="18" spans="1:5">
      <c r="A18" s="488">
        <f t="shared" si="0"/>
        <v>13</v>
      </c>
      <c r="B18" s="184"/>
      <c r="C18" s="269" t="s">
        <v>958</v>
      </c>
      <c r="D18" s="633" t="s">
        <v>838</v>
      </c>
      <c r="E18" s="635">
        <f>'Schedule 4 Workpaper page 6'!K34</f>
        <v>16571976.16</v>
      </c>
    </row>
    <row r="19" spans="1:5">
      <c r="A19" s="488">
        <f t="shared" si="0"/>
        <v>14</v>
      </c>
      <c r="B19" s="184"/>
      <c r="C19" s="181" t="s">
        <v>196</v>
      </c>
      <c r="D19" s="636"/>
      <c r="E19" s="634">
        <f>SUM(E16:E18)</f>
        <v>16579014.9</v>
      </c>
    </row>
    <row r="20" spans="1:5">
      <c r="A20" s="488">
        <f t="shared" si="0"/>
        <v>15</v>
      </c>
      <c r="B20" s="184"/>
      <c r="C20" s="181"/>
      <c r="D20" s="636"/>
      <c r="E20" s="631"/>
    </row>
    <row r="21" spans="1:5">
      <c r="A21" s="488">
        <f t="shared" si="0"/>
        <v>16</v>
      </c>
      <c r="D21" s="179"/>
      <c r="E21" s="630"/>
    </row>
    <row r="22" spans="1:5">
      <c r="A22" s="488">
        <f t="shared" si="0"/>
        <v>17</v>
      </c>
      <c r="D22" s="179"/>
      <c r="E22" s="630"/>
    </row>
    <row r="23" spans="1:5">
      <c r="A23" s="488">
        <f t="shared" si="0"/>
        <v>18</v>
      </c>
      <c r="B23" s="184"/>
      <c r="C23" s="637" t="s">
        <v>422</v>
      </c>
      <c r="E23" s="634">
        <f>E13+E19</f>
        <v>17890979.185288437</v>
      </c>
    </row>
    <row r="24" spans="1:5">
      <c r="A24" s="488"/>
      <c r="B24" s="184"/>
      <c r="C24" s="186"/>
      <c r="E24" s="636"/>
    </row>
    <row r="25" spans="1:5">
      <c r="A25" s="488"/>
      <c r="B25" s="184"/>
    </row>
    <row r="26" spans="1:5">
      <c r="B26" s="184"/>
    </row>
    <row r="27" spans="1:5">
      <c r="B27" s="184"/>
    </row>
    <row r="29" spans="1:5">
      <c r="C29" s="179" t="s">
        <v>957</v>
      </c>
    </row>
    <row r="30" spans="1:5">
      <c r="C30" s="179" t="s">
        <v>843</v>
      </c>
    </row>
    <row r="35" ht="15" customHeight="1"/>
    <row r="43" ht="15" customHeight="1"/>
  </sheetData>
  <sheetProtection formatCells="0"/>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ignoredErrors>
    <ignoredError sqref="E17" unlockedFormula="1"/>
  </ignoredErrors>
</worksheet>
</file>

<file path=xl/worksheets/sheet12.xml><?xml version="1.0" encoding="utf-8"?>
<worksheet xmlns="http://schemas.openxmlformats.org/spreadsheetml/2006/main" xmlns:r="http://schemas.openxmlformats.org/officeDocument/2006/relationships">
  <sheetPr codeName="Sheet12">
    <pageSetUpPr fitToPage="1"/>
  </sheetPr>
  <dimension ref="A1:N70"/>
  <sheetViews>
    <sheetView zoomScale="90" zoomScaleNormal="90" zoomScaleSheetLayoutView="100" zoomScalePageLayoutView="75" workbookViewId="0">
      <selection activeCell="F16" sqref="F16"/>
    </sheetView>
  </sheetViews>
  <sheetFormatPr defaultRowHeight="12.75"/>
  <cols>
    <col min="1" max="1" width="15.85546875" style="186" customWidth="1"/>
    <col min="2" max="2" width="13.5703125" style="488" customWidth="1"/>
    <col min="3" max="3" width="11.85546875" style="488" customWidth="1"/>
    <col min="4" max="4" width="19.7109375" style="488" bestFit="1" customWidth="1"/>
    <col min="5" max="5" width="17.140625" style="488" customWidth="1"/>
    <col min="6" max="6" width="17.85546875" style="179" customWidth="1"/>
    <col min="7" max="8" width="11.85546875" style="179" customWidth="1"/>
    <col min="9" max="9" width="11.85546875" style="488" customWidth="1"/>
    <col min="10" max="14" width="11.85546875" style="179" customWidth="1"/>
    <col min="15" max="16384" width="9.140625" style="179"/>
  </cols>
  <sheetData>
    <row r="1" spans="1:14">
      <c r="A1" s="668" t="s">
        <v>197</v>
      </c>
      <c r="B1" s="668"/>
      <c r="C1" s="668"/>
      <c r="D1" s="668"/>
      <c r="E1" s="668"/>
      <c r="F1" s="668"/>
      <c r="G1" s="668"/>
      <c r="H1" s="668"/>
      <c r="I1" s="212"/>
      <c r="J1" s="212"/>
      <c r="K1" s="212"/>
      <c r="L1" s="212"/>
      <c r="M1" s="212"/>
      <c r="N1" s="212"/>
    </row>
    <row r="2" spans="1:14" s="184" customFormat="1">
      <c r="A2" s="668" t="s">
        <v>1132</v>
      </c>
      <c r="B2" s="668"/>
      <c r="C2" s="668"/>
      <c r="D2" s="668"/>
      <c r="E2" s="668"/>
      <c r="F2" s="668"/>
      <c r="G2" s="668"/>
      <c r="H2" s="668"/>
      <c r="I2" s="212"/>
      <c r="J2" s="212"/>
      <c r="K2" s="212"/>
      <c r="L2" s="212"/>
      <c r="M2" s="212"/>
      <c r="N2" s="212"/>
    </row>
    <row r="3" spans="1:14">
      <c r="A3" s="668"/>
      <c r="B3" s="668"/>
      <c r="C3" s="668"/>
      <c r="D3" s="668"/>
      <c r="E3" s="668"/>
      <c r="F3" s="668"/>
      <c r="G3" s="668"/>
      <c r="H3" s="668"/>
      <c r="I3" s="668"/>
      <c r="J3" s="668"/>
      <c r="K3" s="668"/>
      <c r="L3" s="668"/>
      <c r="M3" s="212"/>
      <c r="N3" s="212"/>
    </row>
    <row r="4" spans="1:14">
      <c r="B4" s="254"/>
      <c r="C4" s="254"/>
      <c r="D4" s="254"/>
      <c r="E4" s="254"/>
      <c r="F4" s="254"/>
      <c r="G4" s="254"/>
      <c r="H4" s="254"/>
      <c r="J4" s="488"/>
      <c r="K4" s="488"/>
      <c r="L4" s="488"/>
      <c r="M4" s="212"/>
      <c r="N4" s="212"/>
    </row>
    <row r="5" spans="1:14">
      <c r="A5" s="255"/>
      <c r="B5" s="256"/>
      <c r="C5" s="256"/>
      <c r="D5" s="256"/>
      <c r="E5" s="256"/>
      <c r="F5" s="256"/>
      <c r="G5" s="256"/>
      <c r="H5" s="256"/>
      <c r="J5" s="488"/>
      <c r="K5" s="488"/>
      <c r="L5" s="488"/>
      <c r="M5" s="212"/>
      <c r="N5" s="212"/>
    </row>
    <row r="6" spans="1:14">
      <c r="A6" s="257"/>
      <c r="B6" s="491" t="s">
        <v>478</v>
      </c>
      <c r="C6" s="491" t="s">
        <v>479</v>
      </c>
      <c r="D6" s="491" t="s">
        <v>662</v>
      </c>
      <c r="E6" s="491" t="s">
        <v>663</v>
      </c>
      <c r="F6" s="491" t="s">
        <v>818</v>
      </c>
      <c r="G6" s="491" t="s">
        <v>819</v>
      </c>
      <c r="H6" s="258" t="s">
        <v>730</v>
      </c>
      <c r="J6" s="488"/>
      <c r="K6" s="488"/>
      <c r="L6" s="488"/>
      <c r="M6" s="212"/>
      <c r="N6" s="212"/>
    </row>
    <row r="7" spans="1:14">
      <c r="A7" s="259"/>
      <c r="B7" s="491"/>
      <c r="C7" s="491" t="s">
        <v>475</v>
      </c>
      <c r="D7" s="491"/>
      <c r="E7" s="491"/>
      <c r="F7" s="205"/>
      <c r="G7" s="205"/>
      <c r="H7" s="260"/>
      <c r="M7" s="212"/>
      <c r="N7" s="212"/>
    </row>
    <row r="8" spans="1:14">
      <c r="A8" s="259"/>
      <c r="B8" s="491" t="s">
        <v>475</v>
      </c>
      <c r="C8" s="491" t="s">
        <v>476</v>
      </c>
      <c r="D8" s="491" t="s">
        <v>822</v>
      </c>
      <c r="E8" s="491"/>
      <c r="F8" s="491" t="s">
        <v>841</v>
      </c>
      <c r="G8" s="205"/>
      <c r="H8" s="492"/>
      <c r="J8" s="488"/>
      <c r="K8" s="488"/>
      <c r="L8" s="488"/>
      <c r="M8" s="212"/>
      <c r="N8" s="212"/>
    </row>
    <row r="9" spans="1:14">
      <c r="A9" s="259"/>
      <c r="B9" s="261" t="s">
        <v>837</v>
      </c>
      <c r="C9" s="261" t="s">
        <v>477</v>
      </c>
      <c r="D9" s="261" t="s">
        <v>555</v>
      </c>
      <c r="E9" s="261" t="s">
        <v>462</v>
      </c>
      <c r="F9" s="261" t="s">
        <v>842</v>
      </c>
      <c r="G9" s="261" t="s">
        <v>345</v>
      </c>
      <c r="H9" s="262" t="s">
        <v>462</v>
      </c>
      <c r="I9" s="263"/>
      <c r="J9" s="263"/>
      <c r="K9" s="263"/>
      <c r="L9" s="263"/>
      <c r="M9" s="212"/>
      <c r="N9" s="212"/>
    </row>
    <row r="10" spans="1:14" s="269" customFormat="1" ht="38.25">
      <c r="A10" s="264"/>
      <c r="B10" s="265" t="s">
        <v>820</v>
      </c>
      <c r="C10" s="265" t="s">
        <v>821</v>
      </c>
      <c r="D10" s="265" t="s">
        <v>8</v>
      </c>
      <c r="E10" s="265" t="s">
        <v>953</v>
      </c>
      <c r="F10" s="265"/>
      <c r="G10" s="266"/>
      <c r="H10" s="267"/>
      <c r="I10" s="268"/>
      <c r="J10" s="268"/>
      <c r="K10" s="268"/>
      <c r="L10" s="268"/>
      <c r="M10" s="212"/>
      <c r="N10" s="212"/>
    </row>
    <row r="11" spans="1:14">
      <c r="A11" s="259" t="s">
        <v>463</v>
      </c>
      <c r="B11" s="270">
        <f t="shared" ref="B11:B22" si="0">E11-C11-D11</f>
        <v>1961</v>
      </c>
      <c r="C11" s="270">
        <f>'Schedule 5 Workpaper '!C11</f>
        <v>203</v>
      </c>
      <c r="D11" s="270">
        <f>H55</f>
        <v>567</v>
      </c>
      <c r="E11" s="270">
        <f>'Schedule 5 Workpaper '!G11 - F11</f>
        <v>2731</v>
      </c>
      <c r="F11" s="270">
        <f>1210+250+250</f>
        <v>1710</v>
      </c>
      <c r="G11" s="638">
        <v>330</v>
      </c>
      <c r="H11" s="271">
        <f>SUM(E11:G11)</f>
        <v>4771</v>
      </c>
      <c r="J11" s="272"/>
      <c r="K11" s="488"/>
      <c r="L11" s="488"/>
      <c r="M11" s="212"/>
      <c r="N11" s="212"/>
    </row>
    <row r="12" spans="1:14">
      <c r="A12" s="259" t="s">
        <v>464</v>
      </c>
      <c r="B12" s="270">
        <f t="shared" si="0"/>
        <v>1961</v>
      </c>
      <c r="C12" s="270">
        <f>'Schedule 5 Workpaper '!C12</f>
        <v>201</v>
      </c>
      <c r="D12" s="270">
        <f t="shared" ref="D12:D22" si="1">H56</f>
        <v>567</v>
      </c>
      <c r="E12" s="270">
        <f>'Schedule 5 Workpaper '!G12 - F12</f>
        <v>2729</v>
      </c>
      <c r="F12" s="270">
        <f>F11</f>
        <v>1710</v>
      </c>
      <c r="G12" s="638">
        <v>330</v>
      </c>
      <c r="H12" s="271">
        <f t="shared" ref="H12:H22" si="2">SUM(E12:G12)</f>
        <v>4769</v>
      </c>
      <c r="J12" s="272"/>
      <c r="K12" s="488"/>
      <c r="L12" s="488"/>
      <c r="M12" s="212"/>
      <c r="N12" s="212"/>
    </row>
    <row r="13" spans="1:14">
      <c r="A13" s="259" t="s">
        <v>465</v>
      </c>
      <c r="B13" s="270">
        <f t="shared" si="0"/>
        <v>1949</v>
      </c>
      <c r="C13" s="270">
        <f>'Schedule 5 Workpaper '!C13</f>
        <v>212</v>
      </c>
      <c r="D13" s="270">
        <f t="shared" si="1"/>
        <v>567</v>
      </c>
      <c r="E13" s="270">
        <f>'Schedule 5 Workpaper '!G13 - F13</f>
        <v>2728</v>
      </c>
      <c r="F13" s="270">
        <f t="shared" ref="F13:F22" si="3">F12</f>
        <v>1710</v>
      </c>
      <c r="G13" s="638">
        <v>330</v>
      </c>
      <c r="H13" s="271">
        <f t="shared" si="2"/>
        <v>4768</v>
      </c>
      <c r="J13" s="273"/>
      <c r="K13" s="488"/>
      <c r="L13" s="488"/>
      <c r="M13" s="212"/>
      <c r="N13" s="212"/>
    </row>
    <row r="14" spans="1:14">
      <c r="A14" s="259" t="s">
        <v>466</v>
      </c>
      <c r="B14" s="270">
        <f t="shared" si="0"/>
        <v>2071</v>
      </c>
      <c r="C14" s="270">
        <f>'Schedule 5 Workpaper '!C14</f>
        <v>216</v>
      </c>
      <c r="D14" s="270">
        <f t="shared" si="1"/>
        <v>567</v>
      </c>
      <c r="E14" s="270">
        <f>'Schedule 5 Workpaper '!G14 - F14</f>
        <v>2854</v>
      </c>
      <c r="F14" s="270">
        <f t="shared" si="3"/>
        <v>1710</v>
      </c>
      <c r="G14" s="638">
        <v>330</v>
      </c>
      <c r="H14" s="271">
        <f t="shared" si="2"/>
        <v>4894</v>
      </c>
      <c r="J14" s="273"/>
      <c r="K14" s="488"/>
      <c r="L14" s="488"/>
      <c r="M14" s="212"/>
      <c r="N14" s="212"/>
    </row>
    <row r="15" spans="1:14">
      <c r="A15" s="259" t="s">
        <v>467</v>
      </c>
      <c r="B15" s="270">
        <f t="shared" si="0"/>
        <v>2245</v>
      </c>
      <c r="C15" s="270">
        <f>'Schedule 5 Workpaper '!C15</f>
        <v>269</v>
      </c>
      <c r="D15" s="270">
        <f t="shared" si="1"/>
        <v>567</v>
      </c>
      <c r="E15" s="270">
        <f>'Schedule 5 Workpaper '!G15 - F15</f>
        <v>3081</v>
      </c>
      <c r="F15" s="270">
        <f t="shared" si="3"/>
        <v>1710</v>
      </c>
      <c r="G15" s="638">
        <v>330</v>
      </c>
      <c r="H15" s="271">
        <f t="shared" si="2"/>
        <v>5121</v>
      </c>
      <c r="J15" s="273"/>
      <c r="K15" s="488"/>
      <c r="L15" s="488"/>
      <c r="M15" s="212"/>
      <c r="N15" s="212"/>
    </row>
    <row r="16" spans="1:14">
      <c r="A16" s="259" t="s">
        <v>468</v>
      </c>
      <c r="B16" s="270">
        <f t="shared" si="0"/>
        <v>2930</v>
      </c>
      <c r="C16" s="270">
        <f>'Schedule 5 Workpaper '!C16</f>
        <v>337</v>
      </c>
      <c r="D16" s="270">
        <f t="shared" si="1"/>
        <v>567</v>
      </c>
      <c r="E16" s="270">
        <f>'Schedule 5 Workpaper '!G16 - F16</f>
        <v>3834</v>
      </c>
      <c r="F16" s="270">
        <f>1336+250+250</f>
        <v>1836</v>
      </c>
      <c r="G16" s="638">
        <v>330</v>
      </c>
      <c r="H16" s="271">
        <f t="shared" si="2"/>
        <v>6000</v>
      </c>
      <c r="J16" s="273"/>
      <c r="K16" s="488"/>
      <c r="L16" s="488"/>
      <c r="M16" s="212"/>
      <c r="N16" s="212"/>
    </row>
    <row r="17" spans="1:14">
      <c r="A17" s="259" t="s">
        <v>469</v>
      </c>
      <c r="B17" s="270">
        <f t="shared" si="0"/>
        <v>3245</v>
      </c>
      <c r="C17" s="270">
        <f>'Schedule 5 Workpaper '!C17</f>
        <v>342</v>
      </c>
      <c r="D17" s="270">
        <f t="shared" si="1"/>
        <v>567</v>
      </c>
      <c r="E17" s="270">
        <f>'Schedule 5 Workpaper '!G17 - F17</f>
        <v>4154</v>
      </c>
      <c r="F17" s="270">
        <f t="shared" si="3"/>
        <v>1836</v>
      </c>
      <c r="G17" s="638">
        <v>330</v>
      </c>
      <c r="H17" s="271">
        <f t="shared" si="2"/>
        <v>6320</v>
      </c>
      <c r="J17" s="273"/>
      <c r="K17" s="488"/>
      <c r="L17" s="488"/>
      <c r="M17" s="212"/>
      <c r="N17" s="212"/>
    </row>
    <row r="18" spans="1:14">
      <c r="A18" s="259" t="s">
        <v>470</v>
      </c>
      <c r="B18" s="270">
        <f t="shared" si="0"/>
        <v>2909</v>
      </c>
      <c r="C18" s="270">
        <f>'Schedule 5 Workpaper '!C18</f>
        <v>303</v>
      </c>
      <c r="D18" s="270">
        <f t="shared" si="1"/>
        <v>567</v>
      </c>
      <c r="E18" s="270">
        <f>'Schedule 5 Workpaper '!G18 - F18</f>
        <v>3779</v>
      </c>
      <c r="F18" s="270">
        <f t="shared" si="3"/>
        <v>1836</v>
      </c>
      <c r="G18" s="638">
        <v>330</v>
      </c>
      <c r="H18" s="271">
        <f t="shared" si="2"/>
        <v>5945</v>
      </c>
      <c r="J18" s="273"/>
      <c r="K18" s="488"/>
      <c r="L18" s="488"/>
      <c r="M18" s="212"/>
      <c r="N18" s="212"/>
    </row>
    <row r="19" spans="1:14">
      <c r="A19" s="259" t="s">
        <v>471</v>
      </c>
      <c r="B19" s="270">
        <f t="shared" si="0"/>
        <v>2188</v>
      </c>
      <c r="C19" s="270">
        <f>'Schedule 5 Workpaper '!C19</f>
        <v>255</v>
      </c>
      <c r="D19" s="270">
        <f t="shared" si="1"/>
        <v>567</v>
      </c>
      <c r="E19" s="270">
        <f>'Schedule 5 Workpaper '!G19 - F19</f>
        <v>3010</v>
      </c>
      <c r="F19" s="270">
        <f t="shared" si="3"/>
        <v>1836</v>
      </c>
      <c r="G19" s="638">
        <v>330</v>
      </c>
      <c r="H19" s="271">
        <f t="shared" si="2"/>
        <v>5176</v>
      </c>
      <c r="J19" s="273"/>
      <c r="K19" s="488"/>
      <c r="L19" s="488"/>
      <c r="M19" s="212"/>
      <c r="N19" s="212"/>
    </row>
    <row r="20" spans="1:14">
      <c r="A20" s="259" t="s">
        <v>472</v>
      </c>
      <c r="B20" s="270">
        <f t="shared" si="0"/>
        <v>1784</v>
      </c>
      <c r="C20" s="270">
        <f>'Schedule 5 Workpaper '!C20</f>
        <v>182</v>
      </c>
      <c r="D20" s="270">
        <f t="shared" si="1"/>
        <v>567</v>
      </c>
      <c r="E20" s="270">
        <f>'Schedule 5 Workpaper '!G20 - F20</f>
        <v>2533</v>
      </c>
      <c r="F20" s="270">
        <f t="shared" si="3"/>
        <v>1836</v>
      </c>
      <c r="G20" s="638">
        <v>330</v>
      </c>
      <c r="H20" s="271">
        <f t="shared" si="2"/>
        <v>4699</v>
      </c>
      <c r="J20" s="273"/>
      <c r="K20" s="488"/>
      <c r="L20" s="488"/>
      <c r="M20" s="488"/>
      <c r="N20" s="488"/>
    </row>
    <row r="21" spans="1:14">
      <c r="A21" s="259" t="s">
        <v>473</v>
      </c>
      <c r="B21" s="270">
        <f t="shared" si="0"/>
        <v>1892</v>
      </c>
      <c r="C21" s="270">
        <f>'Schedule 5 Workpaper '!C21</f>
        <v>193</v>
      </c>
      <c r="D21" s="270">
        <f t="shared" si="1"/>
        <v>567</v>
      </c>
      <c r="E21" s="270">
        <f>'Schedule 5 Workpaper '!G21 - F21</f>
        <v>2652</v>
      </c>
      <c r="F21" s="270">
        <f t="shared" si="3"/>
        <v>1836</v>
      </c>
      <c r="G21" s="638">
        <v>330</v>
      </c>
      <c r="H21" s="271">
        <f t="shared" si="2"/>
        <v>4818</v>
      </c>
      <c r="J21" s="273"/>
      <c r="K21" s="488"/>
      <c r="L21" s="488"/>
      <c r="M21" s="488"/>
      <c r="N21" s="488"/>
    </row>
    <row r="22" spans="1:14">
      <c r="A22" s="259" t="s">
        <v>474</v>
      </c>
      <c r="B22" s="270">
        <f t="shared" si="0"/>
        <v>2022</v>
      </c>
      <c r="C22" s="270">
        <f>'Schedule 5 Workpaper '!C22</f>
        <v>200</v>
      </c>
      <c r="D22" s="270">
        <f t="shared" si="1"/>
        <v>567</v>
      </c>
      <c r="E22" s="270">
        <f>'Schedule 5 Workpaper '!G22 - F22</f>
        <v>2789</v>
      </c>
      <c r="F22" s="270">
        <f t="shared" si="3"/>
        <v>1836</v>
      </c>
      <c r="G22" s="638">
        <v>330</v>
      </c>
      <c r="H22" s="271">
        <f t="shared" si="2"/>
        <v>4955</v>
      </c>
      <c r="J22" s="273"/>
      <c r="K22" s="488"/>
      <c r="L22" s="488"/>
      <c r="M22" s="488"/>
      <c r="N22" s="488"/>
    </row>
    <row r="23" spans="1:14">
      <c r="A23" s="259"/>
      <c r="B23" s="491"/>
      <c r="C23" s="491"/>
      <c r="D23" s="491"/>
      <c r="E23" s="491"/>
      <c r="F23" s="491"/>
      <c r="G23" s="205"/>
      <c r="H23" s="271"/>
      <c r="J23" s="273"/>
      <c r="K23" s="488"/>
      <c r="L23" s="488"/>
      <c r="M23" s="488"/>
      <c r="N23" s="488"/>
    </row>
    <row r="24" spans="1:14">
      <c r="A24" s="259" t="s">
        <v>544</v>
      </c>
      <c r="B24" s="270">
        <f>ROUND(SUM(B11:B22)/12,0)</f>
        <v>2263</v>
      </c>
      <c r="C24" s="270">
        <f>F46</f>
        <v>243</v>
      </c>
      <c r="D24" s="270">
        <f>H68</f>
        <v>567</v>
      </c>
      <c r="E24" s="270">
        <f>AVERAGE(E11:E22)</f>
        <v>3072.8333333333335</v>
      </c>
      <c r="F24" s="270">
        <f>AVERAGE(F11:F22)</f>
        <v>1783.5</v>
      </c>
      <c r="G24" s="270">
        <f>AVERAGE(G11:G22)</f>
        <v>330</v>
      </c>
      <c r="H24" s="274">
        <f>SUM(E24:G24)</f>
        <v>5186.3333333333339</v>
      </c>
      <c r="J24" s="273"/>
      <c r="K24" s="488"/>
      <c r="L24" s="488"/>
      <c r="M24" s="488"/>
      <c r="N24" s="488"/>
    </row>
    <row r="25" spans="1:14">
      <c r="A25" s="259"/>
      <c r="B25" s="491"/>
      <c r="C25" s="491"/>
      <c r="D25" s="491"/>
      <c r="E25" s="491"/>
      <c r="F25" s="275"/>
      <c r="G25" s="205"/>
      <c r="H25" s="492"/>
      <c r="J25" s="273"/>
      <c r="K25" s="488"/>
      <c r="L25" s="488"/>
      <c r="M25" s="488"/>
      <c r="N25" s="488"/>
    </row>
    <row r="26" spans="1:14">
      <c r="A26" s="210" t="s">
        <v>33</v>
      </c>
      <c r="B26" s="210"/>
      <c r="C26" s="491"/>
      <c r="D26" s="491"/>
      <c r="E26" s="491"/>
      <c r="F26" s="491"/>
      <c r="G26" s="205"/>
      <c r="H26" s="492"/>
      <c r="J26" s="273"/>
      <c r="K26" s="488"/>
      <c r="L26" s="488"/>
      <c r="M26" s="488"/>
      <c r="N26" s="488"/>
    </row>
    <row r="27" spans="1:14">
      <c r="A27" s="276" t="s">
        <v>1152</v>
      </c>
      <c r="B27" s="210"/>
      <c r="C27" s="491"/>
      <c r="D27" s="491"/>
      <c r="E27" s="491"/>
      <c r="F27" s="491"/>
      <c r="G27" s="205"/>
      <c r="H27" s="492"/>
      <c r="J27" s="273"/>
      <c r="K27" s="488"/>
      <c r="L27" s="488"/>
      <c r="M27" s="488"/>
      <c r="N27" s="488"/>
    </row>
    <row r="28" spans="1:14">
      <c r="A28" s="276" t="s">
        <v>1153</v>
      </c>
      <c r="B28" s="277"/>
      <c r="C28" s="278"/>
      <c r="D28" s="278"/>
      <c r="E28" s="278"/>
      <c r="F28" s="278"/>
      <c r="G28" s="279"/>
      <c r="H28" s="280"/>
      <c r="J28" s="273"/>
      <c r="K28" s="488"/>
      <c r="L28" s="488"/>
      <c r="M28" s="488"/>
      <c r="N28" s="488"/>
    </row>
    <row r="29" spans="1:14">
      <c r="B29" s="212"/>
      <c r="C29" s="212"/>
      <c r="D29" s="212"/>
      <c r="E29" s="212"/>
      <c r="F29" s="212"/>
      <c r="G29" s="212"/>
      <c r="H29" s="212"/>
      <c r="J29" s="273"/>
      <c r="K29" s="488"/>
      <c r="L29" s="488"/>
      <c r="M29" s="489"/>
      <c r="N29" s="489"/>
    </row>
    <row r="30" spans="1:14">
      <c r="A30" s="257"/>
      <c r="B30" s="670" t="s">
        <v>340</v>
      </c>
      <c r="C30" s="670"/>
      <c r="D30" s="670"/>
      <c r="E30" s="670"/>
      <c r="F30" s="670"/>
      <c r="G30" s="429"/>
    </row>
    <row r="31" spans="1:14" s="263" customFormat="1">
      <c r="A31" s="281"/>
      <c r="B31" s="261" t="s">
        <v>556</v>
      </c>
      <c r="C31" s="261" t="s">
        <v>557</v>
      </c>
      <c r="D31" s="261" t="s">
        <v>559</v>
      </c>
      <c r="E31" s="261" t="s">
        <v>560</v>
      </c>
      <c r="F31" s="262" t="s">
        <v>561</v>
      </c>
    </row>
    <row r="32" spans="1:14" s="263" customFormat="1">
      <c r="A32" s="281"/>
      <c r="B32" s="261"/>
      <c r="C32" s="261"/>
      <c r="D32" s="261"/>
      <c r="E32" s="261"/>
      <c r="F32" s="492" t="s">
        <v>549</v>
      </c>
    </row>
    <row r="33" spans="1:14">
      <c r="A33" s="259" t="s">
        <v>463</v>
      </c>
      <c r="B33" s="639">
        <v>0.31900000000000001</v>
      </c>
      <c r="C33" s="640">
        <v>0</v>
      </c>
      <c r="D33" s="640">
        <v>150</v>
      </c>
      <c r="E33" s="640">
        <v>53</v>
      </c>
      <c r="F33" s="271">
        <f t="shared" ref="F33:F44" si="4">SUM(B33:E33)</f>
        <v>203.31899999999999</v>
      </c>
      <c r="G33" s="488"/>
      <c r="H33" s="488"/>
      <c r="J33" s="488"/>
      <c r="K33" s="488"/>
      <c r="L33" s="488"/>
      <c r="M33" s="488"/>
    </row>
    <row r="34" spans="1:14">
      <c r="A34" s="259" t="s">
        <v>464</v>
      </c>
      <c r="B34" s="639">
        <v>0.36899999999999999</v>
      </c>
      <c r="C34" s="640">
        <v>0</v>
      </c>
      <c r="D34" s="640">
        <v>146</v>
      </c>
      <c r="E34" s="640">
        <v>55</v>
      </c>
      <c r="F34" s="271">
        <f t="shared" si="4"/>
        <v>201.369</v>
      </c>
      <c r="G34" s="488"/>
      <c r="H34" s="488"/>
      <c r="J34" s="488"/>
      <c r="K34" s="488"/>
      <c r="L34" s="488"/>
      <c r="M34" s="488"/>
    </row>
    <row r="35" spans="1:14">
      <c r="A35" s="259" t="s">
        <v>465</v>
      </c>
      <c r="B35" s="639">
        <v>0.29299999999999998</v>
      </c>
      <c r="C35" s="640">
        <v>0</v>
      </c>
      <c r="D35" s="640">
        <v>159</v>
      </c>
      <c r="E35" s="640">
        <v>53</v>
      </c>
      <c r="F35" s="271">
        <f t="shared" si="4"/>
        <v>212.29300000000001</v>
      </c>
      <c r="G35" s="488"/>
      <c r="H35" s="488"/>
      <c r="J35" s="488"/>
      <c r="K35" s="488"/>
      <c r="L35" s="488"/>
      <c r="M35" s="488"/>
    </row>
    <row r="36" spans="1:14">
      <c r="A36" s="259" t="s">
        <v>466</v>
      </c>
      <c r="B36" s="639">
        <v>0.17199999999999999</v>
      </c>
      <c r="C36" s="640">
        <v>38</v>
      </c>
      <c r="D36" s="640">
        <v>146</v>
      </c>
      <c r="E36" s="640">
        <v>32</v>
      </c>
      <c r="F36" s="271">
        <f t="shared" si="4"/>
        <v>216.172</v>
      </c>
      <c r="G36" s="488"/>
      <c r="H36" s="488"/>
      <c r="J36" s="488"/>
      <c r="K36" s="488"/>
      <c r="L36" s="488"/>
      <c r="M36" s="488"/>
    </row>
    <row r="37" spans="1:14">
      <c r="A37" s="259" t="s">
        <v>467</v>
      </c>
      <c r="B37" s="639">
        <v>0.22600000000000001</v>
      </c>
      <c r="C37" s="640">
        <v>55</v>
      </c>
      <c r="D37" s="640">
        <v>176</v>
      </c>
      <c r="E37" s="640">
        <v>38</v>
      </c>
      <c r="F37" s="271">
        <f t="shared" si="4"/>
        <v>269.226</v>
      </c>
      <c r="G37" s="488"/>
      <c r="H37" s="488"/>
      <c r="J37" s="488"/>
      <c r="K37" s="488"/>
      <c r="L37" s="488"/>
      <c r="M37" s="488"/>
    </row>
    <row r="38" spans="1:14">
      <c r="A38" s="259" t="s">
        <v>468</v>
      </c>
      <c r="B38" s="639">
        <v>0.23599999999999999</v>
      </c>
      <c r="C38" s="640">
        <v>74</v>
      </c>
      <c r="D38" s="640">
        <v>218</v>
      </c>
      <c r="E38" s="640">
        <v>45</v>
      </c>
      <c r="F38" s="271">
        <f t="shared" si="4"/>
        <v>337.23599999999999</v>
      </c>
      <c r="G38" s="488"/>
      <c r="H38" s="488"/>
      <c r="J38" s="488"/>
      <c r="K38" s="488"/>
      <c r="L38" s="488"/>
      <c r="M38" s="488"/>
    </row>
    <row r="39" spans="1:14">
      <c r="A39" s="259" t="s">
        <v>469</v>
      </c>
      <c r="B39" s="639">
        <v>0.30599999999999999</v>
      </c>
      <c r="C39" s="640">
        <v>66</v>
      </c>
      <c r="D39" s="640">
        <v>225</v>
      </c>
      <c r="E39" s="640">
        <v>51</v>
      </c>
      <c r="F39" s="271">
        <f t="shared" si="4"/>
        <v>342.30599999999998</v>
      </c>
      <c r="G39" s="488"/>
      <c r="H39" s="488"/>
      <c r="J39" s="488"/>
      <c r="K39" s="488"/>
      <c r="L39" s="488"/>
      <c r="M39" s="488"/>
    </row>
    <row r="40" spans="1:14">
      <c r="A40" s="259" t="s">
        <v>470</v>
      </c>
      <c r="B40" s="639">
        <v>0.27450000000000002</v>
      </c>
      <c r="C40" s="640">
        <v>58</v>
      </c>
      <c r="D40" s="640">
        <v>206</v>
      </c>
      <c r="E40" s="640">
        <v>39</v>
      </c>
      <c r="F40" s="271">
        <f t="shared" si="4"/>
        <v>303.27449999999999</v>
      </c>
      <c r="G40" s="488"/>
      <c r="H40" s="488"/>
      <c r="J40" s="488"/>
      <c r="K40" s="488"/>
      <c r="L40" s="488"/>
      <c r="M40" s="488"/>
    </row>
    <row r="41" spans="1:14">
      <c r="A41" s="259" t="s">
        <v>471</v>
      </c>
      <c r="B41" s="639">
        <v>0.25619999999999998</v>
      </c>
      <c r="C41" s="640">
        <v>47</v>
      </c>
      <c r="D41" s="640">
        <v>166</v>
      </c>
      <c r="E41" s="640">
        <v>42</v>
      </c>
      <c r="F41" s="271">
        <f t="shared" si="4"/>
        <v>255.25620000000001</v>
      </c>
      <c r="G41" s="488"/>
      <c r="H41" s="488"/>
      <c r="J41" s="488"/>
      <c r="K41" s="488"/>
      <c r="L41" s="488"/>
      <c r="M41" s="488"/>
    </row>
    <row r="42" spans="1:14">
      <c r="A42" s="259" t="s">
        <v>472</v>
      </c>
      <c r="B42" s="639">
        <v>0.25509999999999999</v>
      </c>
      <c r="C42" s="640">
        <v>0</v>
      </c>
      <c r="D42" s="640">
        <v>134</v>
      </c>
      <c r="E42" s="640">
        <v>48</v>
      </c>
      <c r="F42" s="271">
        <f t="shared" si="4"/>
        <v>182.2551</v>
      </c>
      <c r="G42" s="488"/>
      <c r="H42" s="488"/>
      <c r="J42" s="488"/>
      <c r="K42" s="488"/>
      <c r="L42" s="488"/>
      <c r="M42" s="488"/>
    </row>
    <row r="43" spans="1:14">
      <c r="A43" s="259" t="s">
        <v>473</v>
      </c>
      <c r="B43" s="639">
        <v>0.2432</v>
      </c>
      <c r="C43" s="640">
        <v>0</v>
      </c>
      <c r="D43" s="640">
        <v>143</v>
      </c>
      <c r="E43" s="640">
        <v>50</v>
      </c>
      <c r="F43" s="271">
        <f t="shared" si="4"/>
        <v>193.2432</v>
      </c>
      <c r="G43" s="488"/>
      <c r="H43" s="488"/>
      <c r="J43" s="488"/>
      <c r="K43" s="488"/>
      <c r="L43" s="488"/>
      <c r="M43" s="488"/>
    </row>
    <row r="44" spans="1:14">
      <c r="A44" s="259" t="s">
        <v>474</v>
      </c>
      <c r="B44" s="639">
        <v>0.38569999999999999</v>
      </c>
      <c r="C44" s="640">
        <v>0</v>
      </c>
      <c r="D44" s="640">
        <v>149</v>
      </c>
      <c r="E44" s="640">
        <v>51</v>
      </c>
      <c r="F44" s="271">
        <f t="shared" si="4"/>
        <v>200.38570000000001</v>
      </c>
      <c r="G44" s="488"/>
      <c r="H44" s="488"/>
      <c r="J44" s="488"/>
      <c r="K44" s="488"/>
      <c r="L44" s="488"/>
      <c r="M44" s="488"/>
    </row>
    <row r="45" spans="1:14">
      <c r="A45" s="259"/>
      <c r="B45" s="491"/>
      <c r="C45" s="491"/>
      <c r="D45" s="205"/>
      <c r="E45" s="205"/>
      <c r="F45" s="492"/>
      <c r="G45" s="488"/>
      <c r="H45" s="488"/>
      <c r="I45" s="179"/>
    </row>
    <row r="46" spans="1:14">
      <c r="A46" s="282" t="s">
        <v>544</v>
      </c>
      <c r="B46" s="283">
        <f>SUM(B33:B44)/12</f>
        <v>0.27797499999999997</v>
      </c>
      <c r="C46" s="283">
        <f>SUM(C33:C44)/12</f>
        <v>28.166666666666668</v>
      </c>
      <c r="D46" s="283">
        <f>SUM(D33:D44)/12</f>
        <v>168.16666666666666</v>
      </c>
      <c r="E46" s="283">
        <f>SUM(E33:E44)/12</f>
        <v>46.416666666666664</v>
      </c>
      <c r="F46" s="284">
        <f>TRUNC(SUM(F33:F44)/12,0)</f>
        <v>243</v>
      </c>
      <c r="G46" s="488"/>
      <c r="H46" s="488"/>
      <c r="J46" s="488"/>
      <c r="K46" s="488"/>
      <c r="L46" s="488"/>
      <c r="M46" s="488"/>
    </row>
    <row r="47" spans="1:14">
      <c r="F47" s="488"/>
      <c r="G47" s="488"/>
      <c r="H47" s="488"/>
      <c r="J47" s="488"/>
      <c r="K47" s="488"/>
      <c r="L47" s="488"/>
      <c r="M47" s="488"/>
      <c r="N47" s="488"/>
    </row>
    <row r="49" spans="1:12">
      <c r="A49" s="669" t="s">
        <v>562</v>
      </c>
      <c r="B49" s="670"/>
      <c r="C49" s="670"/>
      <c r="D49" s="670"/>
      <c r="E49" s="670"/>
      <c r="F49" s="670"/>
      <c r="G49" s="670"/>
      <c r="H49" s="671"/>
      <c r="I49" s="429"/>
      <c r="J49" s="285"/>
      <c r="K49" s="285"/>
      <c r="L49" s="285"/>
    </row>
    <row r="50" spans="1:12">
      <c r="A50" s="286"/>
      <c r="B50" s="287" t="s">
        <v>563</v>
      </c>
      <c r="C50" s="287" t="s">
        <v>563</v>
      </c>
      <c r="D50" s="287" t="s">
        <v>1142</v>
      </c>
      <c r="E50" s="287" t="s">
        <v>875</v>
      </c>
      <c r="F50" s="287" t="s">
        <v>876</v>
      </c>
      <c r="G50" s="287" t="s">
        <v>876</v>
      </c>
      <c r="H50" s="288" t="s">
        <v>462</v>
      </c>
      <c r="I50" s="179"/>
    </row>
    <row r="51" spans="1:12" ht="51.75" customHeight="1">
      <c r="A51" s="289" t="s">
        <v>564</v>
      </c>
      <c r="B51" s="265">
        <v>74846379</v>
      </c>
      <c r="C51" s="265">
        <v>74110957</v>
      </c>
      <c r="D51" s="265" t="s">
        <v>1143</v>
      </c>
      <c r="E51" s="265" t="s">
        <v>950</v>
      </c>
      <c r="F51" s="265" t="s">
        <v>985</v>
      </c>
      <c r="G51" s="265">
        <v>73147240</v>
      </c>
      <c r="H51" s="267"/>
      <c r="I51" s="179"/>
    </row>
    <row r="52" spans="1:12" ht="38.25" customHeight="1">
      <c r="A52" s="289" t="s">
        <v>877</v>
      </c>
      <c r="B52" s="265" t="s">
        <v>1054</v>
      </c>
      <c r="C52" s="265" t="s">
        <v>1141</v>
      </c>
      <c r="D52" s="265" t="s">
        <v>1144</v>
      </c>
      <c r="E52" s="265" t="s">
        <v>951</v>
      </c>
      <c r="F52" s="265" t="s">
        <v>956</v>
      </c>
      <c r="G52" s="265" t="s">
        <v>956</v>
      </c>
      <c r="H52" s="267"/>
      <c r="I52" s="179"/>
    </row>
    <row r="53" spans="1:12" ht="25.5">
      <c r="A53" s="289" t="s">
        <v>338</v>
      </c>
      <c r="B53" s="265" t="s">
        <v>949</v>
      </c>
      <c r="C53" s="265" t="s">
        <v>339</v>
      </c>
      <c r="D53" s="265" t="s">
        <v>339</v>
      </c>
      <c r="E53" s="265" t="s">
        <v>878</v>
      </c>
      <c r="F53" s="265" t="s">
        <v>986</v>
      </c>
      <c r="G53" s="265" t="s">
        <v>952</v>
      </c>
      <c r="H53" s="267"/>
      <c r="I53" s="179"/>
    </row>
    <row r="54" spans="1:12">
      <c r="A54" s="264"/>
      <c r="B54" s="290"/>
      <c r="C54" s="265"/>
      <c r="D54" s="265"/>
      <c r="E54" s="265"/>
      <c r="F54" s="265"/>
      <c r="G54" s="265"/>
      <c r="H54" s="492"/>
      <c r="I54" s="179"/>
    </row>
    <row r="55" spans="1:12">
      <c r="A55" s="259" t="s">
        <v>463</v>
      </c>
      <c r="B55" s="638">
        <v>75</v>
      </c>
      <c r="C55" s="638">
        <v>87</v>
      </c>
      <c r="D55" s="638"/>
      <c r="E55" s="638">
        <v>101</v>
      </c>
      <c r="F55" s="638">
        <v>104</v>
      </c>
      <c r="G55" s="638">
        <v>200</v>
      </c>
      <c r="H55" s="492">
        <f t="shared" ref="H55:H66" si="5">SUM(B55:G55)</f>
        <v>567</v>
      </c>
      <c r="I55" s="179"/>
    </row>
    <row r="56" spans="1:12">
      <c r="A56" s="259" t="s">
        <v>464</v>
      </c>
      <c r="B56" s="638">
        <v>75</v>
      </c>
      <c r="C56" s="638">
        <v>87</v>
      </c>
      <c r="D56" s="638"/>
      <c r="E56" s="638">
        <v>101</v>
      </c>
      <c r="F56" s="638">
        <v>104</v>
      </c>
      <c r="G56" s="638">
        <v>200</v>
      </c>
      <c r="H56" s="492">
        <f t="shared" si="5"/>
        <v>567</v>
      </c>
      <c r="I56" s="179"/>
    </row>
    <row r="57" spans="1:12">
      <c r="A57" s="259" t="s">
        <v>465</v>
      </c>
      <c r="B57" s="638">
        <v>75</v>
      </c>
      <c r="C57" s="638">
        <v>87</v>
      </c>
      <c r="D57" s="638"/>
      <c r="E57" s="638">
        <v>101</v>
      </c>
      <c r="F57" s="638">
        <v>104</v>
      </c>
      <c r="G57" s="638">
        <v>200</v>
      </c>
      <c r="H57" s="492">
        <f t="shared" si="5"/>
        <v>567</v>
      </c>
      <c r="I57" s="179"/>
    </row>
    <row r="58" spans="1:12">
      <c r="A58" s="259" t="s">
        <v>466</v>
      </c>
      <c r="B58" s="638">
        <v>75</v>
      </c>
      <c r="C58" s="638">
        <v>87</v>
      </c>
      <c r="D58" s="638"/>
      <c r="E58" s="638">
        <v>101</v>
      </c>
      <c r="F58" s="638">
        <v>104</v>
      </c>
      <c r="G58" s="638">
        <v>200</v>
      </c>
      <c r="H58" s="492">
        <f t="shared" si="5"/>
        <v>567</v>
      </c>
      <c r="I58" s="179"/>
    </row>
    <row r="59" spans="1:12">
      <c r="A59" s="259" t="s">
        <v>467</v>
      </c>
      <c r="B59" s="638">
        <v>75</v>
      </c>
      <c r="C59" s="638"/>
      <c r="D59" s="638">
        <v>87</v>
      </c>
      <c r="E59" s="638">
        <v>101</v>
      </c>
      <c r="F59" s="638">
        <v>104</v>
      </c>
      <c r="G59" s="638">
        <v>200</v>
      </c>
      <c r="H59" s="492">
        <f t="shared" si="5"/>
        <v>567</v>
      </c>
      <c r="I59" s="179"/>
    </row>
    <row r="60" spans="1:12">
      <c r="A60" s="259" t="s">
        <v>468</v>
      </c>
      <c r="B60" s="638">
        <v>75</v>
      </c>
      <c r="C60" s="638"/>
      <c r="D60" s="638">
        <v>87</v>
      </c>
      <c r="E60" s="638">
        <v>101</v>
      </c>
      <c r="F60" s="638">
        <v>104</v>
      </c>
      <c r="G60" s="638">
        <v>200</v>
      </c>
      <c r="H60" s="492">
        <f t="shared" si="5"/>
        <v>567</v>
      </c>
      <c r="I60" s="179"/>
    </row>
    <row r="61" spans="1:12">
      <c r="A61" s="259" t="s">
        <v>469</v>
      </c>
      <c r="B61" s="638">
        <v>75</v>
      </c>
      <c r="C61" s="638"/>
      <c r="D61" s="638">
        <v>87</v>
      </c>
      <c r="E61" s="638">
        <v>101</v>
      </c>
      <c r="F61" s="638">
        <v>104</v>
      </c>
      <c r="G61" s="638">
        <v>200</v>
      </c>
      <c r="H61" s="492">
        <f t="shared" si="5"/>
        <v>567</v>
      </c>
      <c r="I61" s="179"/>
    </row>
    <row r="62" spans="1:12">
      <c r="A62" s="259" t="s">
        <v>470</v>
      </c>
      <c r="B62" s="638">
        <v>75</v>
      </c>
      <c r="C62" s="638"/>
      <c r="D62" s="638">
        <v>87</v>
      </c>
      <c r="E62" s="638">
        <v>101</v>
      </c>
      <c r="F62" s="638">
        <v>104</v>
      </c>
      <c r="G62" s="638">
        <v>200</v>
      </c>
      <c r="H62" s="492">
        <f t="shared" si="5"/>
        <v>567</v>
      </c>
      <c r="I62" s="179"/>
    </row>
    <row r="63" spans="1:12">
      <c r="A63" s="259" t="s">
        <v>471</v>
      </c>
      <c r="B63" s="638">
        <v>75</v>
      </c>
      <c r="C63" s="638"/>
      <c r="D63" s="638">
        <v>87</v>
      </c>
      <c r="E63" s="638">
        <v>101</v>
      </c>
      <c r="F63" s="638">
        <v>104</v>
      </c>
      <c r="G63" s="638">
        <v>200</v>
      </c>
      <c r="H63" s="492">
        <f t="shared" si="5"/>
        <v>567</v>
      </c>
      <c r="I63" s="179"/>
    </row>
    <row r="64" spans="1:12">
      <c r="A64" s="259" t="s">
        <v>472</v>
      </c>
      <c r="B64" s="638">
        <v>75</v>
      </c>
      <c r="C64" s="638"/>
      <c r="D64" s="638">
        <v>87</v>
      </c>
      <c r="E64" s="638">
        <v>101</v>
      </c>
      <c r="F64" s="638">
        <v>104</v>
      </c>
      <c r="G64" s="638">
        <v>200</v>
      </c>
      <c r="H64" s="492">
        <f t="shared" si="5"/>
        <v>567</v>
      </c>
      <c r="I64" s="179"/>
    </row>
    <row r="65" spans="1:12">
      <c r="A65" s="259" t="s">
        <v>473</v>
      </c>
      <c r="B65" s="638">
        <v>75</v>
      </c>
      <c r="C65" s="638"/>
      <c r="D65" s="638">
        <v>87</v>
      </c>
      <c r="E65" s="638">
        <v>101</v>
      </c>
      <c r="F65" s="638">
        <v>104</v>
      </c>
      <c r="G65" s="638">
        <v>200</v>
      </c>
      <c r="H65" s="492">
        <f t="shared" si="5"/>
        <v>567</v>
      </c>
      <c r="I65" s="179"/>
    </row>
    <row r="66" spans="1:12">
      <c r="A66" s="259" t="s">
        <v>474</v>
      </c>
      <c r="B66" s="638">
        <v>75</v>
      </c>
      <c r="C66" s="638"/>
      <c r="D66" s="638">
        <v>87</v>
      </c>
      <c r="E66" s="638">
        <v>101</v>
      </c>
      <c r="F66" s="638">
        <v>104</v>
      </c>
      <c r="G66" s="638">
        <v>200</v>
      </c>
      <c r="H66" s="492">
        <f t="shared" si="5"/>
        <v>567</v>
      </c>
      <c r="I66" s="179"/>
    </row>
    <row r="67" spans="1:12">
      <c r="A67" s="259"/>
      <c r="B67" s="491"/>
      <c r="C67" s="491"/>
      <c r="D67" s="491"/>
      <c r="E67" s="491"/>
      <c r="F67" s="491"/>
      <c r="G67" s="491"/>
      <c r="H67" s="492"/>
      <c r="I67" s="179"/>
    </row>
    <row r="68" spans="1:12">
      <c r="A68" s="282" t="s">
        <v>544</v>
      </c>
      <c r="B68" s="283">
        <f t="shared" ref="B68:E68" si="6">ROUND(AVERAGE(B55:B66),0)</f>
        <v>75</v>
      </c>
      <c r="C68" s="283">
        <f t="shared" si="6"/>
        <v>87</v>
      </c>
      <c r="D68" s="283">
        <f t="shared" si="6"/>
        <v>87</v>
      </c>
      <c r="E68" s="283">
        <f t="shared" si="6"/>
        <v>101</v>
      </c>
      <c r="F68" s="283">
        <f t="shared" ref="F68:G68" si="7">ROUND(AVERAGE(F55:F66),0)</f>
        <v>104</v>
      </c>
      <c r="G68" s="283">
        <f t="shared" si="7"/>
        <v>200</v>
      </c>
      <c r="H68" s="284">
        <f>ROUND(AVERAGE(H55:H66),0)</f>
        <v>567</v>
      </c>
      <c r="I68" s="179"/>
    </row>
    <row r="69" spans="1:12">
      <c r="D69" s="291"/>
      <c r="E69" s="291"/>
      <c r="F69" s="291"/>
      <c r="G69" s="488"/>
      <c r="H69" s="488"/>
      <c r="I69" s="291"/>
      <c r="J69" s="291"/>
      <c r="K69" s="291"/>
      <c r="L69" s="291"/>
    </row>
    <row r="70" spans="1:12">
      <c r="B70" s="491"/>
      <c r="C70" s="491"/>
      <c r="D70" s="491"/>
      <c r="E70" s="205"/>
      <c r="F70" s="205"/>
      <c r="G70" s="205"/>
      <c r="H70" s="205"/>
      <c r="I70" s="491"/>
      <c r="J70" s="205"/>
      <c r="K70" s="205"/>
      <c r="L70" s="205"/>
    </row>
  </sheetData>
  <sheetProtection formatCells="0"/>
  <mergeCells count="5">
    <mergeCell ref="A3:L3"/>
    <mergeCell ref="A49:H49"/>
    <mergeCell ref="B30:F30"/>
    <mergeCell ref="A1:H1"/>
    <mergeCell ref="A2:H2"/>
  </mergeCells>
  <phoneticPr fontId="0" type="noConversion"/>
  <printOptions horizontalCentered="1"/>
  <pageMargins left="0.75" right="0.75" top="1" bottom="1" header="0.5" footer="0.5"/>
  <pageSetup scale="68" orientation="portrait" r:id="rId1"/>
  <headerFooter alignWithMargins="0">
    <oddHeader>&amp;CIDAHO POWER COMPANY
Transmission Cost of Service Rate Development
12 Months Ended 12/31/2012</oddHeader>
    <oddFooter>&amp;L&amp;F, &amp;A</oddFooter>
  </headerFooter>
  <ignoredErrors>
    <ignoredError sqref="F11:F15 H55:H66 F17:F22" unlockedFormula="1"/>
    <ignoredError sqref="F16" formula="1"/>
  </ignoredErrors>
</worksheet>
</file>

<file path=xl/worksheets/sheet13.xml><?xml version="1.0" encoding="utf-8"?>
<worksheet xmlns="http://schemas.openxmlformats.org/spreadsheetml/2006/main" xmlns:r="http://schemas.openxmlformats.org/officeDocument/2006/relationships">
  <sheetPr codeName="Sheet13"/>
  <dimension ref="A1:I2259"/>
  <sheetViews>
    <sheetView zoomScale="85" zoomScaleNormal="85" zoomScaleSheetLayoutView="100" zoomScalePageLayoutView="75" workbookViewId="0">
      <selection activeCell="H15" sqref="H15"/>
    </sheetView>
  </sheetViews>
  <sheetFormatPr defaultRowHeight="12.75"/>
  <cols>
    <col min="1" max="1" width="3.7109375" style="488" customWidth="1"/>
    <col min="2" max="2" width="3.5703125" style="489" customWidth="1"/>
    <col min="3" max="3" width="25.5703125" style="179" customWidth="1"/>
    <col min="4" max="4" width="21.5703125" style="179" bestFit="1" customWidth="1"/>
    <col min="5" max="5" width="16.7109375" style="179" customWidth="1"/>
    <col min="6" max="6" width="14.7109375" style="179" customWidth="1"/>
    <col min="7" max="7" width="6.42578125" style="316" customWidth="1"/>
    <col min="8" max="8" width="16.42578125" style="316" customWidth="1"/>
    <col min="9" max="9" width="14.28515625" style="179" customWidth="1"/>
    <col min="10" max="16384" width="9.140625" style="179"/>
  </cols>
  <sheetData>
    <row r="1" spans="1:9" ht="15.75" customHeight="1">
      <c r="A1" s="668" t="s">
        <v>506</v>
      </c>
      <c r="B1" s="668"/>
      <c r="C1" s="668"/>
      <c r="D1" s="668"/>
      <c r="E1" s="668"/>
      <c r="F1" s="668"/>
      <c r="G1" s="668"/>
      <c r="H1" s="668"/>
      <c r="I1" s="668"/>
    </row>
    <row r="2" spans="1:9" ht="15.75" customHeight="1">
      <c r="A2" s="668" t="s">
        <v>52</v>
      </c>
      <c r="B2" s="668"/>
      <c r="C2" s="668"/>
      <c r="D2" s="668"/>
      <c r="E2" s="668"/>
      <c r="F2" s="668"/>
      <c r="G2" s="668"/>
      <c r="H2" s="668"/>
      <c r="I2" s="668"/>
    </row>
    <row r="3" spans="1:9">
      <c r="C3" s="184"/>
      <c r="D3" s="184"/>
      <c r="E3" s="184"/>
      <c r="G3" s="179"/>
      <c r="H3" s="195"/>
    </row>
    <row r="4" spans="1:9">
      <c r="C4" s="184"/>
      <c r="D4" s="184"/>
      <c r="E4" s="184"/>
      <c r="G4" s="179"/>
      <c r="H4" s="195"/>
    </row>
    <row r="5" spans="1:9">
      <c r="G5" s="179"/>
      <c r="H5" s="195"/>
    </row>
    <row r="6" spans="1:9">
      <c r="A6" s="488">
        <v>1</v>
      </c>
      <c r="B6" s="489" t="s">
        <v>478</v>
      </c>
      <c r="C6" s="184" t="s">
        <v>510</v>
      </c>
      <c r="D6" s="184"/>
      <c r="G6" s="179"/>
      <c r="H6" s="195"/>
    </row>
    <row r="7" spans="1:9">
      <c r="A7" s="488">
        <f>A6+1</f>
        <v>2</v>
      </c>
      <c r="E7" s="292" t="s">
        <v>424</v>
      </c>
      <c r="F7" s="292"/>
      <c r="G7" s="285"/>
      <c r="H7" s="293" t="s">
        <v>459</v>
      </c>
      <c r="I7" s="292"/>
    </row>
    <row r="8" spans="1:9">
      <c r="A8" s="488">
        <f t="shared" ref="A8:A39" si="0">A7+1</f>
        <v>3</v>
      </c>
      <c r="D8" s="179" t="s">
        <v>233</v>
      </c>
      <c r="E8" s="278" t="s">
        <v>234</v>
      </c>
      <c r="F8" s="278" t="s">
        <v>425</v>
      </c>
      <c r="G8" s="488"/>
      <c r="H8" s="294" t="s">
        <v>426</v>
      </c>
      <c r="I8" s="278" t="s">
        <v>427</v>
      </c>
    </row>
    <row r="9" spans="1:9">
      <c r="A9" s="488">
        <f t="shared" si="0"/>
        <v>4</v>
      </c>
      <c r="E9" s="295"/>
      <c r="F9" s="295"/>
      <c r="G9" s="295"/>
      <c r="H9" s="296"/>
      <c r="I9" s="295"/>
    </row>
    <row r="10" spans="1:9">
      <c r="A10" s="488">
        <f t="shared" si="0"/>
        <v>5</v>
      </c>
      <c r="E10" s="295"/>
      <c r="F10" s="295"/>
      <c r="G10" s="295"/>
      <c r="H10" s="296"/>
      <c r="I10" s="295"/>
    </row>
    <row r="11" spans="1:9">
      <c r="A11" s="488">
        <f t="shared" si="0"/>
        <v>6</v>
      </c>
      <c r="C11" s="179" t="s">
        <v>458</v>
      </c>
      <c r="D11" s="179" t="s">
        <v>99</v>
      </c>
      <c r="E11" s="236">
        <f>'Schedule 6 Workpaper page 1'!G44*1000</f>
        <v>1515460000</v>
      </c>
      <c r="F11" s="297">
        <f>E11/E17</f>
        <v>0.48245946485066155</v>
      </c>
      <c r="G11" s="297"/>
      <c r="H11" s="298">
        <f>'Schedule 6 Workpaper page 1'!O44</f>
        <v>5.3376950198184218E-2</v>
      </c>
      <c r="I11" s="298">
        <f>H11*F11</f>
        <v>2.575221482797637E-2</v>
      </c>
    </row>
    <row r="12" spans="1:9">
      <c r="A12" s="488">
        <f t="shared" si="0"/>
        <v>7</v>
      </c>
      <c r="E12" s="236"/>
      <c r="F12" s="297"/>
      <c r="G12" s="297"/>
      <c r="H12" s="298"/>
      <c r="I12" s="298"/>
    </row>
    <row r="13" spans="1:9">
      <c r="A13" s="488">
        <f t="shared" si="0"/>
        <v>8</v>
      </c>
      <c r="C13" s="179" t="s">
        <v>428</v>
      </c>
      <c r="D13" s="179" t="s">
        <v>1112</v>
      </c>
      <c r="E13" s="236">
        <v>0</v>
      </c>
      <c r="F13" s="297">
        <f>E13/E17</f>
        <v>0</v>
      </c>
      <c r="G13" s="297"/>
      <c r="H13" s="298">
        <v>0</v>
      </c>
      <c r="I13" s="298">
        <f>H13*F13</f>
        <v>0</v>
      </c>
    </row>
    <row r="14" spans="1:9">
      <c r="A14" s="488">
        <f t="shared" si="0"/>
        <v>9</v>
      </c>
      <c r="E14" s="236"/>
      <c r="F14" s="297"/>
      <c r="G14" s="297"/>
      <c r="H14" s="298"/>
      <c r="I14" s="298"/>
    </row>
    <row r="15" spans="1:9">
      <c r="A15" s="488">
        <f t="shared" si="0"/>
        <v>10</v>
      </c>
      <c r="C15" s="179" t="s">
        <v>429</v>
      </c>
      <c r="D15" s="179" t="s">
        <v>874</v>
      </c>
      <c r="E15" s="641">
        <v>1625653628</v>
      </c>
      <c r="F15" s="299">
        <f>E15/E17</f>
        <v>0.5175405351493384</v>
      </c>
      <c r="G15" s="299"/>
      <c r="H15" s="298">
        <v>0.107</v>
      </c>
      <c r="I15" s="300">
        <f>H15*F15</f>
        <v>5.5376837260979209E-2</v>
      </c>
    </row>
    <row r="16" spans="1:9">
      <c r="A16" s="488">
        <f t="shared" si="0"/>
        <v>11</v>
      </c>
      <c r="E16" s="243"/>
      <c r="F16" s="299"/>
      <c r="G16" s="299"/>
      <c r="H16" s="298"/>
      <c r="I16" s="300"/>
    </row>
    <row r="17" spans="1:9">
      <c r="A17" s="488">
        <f t="shared" si="0"/>
        <v>12</v>
      </c>
      <c r="C17" s="179" t="s">
        <v>430</v>
      </c>
      <c r="E17" s="236">
        <f>SUM(E11:E15)</f>
        <v>3141113628</v>
      </c>
      <c r="F17" s="297">
        <f>SUM(F11:F15)</f>
        <v>1</v>
      </c>
      <c r="G17" s="297"/>
      <c r="H17" s="195"/>
      <c r="I17" s="298">
        <f>SUM(I11:I15)</f>
        <v>8.1129052088955572E-2</v>
      </c>
    </row>
    <row r="18" spans="1:9">
      <c r="A18" s="488">
        <f t="shared" si="0"/>
        <v>13</v>
      </c>
      <c r="E18" s="236"/>
      <c r="F18" s="297"/>
      <c r="G18" s="297"/>
      <c r="H18" s="195"/>
      <c r="I18" s="298"/>
    </row>
    <row r="19" spans="1:9">
      <c r="A19" s="488">
        <f t="shared" si="0"/>
        <v>14</v>
      </c>
      <c r="G19" s="179"/>
      <c r="H19" s="195"/>
    </row>
    <row r="20" spans="1:9" ht="12.75" customHeight="1">
      <c r="A20" s="488">
        <f t="shared" si="0"/>
        <v>15</v>
      </c>
      <c r="E20" s="301" t="s">
        <v>418</v>
      </c>
      <c r="G20" s="179"/>
      <c r="H20" s="302" t="s">
        <v>423</v>
      </c>
      <c r="I20" s="303">
        <f>I17</f>
        <v>8.1129052088955572E-2</v>
      </c>
    </row>
    <row r="21" spans="1:9" ht="12.75" customHeight="1">
      <c r="A21" s="488">
        <f t="shared" si="0"/>
        <v>16</v>
      </c>
      <c r="E21" s="301"/>
      <c r="G21" s="179"/>
      <c r="H21" s="304"/>
      <c r="I21" s="298"/>
    </row>
    <row r="22" spans="1:9" ht="12.75" customHeight="1">
      <c r="A22" s="488">
        <f t="shared" si="0"/>
        <v>17</v>
      </c>
      <c r="B22" s="489" t="s">
        <v>479</v>
      </c>
      <c r="C22" s="184" t="s">
        <v>507</v>
      </c>
      <c r="D22" s="184"/>
      <c r="E22" s="184"/>
      <c r="G22" s="195"/>
      <c r="H22" s="304"/>
      <c r="I22" s="298"/>
    </row>
    <row r="23" spans="1:9" ht="12.75" customHeight="1">
      <c r="A23" s="488">
        <f t="shared" si="0"/>
        <v>18</v>
      </c>
      <c r="G23" s="195"/>
      <c r="H23" s="304"/>
      <c r="I23" s="298"/>
    </row>
    <row r="24" spans="1:9" ht="12.75" customHeight="1">
      <c r="A24" s="488">
        <f t="shared" si="0"/>
        <v>19</v>
      </c>
      <c r="C24" s="179" t="s">
        <v>508</v>
      </c>
      <c r="E24" s="221">
        <v>0.35</v>
      </c>
      <c r="G24" s="179"/>
      <c r="H24" s="304"/>
      <c r="I24" s="298"/>
    </row>
    <row r="25" spans="1:9" ht="12.75" customHeight="1">
      <c r="A25" s="488">
        <f t="shared" si="0"/>
        <v>20</v>
      </c>
      <c r="C25" s="179" t="s">
        <v>509</v>
      </c>
      <c r="E25" s="221">
        <f>'Schedule 6 Workpaper page 2'!F10</f>
        <v>6.3E-2</v>
      </c>
      <c r="F25" s="179" t="s">
        <v>107</v>
      </c>
      <c r="G25" s="179"/>
      <c r="H25" s="304"/>
      <c r="I25" s="298"/>
    </row>
    <row r="26" spans="1:9" ht="12.75" customHeight="1">
      <c r="A26" s="488">
        <f t="shared" si="0"/>
        <v>21</v>
      </c>
      <c r="G26" s="195"/>
      <c r="H26" s="304"/>
      <c r="I26" s="298"/>
    </row>
    <row r="27" spans="1:9">
      <c r="A27" s="488">
        <f t="shared" si="0"/>
        <v>22</v>
      </c>
      <c r="C27" s="305" t="s">
        <v>511</v>
      </c>
      <c r="D27" s="305"/>
      <c r="E27" s="205"/>
      <c r="F27" s="205"/>
      <c r="G27" s="238"/>
      <c r="H27" s="306"/>
      <c r="I27" s="307"/>
    </row>
    <row r="28" spans="1:9">
      <c r="A28" s="488">
        <f t="shared" si="0"/>
        <v>23</v>
      </c>
      <c r="C28" s="205" t="s">
        <v>513</v>
      </c>
      <c r="D28" s="205"/>
      <c r="E28" s="205"/>
      <c r="F28" s="205"/>
      <c r="G28" s="238"/>
      <c r="H28" s="209"/>
      <c r="I28" s="308">
        <f>ROUND((((($I$20-$I$11) +((E38 + E39)/'Rate Calculation'!$E$26))*$E$24)/(1-$E$24)),5)</f>
        <v>2.9329999999999998E-2</v>
      </c>
    </row>
    <row r="29" spans="1:9">
      <c r="A29" s="488">
        <f t="shared" si="0"/>
        <v>24</v>
      </c>
      <c r="C29" s="205"/>
      <c r="D29" s="205"/>
      <c r="E29" s="205"/>
      <c r="F29" s="205"/>
      <c r="G29" s="238"/>
      <c r="H29" s="209"/>
      <c r="I29" s="205"/>
    </row>
    <row r="30" spans="1:9">
      <c r="A30" s="488">
        <f t="shared" si="0"/>
        <v>25</v>
      </c>
      <c r="C30" s="305" t="s">
        <v>512</v>
      </c>
      <c r="D30" s="305"/>
      <c r="E30" s="205"/>
      <c r="F30" s="205"/>
      <c r="G30" s="238"/>
      <c r="H30" s="209"/>
      <c r="I30" s="205"/>
    </row>
    <row r="31" spans="1:9">
      <c r="A31" s="488">
        <f t="shared" si="0"/>
        <v>26</v>
      </c>
      <c r="C31" s="205" t="s">
        <v>514</v>
      </c>
      <c r="D31" s="205"/>
      <c r="E31" s="205"/>
      <c r="F31" s="205"/>
      <c r="G31" s="238"/>
      <c r="H31" s="209"/>
      <c r="I31" s="308">
        <f>ROUND(((($I$20-$I$11)+((E38 + E39) / 'Rate Calculation'!$E$26) + $I$28)*$E$25)/(1-$E$25),5)</f>
        <v>5.6299999999999996E-3</v>
      </c>
    </row>
    <row r="32" spans="1:9">
      <c r="A32" s="488">
        <f t="shared" si="0"/>
        <v>27</v>
      </c>
      <c r="C32" s="205"/>
      <c r="D32" s="205"/>
      <c r="E32" s="205"/>
      <c r="F32" s="210" t="s">
        <v>418</v>
      </c>
      <c r="G32" s="209"/>
      <c r="H32" s="209"/>
      <c r="I32" s="242" t="s">
        <v>418</v>
      </c>
    </row>
    <row r="33" spans="1:9">
      <c r="A33" s="488">
        <f t="shared" si="0"/>
        <v>28</v>
      </c>
      <c r="C33" s="205"/>
      <c r="D33" s="205"/>
      <c r="E33" s="205"/>
      <c r="F33" s="205"/>
      <c r="G33" s="209"/>
      <c r="H33" s="209"/>
      <c r="I33" s="205"/>
    </row>
    <row r="34" spans="1:9">
      <c r="A34" s="488">
        <f t="shared" si="0"/>
        <v>29</v>
      </c>
      <c r="C34" s="205"/>
      <c r="D34" s="205"/>
      <c r="E34" s="205"/>
      <c r="F34" s="309" t="s">
        <v>515</v>
      </c>
      <c r="G34" s="310"/>
      <c r="H34" s="206"/>
      <c r="I34" s="311">
        <f>ROUND(SUM(I28:I31),5)</f>
        <v>3.4959999999999998E-2</v>
      </c>
    </row>
    <row r="35" spans="1:9">
      <c r="A35" s="488">
        <f t="shared" si="0"/>
        <v>30</v>
      </c>
      <c r="C35" s="205"/>
      <c r="D35" s="205"/>
      <c r="E35" s="205"/>
      <c r="F35" s="309"/>
      <c r="G35" s="310"/>
      <c r="H35" s="206"/>
      <c r="I35" s="206"/>
    </row>
    <row r="36" spans="1:9">
      <c r="A36" s="488">
        <f t="shared" si="0"/>
        <v>31</v>
      </c>
      <c r="C36" s="205"/>
      <c r="D36" s="205"/>
      <c r="E36" s="205"/>
      <c r="F36" s="309"/>
      <c r="G36" s="310"/>
      <c r="H36" s="206"/>
      <c r="I36" s="206"/>
    </row>
    <row r="37" spans="1:9">
      <c r="A37" s="488">
        <f t="shared" si="0"/>
        <v>32</v>
      </c>
      <c r="C37" s="205"/>
      <c r="D37" s="205"/>
      <c r="E37" s="205"/>
      <c r="F37" s="206"/>
      <c r="G37" s="310"/>
      <c r="H37" s="209"/>
      <c r="I37" s="205"/>
    </row>
    <row r="38" spans="1:9">
      <c r="A38" s="488">
        <f t="shared" si="0"/>
        <v>33</v>
      </c>
      <c r="C38" s="206" t="s">
        <v>516</v>
      </c>
      <c r="D38" s="206"/>
      <c r="E38" s="312">
        <f>'Schedule 6 Workpaper page 3'!G18</f>
        <v>81326</v>
      </c>
      <c r="F38" s="285" t="s">
        <v>108</v>
      </c>
      <c r="G38" s="310"/>
      <c r="H38" s="209"/>
      <c r="I38" s="205"/>
    </row>
    <row r="39" spans="1:9">
      <c r="A39" s="488">
        <f t="shared" si="0"/>
        <v>34</v>
      </c>
      <c r="C39" s="206" t="s">
        <v>517</v>
      </c>
      <c r="D39" s="206"/>
      <c r="E39" s="103">
        <f>'Rate Calculation'!E38</f>
        <v>-634572.00056171999</v>
      </c>
      <c r="F39" s="210" t="s">
        <v>247</v>
      </c>
      <c r="G39" s="310"/>
      <c r="H39" s="209"/>
      <c r="I39" s="205"/>
    </row>
    <row r="40" spans="1:9">
      <c r="C40" s="205"/>
      <c r="D40" s="205"/>
      <c r="E40" s="205"/>
      <c r="F40" s="205"/>
      <c r="G40" s="310"/>
      <c r="H40" s="209"/>
      <c r="I40" s="205"/>
    </row>
    <row r="41" spans="1:9">
      <c r="C41" s="205"/>
      <c r="D41" s="205"/>
      <c r="E41" s="313"/>
      <c r="F41" s="314"/>
      <c r="G41" s="209"/>
      <c r="H41" s="209"/>
      <c r="I41" s="205"/>
    </row>
    <row r="42" spans="1:9">
      <c r="C42" s="205"/>
      <c r="D42" s="205"/>
      <c r="E42" s="205"/>
      <c r="F42" s="205"/>
      <c r="G42" s="209"/>
      <c r="H42" s="209"/>
      <c r="I42" s="205"/>
    </row>
    <row r="43" spans="1:9">
      <c r="C43" s="205"/>
      <c r="D43" s="205"/>
      <c r="E43" s="238"/>
      <c r="F43" s="205"/>
      <c r="G43" s="209"/>
      <c r="H43" s="209"/>
      <c r="I43" s="205"/>
    </row>
    <row r="44" spans="1:9">
      <c r="C44" s="205"/>
      <c r="D44" s="205"/>
      <c r="E44" s="205"/>
      <c r="F44" s="205"/>
      <c r="G44" s="209"/>
      <c r="H44" s="209"/>
      <c r="I44" s="205"/>
    </row>
    <row r="45" spans="1:9">
      <c r="C45" s="205"/>
      <c r="D45" s="205"/>
      <c r="E45" s="205"/>
      <c r="F45" s="205"/>
      <c r="G45" s="209"/>
      <c r="H45" s="209"/>
      <c r="I45" s="205"/>
    </row>
    <row r="46" spans="1:9">
      <c r="C46" s="205"/>
      <c r="D46" s="205"/>
      <c r="E46" s="205"/>
      <c r="F46" s="205"/>
      <c r="G46" s="209"/>
      <c r="H46" s="209"/>
      <c r="I46" s="205"/>
    </row>
    <row r="47" spans="1:9">
      <c r="C47" s="305"/>
      <c r="D47" s="305"/>
      <c r="E47" s="205"/>
      <c r="F47" s="205"/>
      <c r="G47" s="209"/>
      <c r="H47" s="209"/>
      <c r="I47" s="205"/>
    </row>
    <row r="48" spans="1:9">
      <c r="C48" s="205"/>
      <c r="D48" s="205"/>
      <c r="E48" s="205"/>
      <c r="F48" s="205"/>
      <c r="G48" s="209"/>
      <c r="H48" s="209"/>
      <c r="I48" s="205"/>
    </row>
    <row r="49" spans="3:9">
      <c r="C49" s="205"/>
      <c r="D49" s="205"/>
      <c r="E49" s="205"/>
      <c r="F49" s="205"/>
      <c r="G49" s="209"/>
      <c r="H49" s="209"/>
      <c r="I49" s="205"/>
    </row>
    <row r="50" spans="3:9">
      <c r="C50" s="205"/>
      <c r="D50" s="205"/>
      <c r="E50" s="205"/>
      <c r="F50" s="205"/>
      <c r="G50" s="209"/>
      <c r="H50" s="209"/>
      <c r="I50" s="205"/>
    </row>
    <row r="51" spans="3:9">
      <c r="C51" s="307"/>
      <c r="D51" s="307"/>
      <c r="E51" s="205"/>
      <c r="F51" s="205"/>
      <c r="G51" s="209"/>
      <c r="H51" s="209"/>
      <c r="I51" s="205"/>
    </row>
    <row r="52" spans="3:9">
      <c r="C52" s="315"/>
      <c r="D52" s="315"/>
      <c r="E52" s="205"/>
      <c r="F52" s="205"/>
      <c r="G52" s="209"/>
      <c r="H52" s="209"/>
      <c r="I52" s="205"/>
    </row>
    <row r="53" spans="3:9">
      <c r="C53" s="315"/>
      <c r="D53" s="315"/>
      <c r="E53" s="205"/>
      <c r="F53" s="205"/>
      <c r="G53" s="209"/>
      <c r="H53" s="209"/>
      <c r="I53" s="205"/>
    </row>
    <row r="54" spans="3:9">
      <c r="C54" s="205"/>
      <c r="D54" s="205"/>
      <c r="E54" s="205"/>
      <c r="F54" s="205"/>
      <c r="G54" s="209"/>
      <c r="H54" s="209"/>
      <c r="I54" s="205"/>
    </row>
    <row r="55" spans="3:9">
      <c r="C55" s="205"/>
      <c r="D55" s="205"/>
      <c r="E55" s="205"/>
      <c r="F55" s="205"/>
      <c r="G55" s="209"/>
      <c r="H55" s="209"/>
      <c r="I55" s="205"/>
    </row>
    <row r="56" spans="3:9">
      <c r="C56" s="205"/>
      <c r="D56" s="205"/>
      <c r="E56" s="205"/>
      <c r="F56" s="205"/>
      <c r="G56" s="209"/>
      <c r="H56" s="209"/>
      <c r="I56" s="205"/>
    </row>
    <row r="57" spans="3:9">
      <c r="C57" s="205"/>
      <c r="D57" s="205"/>
      <c r="E57" s="205"/>
      <c r="F57" s="205"/>
      <c r="G57" s="209"/>
      <c r="H57" s="209"/>
      <c r="I57" s="205"/>
    </row>
    <row r="58" spans="3:9">
      <c r="C58" s="205"/>
      <c r="D58" s="205"/>
      <c r="E58" s="205"/>
      <c r="F58" s="205"/>
      <c r="G58" s="209"/>
      <c r="H58" s="209"/>
      <c r="I58" s="205"/>
    </row>
    <row r="59" spans="3:9">
      <c r="C59" s="205"/>
      <c r="D59" s="205"/>
      <c r="E59" s="205"/>
      <c r="F59" s="205"/>
      <c r="G59" s="209"/>
      <c r="H59" s="209"/>
      <c r="I59" s="205"/>
    </row>
    <row r="60" spans="3:9">
      <c r="C60" s="205"/>
      <c r="D60" s="205"/>
      <c r="E60" s="205"/>
      <c r="F60" s="205"/>
      <c r="G60" s="209"/>
      <c r="H60" s="209"/>
      <c r="I60" s="205"/>
    </row>
    <row r="61" spans="3:9">
      <c r="C61" s="205"/>
      <c r="D61" s="205"/>
      <c r="E61" s="205"/>
      <c r="F61" s="205"/>
      <c r="G61" s="209"/>
      <c r="H61" s="209"/>
      <c r="I61" s="205"/>
    </row>
    <row r="62" spans="3:9">
      <c r="C62" s="205"/>
      <c r="D62" s="205"/>
      <c r="E62" s="205"/>
      <c r="F62" s="205"/>
      <c r="G62" s="209"/>
      <c r="H62" s="209"/>
      <c r="I62" s="205"/>
    </row>
    <row r="63" spans="3:9">
      <c r="C63" s="205"/>
      <c r="D63" s="205"/>
      <c r="E63" s="205"/>
      <c r="F63" s="205"/>
      <c r="G63" s="209"/>
      <c r="H63" s="209"/>
      <c r="I63" s="205"/>
    </row>
    <row r="64" spans="3:9">
      <c r="C64" s="205"/>
      <c r="D64" s="205"/>
      <c r="E64" s="205"/>
      <c r="F64" s="205"/>
      <c r="G64" s="209"/>
      <c r="H64" s="209"/>
      <c r="I64" s="205"/>
    </row>
    <row r="65" spans="3:9">
      <c r="C65" s="205"/>
      <c r="D65" s="205"/>
      <c r="E65" s="205"/>
      <c r="F65" s="205"/>
      <c r="G65" s="209"/>
      <c r="H65" s="209"/>
      <c r="I65" s="205"/>
    </row>
    <row r="66" spans="3:9">
      <c r="C66" s="205"/>
      <c r="D66" s="205"/>
      <c r="E66" s="205"/>
      <c r="F66" s="205"/>
      <c r="G66" s="209"/>
      <c r="H66" s="209"/>
      <c r="I66" s="205"/>
    </row>
    <row r="67" spans="3:9">
      <c r="C67" s="205"/>
      <c r="D67" s="205"/>
      <c r="E67" s="205"/>
      <c r="F67" s="205"/>
      <c r="G67" s="209"/>
      <c r="H67" s="209"/>
      <c r="I67" s="205"/>
    </row>
    <row r="68" spans="3:9">
      <c r="C68" s="205"/>
      <c r="D68" s="205"/>
      <c r="E68" s="205"/>
      <c r="F68" s="205"/>
      <c r="G68" s="209"/>
      <c r="H68" s="209"/>
      <c r="I68" s="205"/>
    </row>
    <row r="69" spans="3:9">
      <c r="C69" s="205"/>
      <c r="D69" s="205"/>
      <c r="E69" s="205"/>
      <c r="F69" s="205"/>
      <c r="G69" s="209"/>
      <c r="H69" s="209"/>
      <c r="I69" s="205"/>
    </row>
    <row r="70" spans="3:9">
      <c r="C70" s="205"/>
      <c r="D70" s="205"/>
      <c r="E70" s="205"/>
      <c r="F70" s="205"/>
      <c r="G70" s="209"/>
      <c r="H70" s="209"/>
      <c r="I70" s="205"/>
    </row>
    <row r="71" spans="3:9">
      <c r="C71" s="205"/>
      <c r="D71" s="205"/>
      <c r="E71" s="205"/>
      <c r="F71" s="205"/>
      <c r="G71" s="209"/>
      <c r="H71" s="209"/>
      <c r="I71" s="205"/>
    </row>
    <row r="72" spans="3:9">
      <c r="C72" s="205"/>
      <c r="D72" s="205"/>
      <c r="E72" s="205"/>
      <c r="F72" s="205"/>
      <c r="G72" s="209"/>
      <c r="H72" s="209"/>
      <c r="I72" s="205"/>
    </row>
    <row r="73" spans="3:9">
      <c r="C73" s="205"/>
      <c r="D73" s="205"/>
      <c r="E73" s="205"/>
      <c r="F73" s="205"/>
      <c r="G73" s="209"/>
      <c r="H73" s="209"/>
      <c r="I73" s="205"/>
    </row>
    <row r="74" spans="3:9">
      <c r="C74" s="205"/>
      <c r="D74" s="205"/>
      <c r="E74" s="205"/>
      <c r="F74" s="205"/>
      <c r="G74" s="209"/>
      <c r="H74" s="209"/>
      <c r="I74" s="205"/>
    </row>
    <row r="75" spans="3:9">
      <c r="C75" s="205"/>
      <c r="D75" s="205"/>
      <c r="E75" s="205"/>
      <c r="F75" s="205"/>
      <c r="G75" s="209"/>
      <c r="H75" s="209"/>
      <c r="I75" s="205"/>
    </row>
    <row r="76" spans="3:9">
      <c r="C76" s="205"/>
      <c r="D76" s="205"/>
      <c r="E76" s="205"/>
      <c r="F76" s="205"/>
      <c r="G76" s="209"/>
      <c r="H76" s="209"/>
      <c r="I76" s="205"/>
    </row>
    <row r="77" spans="3:9">
      <c r="C77" s="205"/>
      <c r="D77" s="205"/>
      <c r="E77" s="205"/>
      <c r="F77" s="205"/>
      <c r="G77" s="209"/>
      <c r="H77" s="209"/>
      <c r="I77" s="205"/>
    </row>
    <row r="78" spans="3:9">
      <c r="C78" s="205"/>
      <c r="D78" s="205"/>
      <c r="E78" s="205"/>
      <c r="F78" s="205"/>
      <c r="G78" s="209"/>
      <c r="H78" s="209"/>
      <c r="I78" s="205"/>
    </row>
    <row r="79" spans="3:9">
      <c r="C79" s="205"/>
      <c r="D79" s="205"/>
      <c r="E79" s="205"/>
      <c r="F79" s="205"/>
      <c r="G79" s="209"/>
      <c r="H79" s="209"/>
      <c r="I79" s="205"/>
    </row>
    <row r="80" spans="3:9">
      <c r="C80" s="205"/>
      <c r="D80" s="205"/>
      <c r="E80" s="205"/>
      <c r="F80" s="205"/>
      <c r="G80" s="209"/>
      <c r="H80" s="209"/>
      <c r="I80" s="205"/>
    </row>
    <row r="81" spans="3:9">
      <c r="C81" s="205"/>
      <c r="D81" s="205"/>
      <c r="E81" s="205"/>
      <c r="F81" s="205"/>
      <c r="G81" s="209"/>
      <c r="H81" s="209"/>
      <c r="I81" s="205"/>
    </row>
    <row r="82" spans="3:9">
      <c r="C82" s="205"/>
      <c r="D82" s="205"/>
      <c r="E82" s="205"/>
      <c r="F82" s="205"/>
      <c r="G82" s="209"/>
      <c r="H82" s="209"/>
      <c r="I82" s="205"/>
    </row>
    <row r="83" spans="3:9">
      <c r="C83" s="205"/>
      <c r="D83" s="205"/>
      <c r="E83" s="205"/>
      <c r="F83" s="205"/>
      <c r="G83" s="209"/>
      <c r="H83" s="209"/>
      <c r="I83" s="205"/>
    </row>
    <row r="84" spans="3:9">
      <c r="C84" s="205"/>
      <c r="D84" s="205"/>
      <c r="E84" s="205"/>
      <c r="F84" s="205"/>
      <c r="G84" s="209"/>
      <c r="H84" s="209"/>
      <c r="I84" s="205"/>
    </row>
    <row r="85" spans="3:9">
      <c r="C85" s="205"/>
      <c r="D85" s="205"/>
      <c r="E85" s="205"/>
      <c r="F85" s="205"/>
      <c r="G85" s="209"/>
      <c r="H85" s="209"/>
      <c r="I85" s="205"/>
    </row>
    <row r="86" spans="3:9">
      <c r="C86" s="205"/>
      <c r="D86" s="205"/>
      <c r="E86" s="205"/>
      <c r="F86" s="205"/>
      <c r="G86" s="209"/>
      <c r="H86" s="209"/>
      <c r="I86" s="205"/>
    </row>
    <row r="87" spans="3:9">
      <c r="C87" s="205"/>
      <c r="D87" s="205"/>
      <c r="E87" s="205"/>
      <c r="F87" s="205"/>
      <c r="G87" s="209"/>
      <c r="H87" s="209"/>
      <c r="I87" s="205"/>
    </row>
    <row r="88" spans="3:9">
      <c r="C88" s="205"/>
      <c r="D88" s="205"/>
      <c r="E88" s="205"/>
      <c r="F88" s="205"/>
      <c r="G88" s="209"/>
      <c r="H88" s="209"/>
      <c r="I88" s="205"/>
    </row>
    <row r="89" spans="3:9">
      <c r="C89" s="205"/>
      <c r="D89" s="205"/>
      <c r="E89" s="205"/>
      <c r="F89" s="205"/>
      <c r="G89" s="209"/>
      <c r="H89" s="209"/>
      <c r="I89" s="205"/>
    </row>
    <row r="90" spans="3:9">
      <c r="C90" s="205"/>
      <c r="D90" s="205"/>
      <c r="E90" s="205"/>
      <c r="F90" s="205"/>
      <c r="G90" s="209"/>
      <c r="H90" s="209"/>
      <c r="I90" s="205"/>
    </row>
    <row r="91" spans="3:9">
      <c r="C91" s="205"/>
      <c r="D91" s="205"/>
      <c r="E91" s="205"/>
      <c r="F91" s="205"/>
      <c r="G91" s="209"/>
      <c r="H91" s="209"/>
      <c r="I91" s="205"/>
    </row>
    <row r="92" spans="3:9">
      <c r="C92" s="205"/>
      <c r="D92" s="205"/>
      <c r="E92" s="205"/>
      <c r="F92" s="205"/>
      <c r="G92" s="209"/>
      <c r="H92" s="209"/>
      <c r="I92" s="205"/>
    </row>
    <row r="93" spans="3:9">
      <c r="C93" s="205"/>
      <c r="D93" s="205"/>
      <c r="E93" s="205"/>
      <c r="F93" s="205"/>
      <c r="G93" s="209"/>
      <c r="H93" s="209"/>
      <c r="I93" s="205"/>
    </row>
    <row r="94" spans="3:9">
      <c r="C94" s="205"/>
      <c r="D94" s="205"/>
      <c r="E94" s="205"/>
      <c r="F94" s="205"/>
      <c r="G94" s="209"/>
      <c r="H94" s="209"/>
      <c r="I94" s="205"/>
    </row>
    <row r="95" spans="3:9">
      <c r="C95" s="205"/>
      <c r="D95" s="205"/>
      <c r="E95" s="205"/>
      <c r="F95" s="205"/>
      <c r="G95" s="209"/>
      <c r="H95" s="209"/>
      <c r="I95" s="205"/>
    </row>
    <row r="96" spans="3:9">
      <c r="C96" s="205"/>
      <c r="D96" s="205"/>
      <c r="E96" s="205"/>
      <c r="F96" s="205"/>
      <c r="G96" s="209"/>
      <c r="H96" s="209"/>
      <c r="I96" s="205"/>
    </row>
    <row r="97" spans="3:9">
      <c r="C97" s="205"/>
      <c r="D97" s="205"/>
      <c r="E97" s="205"/>
      <c r="F97" s="205"/>
      <c r="G97" s="209"/>
      <c r="H97" s="209"/>
      <c r="I97" s="205"/>
    </row>
    <row r="98" spans="3:9">
      <c r="C98" s="205"/>
      <c r="D98" s="205"/>
      <c r="E98" s="205"/>
      <c r="F98" s="205"/>
      <c r="G98" s="209"/>
      <c r="H98" s="209"/>
      <c r="I98" s="205"/>
    </row>
    <row r="99" spans="3:9">
      <c r="C99" s="205"/>
      <c r="D99" s="205"/>
      <c r="E99" s="205"/>
      <c r="F99" s="205"/>
      <c r="G99" s="209"/>
      <c r="H99" s="209"/>
      <c r="I99" s="205"/>
    </row>
    <row r="100" spans="3:9">
      <c r="C100" s="205"/>
      <c r="D100" s="205"/>
      <c r="E100" s="205"/>
      <c r="F100" s="205"/>
      <c r="G100" s="209"/>
      <c r="H100" s="209"/>
      <c r="I100" s="205"/>
    </row>
    <row r="101" spans="3:9">
      <c r="C101" s="205"/>
      <c r="D101" s="205"/>
      <c r="E101" s="205"/>
      <c r="F101" s="205"/>
      <c r="G101" s="209"/>
      <c r="H101" s="209"/>
      <c r="I101" s="205"/>
    </row>
    <row r="102" spans="3:9">
      <c r="C102" s="205"/>
      <c r="D102" s="205"/>
      <c r="E102" s="205"/>
      <c r="F102" s="205"/>
      <c r="G102" s="209"/>
      <c r="H102" s="209"/>
      <c r="I102" s="205"/>
    </row>
    <row r="103" spans="3:9">
      <c r="C103" s="205"/>
      <c r="D103" s="205"/>
      <c r="E103" s="205"/>
      <c r="F103" s="205"/>
      <c r="G103" s="209"/>
      <c r="H103" s="209"/>
      <c r="I103" s="205"/>
    </row>
    <row r="104" spans="3:9">
      <c r="C104" s="205"/>
      <c r="D104" s="205"/>
      <c r="E104" s="205"/>
      <c r="F104" s="205"/>
      <c r="G104" s="209"/>
      <c r="H104" s="209"/>
      <c r="I104" s="205"/>
    </row>
    <row r="105" spans="3:9">
      <c r="C105" s="205"/>
      <c r="D105" s="205"/>
      <c r="E105" s="205"/>
      <c r="F105" s="205"/>
      <c r="G105" s="209"/>
      <c r="H105" s="209"/>
      <c r="I105" s="205"/>
    </row>
    <row r="106" spans="3:9">
      <c r="C106" s="205"/>
      <c r="D106" s="205"/>
      <c r="E106" s="205"/>
      <c r="F106" s="205"/>
      <c r="G106" s="209"/>
      <c r="H106" s="209"/>
      <c r="I106" s="205"/>
    </row>
    <row r="107" spans="3:9">
      <c r="C107" s="205"/>
      <c r="D107" s="205"/>
      <c r="E107" s="205"/>
      <c r="F107" s="205"/>
      <c r="G107" s="209"/>
      <c r="H107" s="209"/>
      <c r="I107" s="205"/>
    </row>
    <row r="108" spans="3:9">
      <c r="C108" s="205"/>
      <c r="D108" s="205"/>
      <c r="E108" s="205"/>
      <c r="F108" s="205"/>
      <c r="G108" s="209"/>
      <c r="H108" s="209"/>
      <c r="I108" s="205"/>
    </row>
    <row r="109" spans="3:9">
      <c r="C109" s="205"/>
      <c r="D109" s="205"/>
      <c r="E109" s="205"/>
      <c r="F109" s="205"/>
      <c r="G109" s="209"/>
      <c r="H109" s="209"/>
      <c r="I109" s="205"/>
    </row>
    <row r="110" spans="3:9">
      <c r="C110" s="205"/>
      <c r="D110" s="205"/>
      <c r="E110" s="205"/>
      <c r="F110" s="205"/>
      <c r="G110" s="209"/>
      <c r="H110" s="209"/>
      <c r="I110" s="205"/>
    </row>
    <row r="111" spans="3:9">
      <c r="C111" s="205"/>
      <c r="D111" s="205"/>
      <c r="E111" s="205"/>
      <c r="F111" s="205"/>
      <c r="G111" s="209"/>
      <c r="H111" s="209"/>
      <c r="I111" s="205"/>
    </row>
    <row r="112" spans="3:9">
      <c r="C112" s="205"/>
      <c r="D112" s="205"/>
      <c r="E112" s="205"/>
      <c r="F112" s="205"/>
      <c r="G112" s="209"/>
      <c r="H112" s="209"/>
      <c r="I112" s="205"/>
    </row>
    <row r="113" spans="3:9">
      <c r="C113" s="205"/>
      <c r="D113" s="205"/>
      <c r="E113" s="205"/>
      <c r="F113" s="205"/>
      <c r="G113" s="209"/>
      <c r="H113" s="209"/>
      <c r="I113" s="205"/>
    </row>
    <row r="114" spans="3:9">
      <c r="C114" s="205"/>
      <c r="D114" s="205"/>
      <c r="E114" s="205"/>
      <c r="F114" s="205"/>
      <c r="G114" s="209"/>
      <c r="H114" s="209"/>
      <c r="I114" s="205"/>
    </row>
    <row r="115" spans="3:9">
      <c r="C115" s="205"/>
      <c r="D115" s="205"/>
      <c r="E115" s="205"/>
      <c r="F115" s="205"/>
      <c r="G115" s="209"/>
      <c r="H115" s="209"/>
      <c r="I115" s="205"/>
    </row>
    <row r="116" spans="3:9">
      <c r="C116" s="205"/>
      <c r="D116" s="205"/>
      <c r="E116" s="205"/>
      <c r="F116" s="205"/>
      <c r="G116" s="209"/>
      <c r="H116" s="209"/>
      <c r="I116" s="205"/>
    </row>
    <row r="117" spans="3:9">
      <c r="C117" s="205"/>
      <c r="D117" s="205"/>
      <c r="E117" s="205"/>
      <c r="F117" s="205"/>
      <c r="G117" s="209"/>
      <c r="H117" s="209"/>
      <c r="I117" s="205"/>
    </row>
    <row r="118" spans="3:9">
      <c r="C118" s="205"/>
      <c r="D118" s="205"/>
      <c r="E118" s="205"/>
      <c r="F118" s="205"/>
      <c r="G118" s="209"/>
      <c r="H118" s="209"/>
      <c r="I118" s="205"/>
    </row>
    <row r="119" spans="3:9">
      <c r="C119" s="205"/>
      <c r="D119" s="205"/>
      <c r="E119" s="205"/>
      <c r="F119" s="205"/>
      <c r="G119" s="209"/>
      <c r="H119" s="209"/>
      <c r="I119" s="205"/>
    </row>
    <row r="120" spans="3:9">
      <c r="C120" s="205"/>
      <c r="D120" s="205"/>
      <c r="E120" s="205"/>
      <c r="F120" s="205"/>
      <c r="G120" s="209"/>
      <c r="H120" s="209"/>
      <c r="I120" s="205"/>
    </row>
    <row r="121" spans="3:9">
      <c r="C121" s="205"/>
      <c r="D121" s="205"/>
      <c r="E121" s="205"/>
      <c r="F121" s="205"/>
      <c r="G121" s="209"/>
      <c r="H121" s="209"/>
      <c r="I121" s="205"/>
    </row>
    <row r="122" spans="3:9">
      <c r="C122" s="205"/>
      <c r="D122" s="205"/>
      <c r="E122" s="205"/>
      <c r="F122" s="205"/>
      <c r="G122" s="209"/>
      <c r="H122" s="209"/>
      <c r="I122" s="205"/>
    </row>
    <row r="123" spans="3:9">
      <c r="C123" s="205"/>
      <c r="D123" s="205"/>
      <c r="E123" s="205"/>
      <c r="F123" s="205"/>
      <c r="G123" s="209"/>
      <c r="H123" s="209"/>
      <c r="I123" s="205"/>
    </row>
    <row r="124" spans="3:9">
      <c r="C124" s="205"/>
      <c r="D124" s="205"/>
      <c r="E124" s="205"/>
      <c r="F124" s="205"/>
      <c r="G124" s="209"/>
      <c r="H124" s="209"/>
      <c r="I124" s="205"/>
    </row>
    <row r="125" spans="3:9">
      <c r="C125" s="205"/>
      <c r="D125" s="205"/>
      <c r="E125" s="205"/>
      <c r="F125" s="205"/>
      <c r="G125" s="209"/>
      <c r="H125" s="209"/>
      <c r="I125" s="205"/>
    </row>
    <row r="126" spans="3:9">
      <c r="C126" s="205"/>
      <c r="D126" s="205"/>
      <c r="E126" s="205"/>
      <c r="F126" s="205"/>
      <c r="G126" s="209"/>
      <c r="H126" s="209"/>
      <c r="I126" s="205"/>
    </row>
    <row r="127" spans="3:9">
      <c r="C127" s="205"/>
      <c r="D127" s="205"/>
      <c r="E127" s="205"/>
      <c r="F127" s="205"/>
      <c r="G127" s="209"/>
      <c r="H127" s="209"/>
      <c r="I127" s="205"/>
    </row>
    <row r="128" spans="3:9">
      <c r="C128" s="205"/>
      <c r="D128" s="205"/>
      <c r="E128" s="205"/>
      <c r="F128" s="205"/>
      <c r="G128" s="209"/>
      <c r="H128" s="209"/>
      <c r="I128" s="205"/>
    </row>
    <row r="129" spans="3:9">
      <c r="C129" s="205"/>
      <c r="D129" s="205"/>
      <c r="E129" s="205"/>
      <c r="F129" s="205"/>
      <c r="G129" s="209"/>
      <c r="H129" s="209"/>
      <c r="I129" s="205"/>
    </row>
    <row r="130" spans="3:9">
      <c r="C130" s="205"/>
      <c r="D130" s="205"/>
      <c r="E130" s="205"/>
      <c r="F130" s="205"/>
      <c r="G130" s="209"/>
      <c r="H130" s="209"/>
      <c r="I130" s="205"/>
    </row>
    <row r="131" spans="3:9">
      <c r="C131" s="205"/>
      <c r="D131" s="205"/>
      <c r="E131" s="205"/>
      <c r="F131" s="205"/>
      <c r="G131" s="209"/>
      <c r="H131" s="209"/>
      <c r="I131" s="205"/>
    </row>
    <row r="132" spans="3:9">
      <c r="C132" s="205"/>
      <c r="D132" s="205"/>
      <c r="E132" s="205"/>
      <c r="F132" s="205"/>
      <c r="G132" s="209"/>
      <c r="H132" s="209"/>
      <c r="I132" s="205"/>
    </row>
    <row r="133" spans="3:9">
      <c r="C133" s="205"/>
      <c r="D133" s="205"/>
      <c r="E133" s="205"/>
      <c r="F133" s="205"/>
      <c r="G133" s="209"/>
      <c r="H133" s="209"/>
      <c r="I133" s="205"/>
    </row>
    <row r="134" spans="3:9">
      <c r="C134" s="205"/>
      <c r="D134" s="205"/>
      <c r="E134" s="205"/>
      <c r="F134" s="205"/>
      <c r="G134" s="209"/>
      <c r="H134" s="209"/>
      <c r="I134" s="205"/>
    </row>
    <row r="135" spans="3:9">
      <c r="C135" s="205"/>
      <c r="D135" s="205"/>
      <c r="E135" s="205"/>
      <c r="F135" s="205"/>
      <c r="G135" s="209"/>
      <c r="H135" s="209"/>
      <c r="I135" s="205"/>
    </row>
    <row r="136" spans="3:9">
      <c r="C136" s="205"/>
      <c r="D136" s="205"/>
      <c r="E136" s="205"/>
      <c r="F136" s="205"/>
      <c r="G136" s="209"/>
      <c r="H136" s="209"/>
      <c r="I136" s="205"/>
    </row>
    <row r="137" spans="3:9">
      <c r="C137" s="205"/>
      <c r="D137" s="205"/>
      <c r="E137" s="205"/>
      <c r="F137" s="205"/>
      <c r="G137" s="209"/>
      <c r="H137" s="209"/>
      <c r="I137" s="205"/>
    </row>
    <row r="138" spans="3:9">
      <c r="C138" s="205"/>
      <c r="D138" s="205"/>
      <c r="E138" s="205"/>
      <c r="F138" s="205"/>
      <c r="G138" s="209"/>
      <c r="H138" s="209"/>
      <c r="I138" s="205"/>
    </row>
    <row r="139" spans="3:9">
      <c r="C139" s="205"/>
      <c r="D139" s="205"/>
      <c r="E139" s="205"/>
      <c r="F139" s="205"/>
      <c r="G139" s="209"/>
      <c r="H139" s="209"/>
      <c r="I139" s="205"/>
    </row>
    <row r="140" spans="3:9">
      <c r="C140" s="205"/>
      <c r="D140" s="205"/>
      <c r="E140" s="205"/>
      <c r="F140" s="205"/>
      <c r="G140" s="209"/>
      <c r="H140" s="209"/>
      <c r="I140" s="205"/>
    </row>
    <row r="141" spans="3:9">
      <c r="C141" s="205"/>
      <c r="D141" s="205"/>
      <c r="E141" s="205"/>
      <c r="F141" s="205"/>
      <c r="G141" s="209"/>
      <c r="H141" s="209"/>
      <c r="I141" s="205"/>
    </row>
    <row r="142" spans="3:9">
      <c r="C142" s="205"/>
      <c r="D142" s="205"/>
      <c r="E142" s="205"/>
      <c r="F142" s="205"/>
      <c r="G142" s="209"/>
      <c r="H142" s="209"/>
      <c r="I142" s="205"/>
    </row>
    <row r="143" spans="3:9">
      <c r="C143" s="205"/>
      <c r="D143" s="205"/>
      <c r="E143" s="205"/>
      <c r="F143" s="205"/>
      <c r="G143" s="209"/>
      <c r="H143" s="209"/>
      <c r="I143" s="205"/>
    </row>
    <row r="144" spans="3:9">
      <c r="C144" s="205"/>
      <c r="D144" s="205"/>
      <c r="E144" s="205"/>
      <c r="F144" s="205"/>
      <c r="G144" s="209"/>
      <c r="H144" s="209"/>
      <c r="I144" s="205"/>
    </row>
    <row r="145" spans="3:9">
      <c r="C145" s="205"/>
      <c r="D145" s="205"/>
      <c r="E145" s="205"/>
      <c r="F145" s="205"/>
      <c r="G145" s="209"/>
      <c r="H145" s="209"/>
      <c r="I145" s="205"/>
    </row>
    <row r="146" spans="3:9">
      <c r="C146" s="205"/>
      <c r="D146" s="205"/>
      <c r="E146" s="205"/>
      <c r="F146" s="205"/>
      <c r="G146" s="209"/>
      <c r="H146" s="209"/>
      <c r="I146" s="205"/>
    </row>
    <row r="147" spans="3:9">
      <c r="C147" s="205"/>
      <c r="D147" s="205"/>
      <c r="E147" s="205"/>
      <c r="F147" s="205"/>
      <c r="G147" s="209"/>
      <c r="H147" s="209"/>
      <c r="I147" s="205"/>
    </row>
    <row r="148" spans="3:9">
      <c r="C148" s="205"/>
      <c r="D148" s="205"/>
      <c r="E148" s="205"/>
      <c r="F148" s="205"/>
      <c r="G148" s="209"/>
      <c r="H148" s="209"/>
      <c r="I148" s="205"/>
    </row>
    <row r="149" spans="3:9">
      <c r="C149" s="205"/>
      <c r="D149" s="205"/>
      <c r="E149" s="205"/>
      <c r="F149" s="205"/>
      <c r="G149" s="209"/>
      <c r="H149" s="209"/>
      <c r="I149" s="205"/>
    </row>
    <row r="150" spans="3:9">
      <c r="C150" s="205"/>
      <c r="D150" s="205"/>
      <c r="E150" s="205"/>
      <c r="F150" s="205"/>
      <c r="G150" s="209"/>
      <c r="H150" s="209"/>
      <c r="I150" s="205"/>
    </row>
    <row r="151" spans="3:9">
      <c r="C151" s="205"/>
      <c r="D151" s="205"/>
      <c r="E151" s="205"/>
      <c r="F151" s="205"/>
      <c r="G151" s="209"/>
      <c r="H151" s="209"/>
      <c r="I151" s="205"/>
    </row>
    <row r="152" spans="3:9">
      <c r="C152" s="205"/>
      <c r="D152" s="205"/>
      <c r="E152" s="205"/>
      <c r="F152" s="205"/>
      <c r="G152" s="209"/>
      <c r="H152" s="209"/>
      <c r="I152" s="205"/>
    </row>
    <row r="153" spans="3:9">
      <c r="C153" s="205"/>
      <c r="D153" s="205"/>
      <c r="E153" s="205"/>
      <c r="F153" s="205"/>
      <c r="G153" s="209"/>
      <c r="H153" s="209"/>
      <c r="I153" s="205"/>
    </row>
    <row r="154" spans="3:9">
      <c r="C154" s="205"/>
      <c r="D154" s="205"/>
      <c r="E154" s="205"/>
      <c r="F154" s="205"/>
      <c r="G154" s="209"/>
      <c r="H154" s="209"/>
      <c r="I154" s="205"/>
    </row>
    <row r="155" spans="3:9">
      <c r="C155" s="205"/>
      <c r="D155" s="205"/>
      <c r="E155" s="205"/>
      <c r="F155" s="205"/>
      <c r="G155" s="209"/>
      <c r="H155" s="209"/>
      <c r="I155" s="205"/>
    </row>
    <row r="156" spans="3:9">
      <c r="C156" s="205"/>
      <c r="D156" s="205"/>
      <c r="E156" s="205"/>
      <c r="F156" s="205"/>
      <c r="G156" s="209"/>
      <c r="H156" s="209"/>
      <c r="I156" s="205"/>
    </row>
    <row r="157" spans="3:9">
      <c r="C157" s="205"/>
      <c r="D157" s="205"/>
      <c r="E157" s="205"/>
      <c r="F157" s="205"/>
      <c r="G157" s="209"/>
      <c r="H157" s="209"/>
      <c r="I157" s="205"/>
    </row>
    <row r="158" spans="3:9">
      <c r="C158" s="205"/>
      <c r="D158" s="205"/>
      <c r="E158" s="205"/>
      <c r="F158" s="205"/>
      <c r="G158" s="209"/>
      <c r="H158" s="209"/>
      <c r="I158" s="205"/>
    </row>
    <row r="159" spans="3:9">
      <c r="C159" s="205"/>
      <c r="D159" s="205"/>
      <c r="E159" s="205"/>
      <c r="F159" s="205"/>
      <c r="G159" s="209"/>
      <c r="H159" s="209"/>
      <c r="I159" s="205"/>
    </row>
    <row r="160" spans="3:9">
      <c r="C160" s="205"/>
      <c r="D160" s="205"/>
      <c r="E160" s="205"/>
      <c r="F160" s="205"/>
      <c r="G160" s="209"/>
      <c r="H160" s="209"/>
      <c r="I160" s="205"/>
    </row>
    <row r="161" spans="3:9">
      <c r="C161" s="205"/>
      <c r="D161" s="205"/>
      <c r="E161" s="205"/>
      <c r="F161" s="205"/>
      <c r="G161" s="209"/>
      <c r="H161" s="209"/>
      <c r="I161" s="205"/>
    </row>
    <row r="162" spans="3:9">
      <c r="C162" s="205"/>
      <c r="D162" s="205"/>
      <c r="E162" s="205"/>
      <c r="F162" s="205"/>
      <c r="G162" s="209"/>
      <c r="H162" s="209"/>
      <c r="I162" s="205"/>
    </row>
    <row r="163" spans="3:9">
      <c r="C163" s="205"/>
      <c r="D163" s="205"/>
      <c r="E163" s="205"/>
      <c r="F163" s="205"/>
      <c r="G163" s="209"/>
      <c r="H163" s="209"/>
      <c r="I163" s="205"/>
    </row>
    <row r="164" spans="3:9">
      <c r="C164" s="205"/>
      <c r="D164" s="205"/>
      <c r="E164" s="205"/>
      <c r="F164" s="205"/>
      <c r="G164" s="209"/>
      <c r="H164" s="209"/>
      <c r="I164" s="205"/>
    </row>
    <row r="165" spans="3:9">
      <c r="C165" s="205"/>
      <c r="D165" s="205"/>
      <c r="E165" s="205"/>
      <c r="F165" s="205"/>
      <c r="G165" s="209"/>
      <c r="H165" s="209"/>
      <c r="I165" s="205"/>
    </row>
    <row r="166" spans="3:9">
      <c r="C166" s="205"/>
      <c r="D166" s="205"/>
      <c r="E166" s="205"/>
      <c r="F166" s="205"/>
      <c r="G166" s="209"/>
      <c r="H166" s="209"/>
      <c r="I166" s="205"/>
    </row>
    <row r="167" spans="3:9">
      <c r="C167" s="205"/>
      <c r="D167" s="205"/>
      <c r="E167" s="205"/>
      <c r="F167" s="205"/>
      <c r="G167" s="209"/>
      <c r="H167" s="209"/>
      <c r="I167" s="205"/>
    </row>
    <row r="168" spans="3:9">
      <c r="C168" s="205"/>
      <c r="D168" s="205"/>
      <c r="E168" s="205"/>
      <c r="F168" s="205"/>
      <c r="G168" s="209"/>
      <c r="H168" s="209"/>
      <c r="I168" s="205"/>
    </row>
    <row r="169" spans="3:9">
      <c r="C169" s="205"/>
      <c r="D169" s="205"/>
      <c r="E169" s="205"/>
      <c r="F169" s="205"/>
      <c r="G169" s="209"/>
      <c r="H169" s="209"/>
      <c r="I169" s="205"/>
    </row>
    <row r="170" spans="3:9">
      <c r="C170" s="205"/>
      <c r="D170" s="205"/>
      <c r="E170" s="205"/>
      <c r="F170" s="205"/>
      <c r="G170" s="209"/>
      <c r="H170" s="209"/>
      <c r="I170" s="205"/>
    </row>
    <row r="171" spans="3:9">
      <c r="C171" s="205"/>
      <c r="D171" s="205"/>
      <c r="E171" s="205"/>
      <c r="F171" s="205"/>
      <c r="G171" s="209"/>
      <c r="H171" s="209"/>
      <c r="I171" s="205"/>
    </row>
    <row r="172" spans="3:9">
      <c r="C172" s="205"/>
      <c r="D172" s="205"/>
      <c r="E172" s="205"/>
      <c r="F172" s="205"/>
      <c r="G172" s="209"/>
      <c r="H172" s="209"/>
      <c r="I172" s="205"/>
    </row>
    <row r="173" spans="3:9">
      <c r="C173" s="205"/>
      <c r="D173" s="205"/>
      <c r="E173" s="205"/>
      <c r="F173" s="205"/>
      <c r="G173" s="209"/>
      <c r="H173" s="209"/>
      <c r="I173" s="205"/>
    </row>
    <row r="174" spans="3:9">
      <c r="C174" s="205"/>
      <c r="D174" s="205"/>
      <c r="E174" s="205"/>
      <c r="F174" s="205"/>
      <c r="G174" s="209"/>
      <c r="H174" s="209"/>
      <c r="I174" s="205"/>
    </row>
    <row r="175" spans="3:9">
      <c r="C175" s="205"/>
      <c r="D175" s="205"/>
      <c r="E175" s="205"/>
      <c r="F175" s="205"/>
      <c r="G175" s="209"/>
      <c r="H175" s="209"/>
      <c r="I175" s="205"/>
    </row>
    <row r="176" spans="3:9">
      <c r="C176" s="205"/>
      <c r="D176" s="205"/>
      <c r="E176" s="205"/>
      <c r="F176" s="205"/>
      <c r="G176" s="209"/>
      <c r="H176" s="209"/>
      <c r="I176" s="205"/>
    </row>
    <row r="177" spans="3:9">
      <c r="C177" s="205"/>
      <c r="D177" s="205"/>
      <c r="E177" s="205"/>
      <c r="F177" s="205"/>
      <c r="G177" s="209"/>
      <c r="H177" s="209"/>
      <c r="I177" s="205"/>
    </row>
    <row r="178" spans="3:9">
      <c r="C178" s="205"/>
      <c r="D178" s="205"/>
      <c r="E178" s="205"/>
      <c r="F178" s="205"/>
      <c r="G178" s="209"/>
      <c r="H178" s="209"/>
      <c r="I178" s="205"/>
    </row>
    <row r="179" spans="3:9">
      <c r="C179" s="205"/>
      <c r="D179" s="205"/>
      <c r="E179" s="205"/>
      <c r="F179" s="205"/>
      <c r="G179" s="209"/>
      <c r="H179" s="209"/>
      <c r="I179" s="205"/>
    </row>
    <row r="180" spans="3:9">
      <c r="C180" s="205"/>
      <c r="D180" s="205"/>
      <c r="E180" s="205"/>
      <c r="F180" s="205"/>
      <c r="G180" s="209"/>
      <c r="H180" s="209"/>
      <c r="I180" s="205"/>
    </row>
    <row r="181" spans="3:9">
      <c r="C181" s="205"/>
      <c r="D181" s="205"/>
      <c r="E181" s="205"/>
      <c r="F181" s="205"/>
      <c r="G181" s="209"/>
      <c r="H181" s="209"/>
      <c r="I181" s="205"/>
    </row>
    <row r="182" spans="3:9">
      <c r="C182" s="205"/>
      <c r="D182" s="205"/>
      <c r="E182" s="205"/>
      <c r="F182" s="205"/>
      <c r="G182" s="209"/>
      <c r="H182" s="209"/>
      <c r="I182" s="205"/>
    </row>
    <row r="183" spans="3:9">
      <c r="C183" s="205"/>
      <c r="D183" s="205"/>
      <c r="E183" s="205"/>
      <c r="F183" s="205"/>
      <c r="G183" s="209"/>
      <c r="H183" s="209"/>
      <c r="I183" s="205"/>
    </row>
    <row r="184" spans="3:9">
      <c r="C184" s="205"/>
      <c r="D184" s="205"/>
      <c r="E184" s="205"/>
      <c r="F184" s="205"/>
      <c r="G184" s="209"/>
      <c r="H184" s="209"/>
      <c r="I184" s="205"/>
    </row>
    <row r="185" spans="3:9">
      <c r="C185" s="205"/>
      <c r="D185" s="205"/>
      <c r="E185" s="205"/>
      <c r="F185" s="205"/>
      <c r="G185" s="209"/>
      <c r="H185" s="209"/>
      <c r="I185" s="205"/>
    </row>
    <row r="186" spans="3:9">
      <c r="C186" s="205"/>
      <c r="D186" s="205"/>
      <c r="E186" s="205"/>
      <c r="F186" s="205"/>
      <c r="G186" s="209"/>
      <c r="H186" s="209"/>
      <c r="I186" s="205"/>
    </row>
    <row r="187" spans="3:9">
      <c r="C187" s="205"/>
      <c r="D187" s="205"/>
      <c r="E187" s="205"/>
      <c r="F187" s="205"/>
      <c r="G187" s="209"/>
      <c r="H187" s="209"/>
      <c r="I187" s="205"/>
    </row>
    <row r="188" spans="3:9">
      <c r="C188" s="205"/>
      <c r="D188" s="205"/>
      <c r="E188" s="205"/>
      <c r="F188" s="205"/>
      <c r="G188" s="209"/>
      <c r="H188" s="209"/>
      <c r="I188" s="205"/>
    </row>
    <row r="189" spans="3:9">
      <c r="C189" s="205"/>
      <c r="D189" s="205"/>
      <c r="E189" s="205"/>
      <c r="F189" s="205"/>
      <c r="G189" s="209"/>
      <c r="H189" s="209"/>
      <c r="I189" s="205"/>
    </row>
    <row r="190" spans="3:9">
      <c r="C190" s="205"/>
      <c r="D190" s="205"/>
      <c r="E190" s="205"/>
      <c r="F190" s="205"/>
      <c r="G190" s="209"/>
      <c r="H190" s="209"/>
      <c r="I190" s="205"/>
    </row>
    <row r="191" spans="3:9">
      <c r="C191" s="205"/>
      <c r="D191" s="205"/>
      <c r="E191" s="205"/>
      <c r="F191" s="205"/>
      <c r="G191" s="209"/>
      <c r="H191" s="209"/>
      <c r="I191" s="205"/>
    </row>
    <row r="192" spans="3:9">
      <c r="C192" s="205"/>
      <c r="D192" s="205"/>
      <c r="E192" s="205"/>
      <c r="F192" s="205"/>
      <c r="G192" s="209"/>
      <c r="H192" s="209"/>
      <c r="I192" s="205"/>
    </row>
    <row r="193" spans="3:9">
      <c r="C193" s="205"/>
      <c r="D193" s="205"/>
      <c r="E193" s="205"/>
      <c r="F193" s="205"/>
      <c r="G193" s="209"/>
      <c r="H193" s="209"/>
      <c r="I193" s="205"/>
    </row>
    <row r="194" spans="3:9">
      <c r="C194" s="205"/>
      <c r="D194" s="205"/>
      <c r="E194" s="205"/>
      <c r="F194" s="205"/>
      <c r="G194" s="209"/>
      <c r="H194" s="209"/>
      <c r="I194" s="205"/>
    </row>
    <row r="195" spans="3:9">
      <c r="C195" s="205"/>
      <c r="D195" s="205"/>
      <c r="E195" s="205"/>
      <c r="F195" s="205"/>
      <c r="G195" s="209"/>
      <c r="H195" s="209"/>
      <c r="I195" s="205"/>
    </row>
    <row r="196" spans="3:9">
      <c r="C196" s="205"/>
      <c r="D196" s="205"/>
      <c r="E196" s="205"/>
      <c r="F196" s="205"/>
      <c r="G196" s="209"/>
      <c r="H196" s="209"/>
      <c r="I196" s="205"/>
    </row>
    <row r="197" spans="3:9">
      <c r="C197" s="205"/>
      <c r="D197" s="205"/>
      <c r="E197" s="205"/>
      <c r="F197" s="205"/>
      <c r="G197" s="209"/>
      <c r="H197" s="209"/>
      <c r="I197" s="205"/>
    </row>
    <row r="198" spans="3:9">
      <c r="C198" s="205"/>
      <c r="D198" s="205"/>
      <c r="E198" s="205"/>
      <c r="F198" s="205"/>
      <c r="G198" s="209"/>
      <c r="H198" s="209"/>
      <c r="I198" s="205"/>
    </row>
    <row r="199" spans="3:9">
      <c r="C199" s="205"/>
      <c r="D199" s="205"/>
      <c r="E199" s="205"/>
      <c r="F199" s="205"/>
      <c r="G199" s="209"/>
      <c r="H199" s="209"/>
      <c r="I199" s="205"/>
    </row>
    <row r="200" spans="3:9">
      <c r="C200" s="205"/>
      <c r="D200" s="205"/>
      <c r="E200" s="205"/>
      <c r="F200" s="205"/>
      <c r="G200" s="209"/>
      <c r="H200" s="209"/>
      <c r="I200" s="205"/>
    </row>
    <row r="201" spans="3:9">
      <c r="C201" s="205"/>
      <c r="D201" s="205"/>
      <c r="E201" s="205"/>
      <c r="F201" s="205"/>
      <c r="G201" s="209"/>
      <c r="H201" s="209"/>
      <c r="I201" s="205"/>
    </row>
    <row r="202" spans="3:9">
      <c r="C202" s="205"/>
      <c r="D202" s="205"/>
      <c r="E202" s="205"/>
      <c r="F202" s="205"/>
      <c r="G202" s="209"/>
      <c r="H202" s="209"/>
      <c r="I202" s="205"/>
    </row>
    <row r="203" spans="3:9">
      <c r="C203" s="205"/>
      <c r="D203" s="205"/>
      <c r="E203" s="205"/>
      <c r="F203" s="205"/>
      <c r="G203" s="209"/>
      <c r="H203" s="209"/>
      <c r="I203" s="205"/>
    </row>
    <row r="204" spans="3:9">
      <c r="C204" s="205"/>
      <c r="D204" s="205"/>
      <c r="E204" s="205"/>
      <c r="F204" s="205"/>
      <c r="G204" s="209"/>
      <c r="H204" s="209"/>
      <c r="I204" s="205"/>
    </row>
    <row r="205" spans="3:9">
      <c r="C205" s="205"/>
      <c r="D205" s="205"/>
      <c r="E205" s="205"/>
      <c r="F205" s="205"/>
      <c r="G205" s="209"/>
      <c r="H205" s="209"/>
      <c r="I205" s="205"/>
    </row>
    <row r="206" spans="3:9">
      <c r="C206" s="205"/>
      <c r="D206" s="205"/>
      <c r="E206" s="205"/>
      <c r="F206" s="205"/>
      <c r="G206" s="209"/>
      <c r="H206" s="209"/>
      <c r="I206" s="205"/>
    </row>
    <row r="207" spans="3:9">
      <c r="C207" s="205"/>
      <c r="D207" s="205"/>
      <c r="E207" s="205"/>
      <c r="F207" s="205"/>
      <c r="G207" s="209"/>
      <c r="H207" s="209"/>
      <c r="I207" s="205"/>
    </row>
    <row r="208" spans="3:9">
      <c r="C208" s="205"/>
      <c r="D208" s="205"/>
      <c r="E208" s="205"/>
      <c r="F208" s="205"/>
      <c r="G208" s="209"/>
      <c r="H208" s="209"/>
      <c r="I208" s="205"/>
    </row>
    <row r="209" spans="3:9">
      <c r="C209" s="205"/>
      <c r="D209" s="205"/>
      <c r="E209" s="205"/>
      <c r="F209" s="205"/>
      <c r="G209" s="209"/>
      <c r="H209" s="209"/>
      <c r="I209" s="205"/>
    </row>
    <row r="210" spans="3:9">
      <c r="C210" s="205"/>
      <c r="D210" s="205"/>
      <c r="E210" s="205"/>
      <c r="F210" s="205"/>
      <c r="G210" s="209"/>
      <c r="H210" s="209"/>
      <c r="I210" s="205"/>
    </row>
    <row r="211" spans="3:9">
      <c r="C211" s="205"/>
      <c r="D211" s="205"/>
      <c r="E211" s="205"/>
      <c r="F211" s="205"/>
      <c r="G211" s="209"/>
      <c r="H211" s="209"/>
      <c r="I211" s="205"/>
    </row>
    <row r="212" spans="3:9">
      <c r="C212" s="205"/>
      <c r="D212" s="205"/>
      <c r="E212" s="205"/>
      <c r="F212" s="205"/>
      <c r="G212" s="209"/>
      <c r="H212" s="209"/>
      <c r="I212" s="205"/>
    </row>
    <row r="213" spans="3:9">
      <c r="C213" s="205"/>
      <c r="D213" s="205"/>
      <c r="E213" s="205"/>
      <c r="F213" s="205"/>
      <c r="G213" s="209"/>
      <c r="H213" s="209"/>
      <c r="I213" s="205"/>
    </row>
    <row r="214" spans="3:9">
      <c r="C214" s="205"/>
      <c r="D214" s="205"/>
      <c r="E214" s="205"/>
      <c r="F214" s="205"/>
      <c r="G214" s="209"/>
      <c r="H214" s="209"/>
      <c r="I214" s="205"/>
    </row>
    <row r="215" spans="3:9">
      <c r="C215" s="205"/>
      <c r="D215" s="205"/>
      <c r="E215" s="205"/>
      <c r="F215" s="205"/>
      <c r="G215" s="209"/>
      <c r="H215" s="209"/>
      <c r="I215" s="205"/>
    </row>
    <row r="216" spans="3:9">
      <c r="C216" s="205"/>
      <c r="D216" s="205"/>
      <c r="E216" s="205"/>
      <c r="F216" s="205"/>
      <c r="G216" s="209"/>
      <c r="H216" s="209"/>
      <c r="I216" s="205"/>
    </row>
    <row r="217" spans="3:9">
      <c r="C217" s="205"/>
      <c r="D217" s="205"/>
      <c r="E217" s="205"/>
      <c r="F217" s="205"/>
      <c r="G217" s="209"/>
      <c r="H217" s="209"/>
      <c r="I217" s="205"/>
    </row>
    <row r="218" spans="3:9">
      <c r="C218" s="205"/>
      <c r="D218" s="205"/>
      <c r="E218" s="205"/>
      <c r="F218" s="205"/>
      <c r="G218" s="209"/>
      <c r="H218" s="209"/>
      <c r="I218" s="205"/>
    </row>
    <row r="219" spans="3:9">
      <c r="C219" s="205"/>
      <c r="D219" s="205"/>
      <c r="E219" s="205"/>
      <c r="F219" s="205"/>
      <c r="G219" s="209"/>
      <c r="H219" s="209"/>
      <c r="I219" s="205"/>
    </row>
    <row r="220" spans="3:9">
      <c r="C220" s="205"/>
      <c r="D220" s="205"/>
      <c r="E220" s="205"/>
      <c r="F220" s="205"/>
      <c r="G220" s="209"/>
      <c r="H220" s="209"/>
      <c r="I220" s="205"/>
    </row>
    <row r="221" spans="3:9">
      <c r="C221" s="205"/>
      <c r="D221" s="205"/>
      <c r="E221" s="205"/>
      <c r="F221" s="205"/>
      <c r="G221" s="209"/>
      <c r="H221" s="209"/>
      <c r="I221" s="205"/>
    </row>
    <row r="222" spans="3:9">
      <c r="C222" s="205"/>
      <c r="D222" s="205"/>
      <c r="E222" s="205"/>
      <c r="F222" s="205"/>
      <c r="G222" s="209"/>
      <c r="H222" s="209"/>
      <c r="I222" s="205"/>
    </row>
    <row r="223" spans="3:9">
      <c r="C223" s="205"/>
      <c r="D223" s="205"/>
      <c r="E223" s="205"/>
      <c r="F223" s="205"/>
      <c r="G223" s="209"/>
      <c r="H223" s="209"/>
      <c r="I223" s="205"/>
    </row>
    <row r="224" spans="3:9">
      <c r="C224" s="205"/>
      <c r="D224" s="205"/>
      <c r="E224" s="205"/>
      <c r="F224" s="205"/>
      <c r="G224" s="209"/>
      <c r="H224" s="209"/>
      <c r="I224" s="205"/>
    </row>
    <row r="225" spans="3:9">
      <c r="C225" s="205"/>
      <c r="D225" s="205"/>
      <c r="E225" s="205"/>
      <c r="F225" s="205"/>
      <c r="G225" s="209"/>
      <c r="H225" s="209"/>
      <c r="I225" s="205"/>
    </row>
    <row r="226" spans="3:9">
      <c r="C226" s="205"/>
      <c r="D226" s="205"/>
      <c r="E226" s="205"/>
      <c r="F226" s="205"/>
      <c r="G226" s="209"/>
      <c r="H226" s="209"/>
      <c r="I226" s="205"/>
    </row>
    <row r="227" spans="3:9">
      <c r="C227" s="205"/>
      <c r="D227" s="205"/>
      <c r="E227" s="205"/>
      <c r="F227" s="205"/>
      <c r="G227" s="209"/>
      <c r="H227" s="209"/>
      <c r="I227" s="205"/>
    </row>
    <row r="228" spans="3:9">
      <c r="C228" s="205"/>
      <c r="D228" s="205"/>
      <c r="E228" s="205"/>
      <c r="F228" s="205"/>
      <c r="G228" s="209"/>
      <c r="H228" s="209"/>
      <c r="I228" s="205"/>
    </row>
    <row r="229" spans="3:9">
      <c r="C229" s="205"/>
      <c r="D229" s="205"/>
      <c r="E229" s="205"/>
      <c r="F229" s="205"/>
      <c r="G229" s="209"/>
      <c r="H229" s="209"/>
      <c r="I229" s="205"/>
    </row>
    <row r="230" spans="3:9">
      <c r="C230" s="205"/>
      <c r="D230" s="205"/>
      <c r="E230" s="205"/>
      <c r="F230" s="205"/>
      <c r="G230" s="209"/>
      <c r="H230" s="209"/>
      <c r="I230" s="205"/>
    </row>
    <row r="231" spans="3:9">
      <c r="C231" s="205"/>
      <c r="D231" s="205"/>
      <c r="E231" s="205"/>
      <c r="F231" s="205"/>
      <c r="G231" s="209"/>
      <c r="H231" s="209"/>
      <c r="I231" s="205"/>
    </row>
    <row r="232" spans="3:9">
      <c r="C232" s="205"/>
      <c r="D232" s="205"/>
      <c r="E232" s="205"/>
      <c r="F232" s="205"/>
      <c r="G232" s="209"/>
      <c r="H232" s="209"/>
      <c r="I232" s="205"/>
    </row>
    <row r="233" spans="3:9">
      <c r="C233" s="205"/>
      <c r="D233" s="205"/>
      <c r="E233" s="205"/>
      <c r="F233" s="205"/>
      <c r="G233" s="209"/>
      <c r="H233" s="209"/>
      <c r="I233" s="205"/>
    </row>
    <row r="234" spans="3:9">
      <c r="C234" s="205"/>
      <c r="D234" s="205"/>
      <c r="E234" s="205"/>
      <c r="F234" s="205"/>
      <c r="G234" s="209"/>
      <c r="H234" s="209"/>
      <c r="I234" s="205"/>
    </row>
    <row r="235" spans="3:9">
      <c r="C235" s="205"/>
      <c r="D235" s="205"/>
      <c r="E235" s="205"/>
      <c r="F235" s="205"/>
      <c r="G235" s="209"/>
      <c r="H235" s="209"/>
      <c r="I235" s="205"/>
    </row>
    <row r="236" spans="3:9">
      <c r="C236" s="205"/>
      <c r="D236" s="205"/>
      <c r="E236" s="205"/>
      <c r="F236" s="205"/>
      <c r="G236" s="209"/>
      <c r="H236" s="209"/>
      <c r="I236" s="205"/>
    </row>
    <row r="237" spans="3:9">
      <c r="C237" s="205"/>
      <c r="D237" s="205"/>
      <c r="E237" s="205"/>
      <c r="F237" s="205"/>
      <c r="G237" s="209"/>
      <c r="H237" s="209"/>
      <c r="I237" s="205"/>
    </row>
    <row r="238" spans="3:9">
      <c r="C238" s="205"/>
      <c r="D238" s="205"/>
      <c r="E238" s="205"/>
      <c r="F238" s="205"/>
      <c r="G238" s="209"/>
      <c r="H238" s="209"/>
      <c r="I238" s="205"/>
    </row>
    <row r="239" spans="3:9">
      <c r="C239" s="205"/>
      <c r="D239" s="205"/>
      <c r="E239" s="205"/>
      <c r="F239" s="205"/>
      <c r="G239" s="209"/>
      <c r="H239" s="209"/>
      <c r="I239" s="205"/>
    </row>
    <row r="240" spans="3:9">
      <c r="C240" s="205"/>
      <c r="D240" s="205"/>
      <c r="E240" s="205"/>
      <c r="F240" s="205"/>
      <c r="G240" s="209"/>
      <c r="H240" s="209"/>
      <c r="I240" s="205"/>
    </row>
    <row r="241" spans="3:9">
      <c r="C241" s="205"/>
      <c r="D241" s="205"/>
      <c r="E241" s="205"/>
      <c r="F241" s="205"/>
      <c r="G241" s="209"/>
      <c r="H241" s="209"/>
      <c r="I241" s="205"/>
    </row>
    <row r="242" spans="3:9">
      <c r="C242" s="205"/>
      <c r="D242" s="205"/>
      <c r="E242" s="205"/>
      <c r="F242" s="205"/>
      <c r="G242" s="209"/>
      <c r="H242" s="209"/>
      <c r="I242" s="205"/>
    </row>
    <row r="243" spans="3:9">
      <c r="C243" s="205"/>
      <c r="D243" s="205"/>
      <c r="E243" s="205"/>
      <c r="F243" s="205"/>
      <c r="G243" s="209"/>
      <c r="H243" s="209"/>
      <c r="I243" s="205"/>
    </row>
    <row r="244" spans="3:9">
      <c r="C244" s="205"/>
      <c r="D244" s="205"/>
      <c r="E244" s="205"/>
      <c r="F244" s="205"/>
      <c r="G244" s="209"/>
      <c r="H244" s="209"/>
      <c r="I244" s="205"/>
    </row>
    <row r="245" spans="3:9">
      <c r="C245" s="205"/>
      <c r="D245" s="205"/>
      <c r="E245" s="205"/>
      <c r="F245" s="205"/>
      <c r="G245" s="209"/>
      <c r="H245" s="209"/>
      <c r="I245" s="205"/>
    </row>
    <row r="246" spans="3:9">
      <c r="C246" s="205"/>
      <c r="D246" s="205"/>
      <c r="E246" s="205"/>
      <c r="F246" s="205"/>
      <c r="G246" s="209"/>
      <c r="H246" s="209"/>
      <c r="I246" s="205"/>
    </row>
    <row r="247" spans="3:9">
      <c r="C247" s="205"/>
      <c r="D247" s="205"/>
      <c r="E247" s="205"/>
      <c r="F247" s="205"/>
      <c r="G247" s="209"/>
      <c r="H247" s="209"/>
      <c r="I247" s="205"/>
    </row>
    <row r="248" spans="3:9">
      <c r="C248" s="205"/>
      <c r="D248" s="205"/>
      <c r="E248" s="205"/>
      <c r="F248" s="205"/>
      <c r="G248" s="209"/>
      <c r="H248" s="209"/>
      <c r="I248" s="205"/>
    </row>
    <row r="249" spans="3:9">
      <c r="C249" s="205"/>
      <c r="D249" s="205"/>
      <c r="E249" s="205"/>
      <c r="F249" s="205"/>
      <c r="G249" s="209"/>
      <c r="H249" s="209"/>
      <c r="I249" s="205"/>
    </row>
    <row r="250" spans="3:9">
      <c r="C250" s="205"/>
      <c r="D250" s="205"/>
      <c r="E250" s="205"/>
      <c r="F250" s="205"/>
      <c r="G250" s="209"/>
      <c r="H250" s="209"/>
      <c r="I250" s="205"/>
    </row>
    <row r="251" spans="3:9">
      <c r="C251" s="205"/>
      <c r="D251" s="205"/>
      <c r="E251" s="205"/>
      <c r="F251" s="205"/>
      <c r="G251" s="209"/>
      <c r="H251" s="209"/>
      <c r="I251" s="205"/>
    </row>
    <row r="252" spans="3:9">
      <c r="C252" s="205"/>
      <c r="D252" s="205"/>
      <c r="E252" s="205"/>
      <c r="F252" s="205"/>
      <c r="G252" s="209"/>
      <c r="H252" s="209"/>
      <c r="I252" s="205"/>
    </row>
    <row r="253" spans="3:9">
      <c r="C253" s="205"/>
      <c r="D253" s="205"/>
      <c r="E253" s="205"/>
      <c r="F253" s="205"/>
      <c r="G253" s="209"/>
      <c r="H253" s="209"/>
      <c r="I253" s="205"/>
    </row>
    <row r="254" spans="3:9">
      <c r="C254" s="205"/>
      <c r="D254" s="205"/>
      <c r="E254" s="205"/>
      <c r="F254" s="205"/>
      <c r="G254" s="209"/>
      <c r="H254" s="209"/>
      <c r="I254" s="205"/>
    </row>
    <row r="255" spans="3:9">
      <c r="C255" s="205"/>
      <c r="D255" s="205"/>
      <c r="E255" s="205"/>
      <c r="F255" s="205"/>
      <c r="G255" s="209"/>
      <c r="H255" s="209"/>
      <c r="I255" s="205"/>
    </row>
    <row r="256" spans="3:9">
      <c r="C256" s="205"/>
      <c r="D256" s="205"/>
      <c r="E256" s="205"/>
      <c r="F256" s="205"/>
      <c r="G256" s="209"/>
      <c r="H256" s="209"/>
      <c r="I256" s="205"/>
    </row>
    <row r="257" spans="3:9">
      <c r="C257" s="205"/>
      <c r="D257" s="205"/>
      <c r="E257" s="205"/>
      <c r="F257" s="205"/>
      <c r="G257" s="209"/>
      <c r="H257" s="209"/>
      <c r="I257" s="205"/>
    </row>
    <row r="258" spans="3:9">
      <c r="C258" s="205"/>
      <c r="D258" s="205"/>
      <c r="E258" s="205"/>
      <c r="F258" s="205"/>
      <c r="G258" s="209"/>
      <c r="H258" s="209"/>
      <c r="I258" s="205"/>
    </row>
    <row r="259" spans="3:9">
      <c r="C259" s="205"/>
      <c r="D259" s="205"/>
      <c r="E259" s="205"/>
      <c r="F259" s="205"/>
      <c r="G259" s="209"/>
      <c r="H259" s="209"/>
      <c r="I259" s="205"/>
    </row>
    <row r="260" spans="3:9">
      <c r="C260" s="205"/>
      <c r="D260" s="205"/>
      <c r="E260" s="205"/>
      <c r="F260" s="205"/>
      <c r="G260" s="209"/>
      <c r="H260" s="209"/>
      <c r="I260" s="205"/>
    </row>
    <row r="261" spans="3:9">
      <c r="C261" s="205"/>
      <c r="D261" s="205"/>
      <c r="E261" s="205"/>
      <c r="F261" s="205"/>
      <c r="G261" s="209"/>
      <c r="H261" s="209"/>
      <c r="I261" s="205"/>
    </row>
    <row r="262" spans="3:9">
      <c r="C262" s="205"/>
      <c r="D262" s="205"/>
      <c r="E262" s="205"/>
      <c r="F262" s="205"/>
      <c r="G262" s="209"/>
      <c r="H262" s="209"/>
      <c r="I262" s="205"/>
    </row>
    <row r="263" spans="3:9">
      <c r="C263" s="205"/>
      <c r="D263" s="205"/>
      <c r="E263" s="205"/>
      <c r="F263" s="205"/>
      <c r="G263" s="209"/>
      <c r="H263" s="209"/>
      <c r="I263" s="205"/>
    </row>
    <row r="264" spans="3:9">
      <c r="C264" s="205"/>
      <c r="D264" s="205"/>
      <c r="E264" s="205"/>
      <c r="F264" s="205"/>
      <c r="G264" s="209"/>
      <c r="H264" s="209"/>
      <c r="I264" s="205"/>
    </row>
    <row r="265" spans="3:9">
      <c r="C265" s="205"/>
      <c r="D265" s="205"/>
      <c r="E265" s="205"/>
      <c r="F265" s="205"/>
      <c r="G265" s="209"/>
      <c r="H265" s="209"/>
      <c r="I265" s="205"/>
    </row>
    <row r="266" spans="3:9">
      <c r="C266" s="205"/>
      <c r="D266" s="205"/>
      <c r="E266" s="205"/>
      <c r="F266" s="205"/>
      <c r="G266" s="209"/>
      <c r="H266" s="209"/>
      <c r="I266" s="205"/>
    </row>
    <row r="267" spans="3:9">
      <c r="C267" s="205"/>
      <c r="D267" s="205"/>
      <c r="E267" s="205"/>
      <c r="F267" s="205"/>
      <c r="G267" s="209"/>
      <c r="H267" s="209"/>
      <c r="I267" s="205"/>
    </row>
    <row r="268" spans="3:9">
      <c r="C268" s="205"/>
      <c r="D268" s="205"/>
      <c r="E268" s="205"/>
      <c r="F268" s="205"/>
      <c r="G268" s="209"/>
      <c r="H268" s="209"/>
      <c r="I268" s="205"/>
    </row>
    <row r="269" spans="3:9">
      <c r="C269" s="205"/>
      <c r="D269" s="205"/>
      <c r="E269" s="205"/>
      <c r="F269" s="205"/>
      <c r="G269" s="209"/>
      <c r="H269" s="209"/>
      <c r="I269" s="205"/>
    </row>
    <row r="270" spans="3:9">
      <c r="C270" s="205"/>
      <c r="D270" s="205"/>
      <c r="E270" s="205"/>
      <c r="F270" s="205"/>
      <c r="G270" s="209"/>
      <c r="H270" s="209"/>
      <c r="I270" s="205"/>
    </row>
    <row r="271" spans="3:9">
      <c r="C271" s="205"/>
      <c r="D271" s="205"/>
      <c r="E271" s="205"/>
      <c r="F271" s="205"/>
      <c r="G271" s="209"/>
      <c r="H271" s="209"/>
      <c r="I271" s="205"/>
    </row>
    <row r="272" spans="3:9">
      <c r="C272" s="205"/>
      <c r="D272" s="205"/>
      <c r="E272" s="205"/>
      <c r="F272" s="205"/>
      <c r="G272" s="209"/>
      <c r="H272" s="209"/>
      <c r="I272" s="205"/>
    </row>
    <row r="273" spans="3:9">
      <c r="C273" s="205"/>
      <c r="D273" s="205"/>
      <c r="E273" s="205"/>
      <c r="F273" s="205"/>
      <c r="G273" s="209"/>
      <c r="H273" s="209"/>
      <c r="I273" s="205"/>
    </row>
    <row r="274" spans="3:9">
      <c r="C274" s="205"/>
      <c r="D274" s="205"/>
      <c r="E274" s="205"/>
      <c r="F274" s="205"/>
      <c r="G274" s="209"/>
      <c r="H274" s="209"/>
      <c r="I274" s="205"/>
    </row>
    <row r="275" spans="3:9">
      <c r="C275" s="205"/>
      <c r="D275" s="205"/>
      <c r="E275" s="205"/>
      <c r="F275" s="205"/>
      <c r="G275" s="209"/>
      <c r="H275" s="209"/>
      <c r="I275" s="205"/>
    </row>
    <row r="276" spans="3:9">
      <c r="C276" s="205"/>
      <c r="D276" s="205"/>
      <c r="E276" s="205"/>
      <c r="F276" s="205"/>
      <c r="G276" s="209"/>
      <c r="H276" s="209"/>
      <c r="I276" s="205"/>
    </row>
    <row r="277" spans="3:9">
      <c r="C277" s="205"/>
      <c r="D277" s="205"/>
      <c r="E277" s="205"/>
      <c r="F277" s="205"/>
      <c r="G277" s="209"/>
      <c r="H277" s="209"/>
      <c r="I277" s="205"/>
    </row>
    <row r="278" spans="3:9">
      <c r="C278" s="205"/>
      <c r="D278" s="205"/>
      <c r="E278" s="205"/>
      <c r="F278" s="205"/>
      <c r="G278" s="209"/>
      <c r="H278" s="209"/>
      <c r="I278" s="205"/>
    </row>
    <row r="279" spans="3:9">
      <c r="C279" s="205"/>
      <c r="D279" s="205"/>
      <c r="E279" s="205"/>
      <c r="F279" s="205"/>
      <c r="G279" s="209"/>
      <c r="H279" s="209"/>
      <c r="I279" s="205"/>
    </row>
    <row r="280" spans="3:9">
      <c r="C280" s="205"/>
      <c r="D280" s="205"/>
      <c r="E280" s="205"/>
      <c r="F280" s="205"/>
      <c r="G280" s="209"/>
      <c r="H280" s="209"/>
      <c r="I280" s="205"/>
    </row>
    <row r="281" spans="3:9">
      <c r="C281" s="205"/>
      <c r="D281" s="205"/>
      <c r="E281" s="205"/>
      <c r="F281" s="205"/>
      <c r="G281" s="209"/>
      <c r="H281" s="209"/>
      <c r="I281" s="205"/>
    </row>
    <row r="282" spans="3:9">
      <c r="C282" s="205"/>
      <c r="D282" s="205"/>
      <c r="E282" s="205"/>
      <c r="F282" s="205"/>
      <c r="G282" s="209"/>
      <c r="H282" s="209"/>
      <c r="I282" s="205"/>
    </row>
    <row r="283" spans="3:9">
      <c r="C283" s="205"/>
      <c r="D283" s="205"/>
      <c r="E283" s="205"/>
      <c r="F283" s="205"/>
      <c r="G283" s="209"/>
      <c r="H283" s="209"/>
      <c r="I283" s="205"/>
    </row>
    <row r="284" spans="3:9">
      <c r="C284" s="205"/>
      <c r="D284" s="205"/>
      <c r="E284" s="205"/>
      <c r="F284" s="205"/>
      <c r="G284" s="209"/>
      <c r="H284" s="209"/>
      <c r="I284" s="205"/>
    </row>
    <row r="285" spans="3:9">
      <c r="C285" s="205"/>
      <c r="D285" s="205"/>
      <c r="E285" s="205"/>
      <c r="F285" s="205"/>
      <c r="G285" s="209"/>
      <c r="H285" s="209"/>
      <c r="I285" s="205"/>
    </row>
    <row r="286" spans="3:9">
      <c r="C286" s="205"/>
      <c r="D286" s="205"/>
      <c r="E286" s="205"/>
      <c r="F286" s="205"/>
      <c r="G286" s="209"/>
      <c r="H286" s="209"/>
      <c r="I286" s="205"/>
    </row>
    <row r="287" spans="3:9">
      <c r="C287" s="205"/>
      <c r="D287" s="205"/>
      <c r="E287" s="205"/>
      <c r="F287" s="205"/>
      <c r="G287" s="209"/>
      <c r="H287" s="209"/>
      <c r="I287" s="205"/>
    </row>
    <row r="288" spans="3:9">
      <c r="C288" s="205"/>
      <c r="D288" s="205"/>
      <c r="E288" s="205"/>
      <c r="F288" s="205"/>
      <c r="G288" s="209"/>
      <c r="H288" s="209"/>
      <c r="I288" s="205"/>
    </row>
    <row r="289" spans="3:9">
      <c r="C289" s="205"/>
      <c r="D289" s="205"/>
      <c r="E289" s="205"/>
      <c r="F289" s="205"/>
      <c r="G289" s="209"/>
      <c r="H289" s="209"/>
      <c r="I289" s="205"/>
    </row>
    <row r="290" spans="3:9">
      <c r="C290" s="205"/>
      <c r="D290" s="205"/>
      <c r="E290" s="205"/>
      <c r="F290" s="205"/>
      <c r="G290" s="209"/>
      <c r="H290" s="209"/>
      <c r="I290" s="205"/>
    </row>
    <row r="291" spans="3:9">
      <c r="C291" s="205"/>
      <c r="D291" s="205"/>
      <c r="E291" s="205"/>
      <c r="F291" s="205"/>
      <c r="G291" s="209"/>
      <c r="H291" s="209"/>
      <c r="I291" s="205"/>
    </row>
    <row r="292" spans="3:9">
      <c r="C292" s="205"/>
      <c r="D292" s="205"/>
      <c r="E292" s="205"/>
      <c r="F292" s="205"/>
      <c r="G292" s="209"/>
      <c r="H292" s="209"/>
      <c r="I292" s="205"/>
    </row>
    <row r="293" spans="3:9">
      <c r="C293" s="205"/>
      <c r="D293" s="205"/>
      <c r="E293" s="205"/>
      <c r="F293" s="205"/>
      <c r="G293" s="209"/>
      <c r="H293" s="209"/>
      <c r="I293" s="205"/>
    </row>
    <row r="294" spans="3:9">
      <c r="C294" s="205"/>
      <c r="D294" s="205"/>
      <c r="E294" s="205"/>
      <c r="F294" s="205"/>
      <c r="G294" s="209"/>
      <c r="H294" s="209"/>
      <c r="I294" s="205"/>
    </row>
    <row r="295" spans="3:9">
      <c r="C295" s="205"/>
      <c r="D295" s="205"/>
      <c r="E295" s="205"/>
      <c r="F295" s="205"/>
      <c r="G295" s="209"/>
      <c r="H295" s="209"/>
      <c r="I295" s="205"/>
    </row>
    <row r="296" spans="3:9">
      <c r="C296" s="205"/>
      <c r="D296" s="205"/>
      <c r="E296" s="205"/>
      <c r="F296" s="205"/>
      <c r="G296" s="209"/>
      <c r="H296" s="209"/>
      <c r="I296" s="205"/>
    </row>
    <row r="297" spans="3:9">
      <c r="C297" s="205"/>
      <c r="D297" s="205"/>
      <c r="E297" s="205"/>
      <c r="F297" s="205"/>
      <c r="G297" s="209"/>
      <c r="H297" s="209"/>
      <c r="I297" s="205"/>
    </row>
    <row r="298" spans="3:9">
      <c r="C298" s="205"/>
      <c r="D298" s="205"/>
      <c r="E298" s="205"/>
      <c r="F298" s="205"/>
      <c r="G298" s="209"/>
      <c r="H298" s="209"/>
      <c r="I298" s="205"/>
    </row>
    <row r="299" spans="3:9">
      <c r="C299" s="205"/>
      <c r="D299" s="205"/>
      <c r="E299" s="205"/>
      <c r="F299" s="205"/>
      <c r="G299" s="209"/>
      <c r="H299" s="209"/>
      <c r="I299" s="205"/>
    </row>
    <row r="300" spans="3:9">
      <c r="C300" s="205"/>
      <c r="D300" s="205"/>
      <c r="E300" s="205"/>
      <c r="F300" s="205"/>
      <c r="G300" s="209"/>
      <c r="H300" s="209"/>
      <c r="I300" s="205"/>
    </row>
    <row r="301" spans="3:9">
      <c r="C301" s="205"/>
      <c r="D301" s="205"/>
      <c r="E301" s="205"/>
      <c r="F301" s="205"/>
      <c r="G301" s="209"/>
      <c r="H301" s="209"/>
      <c r="I301" s="205"/>
    </row>
    <row r="302" spans="3:9">
      <c r="C302" s="205"/>
      <c r="D302" s="205"/>
      <c r="E302" s="205"/>
      <c r="F302" s="205"/>
      <c r="G302" s="209"/>
      <c r="H302" s="209"/>
      <c r="I302" s="205"/>
    </row>
    <row r="303" spans="3:9">
      <c r="C303" s="205"/>
      <c r="D303" s="205"/>
      <c r="E303" s="205"/>
      <c r="F303" s="205"/>
      <c r="G303" s="209"/>
      <c r="H303" s="209"/>
      <c r="I303" s="205"/>
    </row>
    <row r="304" spans="3:9">
      <c r="C304" s="205"/>
      <c r="D304" s="205"/>
      <c r="E304" s="205"/>
      <c r="F304" s="205"/>
      <c r="G304" s="209"/>
      <c r="H304" s="209"/>
      <c r="I304" s="205"/>
    </row>
    <row r="305" spans="3:9">
      <c r="C305" s="205"/>
      <c r="D305" s="205"/>
      <c r="E305" s="205"/>
      <c r="F305" s="205"/>
      <c r="G305" s="209"/>
      <c r="H305" s="209"/>
      <c r="I305" s="205"/>
    </row>
    <row r="306" spans="3:9">
      <c r="C306" s="205"/>
      <c r="D306" s="205"/>
      <c r="E306" s="205"/>
      <c r="F306" s="205"/>
      <c r="G306" s="209"/>
      <c r="H306" s="209"/>
      <c r="I306" s="205"/>
    </row>
    <row r="307" spans="3:9">
      <c r="C307" s="205"/>
      <c r="D307" s="205"/>
      <c r="E307" s="205"/>
      <c r="F307" s="205"/>
      <c r="G307" s="209"/>
      <c r="H307" s="209"/>
      <c r="I307" s="205"/>
    </row>
    <row r="308" spans="3:9">
      <c r="C308" s="205"/>
      <c r="D308" s="205"/>
      <c r="E308" s="205"/>
      <c r="F308" s="205"/>
      <c r="G308" s="209"/>
      <c r="H308" s="209"/>
      <c r="I308" s="205"/>
    </row>
    <row r="309" spans="3:9">
      <c r="C309" s="205"/>
      <c r="D309" s="205"/>
      <c r="E309" s="205"/>
      <c r="F309" s="205"/>
      <c r="G309" s="209"/>
      <c r="H309" s="209"/>
      <c r="I309" s="205"/>
    </row>
    <row r="310" spans="3:9">
      <c r="C310" s="205"/>
      <c r="D310" s="205"/>
      <c r="E310" s="205"/>
      <c r="F310" s="205"/>
      <c r="G310" s="209"/>
      <c r="H310" s="209"/>
      <c r="I310" s="205"/>
    </row>
    <row r="311" spans="3:9">
      <c r="C311" s="205"/>
      <c r="D311" s="205"/>
      <c r="E311" s="205"/>
      <c r="F311" s="205"/>
      <c r="G311" s="209"/>
      <c r="H311" s="209"/>
      <c r="I311" s="205"/>
    </row>
    <row r="312" spans="3:9">
      <c r="C312" s="205"/>
      <c r="D312" s="205"/>
      <c r="E312" s="205"/>
      <c r="F312" s="205"/>
      <c r="G312" s="209"/>
      <c r="H312" s="209"/>
      <c r="I312" s="205"/>
    </row>
    <row r="313" spans="3:9">
      <c r="C313" s="205"/>
      <c r="D313" s="205"/>
      <c r="E313" s="205"/>
      <c r="F313" s="205"/>
      <c r="G313" s="209"/>
      <c r="H313" s="209"/>
      <c r="I313" s="205"/>
    </row>
    <row r="314" spans="3:9">
      <c r="C314" s="205"/>
      <c r="D314" s="205"/>
      <c r="E314" s="205"/>
      <c r="F314" s="205"/>
      <c r="G314" s="209"/>
      <c r="H314" s="209"/>
      <c r="I314" s="205"/>
    </row>
    <row r="315" spans="3:9">
      <c r="C315" s="205"/>
      <c r="D315" s="205"/>
      <c r="E315" s="205"/>
      <c r="F315" s="205"/>
      <c r="G315" s="209"/>
      <c r="H315" s="209"/>
      <c r="I315" s="205"/>
    </row>
    <row r="316" spans="3:9">
      <c r="C316" s="205"/>
      <c r="D316" s="205"/>
      <c r="E316" s="205"/>
      <c r="F316" s="205"/>
      <c r="G316" s="209"/>
      <c r="H316" s="209"/>
      <c r="I316" s="205"/>
    </row>
    <row r="317" spans="3:9">
      <c r="C317" s="205"/>
      <c r="D317" s="205"/>
      <c r="E317" s="205"/>
      <c r="F317" s="205"/>
      <c r="G317" s="209"/>
      <c r="H317" s="209"/>
      <c r="I317" s="205"/>
    </row>
    <row r="318" spans="3:9">
      <c r="C318" s="205"/>
      <c r="D318" s="205"/>
      <c r="E318" s="205"/>
      <c r="F318" s="205"/>
      <c r="G318" s="209"/>
      <c r="H318" s="209"/>
      <c r="I318" s="205"/>
    </row>
    <row r="319" spans="3:9">
      <c r="C319" s="205"/>
      <c r="D319" s="205"/>
      <c r="E319" s="205"/>
      <c r="F319" s="205"/>
      <c r="G319" s="209"/>
      <c r="H319" s="209"/>
      <c r="I319" s="205"/>
    </row>
    <row r="320" spans="3:9">
      <c r="C320" s="205"/>
      <c r="D320" s="205"/>
      <c r="E320" s="205"/>
      <c r="F320" s="205"/>
      <c r="G320" s="209"/>
      <c r="H320" s="209"/>
      <c r="I320" s="205"/>
    </row>
    <row r="321" spans="3:9">
      <c r="C321" s="205"/>
      <c r="D321" s="205"/>
      <c r="E321" s="205"/>
      <c r="F321" s="205"/>
      <c r="G321" s="209"/>
      <c r="H321" s="209"/>
      <c r="I321" s="205"/>
    </row>
    <row r="322" spans="3:9">
      <c r="C322" s="205"/>
      <c r="D322" s="205"/>
      <c r="E322" s="205"/>
      <c r="F322" s="205"/>
      <c r="G322" s="209"/>
      <c r="H322" s="209"/>
      <c r="I322" s="205"/>
    </row>
    <row r="323" spans="3:9">
      <c r="C323" s="205"/>
      <c r="D323" s="205"/>
      <c r="E323" s="205"/>
      <c r="F323" s="205"/>
      <c r="G323" s="209"/>
      <c r="H323" s="209"/>
      <c r="I323" s="205"/>
    </row>
    <row r="324" spans="3:9">
      <c r="C324" s="205"/>
      <c r="D324" s="205"/>
      <c r="E324" s="205"/>
      <c r="F324" s="205"/>
      <c r="G324" s="209"/>
      <c r="H324" s="209"/>
      <c r="I324" s="205"/>
    </row>
    <row r="325" spans="3:9">
      <c r="C325" s="205"/>
      <c r="D325" s="205"/>
      <c r="E325" s="205"/>
      <c r="F325" s="205"/>
      <c r="G325" s="209"/>
      <c r="H325" s="209"/>
      <c r="I325" s="205"/>
    </row>
    <row r="326" spans="3:9">
      <c r="C326" s="205"/>
      <c r="D326" s="205"/>
      <c r="E326" s="205"/>
      <c r="F326" s="205"/>
      <c r="G326" s="209"/>
      <c r="H326" s="209"/>
      <c r="I326" s="205"/>
    </row>
    <row r="327" spans="3:9">
      <c r="C327" s="205"/>
      <c r="D327" s="205"/>
      <c r="E327" s="205"/>
      <c r="F327" s="205"/>
      <c r="G327" s="209"/>
      <c r="H327" s="209"/>
      <c r="I327" s="205"/>
    </row>
    <row r="328" spans="3:9">
      <c r="C328" s="205"/>
      <c r="D328" s="205"/>
      <c r="E328" s="205"/>
      <c r="F328" s="205"/>
      <c r="G328" s="209"/>
      <c r="H328" s="209"/>
      <c r="I328" s="205"/>
    </row>
    <row r="329" spans="3:9">
      <c r="C329" s="205"/>
      <c r="D329" s="205"/>
      <c r="E329" s="205"/>
      <c r="F329" s="205"/>
      <c r="G329" s="209"/>
      <c r="H329" s="209"/>
      <c r="I329" s="205"/>
    </row>
    <row r="330" spans="3:9">
      <c r="C330" s="205"/>
      <c r="D330" s="205"/>
      <c r="E330" s="205"/>
      <c r="F330" s="205"/>
      <c r="G330" s="209"/>
      <c r="H330" s="209"/>
      <c r="I330" s="205"/>
    </row>
    <row r="331" spans="3:9">
      <c r="C331" s="205"/>
      <c r="D331" s="205"/>
      <c r="E331" s="205"/>
      <c r="F331" s="205"/>
      <c r="G331" s="209"/>
      <c r="H331" s="209"/>
      <c r="I331" s="205"/>
    </row>
    <row r="332" spans="3:9">
      <c r="C332" s="205"/>
      <c r="D332" s="205"/>
      <c r="E332" s="205"/>
      <c r="F332" s="205"/>
      <c r="G332" s="209"/>
      <c r="H332" s="209"/>
      <c r="I332" s="205"/>
    </row>
    <row r="333" spans="3:9">
      <c r="C333" s="205"/>
      <c r="D333" s="205"/>
      <c r="E333" s="205"/>
      <c r="F333" s="205"/>
      <c r="G333" s="209"/>
      <c r="H333" s="209"/>
      <c r="I333" s="205"/>
    </row>
    <row r="334" spans="3:9">
      <c r="C334" s="205"/>
      <c r="D334" s="205"/>
      <c r="E334" s="205"/>
      <c r="F334" s="205"/>
      <c r="G334" s="209"/>
      <c r="H334" s="209"/>
      <c r="I334" s="205"/>
    </row>
    <row r="335" spans="3:9">
      <c r="C335" s="205"/>
      <c r="D335" s="205"/>
      <c r="E335" s="205"/>
      <c r="F335" s="205"/>
      <c r="G335" s="209"/>
      <c r="H335" s="209"/>
      <c r="I335" s="205"/>
    </row>
    <row r="336" spans="3:9">
      <c r="C336" s="205"/>
      <c r="D336" s="205"/>
      <c r="E336" s="205"/>
      <c r="F336" s="205"/>
      <c r="G336" s="209"/>
      <c r="H336" s="209"/>
      <c r="I336" s="205"/>
    </row>
    <row r="337" spans="3:9">
      <c r="C337" s="205"/>
      <c r="D337" s="205"/>
      <c r="E337" s="205"/>
      <c r="F337" s="205"/>
      <c r="G337" s="209"/>
      <c r="H337" s="209"/>
      <c r="I337" s="205"/>
    </row>
    <row r="338" spans="3:9">
      <c r="C338" s="205"/>
      <c r="D338" s="205"/>
      <c r="E338" s="205"/>
      <c r="F338" s="205"/>
      <c r="G338" s="209"/>
      <c r="H338" s="209"/>
      <c r="I338" s="205"/>
    </row>
    <row r="339" spans="3:9">
      <c r="C339" s="205"/>
      <c r="D339" s="205"/>
      <c r="E339" s="205"/>
      <c r="F339" s="205"/>
      <c r="G339" s="209"/>
      <c r="H339" s="209"/>
      <c r="I339" s="205"/>
    </row>
    <row r="340" spans="3:9">
      <c r="C340" s="205"/>
      <c r="D340" s="205"/>
      <c r="E340" s="205"/>
      <c r="F340" s="205"/>
      <c r="G340" s="209"/>
      <c r="H340" s="209"/>
      <c r="I340" s="205"/>
    </row>
    <row r="341" spans="3:9">
      <c r="C341" s="205"/>
      <c r="D341" s="205"/>
      <c r="E341" s="205"/>
      <c r="F341" s="205"/>
      <c r="G341" s="209"/>
      <c r="H341" s="209"/>
      <c r="I341" s="205"/>
    </row>
    <row r="342" spans="3:9">
      <c r="C342" s="205"/>
      <c r="D342" s="205"/>
      <c r="E342" s="205"/>
      <c r="F342" s="205"/>
      <c r="G342" s="209"/>
      <c r="H342" s="209"/>
      <c r="I342" s="205"/>
    </row>
    <row r="343" spans="3:9">
      <c r="C343" s="205"/>
      <c r="D343" s="205"/>
      <c r="E343" s="205"/>
      <c r="F343" s="205"/>
      <c r="G343" s="209"/>
      <c r="H343" s="209"/>
      <c r="I343" s="205"/>
    </row>
    <row r="344" spans="3:9">
      <c r="C344" s="205"/>
      <c r="D344" s="205"/>
      <c r="E344" s="205"/>
      <c r="F344" s="205"/>
      <c r="G344" s="209"/>
      <c r="H344" s="209"/>
      <c r="I344" s="205"/>
    </row>
    <row r="345" spans="3:9">
      <c r="C345" s="205"/>
      <c r="D345" s="205"/>
      <c r="E345" s="205"/>
      <c r="F345" s="205"/>
      <c r="G345" s="209"/>
      <c r="H345" s="209"/>
      <c r="I345" s="205"/>
    </row>
    <row r="346" spans="3:9">
      <c r="C346" s="205"/>
      <c r="D346" s="205"/>
      <c r="E346" s="205"/>
      <c r="F346" s="205"/>
      <c r="G346" s="209"/>
      <c r="H346" s="209"/>
      <c r="I346" s="205"/>
    </row>
    <row r="347" spans="3:9">
      <c r="C347" s="205"/>
      <c r="D347" s="205"/>
      <c r="E347" s="205"/>
      <c r="F347" s="205"/>
      <c r="G347" s="209"/>
      <c r="H347" s="209"/>
      <c r="I347" s="205"/>
    </row>
    <row r="348" spans="3:9">
      <c r="C348" s="205"/>
      <c r="D348" s="205"/>
      <c r="E348" s="205"/>
      <c r="F348" s="205"/>
      <c r="G348" s="209"/>
      <c r="H348" s="209"/>
      <c r="I348" s="205"/>
    </row>
    <row r="349" spans="3:9">
      <c r="C349" s="205"/>
      <c r="D349" s="205"/>
      <c r="E349" s="205"/>
      <c r="F349" s="205"/>
      <c r="G349" s="209"/>
      <c r="H349" s="209"/>
      <c r="I349" s="205"/>
    </row>
    <row r="350" spans="3:9">
      <c r="C350" s="205"/>
      <c r="D350" s="205"/>
      <c r="E350" s="205"/>
      <c r="F350" s="205"/>
      <c r="G350" s="209"/>
      <c r="H350" s="209"/>
      <c r="I350" s="205"/>
    </row>
    <row r="351" spans="3:9">
      <c r="C351" s="205"/>
      <c r="D351" s="205"/>
      <c r="E351" s="205"/>
      <c r="F351" s="205"/>
      <c r="G351" s="209"/>
      <c r="H351" s="209"/>
      <c r="I351" s="205"/>
    </row>
    <row r="352" spans="3:9">
      <c r="C352" s="205"/>
      <c r="D352" s="205"/>
      <c r="E352" s="205"/>
      <c r="F352" s="205"/>
      <c r="G352" s="209"/>
      <c r="H352" s="209"/>
      <c r="I352" s="205"/>
    </row>
    <row r="353" spans="3:9">
      <c r="C353" s="205"/>
      <c r="D353" s="205"/>
      <c r="E353" s="205"/>
      <c r="F353" s="205"/>
      <c r="G353" s="209"/>
      <c r="H353" s="209"/>
      <c r="I353" s="205"/>
    </row>
    <row r="354" spans="3:9">
      <c r="C354" s="205"/>
      <c r="D354" s="205"/>
      <c r="E354" s="205"/>
      <c r="F354" s="205"/>
      <c r="G354" s="209"/>
      <c r="H354" s="209"/>
      <c r="I354" s="205"/>
    </row>
    <row r="355" spans="3:9">
      <c r="C355" s="205"/>
      <c r="D355" s="205"/>
      <c r="E355" s="205"/>
      <c r="F355" s="205"/>
      <c r="G355" s="209"/>
      <c r="H355" s="209"/>
      <c r="I355" s="205"/>
    </row>
    <row r="356" spans="3:9">
      <c r="C356" s="205"/>
      <c r="D356" s="205"/>
      <c r="E356" s="205"/>
      <c r="F356" s="205"/>
      <c r="G356" s="209"/>
      <c r="H356" s="209"/>
      <c r="I356" s="205"/>
    </row>
    <row r="357" spans="3:9">
      <c r="C357" s="205"/>
      <c r="D357" s="205"/>
      <c r="E357" s="205"/>
      <c r="F357" s="205"/>
      <c r="G357" s="209"/>
      <c r="H357" s="209"/>
      <c r="I357" s="205"/>
    </row>
    <row r="358" spans="3:9">
      <c r="C358" s="205"/>
      <c r="D358" s="205"/>
      <c r="E358" s="205"/>
      <c r="F358" s="205"/>
      <c r="G358" s="209"/>
      <c r="H358" s="209"/>
      <c r="I358" s="205"/>
    </row>
    <row r="359" spans="3:9">
      <c r="C359" s="205"/>
      <c r="D359" s="205"/>
      <c r="E359" s="205"/>
      <c r="F359" s="205"/>
      <c r="G359" s="209"/>
      <c r="H359" s="209"/>
      <c r="I359" s="205"/>
    </row>
    <row r="360" spans="3:9">
      <c r="C360" s="205"/>
      <c r="D360" s="205"/>
      <c r="E360" s="205"/>
      <c r="F360" s="205"/>
      <c r="G360" s="209"/>
      <c r="H360" s="209"/>
      <c r="I360" s="205"/>
    </row>
    <row r="361" spans="3:9">
      <c r="C361" s="205"/>
      <c r="D361" s="205"/>
      <c r="E361" s="205"/>
      <c r="F361" s="205"/>
      <c r="G361" s="209"/>
      <c r="H361" s="209"/>
      <c r="I361" s="205"/>
    </row>
    <row r="362" spans="3:9">
      <c r="C362" s="205"/>
      <c r="D362" s="205"/>
      <c r="E362" s="205"/>
      <c r="F362" s="205"/>
      <c r="G362" s="209"/>
      <c r="H362" s="209"/>
      <c r="I362" s="205"/>
    </row>
    <row r="363" spans="3:9">
      <c r="C363" s="205"/>
      <c r="D363" s="205"/>
      <c r="E363" s="205"/>
      <c r="F363" s="205"/>
      <c r="G363" s="209"/>
      <c r="H363" s="209"/>
      <c r="I363" s="205"/>
    </row>
    <row r="364" spans="3:9">
      <c r="C364" s="205"/>
      <c r="D364" s="205"/>
      <c r="E364" s="205"/>
      <c r="F364" s="205"/>
      <c r="G364" s="209"/>
      <c r="H364" s="209"/>
      <c r="I364" s="205"/>
    </row>
    <row r="365" spans="3:9">
      <c r="C365" s="205"/>
      <c r="D365" s="205"/>
      <c r="E365" s="205"/>
      <c r="F365" s="205"/>
      <c r="G365" s="209"/>
      <c r="H365" s="209"/>
      <c r="I365" s="205"/>
    </row>
    <row r="366" spans="3:9">
      <c r="C366" s="205"/>
      <c r="D366" s="205"/>
      <c r="E366" s="205"/>
      <c r="F366" s="205"/>
      <c r="G366" s="209"/>
      <c r="H366" s="209"/>
      <c r="I366" s="205"/>
    </row>
    <row r="367" spans="3:9">
      <c r="C367" s="205"/>
      <c r="D367" s="205"/>
      <c r="E367" s="205"/>
      <c r="F367" s="205"/>
      <c r="G367" s="209"/>
      <c r="H367" s="209"/>
      <c r="I367" s="205"/>
    </row>
    <row r="368" spans="3:9">
      <c r="C368" s="205"/>
      <c r="D368" s="205"/>
      <c r="E368" s="205"/>
      <c r="F368" s="205"/>
      <c r="G368" s="209"/>
      <c r="H368" s="209"/>
      <c r="I368" s="205"/>
    </row>
    <row r="369" spans="3:9">
      <c r="C369" s="205"/>
      <c r="D369" s="205"/>
      <c r="E369" s="205"/>
      <c r="F369" s="205"/>
      <c r="G369" s="209"/>
      <c r="H369" s="209"/>
      <c r="I369" s="205"/>
    </row>
    <row r="370" spans="3:9">
      <c r="C370" s="205"/>
      <c r="D370" s="205"/>
      <c r="E370" s="205"/>
      <c r="F370" s="205"/>
      <c r="G370" s="209"/>
      <c r="H370" s="209"/>
      <c r="I370" s="205"/>
    </row>
    <row r="371" spans="3:9">
      <c r="C371" s="205"/>
      <c r="D371" s="205"/>
      <c r="E371" s="205"/>
      <c r="F371" s="205"/>
      <c r="G371" s="209"/>
      <c r="H371" s="209"/>
      <c r="I371" s="205"/>
    </row>
    <row r="372" spans="3:9">
      <c r="C372" s="205"/>
      <c r="D372" s="205"/>
      <c r="E372" s="205"/>
      <c r="F372" s="205"/>
      <c r="G372" s="209"/>
      <c r="H372" s="209"/>
      <c r="I372" s="205"/>
    </row>
    <row r="373" spans="3:9">
      <c r="C373" s="205"/>
      <c r="D373" s="205"/>
      <c r="E373" s="205"/>
      <c r="F373" s="205"/>
      <c r="G373" s="209"/>
      <c r="H373" s="209"/>
      <c r="I373" s="205"/>
    </row>
    <row r="374" spans="3:9">
      <c r="C374" s="205"/>
      <c r="D374" s="205"/>
      <c r="E374" s="205"/>
      <c r="F374" s="205"/>
      <c r="G374" s="209"/>
      <c r="H374" s="209"/>
      <c r="I374" s="205"/>
    </row>
    <row r="375" spans="3:9">
      <c r="C375" s="205"/>
      <c r="D375" s="205"/>
      <c r="E375" s="205"/>
      <c r="F375" s="205"/>
      <c r="G375" s="209"/>
      <c r="H375" s="209"/>
      <c r="I375" s="205"/>
    </row>
    <row r="376" spans="3:9">
      <c r="C376" s="205"/>
      <c r="D376" s="205"/>
      <c r="E376" s="205"/>
      <c r="F376" s="205"/>
      <c r="G376" s="209"/>
      <c r="H376" s="209"/>
      <c r="I376" s="205"/>
    </row>
    <row r="377" spans="3:9">
      <c r="C377" s="205"/>
      <c r="D377" s="205"/>
      <c r="E377" s="205"/>
      <c r="F377" s="205"/>
      <c r="G377" s="209"/>
      <c r="H377" s="209"/>
      <c r="I377" s="205"/>
    </row>
    <row r="378" spans="3:9">
      <c r="C378" s="205"/>
      <c r="D378" s="205"/>
      <c r="E378" s="205"/>
      <c r="F378" s="205"/>
      <c r="G378" s="209"/>
      <c r="H378" s="209"/>
      <c r="I378" s="205"/>
    </row>
    <row r="379" spans="3:9">
      <c r="C379" s="205"/>
      <c r="D379" s="205"/>
      <c r="E379" s="205"/>
      <c r="F379" s="205"/>
      <c r="G379" s="209"/>
      <c r="H379" s="209"/>
      <c r="I379" s="205"/>
    </row>
    <row r="380" spans="3:9">
      <c r="C380" s="205"/>
      <c r="D380" s="205"/>
      <c r="E380" s="205"/>
      <c r="F380" s="205"/>
      <c r="G380" s="209"/>
      <c r="H380" s="209"/>
      <c r="I380" s="205"/>
    </row>
    <row r="381" spans="3:9">
      <c r="C381" s="205"/>
      <c r="D381" s="205"/>
      <c r="E381" s="205"/>
      <c r="F381" s="205"/>
      <c r="G381" s="209"/>
      <c r="H381" s="209"/>
      <c r="I381" s="205"/>
    </row>
    <row r="382" spans="3:9">
      <c r="C382" s="205"/>
      <c r="D382" s="205"/>
      <c r="E382" s="205"/>
      <c r="F382" s="205"/>
      <c r="G382" s="209"/>
      <c r="H382" s="209"/>
      <c r="I382" s="205"/>
    </row>
    <row r="383" spans="3:9">
      <c r="C383" s="205"/>
      <c r="D383" s="205"/>
      <c r="E383" s="205"/>
      <c r="F383" s="205"/>
      <c r="G383" s="209"/>
      <c r="H383" s="209"/>
      <c r="I383" s="205"/>
    </row>
    <row r="384" spans="3:9">
      <c r="C384" s="205"/>
      <c r="D384" s="205"/>
      <c r="E384" s="205"/>
      <c r="F384" s="205"/>
      <c r="G384" s="209"/>
      <c r="H384" s="209"/>
      <c r="I384" s="205"/>
    </row>
    <row r="385" spans="3:9">
      <c r="C385" s="205"/>
      <c r="D385" s="205"/>
      <c r="E385" s="205"/>
      <c r="F385" s="205"/>
      <c r="G385" s="209"/>
      <c r="H385" s="209"/>
      <c r="I385" s="205"/>
    </row>
    <row r="386" spans="3:9">
      <c r="C386" s="205"/>
      <c r="D386" s="205"/>
      <c r="E386" s="205"/>
      <c r="F386" s="205"/>
      <c r="G386" s="209"/>
      <c r="H386" s="209"/>
      <c r="I386" s="205"/>
    </row>
    <row r="387" spans="3:9">
      <c r="C387" s="205"/>
      <c r="D387" s="205"/>
      <c r="E387" s="205"/>
      <c r="F387" s="205"/>
      <c r="G387" s="209"/>
      <c r="H387" s="209"/>
      <c r="I387" s="205"/>
    </row>
    <row r="388" spans="3:9">
      <c r="C388" s="205"/>
      <c r="D388" s="205"/>
      <c r="E388" s="205"/>
      <c r="F388" s="205"/>
      <c r="G388" s="209"/>
      <c r="H388" s="209"/>
      <c r="I388" s="205"/>
    </row>
    <row r="389" spans="3:9">
      <c r="C389" s="205"/>
      <c r="D389" s="205"/>
      <c r="E389" s="205"/>
      <c r="F389" s="205"/>
      <c r="G389" s="209"/>
      <c r="H389" s="209"/>
      <c r="I389" s="205"/>
    </row>
    <row r="390" spans="3:9">
      <c r="C390" s="205"/>
      <c r="D390" s="205"/>
      <c r="E390" s="205"/>
      <c r="F390" s="205"/>
      <c r="G390" s="209"/>
      <c r="H390" s="209"/>
      <c r="I390" s="205"/>
    </row>
    <row r="391" spans="3:9">
      <c r="C391" s="205"/>
      <c r="D391" s="205"/>
      <c r="E391" s="205"/>
      <c r="F391" s="205"/>
      <c r="G391" s="209"/>
      <c r="H391" s="209"/>
      <c r="I391" s="205"/>
    </row>
    <row r="392" spans="3:9">
      <c r="C392" s="205"/>
      <c r="D392" s="205"/>
      <c r="E392" s="205"/>
      <c r="F392" s="205"/>
      <c r="G392" s="209"/>
      <c r="H392" s="209"/>
      <c r="I392" s="205"/>
    </row>
    <row r="393" spans="3:9">
      <c r="C393" s="205"/>
      <c r="D393" s="205"/>
      <c r="E393" s="205"/>
      <c r="F393" s="205"/>
      <c r="G393" s="209"/>
      <c r="H393" s="209"/>
      <c r="I393" s="205"/>
    </row>
    <row r="394" spans="3:9">
      <c r="C394" s="205"/>
      <c r="D394" s="205"/>
      <c r="E394" s="205"/>
      <c r="F394" s="205"/>
      <c r="G394" s="209"/>
      <c r="H394" s="209"/>
      <c r="I394" s="205"/>
    </row>
    <row r="395" spans="3:9">
      <c r="C395" s="205"/>
      <c r="D395" s="205"/>
      <c r="E395" s="205"/>
      <c r="F395" s="205"/>
      <c r="G395" s="209"/>
      <c r="H395" s="209"/>
      <c r="I395" s="205"/>
    </row>
    <row r="396" spans="3:9">
      <c r="C396" s="205"/>
      <c r="D396" s="205"/>
      <c r="E396" s="205"/>
      <c r="F396" s="205"/>
      <c r="G396" s="209"/>
      <c r="H396" s="209"/>
      <c r="I396" s="205"/>
    </row>
    <row r="397" spans="3:9">
      <c r="C397" s="205"/>
      <c r="D397" s="205"/>
      <c r="E397" s="205"/>
      <c r="F397" s="205"/>
      <c r="G397" s="209"/>
      <c r="H397" s="209"/>
      <c r="I397" s="205"/>
    </row>
    <row r="398" spans="3:9">
      <c r="C398" s="205"/>
      <c r="D398" s="205"/>
      <c r="E398" s="205"/>
      <c r="F398" s="205"/>
      <c r="G398" s="209"/>
      <c r="H398" s="209"/>
      <c r="I398" s="205"/>
    </row>
    <row r="399" spans="3:9">
      <c r="C399" s="205"/>
      <c r="D399" s="205"/>
      <c r="E399" s="205"/>
      <c r="F399" s="205"/>
      <c r="G399" s="209"/>
      <c r="H399" s="209"/>
      <c r="I399" s="205"/>
    </row>
    <row r="400" spans="3:9">
      <c r="C400" s="205"/>
      <c r="D400" s="205"/>
      <c r="E400" s="205"/>
      <c r="F400" s="205"/>
      <c r="G400" s="209"/>
      <c r="H400" s="209"/>
      <c r="I400" s="205"/>
    </row>
    <row r="401" spans="3:9">
      <c r="C401" s="205"/>
      <c r="D401" s="205"/>
      <c r="E401" s="205"/>
      <c r="F401" s="205"/>
      <c r="G401" s="209"/>
      <c r="H401" s="209"/>
      <c r="I401" s="205"/>
    </row>
    <row r="402" spans="3:9">
      <c r="C402" s="205"/>
      <c r="D402" s="205"/>
      <c r="E402" s="205"/>
      <c r="F402" s="205"/>
      <c r="G402" s="209"/>
      <c r="H402" s="209"/>
      <c r="I402" s="205"/>
    </row>
    <row r="403" spans="3:9">
      <c r="C403" s="205"/>
      <c r="D403" s="205"/>
      <c r="E403" s="205"/>
      <c r="F403" s="205"/>
      <c r="G403" s="209"/>
      <c r="H403" s="209"/>
      <c r="I403" s="205"/>
    </row>
    <row r="404" spans="3:9">
      <c r="C404" s="205"/>
      <c r="D404" s="205"/>
      <c r="E404" s="205"/>
      <c r="F404" s="205"/>
      <c r="G404" s="209"/>
      <c r="H404" s="209"/>
      <c r="I404" s="205"/>
    </row>
    <row r="405" spans="3:9">
      <c r="C405" s="205"/>
      <c r="D405" s="205"/>
      <c r="E405" s="205"/>
      <c r="F405" s="205"/>
      <c r="G405" s="209"/>
      <c r="H405" s="209"/>
      <c r="I405" s="205"/>
    </row>
    <row r="406" spans="3:9">
      <c r="C406" s="205"/>
      <c r="D406" s="205"/>
      <c r="E406" s="205"/>
      <c r="F406" s="205"/>
      <c r="G406" s="209"/>
      <c r="H406" s="209"/>
      <c r="I406" s="205"/>
    </row>
    <row r="407" spans="3:9">
      <c r="C407" s="205"/>
      <c r="D407" s="205"/>
      <c r="E407" s="205"/>
      <c r="F407" s="205"/>
      <c r="G407" s="209"/>
      <c r="H407" s="209"/>
      <c r="I407" s="205"/>
    </row>
    <row r="408" spans="3:9">
      <c r="C408" s="205"/>
      <c r="D408" s="205"/>
      <c r="E408" s="205"/>
      <c r="F408" s="205"/>
      <c r="G408" s="209"/>
      <c r="H408" s="209"/>
      <c r="I408" s="205"/>
    </row>
    <row r="409" spans="3:9">
      <c r="C409" s="205"/>
      <c r="D409" s="205"/>
      <c r="E409" s="205"/>
      <c r="F409" s="205"/>
      <c r="G409" s="209"/>
      <c r="H409" s="209"/>
      <c r="I409" s="205"/>
    </row>
    <row r="410" spans="3:9">
      <c r="C410" s="205"/>
      <c r="D410" s="205"/>
      <c r="E410" s="205"/>
      <c r="F410" s="205"/>
      <c r="G410" s="209"/>
      <c r="H410" s="209"/>
      <c r="I410" s="205"/>
    </row>
    <row r="411" spans="3:9">
      <c r="C411" s="205"/>
      <c r="D411" s="205"/>
      <c r="E411" s="205"/>
      <c r="F411" s="205"/>
      <c r="G411" s="209"/>
      <c r="H411" s="209"/>
      <c r="I411" s="205"/>
    </row>
    <row r="412" spans="3:9">
      <c r="C412" s="205"/>
      <c r="D412" s="205"/>
      <c r="E412" s="205"/>
      <c r="F412" s="205"/>
      <c r="G412" s="209"/>
      <c r="H412" s="209"/>
      <c r="I412" s="205"/>
    </row>
    <row r="413" spans="3:9">
      <c r="C413" s="205"/>
      <c r="D413" s="205"/>
      <c r="E413" s="205"/>
      <c r="F413" s="205"/>
      <c r="G413" s="209"/>
      <c r="H413" s="209"/>
      <c r="I413" s="205"/>
    </row>
    <row r="414" spans="3:9">
      <c r="C414" s="205"/>
      <c r="D414" s="205"/>
      <c r="E414" s="205"/>
      <c r="F414" s="205"/>
      <c r="G414" s="209"/>
      <c r="H414" s="209"/>
      <c r="I414" s="205"/>
    </row>
    <row r="415" spans="3:9">
      <c r="C415" s="205"/>
      <c r="D415" s="205"/>
      <c r="E415" s="205"/>
      <c r="F415" s="205"/>
      <c r="G415" s="209"/>
      <c r="H415" s="209"/>
      <c r="I415" s="205"/>
    </row>
    <row r="416" spans="3:9">
      <c r="C416" s="205"/>
      <c r="D416" s="205"/>
      <c r="E416" s="205"/>
      <c r="F416" s="205"/>
      <c r="G416" s="209"/>
      <c r="H416" s="209"/>
      <c r="I416" s="205"/>
    </row>
    <row r="417" spans="3:9">
      <c r="C417" s="205"/>
      <c r="D417" s="205"/>
      <c r="E417" s="205"/>
      <c r="F417" s="205"/>
      <c r="G417" s="209"/>
      <c r="H417" s="209"/>
      <c r="I417" s="205"/>
    </row>
    <row r="418" spans="3:9">
      <c r="C418" s="205"/>
      <c r="D418" s="205"/>
      <c r="E418" s="205"/>
      <c r="F418" s="205"/>
      <c r="G418" s="209"/>
      <c r="H418" s="209"/>
      <c r="I418" s="205"/>
    </row>
    <row r="419" spans="3:9">
      <c r="C419" s="205"/>
      <c r="D419" s="205"/>
      <c r="E419" s="205"/>
      <c r="F419" s="205"/>
      <c r="G419" s="209"/>
      <c r="H419" s="209"/>
      <c r="I419" s="205"/>
    </row>
    <row r="420" spans="3:9">
      <c r="C420" s="205"/>
      <c r="D420" s="205"/>
      <c r="E420" s="205"/>
      <c r="F420" s="205"/>
      <c r="G420" s="209"/>
      <c r="H420" s="209"/>
      <c r="I420" s="205"/>
    </row>
    <row r="421" spans="3:9">
      <c r="C421" s="205"/>
      <c r="D421" s="205"/>
      <c r="E421" s="205"/>
      <c r="F421" s="205"/>
      <c r="G421" s="209"/>
      <c r="H421" s="209"/>
      <c r="I421" s="205"/>
    </row>
    <row r="422" spans="3:9">
      <c r="C422" s="205"/>
      <c r="D422" s="205"/>
      <c r="E422" s="205"/>
      <c r="F422" s="205"/>
      <c r="G422" s="209"/>
      <c r="H422" s="209"/>
      <c r="I422" s="205"/>
    </row>
    <row r="423" spans="3:9">
      <c r="C423" s="205"/>
      <c r="D423" s="205"/>
      <c r="E423" s="205"/>
      <c r="F423" s="205"/>
      <c r="G423" s="209"/>
      <c r="H423" s="209"/>
      <c r="I423" s="205"/>
    </row>
    <row r="424" spans="3:9">
      <c r="C424" s="205"/>
      <c r="D424" s="205"/>
      <c r="E424" s="205"/>
      <c r="F424" s="205"/>
      <c r="G424" s="209"/>
      <c r="H424" s="209"/>
      <c r="I424" s="205"/>
    </row>
    <row r="425" spans="3:9">
      <c r="C425" s="205"/>
      <c r="D425" s="205"/>
      <c r="E425" s="205"/>
      <c r="F425" s="205"/>
      <c r="G425" s="209"/>
      <c r="H425" s="209"/>
      <c r="I425" s="205"/>
    </row>
    <row r="426" spans="3:9">
      <c r="C426" s="205"/>
      <c r="D426" s="205"/>
      <c r="E426" s="205"/>
      <c r="F426" s="205"/>
      <c r="G426" s="209"/>
      <c r="H426" s="209"/>
      <c r="I426" s="205"/>
    </row>
    <row r="427" spans="3:9">
      <c r="C427" s="205"/>
      <c r="D427" s="205"/>
      <c r="E427" s="205"/>
      <c r="F427" s="205"/>
      <c r="G427" s="209"/>
      <c r="H427" s="209"/>
      <c r="I427" s="205"/>
    </row>
    <row r="428" spans="3:9">
      <c r="C428" s="205"/>
      <c r="D428" s="205"/>
      <c r="E428" s="205"/>
      <c r="F428" s="205"/>
      <c r="G428" s="209"/>
      <c r="H428" s="209"/>
      <c r="I428" s="205"/>
    </row>
    <row r="429" spans="3:9">
      <c r="C429" s="205"/>
      <c r="D429" s="205"/>
      <c r="E429" s="205"/>
      <c r="F429" s="205"/>
      <c r="G429" s="209"/>
      <c r="H429" s="209"/>
      <c r="I429" s="205"/>
    </row>
    <row r="430" spans="3:9">
      <c r="C430" s="205"/>
      <c r="D430" s="205"/>
      <c r="E430" s="205"/>
      <c r="F430" s="205"/>
      <c r="G430" s="209"/>
      <c r="H430" s="209"/>
      <c r="I430" s="205"/>
    </row>
    <row r="431" spans="3:9">
      <c r="C431" s="205"/>
      <c r="D431" s="205"/>
      <c r="E431" s="205"/>
      <c r="F431" s="205"/>
      <c r="G431" s="209"/>
      <c r="H431" s="209"/>
      <c r="I431" s="205"/>
    </row>
    <row r="432" spans="3:9">
      <c r="C432" s="205"/>
      <c r="D432" s="205"/>
      <c r="E432" s="205"/>
      <c r="F432" s="205"/>
      <c r="G432" s="209"/>
      <c r="H432" s="209"/>
      <c r="I432" s="205"/>
    </row>
    <row r="433" spans="3:9">
      <c r="C433" s="205"/>
      <c r="D433" s="205"/>
      <c r="E433" s="205"/>
      <c r="F433" s="205"/>
      <c r="G433" s="209"/>
      <c r="H433" s="209"/>
      <c r="I433" s="205"/>
    </row>
    <row r="434" spans="3:9">
      <c r="C434" s="205"/>
      <c r="D434" s="205"/>
      <c r="E434" s="205"/>
      <c r="F434" s="205"/>
      <c r="G434" s="209"/>
      <c r="H434" s="209"/>
      <c r="I434" s="205"/>
    </row>
    <row r="435" spans="3:9">
      <c r="C435" s="205"/>
      <c r="D435" s="205"/>
      <c r="E435" s="205"/>
      <c r="F435" s="205"/>
      <c r="G435" s="209"/>
      <c r="H435" s="209"/>
      <c r="I435" s="205"/>
    </row>
    <row r="436" spans="3:9">
      <c r="C436" s="205"/>
      <c r="D436" s="205"/>
      <c r="E436" s="205"/>
      <c r="F436" s="205"/>
      <c r="G436" s="209"/>
      <c r="H436" s="209"/>
      <c r="I436" s="205"/>
    </row>
    <row r="437" spans="3:9">
      <c r="C437" s="205"/>
      <c r="D437" s="205"/>
      <c r="E437" s="205"/>
      <c r="F437" s="205"/>
      <c r="G437" s="209"/>
      <c r="H437" s="209"/>
      <c r="I437" s="205"/>
    </row>
    <row r="438" spans="3:9">
      <c r="C438" s="205"/>
      <c r="D438" s="205"/>
      <c r="E438" s="205"/>
      <c r="F438" s="205"/>
      <c r="G438" s="209"/>
      <c r="H438" s="209"/>
      <c r="I438" s="205"/>
    </row>
    <row r="439" spans="3:9">
      <c r="C439" s="205"/>
      <c r="D439" s="205"/>
      <c r="E439" s="205"/>
      <c r="F439" s="205"/>
      <c r="G439" s="209"/>
      <c r="H439" s="209"/>
      <c r="I439" s="205"/>
    </row>
    <row r="440" spans="3:9">
      <c r="C440" s="205"/>
      <c r="D440" s="205"/>
      <c r="E440" s="205"/>
      <c r="F440" s="205"/>
      <c r="G440" s="209"/>
      <c r="H440" s="209"/>
      <c r="I440" s="205"/>
    </row>
    <row r="441" spans="3:9">
      <c r="C441" s="205"/>
      <c r="D441" s="205"/>
      <c r="E441" s="205"/>
      <c r="F441" s="205"/>
      <c r="G441" s="209"/>
      <c r="H441" s="209"/>
      <c r="I441" s="205"/>
    </row>
    <row r="442" spans="3:9">
      <c r="C442" s="205"/>
      <c r="D442" s="205"/>
      <c r="E442" s="205"/>
      <c r="F442" s="205"/>
      <c r="G442" s="209"/>
      <c r="H442" s="209"/>
      <c r="I442" s="205"/>
    </row>
    <row r="443" spans="3:9">
      <c r="C443" s="205"/>
      <c r="D443" s="205"/>
      <c r="E443" s="205"/>
      <c r="F443" s="205"/>
      <c r="G443" s="209"/>
      <c r="H443" s="209"/>
      <c r="I443" s="205"/>
    </row>
    <row r="444" spans="3:9">
      <c r="C444" s="205"/>
      <c r="D444" s="205"/>
      <c r="E444" s="205"/>
      <c r="F444" s="205"/>
      <c r="G444" s="209"/>
      <c r="H444" s="209"/>
      <c r="I444" s="205"/>
    </row>
    <row r="445" spans="3:9">
      <c r="C445" s="205"/>
      <c r="D445" s="205"/>
      <c r="E445" s="205"/>
      <c r="F445" s="205"/>
      <c r="G445" s="209"/>
      <c r="H445" s="209"/>
      <c r="I445" s="205"/>
    </row>
    <row r="446" spans="3:9">
      <c r="C446" s="205"/>
      <c r="D446" s="205"/>
      <c r="E446" s="205"/>
      <c r="F446" s="205"/>
      <c r="G446" s="209"/>
      <c r="H446" s="209"/>
      <c r="I446" s="205"/>
    </row>
    <row r="447" spans="3:9">
      <c r="C447" s="205"/>
      <c r="D447" s="205"/>
      <c r="E447" s="205"/>
      <c r="F447" s="205"/>
      <c r="G447" s="209"/>
      <c r="H447" s="209"/>
      <c r="I447" s="205"/>
    </row>
    <row r="448" spans="3:9">
      <c r="C448" s="205"/>
      <c r="D448" s="205"/>
      <c r="E448" s="205"/>
      <c r="F448" s="205"/>
      <c r="G448" s="209"/>
      <c r="H448" s="209"/>
      <c r="I448" s="205"/>
    </row>
    <row r="449" spans="3:9">
      <c r="C449" s="205"/>
      <c r="D449" s="205"/>
      <c r="E449" s="205"/>
      <c r="F449" s="205"/>
      <c r="G449" s="209"/>
      <c r="H449" s="209"/>
      <c r="I449" s="205"/>
    </row>
    <row r="450" spans="3:9">
      <c r="C450" s="205"/>
      <c r="D450" s="205"/>
      <c r="E450" s="205"/>
      <c r="F450" s="205"/>
      <c r="G450" s="209"/>
      <c r="H450" s="209"/>
      <c r="I450" s="205"/>
    </row>
    <row r="451" spans="3:9">
      <c r="C451" s="205"/>
      <c r="D451" s="205"/>
      <c r="E451" s="205"/>
      <c r="F451" s="205"/>
      <c r="G451" s="209"/>
      <c r="H451" s="209"/>
      <c r="I451" s="205"/>
    </row>
    <row r="452" spans="3:9">
      <c r="C452" s="205"/>
      <c r="D452" s="205"/>
      <c r="E452" s="205"/>
      <c r="F452" s="205"/>
      <c r="G452" s="209"/>
      <c r="H452" s="209"/>
      <c r="I452" s="205"/>
    </row>
    <row r="453" spans="3:9">
      <c r="C453" s="205"/>
      <c r="D453" s="205"/>
      <c r="E453" s="205"/>
      <c r="F453" s="205"/>
      <c r="G453" s="209"/>
      <c r="H453" s="209"/>
      <c r="I453" s="205"/>
    </row>
    <row r="454" spans="3:9">
      <c r="C454" s="205"/>
      <c r="D454" s="205"/>
      <c r="E454" s="205"/>
      <c r="F454" s="205"/>
      <c r="G454" s="209"/>
      <c r="H454" s="209"/>
      <c r="I454" s="205"/>
    </row>
    <row r="455" spans="3:9">
      <c r="C455" s="205"/>
      <c r="D455" s="205"/>
      <c r="E455" s="205"/>
      <c r="F455" s="205"/>
      <c r="G455" s="209"/>
      <c r="H455" s="209"/>
      <c r="I455" s="205"/>
    </row>
    <row r="456" spans="3:9">
      <c r="C456" s="205"/>
      <c r="D456" s="205"/>
      <c r="E456" s="205"/>
      <c r="F456" s="205"/>
      <c r="G456" s="209"/>
      <c r="H456" s="209"/>
      <c r="I456" s="205"/>
    </row>
    <row r="457" spans="3:9">
      <c r="C457" s="205"/>
      <c r="D457" s="205"/>
      <c r="E457" s="205"/>
      <c r="F457" s="205"/>
      <c r="G457" s="209"/>
      <c r="H457" s="209"/>
      <c r="I457" s="205"/>
    </row>
    <row r="458" spans="3:9">
      <c r="C458" s="205"/>
      <c r="D458" s="205"/>
      <c r="E458" s="205"/>
      <c r="F458" s="205"/>
      <c r="G458" s="209"/>
      <c r="H458" s="209"/>
      <c r="I458" s="205"/>
    </row>
    <row r="459" spans="3:9">
      <c r="C459" s="205"/>
      <c r="D459" s="205"/>
      <c r="E459" s="205"/>
      <c r="F459" s="205"/>
      <c r="G459" s="209"/>
      <c r="H459" s="209"/>
      <c r="I459" s="205"/>
    </row>
    <row r="460" spans="3:9">
      <c r="C460" s="205"/>
      <c r="D460" s="205"/>
      <c r="E460" s="205"/>
      <c r="F460" s="205"/>
      <c r="G460" s="209"/>
      <c r="H460" s="209"/>
      <c r="I460" s="205"/>
    </row>
    <row r="461" spans="3:9">
      <c r="C461" s="205"/>
      <c r="D461" s="205"/>
      <c r="E461" s="205"/>
      <c r="F461" s="205"/>
      <c r="G461" s="209"/>
      <c r="H461" s="209"/>
      <c r="I461" s="205"/>
    </row>
    <row r="462" spans="3:9">
      <c r="C462" s="205"/>
      <c r="D462" s="205"/>
      <c r="E462" s="205"/>
      <c r="F462" s="205"/>
      <c r="G462" s="209"/>
      <c r="H462" s="209"/>
      <c r="I462" s="205"/>
    </row>
    <row r="463" spans="3:9">
      <c r="C463" s="205"/>
      <c r="D463" s="205"/>
      <c r="E463" s="205"/>
      <c r="F463" s="205"/>
      <c r="G463" s="209"/>
      <c r="H463" s="209"/>
      <c r="I463" s="205"/>
    </row>
    <row r="464" spans="3:9">
      <c r="C464" s="205"/>
      <c r="D464" s="205"/>
      <c r="E464" s="205"/>
      <c r="F464" s="205"/>
      <c r="G464" s="209"/>
      <c r="H464" s="209"/>
      <c r="I464" s="205"/>
    </row>
    <row r="465" spans="3:9">
      <c r="C465" s="205"/>
      <c r="D465" s="205"/>
      <c r="E465" s="205"/>
      <c r="F465" s="205"/>
      <c r="G465" s="209"/>
      <c r="H465" s="209"/>
      <c r="I465" s="205"/>
    </row>
    <row r="466" spans="3:9">
      <c r="C466" s="205"/>
      <c r="D466" s="205"/>
      <c r="E466" s="205"/>
      <c r="F466" s="205"/>
      <c r="G466" s="209"/>
      <c r="H466" s="209"/>
      <c r="I466" s="205"/>
    </row>
    <row r="467" spans="3:9">
      <c r="C467" s="205"/>
      <c r="D467" s="205"/>
      <c r="E467" s="205"/>
      <c r="F467" s="205"/>
      <c r="G467" s="209"/>
      <c r="H467" s="209"/>
      <c r="I467" s="205"/>
    </row>
    <row r="468" spans="3:9">
      <c r="C468" s="205"/>
      <c r="D468" s="205"/>
      <c r="E468" s="205"/>
      <c r="F468" s="205"/>
      <c r="G468" s="209"/>
      <c r="H468" s="209"/>
      <c r="I468" s="205"/>
    </row>
    <row r="469" spans="3:9">
      <c r="C469" s="205"/>
      <c r="D469" s="205"/>
      <c r="E469" s="205"/>
      <c r="F469" s="205"/>
      <c r="G469" s="209"/>
      <c r="H469" s="209"/>
      <c r="I469" s="205"/>
    </row>
    <row r="470" spans="3:9">
      <c r="C470" s="205"/>
      <c r="D470" s="205"/>
      <c r="E470" s="205"/>
      <c r="F470" s="205"/>
      <c r="G470" s="209"/>
      <c r="H470" s="209"/>
      <c r="I470" s="205"/>
    </row>
    <row r="471" spans="3:9">
      <c r="C471" s="205"/>
      <c r="D471" s="205"/>
      <c r="E471" s="205"/>
      <c r="F471" s="205"/>
      <c r="G471" s="209"/>
      <c r="H471" s="209"/>
      <c r="I471" s="205"/>
    </row>
    <row r="472" spans="3:9">
      <c r="C472" s="205"/>
      <c r="D472" s="205"/>
      <c r="E472" s="205"/>
      <c r="F472" s="205"/>
      <c r="G472" s="209"/>
      <c r="H472" s="209"/>
      <c r="I472" s="205"/>
    </row>
    <row r="473" spans="3:9">
      <c r="C473" s="205"/>
      <c r="D473" s="205"/>
      <c r="E473" s="205"/>
      <c r="F473" s="205"/>
      <c r="G473" s="209"/>
      <c r="H473" s="209"/>
      <c r="I473" s="205"/>
    </row>
    <row r="474" spans="3:9">
      <c r="C474" s="205"/>
      <c r="D474" s="205"/>
      <c r="E474" s="205"/>
      <c r="F474" s="205"/>
      <c r="G474" s="209"/>
      <c r="H474" s="209"/>
      <c r="I474" s="205"/>
    </row>
    <row r="475" spans="3:9">
      <c r="C475" s="205"/>
      <c r="D475" s="205"/>
      <c r="E475" s="205"/>
      <c r="F475" s="205"/>
      <c r="G475" s="209"/>
      <c r="H475" s="209"/>
      <c r="I475" s="205"/>
    </row>
    <row r="476" spans="3:9">
      <c r="C476" s="205"/>
      <c r="D476" s="205"/>
      <c r="E476" s="205"/>
      <c r="F476" s="205"/>
      <c r="G476" s="209"/>
      <c r="H476" s="209"/>
      <c r="I476" s="205"/>
    </row>
    <row r="477" spans="3:9">
      <c r="C477" s="205"/>
      <c r="D477" s="205"/>
      <c r="E477" s="205"/>
      <c r="F477" s="205"/>
      <c r="G477" s="209"/>
      <c r="H477" s="209"/>
      <c r="I477" s="205"/>
    </row>
    <row r="478" spans="3:9">
      <c r="C478" s="205"/>
      <c r="D478" s="205"/>
      <c r="E478" s="205"/>
      <c r="F478" s="205"/>
      <c r="G478" s="209"/>
      <c r="H478" s="209"/>
      <c r="I478" s="205"/>
    </row>
    <row r="479" spans="3:9">
      <c r="C479" s="205"/>
      <c r="D479" s="205"/>
      <c r="E479" s="205"/>
      <c r="F479" s="205"/>
      <c r="G479" s="209"/>
      <c r="H479" s="209"/>
      <c r="I479" s="205"/>
    </row>
    <row r="480" spans="3:9">
      <c r="C480" s="205"/>
      <c r="D480" s="205"/>
      <c r="E480" s="205"/>
      <c r="F480" s="205"/>
      <c r="G480" s="209"/>
      <c r="H480" s="209"/>
      <c r="I480" s="205"/>
    </row>
    <row r="481" spans="3:9">
      <c r="C481" s="205"/>
      <c r="D481" s="205"/>
      <c r="E481" s="205"/>
      <c r="F481" s="205"/>
      <c r="G481" s="209"/>
      <c r="H481" s="209"/>
      <c r="I481" s="205"/>
    </row>
    <row r="482" spans="3:9">
      <c r="C482" s="205"/>
      <c r="D482" s="205"/>
      <c r="E482" s="205"/>
      <c r="F482" s="205"/>
      <c r="G482" s="209"/>
      <c r="H482" s="209"/>
      <c r="I482" s="205"/>
    </row>
    <row r="483" spans="3:9">
      <c r="C483" s="205"/>
      <c r="D483" s="205"/>
      <c r="E483" s="205"/>
      <c r="F483" s="205"/>
      <c r="G483" s="209"/>
      <c r="H483" s="209"/>
      <c r="I483" s="205"/>
    </row>
    <row r="484" spans="3:9">
      <c r="C484" s="205"/>
      <c r="D484" s="205"/>
      <c r="E484" s="205"/>
      <c r="F484" s="205"/>
      <c r="G484" s="209"/>
      <c r="H484" s="209"/>
      <c r="I484" s="205"/>
    </row>
    <row r="485" spans="3:9">
      <c r="C485" s="205"/>
      <c r="D485" s="205"/>
      <c r="E485" s="205"/>
      <c r="F485" s="205"/>
      <c r="G485" s="209"/>
      <c r="H485" s="209"/>
      <c r="I485" s="205"/>
    </row>
    <row r="486" spans="3:9">
      <c r="C486" s="205"/>
      <c r="D486" s="205"/>
      <c r="E486" s="205"/>
      <c r="F486" s="205"/>
      <c r="G486" s="209"/>
      <c r="H486" s="209"/>
      <c r="I486" s="205"/>
    </row>
    <row r="487" spans="3:9">
      <c r="C487" s="205"/>
      <c r="D487" s="205"/>
      <c r="E487" s="205"/>
      <c r="F487" s="205"/>
      <c r="G487" s="209"/>
      <c r="H487" s="209"/>
      <c r="I487" s="205"/>
    </row>
    <row r="488" spans="3:9">
      <c r="C488" s="205"/>
      <c r="D488" s="205"/>
      <c r="E488" s="205"/>
      <c r="F488" s="205"/>
      <c r="G488" s="209"/>
      <c r="H488" s="209"/>
      <c r="I488" s="205"/>
    </row>
    <row r="489" spans="3:9">
      <c r="C489" s="205"/>
      <c r="D489" s="205"/>
      <c r="E489" s="205"/>
      <c r="F489" s="205"/>
      <c r="G489" s="209"/>
      <c r="H489" s="209"/>
      <c r="I489" s="205"/>
    </row>
    <row r="490" spans="3:9">
      <c r="C490" s="205"/>
      <c r="D490" s="205"/>
      <c r="E490" s="205"/>
      <c r="F490" s="205"/>
      <c r="G490" s="209"/>
      <c r="H490" s="209"/>
      <c r="I490" s="205"/>
    </row>
    <row r="491" spans="3:9">
      <c r="C491" s="205"/>
      <c r="D491" s="205"/>
      <c r="E491" s="205"/>
      <c r="F491" s="205"/>
      <c r="G491" s="209"/>
      <c r="H491" s="209"/>
      <c r="I491" s="205"/>
    </row>
    <row r="492" spans="3:9">
      <c r="C492" s="205"/>
      <c r="D492" s="205"/>
      <c r="E492" s="205"/>
      <c r="F492" s="205"/>
      <c r="G492" s="209"/>
      <c r="H492" s="209"/>
      <c r="I492" s="205"/>
    </row>
    <row r="493" spans="3:9">
      <c r="C493" s="205"/>
      <c r="D493" s="205"/>
      <c r="E493" s="205"/>
      <c r="F493" s="205"/>
      <c r="G493" s="209"/>
      <c r="H493" s="209"/>
      <c r="I493" s="205"/>
    </row>
    <row r="494" spans="3:9">
      <c r="C494" s="205"/>
      <c r="D494" s="205"/>
      <c r="E494" s="205"/>
      <c r="F494" s="205"/>
      <c r="G494" s="209"/>
      <c r="H494" s="209"/>
      <c r="I494" s="205"/>
    </row>
    <row r="495" spans="3:9">
      <c r="C495" s="205"/>
      <c r="D495" s="205"/>
      <c r="E495" s="205"/>
      <c r="F495" s="205"/>
      <c r="G495" s="209"/>
      <c r="H495" s="209"/>
      <c r="I495" s="205"/>
    </row>
    <row r="496" spans="3:9">
      <c r="C496" s="205"/>
      <c r="D496" s="205"/>
      <c r="E496" s="205"/>
      <c r="F496" s="205"/>
      <c r="G496" s="209"/>
      <c r="H496" s="209"/>
      <c r="I496" s="205"/>
    </row>
    <row r="497" spans="3:9">
      <c r="C497" s="205"/>
      <c r="D497" s="205"/>
      <c r="E497" s="205"/>
      <c r="F497" s="205"/>
      <c r="G497" s="209"/>
      <c r="H497" s="209"/>
      <c r="I497" s="205"/>
    </row>
    <row r="498" spans="3:9">
      <c r="C498" s="205"/>
      <c r="D498" s="205"/>
      <c r="E498" s="205"/>
      <c r="F498" s="205"/>
      <c r="G498" s="209"/>
      <c r="H498" s="209"/>
      <c r="I498" s="205"/>
    </row>
    <row r="499" spans="3:9">
      <c r="C499" s="205"/>
      <c r="D499" s="205"/>
      <c r="E499" s="205"/>
      <c r="F499" s="205"/>
      <c r="G499" s="209"/>
      <c r="H499" s="209"/>
      <c r="I499" s="205"/>
    </row>
    <row r="500" spans="3:9">
      <c r="C500" s="205"/>
      <c r="D500" s="205"/>
      <c r="E500" s="205"/>
      <c r="F500" s="205"/>
      <c r="G500" s="209"/>
      <c r="H500" s="209"/>
      <c r="I500" s="205"/>
    </row>
    <row r="501" spans="3:9">
      <c r="C501" s="205"/>
      <c r="D501" s="205"/>
      <c r="E501" s="205"/>
      <c r="F501" s="205"/>
      <c r="G501" s="209"/>
      <c r="H501" s="209"/>
      <c r="I501" s="205"/>
    </row>
    <row r="502" spans="3:9">
      <c r="C502" s="205"/>
      <c r="D502" s="205"/>
      <c r="E502" s="205"/>
      <c r="F502" s="205"/>
      <c r="G502" s="209"/>
      <c r="H502" s="209"/>
      <c r="I502" s="205"/>
    </row>
    <row r="503" spans="3:9">
      <c r="C503" s="205"/>
      <c r="D503" s="205"/>
      <c r="E503" s="205"/>
      <c r="F503" s="205"/>
      <c r="G503" s="209"/>
      <c r="H503" s="209"/>
      <c r="I503" s="205"/>
    </row>
    <row r="504" spans="3:9">
      <c r="C504" s="205"/>
      <c r="D504" s="205"/>
      <c r="E504" s="205"/>
      <c r="F504" s="205"/>
      <c r="G504" s="209"/>
      <c r="H504" s="209"/>
      <c r="I504" s="205"/>
    </row>
    <row r="505" spans="3:9">
      <c r="C505" s="205"/>
      <c r="D505" s="205"/>
      <c r="E505" s="205"/>
      <c r="F505" s="205"/>
      <c r="G505" s="209"/>
      <c r="H505" s="209"/>
      <c r="I505" s="205"/>
    </row>
    <row r="506" spans="3:9">
      <c r="C506" s="205"/>
      <c r="D506" s="205"/>
      <c r="E506" s="205"/>
      <c r="F506" s="205"/>
      <c r="G506" s="209"/>
      <c r="H506" s="209"/>
      <c r="I506" s="205"/>
    </row>
    <row r="507" spans="3:9">
      <c r="C507" s="205"/>
      <c r="D507" s="205"/>
      <c r="E507" s="205"/>
      <c r="F507" s="205"/>
      <c r="G507" s="209"/>
      <c r="H507" s="209"/>
      <c r="I507" s="205"/>
    </row>
    <row r="508" spans="3:9">
      <c r="C508" s="205"/>
      <c r="D508" s="205"/>
      <c r="E508" s="205"/>
      <c r="F508" s="205"/>
      <c r="G508" s="209"/>
      <c r="H508" s="209"/>
      <c r="I508" s="205"/>
    </row>
    <row r="509" spans="3:9">
      <c r="C509" s="205"/>
      <c r="D509" s="205"/>
      <c r="E509" s="205"/>
      <c r="F509" s="205"/>
      <c r="G509" s="209"/>
      <c r="H509" s="209"/>
      <c r="I509" s="205"/>
    </row>
    <row r="510" spans="3:9">
      <c r="C510" s="205"/>
      <c r="D510" s="205"/>
      <c r="E510" s="205"/>
      <c r="F510" s="205"/>
      <c r="G510" s="209"/>
      <c r="H510" s="209"/>
      <c r="I510" s="205"/>
    </row>
    <row r="511" spans="3:9">
      <c r="C511" s="205"/>
      <c r="D511" s="205"/>
      <c r="E511" s="205"/>
      <c r="F511" s="205"/>
      <c r="G511" s="209"/>
      <c r="H511" s="209"/>
      <c r="I511" s="205"/>
    </row>
    <row r="512" spans="3:9">
      <c r="C512" s="205"/>
      <c r="D512" s="205"/>
      <c r="E512" s="205"/>
      <c r="F512" s="205"/>
      <c r="G512" s="209"/>
      <c r="H512" s="209"/>
      <c r="I512" s="205"/>
    </row>
    <row r="513" spans="3:9">
      <c r="C513" s="205"/>
      <c r="D513" s="205"/>
      <c r="E513" s="205"/>
      <c r="F513" s="205"/>
      <c r="G513" s="209"/>
      <c r="H513" s="209"/>
      <c r="I513" s="205"/>
    </row>
    <row r="514" spans="3:9">
      <c r="C514" s="205"/>
      <c r="D514" s="205"/>
      <c r="E514" s="205"/>
      <c r="F514" s="205"/>
      <c r="G514" s="209"/>
      <c r="H514" s="209"/>
      <c r="I514" s="205"/>
    </row>
    <row r="515" spans="3:9">
      <c r="C515" s="205"/>
      <c r="D515" s="205"/>
      <c r="E515" s="205"/>
      <c r="F515" s="205"/>
      <c r="G515" s="209"/>
      <c r="H515" s="209"/>
      <c r="I515" s="205"/>
    </row>
    <row r="516" spans="3:9">
      <c r="C516" s="205"/>
      <c r="D516" s="205"/>
      <c r="E516" s="205"/>
      <c r="F516" s="205"/>
      <c r="G516" s="209"/>
      <c r="H516" s="209"/>
      <c r="I516" s="205"/>
    </row>
    <row r="517" spans="3:9">
      <c r="C517" s="205"/>
      <c r="D517" s="205"/>
      <c r="E517" s="205"/>
      <c r="F517" s="205"/>
      <c r="G517" s="209"/>
      <c r="H517" s="209"/>
      <c r="I517" s="205"/>
    </row>
    <row r="518" spans="3:9">
      <c r="C518" s="205"/>
      <c r="D518" s="205"/>
      <c r="E518" s="205"/>
      <c r="F518" s="205"/>
      <c r="G518" s="209"/>
      <c r="H518" s="209"/>
      <c r="I518" s="205"/>
    </row>
    <row r="519" spans="3:9">
      <c r="C519" s="205"/>
      <c r="D519" s="205"/>
      <c r="E519" s="205"/>
      <c r="F519" s="205"/>
      <c r="G519" s="209"/>
      <c r="H519" s="209"/>
      <c r="I519" s="205"/>
    </row>
    <row r="520" spans="3:9">
      <c r="C520" s="205"/>
      <c r="D520" s="205"/>
      <c r="E520" s="205"/>
      <c r="F520" s="205"/>
      <c r="G520" s="209"/>
      <c r="H520" s="209"/>
      <c r="I520" s="205"/>
    </row>
    <row r="521" spans="3:9">
      <c r="C521" s="205"/>
      <c r="D521" s="205"/>
      <c r="E521" s="205"/>
      <c r="F521" s="205"/>
      <c r="G521" s="209"/>
      <c r="H521" s="209"/>
      <c r="I521" s="205"/>
    </row>
    <row r="522" spans="3:9">
      <c r="C522" s="205"/>
      <c r="D522" s="205"/>
      <c r="E522" s="205"/>
      <c r="F522" s="205"/>
      <c r="G522" s="209"/>
      <c r="H522" s="209"/>
      <c r="I522" s="205"/>
    </row>
    <row r="523" spans="3:9">
      <c r="C523" s="205"/>
      <c r="D523" s="205"/>
      <c r="E523" s="205"/>
      <c r="F523" s="205"/>
      <c r="G523" s="209"/>
      <c r="H523" s="209"/>
      <c r="I523" s="205"/>
    </row>
    <row r="524" spans="3:9">
      <c r="C524" s="205"/>
      <c r="D524" s="205"/>
      <c r="E524" s="205"/>
      <c r="F524" s="205"/>
      <c r="G524" s="209"/>
      <c r="H524" s="209"/>
      <c r="I524" s="205"/>
    </row>
    <row r="525" spans="3:9">
      <c r="C525" s="205"/>
      <c r="D525" s="205"/>
      <c r="E525" s="205"/>
      <c r="F525" s="205"/>
      <c r="G525" s="209"/>
      <c r="H525" s="209"/>
      <c r="I525" s="205"/>
    </row>
    <row r="526" spans="3:9">
      <c r="C526" s="205"/>
      <c r="D526" s="205"/>
      <c r="E526" s="205"/>
      <c r="F526" s="205"/>
      <c r="G526" s="209"/>
      <c r="H526" s="209"/>
      <c r="I526" s="205"/>
    </row>
    <row r="527" spans="3:9">
      <c r="C527" s="205"/>
      <c r="D527" s="205"/>
      <c r="E527" s="205"/>
      <c r="F527" s="205"/>
      <c r="G527" s="209"/>
      <c r="H527" s="209"/>
      <c r="I527" s="205"/>
    </row>
    <row r="528" spans="3:9">
      <c r="C528" s="205"/>
      <c r="D528" s="205"/>
      <c r="E528" s="205"/>
      <c r="F528" s="205"/>
      <c r="G528" s="209"/>
      <c r="H528" s="209"/>
      <c r="I528" s="205"/>
    </row>
    <row r="529" spans="3:9">
      <c r="C529" s="205"/>
      <c r="D529" s="205"/>
      <c r="E529" s="205"/>
      <c r="F529" s="205"/>
      <c r="G529" s="209"/>
      <c r="H529" s="209"/>
      <c r="I529" s="205"/>
    </row>
    <row r="530" spans="3:9">
      <c r="C530" s="205"/>
      <c r="D530" s="205"/>
      <c r="E530" s="205"/>
      <c r="F530" s="205"/>
      <c r="G530" s="209"/>
      <c r="H530" s="209"/>
      <c r="I530" s="205"/>
    </row>
    <row r="531" spans="3:9">
      <c r="C531" s="205"/>
      <c r="D531" s="205"/>
      <c r="E531" s="205"/>
      <c r="F531" s="205"/>
      <c r="G531" s="209"/>
      <c r="H531" s="209"/>
      <c r="I531" s="205"/>
    </row>
    <row r="532" spans="3:9">
      <c r="C532" s="205"/>
      <c r="D532" s="205"/>
      <c r="E532" s="205"/>
      <c r="F532" s="205"/>
      <c r="G532" s="209"/>
      <c r="H532" s="209"/>
      <c r="I532" s="205"/>
    </row>
    <row r="533" spans="3:9">
      <c r="C533" s="205"/>
      <c r="D533" s="205"/>
      <c r="E533" s="205"/>
      <c r="F533" s="205"/>
      <c r="G533" s="209"/>
      <c r="H533" s="209"/>
      <c r="I533" s="205"/>
    </row>
    <row r="534" spans="3:9">
      <c r="C534" s="205"/>
      <c r="D534" s="205"/>
      <c r="E534" s="205"/>
      <c r="F534" s="205"/>
      <c r="G534" s="209"/>
      <c r="H534" s="209"/>
      <c r="I534" s="205"/>
    </row>
    <row r="535" spans="3:9">
      <c r="C535" s="205"/>
      <c r="D535" s="205"/>
      <c r="E535" s="205"/>
      <c r="F535" s="205"/>
      <c r="G535" s="209"/>
      <c r="H535" s="209"/>
      <c r="I535" s="205"/>
    </row>
    <row r="536" spans="3:9">
      <c r="C536" s="205"/>
      <c r="D536" s="205"/>
      <c r="E536" s="205"/>
      <c r="F536" s="205"/>
      <c r="G536" s="209"/>
      <c r="H536" s="209"/>
      <c r="I536" s="205"/>
    </row>
    <row r="537" spans="3:9">
      <c r="C537" s="205"/>
      <c r="D537" s="205"/>
      <c r="E537" s="205"/>
      <c r="F537" s="205"/>
      <c r="G537" s="209"/>
      <c r="H537" s="209"/>
      <c r="I537" s="205"/>
    </row>
    <row r="538" spans="3:9">
      <c r="C538" s="205"/>
      <c r="D538" s="205"/>
      <c r="E538" s="205"/>
      <c r="F538" s="205"/>
      <c r="G538" s="209"/>
      <c r="H538" s="209"/>
      <c r="I538" s="205"/>
    </row>
    <row r="539" spans="3:9">
      <c r="C539" s="205"/>
      <c r="D539" s="205"/>
      <c r="E539" s="205"/>
      <c r="F539" s="205"/>
      <c r="G539" s="209"/>
      <c r="H539" s="209"/>
      <c r="I539" s="205"/>
    </row>
    <row r="540" spans="3:9">
      <c r="C540" s="205"/>
      <c r="D540" s="205"/>
      <c r="E540" s="205"/>
      <c r="F540" s="205"/>
      <c r="G540" s="209"/>
      <c r="H540" s="209"/>
      <c r="I540" s="205"/>
    </row>
    <row r="541" spans="3:9">
      <c r="C541" s="205"/>
      <c r="D541" s="205"/>
      <c r="E541" s="205"/>
      <c r="F541" s="205"/>
      <c r="G541" s="209"/>
      <c r="H541" s="209"/>
      <c r="I541" s="205"/>
    </row>
    <row r="542" spans="3:9">
      <c r="C542" s="205"/>
      <c r="D542" s="205"/>
      <c r="E542" s="205"/>
      <c r="F542" s="205"/>
      <c r="G542" s="209"/>
      <c r="H542" s="209"/>
      <c r="I542" s="205"/>
    </row>
    <row r="543" spans="3:9">
      <c r="C543" s="205"/>
      <c r="D543" s="205"/>
      <c r="E543" s="205"/>
      <c r="F543" s="205"/>
      <c r="G543" s="209"/>
      <c r="H543" s="209"/>
      <c r="I543" s="205"/>
    </row>
    <row r="544" spans="3:9">
      <c r="C544" s="205"/>
      <c r="D544" s="205"/>
      <c r="E544" s="205"/>
      <c r="F544" s="205"/>
      <c r="G544" s="209"/>
      <c r="H544" s="209"/>
      <c r="I544" s="205"/>
    </row>
    <row r="545" spans="3:9">
      <c r="C545" s="205"/>
      <c r="D545" s="205"/>
      <c r="E545" s="205"/>
      <c r="F545" s="205"/>
      <c r="G545" s="209"/>
      <c r="H545" s="209"/>
      <c r="I545" s="205"/>
    </row>
    <row r="546" spans="3:9">
      <c r="C546" s="205"/>
      <c r="D546" s="205"/>
      <c r="E546" s="205"/>
      <c r="F546" s="205"/>
      <c r="G546" s="209"/>
      <c r="H546" s="209"/>
      <c r="I546" s="205"/>
    </row>
    <row r="547" spans="3:9">
      <c r="C547" s="205"/>
      <c r="D547" s="205"/>
      <c r="E547" s="205"/>
      <c r="F547" s="205"/>
      <c r="G547" s="209"/>
      <c r="H547" s="209"/>
      <c r="I547" s="205"/>
    </row>
    <row r="548" spans="3:9">
      <c r="C548" s="205"/>
      <c r="D548" s="205"/>
      <c r="E548" s="205"/>
      <c r="F548" s="205"/>
      <c r="G548" s="209"/>
      <c r="H548" s="209"/>
      <c r="I548" s="205"/>
    </row>
    <row r="549" spans="3:9">
      <c r="C549" s="205"/>
      <c r="D549" s="205"/>
      <c r="E549" s="205"/>
      <c r="F549" s="205"/>
      <c r="G549" s="209"/>
      <c r="H549" s="209"/>
      <c r="I549" s="205"/>
    </row>
    <row r="550" spans="3:9">
      <c r="C550" s="205"/>
      <c r="D550" s="205"/>
      <c r="E550" s="205"/>
      <c r="F550" s="205"/>
      <c r="G550" s="209"/>
      <c r="H550" s="209"/>
      <c r="I550" s="205"/>
    </row>
    <row r="551" spans="3:9">
      <c r="C551" s="205"/>
      <c r="D551" s="205"/>
      <c r="E551" s="205"/>
      <c r="F551" s="205"/>
      <c r="G551" s="209"/>
      <c r="H551" s="209"/>
      <c r="I551" s="205"/>
    </row>
    <row r="552" spans="3:9">
      <c r="C552" s="205"/>
      <c r="D552" s="205"/>
      <c r="E552" s="205"/>
      <c r="F552" s="205"/>
      <c r="G552" s="209"/>
      <c r="H552" s="209"/>
      <c r="I552" s="205"/>
    </row>
    <row r="553" spans="3:9">
      <c r="C553" s="205"/>
      <c r="D553" s="205"/>
      <c r="E553" s="205"/>
      <c r="F553" s="205"/>
      <c r="G553" s="209"/>
      <c r="H553" s="209"/>
      <c r="I553" s="205"/>
    </row>
    <row r="554" spans="3:9">
      <c r="C554" s="205"/>
      <c r="D554" s="205"/>
      <c r="E554" s="205"/>
      <c r="F554" s="205"/>
      <c r="G554" s="209"/>
      <c r="H554" s="209"/>
      <c r="I554" s="205"/>
    </row>
    <row r="555" spans="3:9">
      <c r="C555" s="205"/>
      <c r="D555" s="205"/>
      <c r="E555" s="205"/>
      <c r="F555" s="205"/>
      <c r="G555" s="209"/>
      <c r="H555" s="209"/>
      <c r="I555" s="205"/>
    </row>
    <row r="556" spans="3:9">
      <c r="C556" s="205"/>
      <c r="D556" s="205"/>
      <c r="E556" s="205"/>
      <c r="F556" s="205"/>
      <c r="G556" s="209"/>
      <c r="H556" s="209"/>
      <c r="I556" s="205"/>
    </row>
    <row r="557" spans="3:9">
      <c r="C557" s="205"/>
      <c r="D557" s="205"/>
      <c r="E557" s="205"/>
      <c r="F557" s="205"/>
      <c r="G557" s="209"/>
      <c r="H557" s="209"/>
      <c r="I557" s="205"/>
    </row>
    <row r="558" spans="3:9">
      <c r="C558" s="205"/>
      <c r="D558" s="205"/>
      <c r="E558" s="205"/>
      <c r="F558" s="205"/>
      <c r="G558" s="209"/>
      <c r="H558" s="209"/>
      <c r="I558" s="205"/>
    </row>
    <row r="559" spans="3:9">
      <c r="C559" s="205"/>
      <c r="D559" s="205"/>
      <c r="E559" s="205"/>
      <c r="F559" s="205"/>
      <c r="G559" s="209"/>
      <c r="H559" s="209"/>
      <c r="I559" s="205"/>
    </row>
    <row r="560" spans="3:9">
      <c r="C560" s="205"/>
      <c r="D560" s="205"/>
      <c r="E560" s="205"/>
      <c r="F560" s="205"/>
      <c r="G560" s="209"/>
      <c r="H560" s="209"/>
      <c r="I560" s="205"/>
    </row>
    <row r="561" spans="3:9">
      <c r="C561" s="205"/>
      <c r="D561" s="205"/>
      <c r="E561" s="205"/>
      <c r="F561" s="205"/>
      <c r="G561" s="209"/>
      <c r="H561" s="209"/>
      <c r="I561" s="205"/>
    </row>
    <row r="562" spans="3:9">
      <c r="C562" s="205"/>
      <c r="D562" s="205"/>
      <c r="E562" s="205"/>
      <c r="F562" s="205"/>
      <c r="G562" s="209"/>
      <c r="H562" s="209"/>
      <c r="I562" s="205"/>
    </row>
    <row r="563" spans="3:9">
      <c r="C563" s="205"/>
      <c r="D563" s="205"/>
      <c r="E563" s="205"/>
      <c r="F563" s="205"/>
      <c r="G563" s="209"/>
      <c r="H563" s="209"/>
      <c r="I563" s="205"/>
    </row>
    <row r="564" spans="3:9">
      <c r="C564" s="205"/>
      <c r="D564" s="205"/>
      <c r="E564" s="205"/>
      <c r="F564" s="205"/>
      <c r="G564" s="209"/>
      <c r="H564" s="209"/>
      <c r="I564" s="205"/>
    </row>
    <row r="565" spans="3:9">
      <c r="C565" s="205"/>
      <c r="D565" s="205"/>
      <c r="E565" s="205"/>
      <c r="F565" s="205"/>
      <c r="G565" s="209"/>
      <c r="H565" s="209"/>
      <c r="I565" s="205"/>
    </row>
    <row r="566" spans="3:9">
      <c r="C566" s="205"/>
      <c r="D566" s="205"/>
      <c r="E566" s="205"/>
      <c r="F566" s="205"/>
      <c r="G566" s="209"/>
      <c r="H566" s="209"/>
      <c r="I566" s="205"/>
    </row>
    <row r="567" spans="3:9">
      <c r="C567" s="205"/>
      <c r="D567" s="205"/>
      <c r="E567" s="205"/>
      <c r="F567" s="205"/>
      <c r="G567" s="209"/>
      <c r="H567" s="209"/>
      <c r="I567" s="205"/>
    </row>
    <row r="568" spans="3:9">
      <c r="C568" s="205"/>
      <c r="D568" s="205"/>
      <c r="E568" s="205"/>
      <c r="F568" s="205"/>
      <c r="G568" s="209"/>
      <c r="H568" s="209"/>
      <c r="I568" s="205"/>
    </row>
    <row r="569" spans="3:9">
      <c r="C569" s="205"/>
      <c r="D569" s="205"/>
      <c r="E569" s="205"/>
      <c r="F569" s="205"/>
      <c r="G569" s="209"/>
      <c r="H569" s="209"/>
      <c r="I569" s="205"/>
    </row>
    <row r="570" spans="3:9">
      <c r="C570" s="205"/>
      <c r="D570" s="205"/>
      <c r="E570" s="205"/>
      <c r="F570" s="205"/>
      <c r="G570" s="209"/>
      <c r="H570" s="209"/>
      <c r="I570" s="205"/>
    </row>
    <row r="571" spans="3:9">
      <c r="C571" s="205"/>
      <c r="D571" s="205"/>
      <c r="E571" s="205"/>
      <c r="F571" s="205"/>
      <c r="G571" s="209"/>
      <c r="H571" s="209"/>
      <c r="I571" s="205"/>
    </row>
    <row r="572" spans="3:9">
      <c r="C572" s="205"/>
      <c r="D572" s="205"/>
      <c r="E572" s="205"/>
      <c r="F572" s="205"/>
      <c r="G572" s="209"/>
      <c r="H572" s="209"/>
      <c r="I572" s="205"/>
    </row>
    <row r="573" spans="3:9">
      <c r="C573" s="205"/>
      <c r="D573" s="205"/>
      <c r="E573" s="205"/>
      <c r="F573" s="205"/>
      <c r="G573" s="209"/>
      <c r="H573" s="209"/>
      <c r="I573" s="205"/>
    </row>
    <row r="574" spans="3:9">
      <c r="C574" s="205"/>
      <c r="D574" s="205"/>
      <c r="E574" s="205"/>
      <c r="F574" s="205"/>
      <c r="G574" s="209"/>
      <c r="H574" s="209"/>
      <c r="I574" s="205"/>
    </row>
    <row r="575" spans="3:9">
      <c r="C575" s="205"/>
      <c r="D575" s="205"/>
      <c r="E575" s="205"/>
      <c r="F575" s="205"/>
      <c r="G575" s="209"/>
      <c r="H575" s="209"/>
      <c r="I575" s="205"/>
    </row>
    <row r="576" spans="3:9">
      <c r="C576" s="205"/>
      <c r="D576" s="205"/>
      <c r="E576" s="205"/>
      <c r="F576" s="205"/>
      <c r="G576" s="209"/>
      <c r="H576" s="209"/>
      <c r="I576" s="205"/>
    </row>
    <row r="577" spans="3:9">
      <c r="C577" s="205"/>
      <c r="D577" s="205"/>
      <c r="E577" s="205"/>
      <c r="F577" s="205"/>
      <c r="G577" s="209"/>
      <c r="H577" s="209"/>
      <c r="I577" s="205"/>
    </row>
    <row r="578" spans="3:9">
      <c r="C578" s="205"/>
      <c r="D578" s="205"/>
      <c r="E578" s="205"/>
      <c r="F578" s="205"/>
      <c r="G578" s="209"/>
      <c r="H578" s="209"/>
      <c r="I578" s="205"/>
    </row>
    <row r="579" spans="3:9">
      <c r="C579" s="205"/>
      <c r="D579" s="205"/>
      <c r="E579" s="205"/>
      <c r="F579" s="205"/>
      <c r="G579" s="209"/>
      <c r="H579" s="209"/>
      <c r="I579" s="205"/>
    </row>
    <row r="580" spans="3:9">
      <c r="C580" s="205"/>
      <c r="D580" s="205"/>
      <c r="E580" s="205"/>
      <c r="F580" s="205"/>
      <c r="G580" s="209"/>
      <c r="H580" s="209"/>
      <c r="I580" s="205"/>
    </row>
    <row r="581" spans="3:9">
      <c r="C581" s="205"/>
      <c r="D581" s="205"/>
      <c r="E581" s="205"/>
      <c r="F581" s="205"/>
      <c r="G581" s="209"/>
      <c r="H581" s="209"/>
      <c r="I581" s="205"/>
    </row>
    <row r="582" spans="3:9">
      <c r="C582" s="205"/>
      <c r="D582" s="205"/>
      <c r="E582" s="205"/>
      <c r="F582" s="205"/>
      <c r="G582" s="209"/>
      <c r="H582" s="209"/>
      <c r="I582" s="205"/>
    </row>
    <row r="583" spans="3:9">
      <c r="C583" s="205"/>
      <c r="D583" s="205"/>
      <c r="E583" s="205"/>
      <c r="F583" s="205"/>
      <c r="G583" s="209"/>
      <c r="H583" s="209"/>
      <c r="I583" s="205"/>
    </row>
    <row r="584" spans="3:9">
      <c r="C584" s="205"/>
      <c r="D584" s="205"/>
      <c r="E584" s="205"/>
      <c r="F584" s="205"/>
      <c r="G584" s="209"/>
      <c r="H584" s="209"/>
      <c r="I584" s="205"/>
    </row>
    <row r="585" spans="3:9">
      <c r="C585" s="205"/>
      <c r="D585" s="205"/>
      <c r="E585" s="205"/>
      <c r="F585" s="205"/>
      <c r="G585" s="209"/>
      <c r="H585" s="209"/>
      <c r="I585" s="205"/>
    </row>
    <row r="586" spans="3:9">
      <c r="C586" s="205"/>
      <c r="D586" s="205"/>
      <c r="E586" s="205"/>
      <c r="F586" s="205"/>
      <c r="G586" s="209"/>
      <c r="H586" s="209"/>
      <c r="I586" s="205"/>
    </row>
    <row r="587" spans="3:9">
      <c r="C587" s="205"/>
      <c r="D587" s="205"/>
      <c r="E587" s="205"/>
      <c r="F587" s="205"/>
      <c r="G587" s="209"/>
      <c r="H587" s="209"/>
      <c r="I587" s="205"/>
    </row>
    <row r="588" spans="3:9">
      <c r="C588" s="205"/>
      <c r="D588" s="205"/>
      <c r="E588" s="205"/>
      <c r="F588" s="205"/>
      <c r="G588" s="209"/>
      <c r="H588" s="209"/>
      <c r="I588" s="205"/>
    </row>
    <row r="589" spans="3:9">
      <c r="C589" s="205"/>
      <c r="D589" s="205"/>
      <c r="E589" s="205"/>
      <c r="F589" s="205"/>
      <c r="G589" s="209"/>
      <c r="H589" s="209"/>
      <c r="I589" s="205"/>
    </row>
    <row r="590" spans="3:9">
      <c r="C590" s="205"/>
      <c r="D590" s="205"/>
      <c r="E590" s="205"/>
      <c r="F590" s="205"/>
      <c r="G590" s="209"/>
      <c r="H590" s="209"/>
      <c r="I590" s="205"/>
    </row>
    <row r="591" spans="3:9">
      <c r="C591" s="205"/>
      <c r="D591" s="205"/>
      <c r="E591" s="205"/>
      <c r="F591" s="205"/>
      <c r="G591" s="209"/>
      <c r="H591" s="209"/>
      <c r="I591" s="205"/>
    </row>
    <row r="592" spans="3:9">
      <c r="C592" s="205"/>
      <c r="D592" s="205"/>
      <c r="E592" s="205"/>
      <c r="F592" s="205"/>
      <c r="G592" s="209"/>
      <c r="H592" s="209"/>
      <c r="I592" s="205"/>
    </row>
    <row r="593" spans="3:9">
      <c r="C593" s="205"/>
      <c r="D593" s="205"/>
      <c r="E593" s="205"/>
      <c r="F593" s="205"/>
      <c r="G593" s="209"/>
      <c r="H593" s="209"/>
      <c r="I593" s="205"/>
    </row>
    <row r="594" spans="3:9">
      <c r="C594" s="205"/>
      <c r="D594" s="205"/>
      <c r="E594" s="205"/>
      <c r="F594" s="205"/>
      <c r="G594" s="209"/>
      <c r="H594" s="209"/>
      <c r="I594" s="205"/>
    </row>
    <row r="595" spans="3:9">
      <c r="C595" s="205"/>
      <c r="D595" s="205"/>
      <c r="E595" s="205"/>
      <c r="F595" s="205"/>
      <c r="G595" s="209"/>
      <c r="H595" s="209"/>
      <c r="I595" s="205"/>
    </row>
    <row r="596" spans="3:9">
      <c r="C596" s="205"/>
      <c r="D596" s="205"/>
      <c r="E596" s="205"/>
      <c r="F596" s="205"/>
      <c r="G596" s="209"/>
      <c r="H596" s="209"/>
      <c r="I596" s="205"/>
    </row>
    <row r="597" spans="3:9">
      <c r="C597" s="205"/>
      <c r="D597" s="205"/>
      <c r="E597" s="205"/>
      <c r="F597" s="205"/>
      <c r="G597" s="209"/>
      <c r="H597" s="209"/>
      <c r="I597" s="205"/>
    </row>
    <row r="598" spans="3:9">
      <c r="C598" s="205"/>
      <c r="D598" s="205"/>
      <c r="E598" s="205"/>
      <c r="F598" s="205"/>
      <c r="G598" s="209"/>
      <c r="H598" s="209"/>
      <c r="I598" s="205"/>
    </row>
    <row r="599" spans="3:9">
      <c r="C599" s="205"/>
      <c r="D599" s="205"/>
      <c r="E599" s="205"/>
      <c r="F599" s="205"/>
      <c r="G599" s="209"/>
      <c r="H599" s="209"/>
      <c r="I599" s="205"/>
    </row>
    <row r="600" spans="3:9">
      <c r="C600" s="205"/>
      <c r="D600" s="205"/>
      <c r="E600" s="205"/>
      <c r="F600" s="205"/>
      <c r="G600" s="209"/>
      <c r="H600" s="209"/>
      <c r="I600" s="205"/>
    </row>
    <row r="601" spans="3:9">
      <c r="C601" s="205"/>
      <c r="D601" s="205"/>
      <c r="E601" s="205"/>
      <c r="F601" s="205"/>
      <c r="G601" s="209"/>
      <c r="H601" s="209"/>
      <c r="I601" s="205"/>
    </row>
    <row r="602" spans="3:9">
      <c r="C602" s="205"/>
      <c r="D602" s="205"/>
      <c r="E602" s="205"/>
      <c r="F602" s="205"/>
      <c r="G602" s="209"/>
      <c r="H602" s="209"/>
      <c r="I602" s="205"/>
    </row>
    <row r="603" spans="3:9">
      <c r="C603" s="205"/>
      <c r="D603" s="205"/>
      <c r="E603" s="205"/>
      <c r="F603" s="205"/>
      <c r="G603" s="209"/>
      <c r="H603" s="209"/>
      <c r="I603" s="205"/>
    </row>
    <row r="604" spans="3:9">
      <c r="C604" s="205"/>
      <c r="D604" s="205"/>
      <c r="E604" s="205"/>
      <c r="F604" s="205"/>
      <c r="G604" s="209"/>
      <c r="H604" s="209"/>
      <c r="I604" s="205"/>
    </row>
    <row r="605" spans="3:9">
      <c r="C605" s="205"/>
      <c r="D605" s="205"/>
      <c r="E605" s="205"/>
      <c r="F605" s="205"/>
      <c r="G605" s="209"/>
      <c r="H605" s="209"/>
      <c r="I605" s="205"/>
    </row>
    <row r="606" spans="3:9">
      <c r="C606" s="205"/>
      <c r="D606" s="205"/>
      <c r="E606" s="205"/>
      <c r="F606" s="205"/>
      <c r="G606" s="209"/>
      <c r="H606" s="209"/>
      <c r="I606" s="205"/>
    </row>
    <row r="607" spans="3:9">
      <c r="C607" s="205"/>
      <c r="D607" s="205"/>
      <c r="E607" s="205"/>
      <c r="F607" s="205"/>
      <c r="G607" s="209"/>
      <c r="H607" s="209"/>
      <c r="I607" s="205"/>
    </row>
    <row r="608" spans="3:9">
      <c r="C608" s="205"/>
      <c r="D608" s="205"/>
      <c r="E608" s="205"/>
      <c r="F608" s="205"/>
      <c r="G608" s="209"/>
      <c r="H608" s="209"/>
      <c r="I608" s="205"/>
    </row>
    <row r="609" spans="3:9">
      <c r="C609" s="205"/>
      <c r="D609" s="205"/>
      <c r="E609" s="205"/>
      <c r="F609" s="205"/>
      <c r="G609" s="209"/>
      <c r="H609" s="209"/>
      <c r="I609" s="205"/>
    </row>
    <row r="610" spans="3:9">
      <c r="C610" s="205"/>
      <c r="D610" s="205"/>
      <c r="E610" s="205"/>
      <c r="F610" s="205"/>
      <c r="G610" s="209"/>
      <c r="H610" s="209"/>
      <c r="I610" s="205"/>
    </row>
    <row r="611" spans="3:9">
      <c r="C611" s="205"/>
      <c r="D611" s="205"/>
      <c r="E611" s="205"/>
      <c r="F611" s="205"/>
      <c r="G611" s="209"/>
      <c r="H611" s="209"/>
      <c r="I611" s="205"/>
    </row>
    <row r="612" spans="3:9">
      <c r="C612" s="205"/>
      <c r="D612" s="205"/>
      <c r="E612" s="205"/>
      <c r="F612" s="205"/>
      <c r="G612" s="209"/>
      <c r="H612" s="209"/>
      <c r="I612" s="205"/>
    </row>
    <row r="613" spans="3:9">
      <c r="C613" s="205"/>
      <c r="D613" s="205"/>
      <c r="E613" s="205"/>
      <c r="F613" s="205"/>
      <c r="G613" s="209"/>
      <c r="H613" s="209"/>
      <c r="I613" s="205"/>
    </row>
    <row r="614" spans="3:9">
      <c r="C614" s="205"/>
      <c r="D614" s="205"/>
      <c r="E614" s="205"/>
      <c r="F614" s="205"/>
      <c r="G614" s="209"/>
      <c r="H614" s="209"/>
      <c r="I614" s="205"/>
    </row>
    <row r="615" spans="3:9">
      <c r="C615" s="205"/>
      <c r="D615" s="205"/>
      <c r="E615" s="205"/>
      <c r="F615" s="205"/>
      <c r="G615" s="209"/>
      <c r="H615" s="209"/>
      <c r="I615" s="205"/>
    </row>
    <row r="616" spans="3:9">
      <c r="C616" s="205"/>
      <c r="D616" s="205"/>
      <c r="E616" s="205"/>
      <c r="F616" s="205"/>
      <c r="G616" s="209"/>
      <c r="H616" s="209"/>
      <c r="I616" s="205"/>
    </row>
    <row r="617" spans="3:9">
      <c r="C617" s="205"/>
      <c r="D617" s="205"/>
      <c r="E617" s="205"/>
      <c r="F617" s="205"/>
      <c r="G617" s="209"/>
      <c r="H617" s="209"/>
      <c r="I617" s="205"/>
    </row>
    <row r="618" spans="3:9">
      <c r="C618" s="205"/>
      <c r="D618" s="205"/>
      <c r="E618" s="205"/>
      <c r="F618" s="205"/>
      <c r="G618" s="209"/>
      <c r="H618" s="209"/>
      <c r="I618" s="205"/>
    </row>
    <row r="619" spans="3:9">
      <c r="C619" s="205"/>
      <c r="D619" s="205"/>
      <c r="E619" s="205"/>
      <c r="F619" s="205"/>
      <c r="G619" s="209"/>
      <c r="H619" s="209"/>
      <c r="I619" s="205"/>
    </row>
    <row r="620" spans="3:9">
      <c r="C620" s="205"/>
      <c r="D620" s="205"/>
      <c r="E620" s="205"/>
      <c r="F620" s="205"/>
      <c r="G620" s="209"/>
      <c r="H620" s="209"/>
      <c r="I620" s="205"/>
    </row>
    <row r="621" spans="3:9">
      <c r="C621" s="205"/>
      <c r="D621" s="205"/>
      <c r="E621" s="205"/>
      <c r="F621" s="205"/>
      <c r="G621" s="209"/>
      <c r="H621" s="209"/>
      <c r="I621" s="205"/>
    </row>
    <row r="622" spans="3:9">
      <c r="C622" s="205"/>
      <c r="D622" s="205"/>
      <c r="E622" s="205"/>
      <c r="F622" s="205"/>
      <c r="G622" s="209"/>
      <c r="H622" s="209"/>
      <c r="I622" s="205"/>
    </row>
    <row r="623" spans="3:9">
      <c r="C623" s="205"/>
      <c r="D623" s="205"/>
      <c r="E623" s="205"/>
      <c r="F623" s="205"/>
      <c r="G623" s="209"/>
      <c r="H623" s="209"/>
      <c r="I623" s="205"/>
    </row>
    <row r="624" spans="3:9">
      <c r="C624" s="205"/>
      <c r="D624" s="205"/>
      <c r="E624" s="205"/>
      <c r="F624" s="205"/>
      <c r="G624" s="209"/>
      <c r="H624" s="209"/>
      <c r="I624" s="205"/>
    </row>
    <row r="625" spans="3:9">
      <c r="C625" s="205"/>
      <c r="D625" s="205"/>
      <c r="E625" s="205"/>
      <c r="F625" s="205"/>
      <c r="G625" s="209"/>
      <c r="H625" s="209"/>
      <c r="I625" s="205"/>
    </row>
    <row r="626" spans="3:9">
      <c r="C626" s="205"/>
      <c r="D626" s="205"/>
      <c r="E626" s="205"/>
      <c r="F626" s="205"/>
      <c r="G626" s="209"/>
      <c r="H626" s="209"/>
      <c r="I626" s="205"/>
    </row>
    <row r="627" spans="3:9">
      <c r="C627" s="205"/>
      <c r="D627" s="205"/>
      <c r="E627" s="205"/>
      <c r="F627" s="205"/>
      <c r="G627" s="209"/>
      <c r="H627" s="209"/>
      <c r="I627" s="205"/>
    </row>
    <row r="628" spans="3:9">
      <c r="C628" s="205"/>
      <c r="D628" s="205"/>
      <c r="E628" s="205"/>
      <c r="F628" s="205"/>
      <c r="G628" s="209"/>
      <c r="H628" s="209"/>
      <c r="I628" s="205"/>
    </row>
    <row r="629" spans="3:9">
      <c r="C629" s="205"/>
      <c r="D629" s="205"/>
      <c r="E629" s="205"/>
      <c r="F629" s="205"/>
      <c r="G629" s="209"/>
      <c r="H629" s="209"/>
      <c r="I629" s="205"/>
    </row>
    <row r="630" spans="3:9">
      <c r="C630" s="205"/>
      <c r="D630" s="205"/>
      <c r="E630" s="205"/>
      <c r="F630" s="205"/>
      <c r="G630" s="209"/>
      <c r="H630" s="209"/>
      <c r="I630" s="205"/>
    </row>
    <row r="631" spans="3:9">
      <c r="C631" s="205"/>
      <c r="D631" s="205"/>
      <c r="E631" s="205"/>
      <c r="F631" s="205"/>
      <c r="G631" s="209"/>
      <c r="H631" s="209"/>
      <c r="I631" s="205"/>
    </row>
    <row r="632" spans="3:9">
      <c r="C632" s="205"/>
      <c r="D632" s="205"/>
      <c r="E632" s="205"/>
      <c r="F632" s="205"/>
      <c r="G632" s="209"/>
      <c r="H632" s="209"/>
      <c r="I632" s="205"/>
    </row>
    <row r="633" spans="3:9">
      <c r="C633" s="205"/>
      <c r="D633" s="205"/>
      <c r="E633" s="205"/>
      <c r="F633" s="205"/>
      <c r="G633" s="209"/>
      <c r="H633" s="209"/>
      <c r="I633" s="205"/>
    </row>
    <row r="634" spans="3:9">
      <c r="C634" s="205"/>
      <c r="D634" s="205"/>
      <c r="E634" s="205"/>
      <c r="F634" s="205"/>
      <c r="G634" s="209"/>
      <c r="H634" s="209"/>
      <c r="I634" s="205"/>
    </row>
    <row r="635" spans="3:9">
      <c r="C635" s="205"/>
      <c r="D635" s="205"/>
      <c r="E635" s="205"/>
      <c r="F635" s="205"/>
      <c r="G635" s="209"/>
      <c r="H635" s="209"/>
      <c r="I635" s="205"/>
    </row>
    <row r="636" spans="3:9">
      <c r="C636" s="205"/>
      <c r="D636" s="205"/>
      <c r="E636" s="205"/>
      <c r="F636" s="205"/>
      <c r="G636" s="209"/>
      <c r="H636" s="209"/>
      <c r="I636" s="205"/>
    </row>
    <row r="637" spans="3:9">
      <c r="C637" s="205"/>
      <c r="D637" s="205"/>
      <c r="E637" s="205"/>
      <c r="F637" s="205"/>
      <c r="G637" s="209"/>
      <c r="H637" s="209"/>
      <c r="I637" s="205"/>
    </row>
    <row r="638" spans="3:9">
      <c r="C638" s="205"/>
      <c r="D638" s="205"/>
      <c r="E638" s="205"/>
      <c r="F638" s="205"/>
      <c r="G638" s="209"/>
      <c r="H638" s="209"/>
      <c r="I638" s="205"/>
    </row>
    <row r="639" spans="3:9">
      <c r="C639" s="205"/>
      <c r="D639" s="205"/>
      <c r="E639" s="205"/>
      <c r="F639" s="205"/>
      <c r="G639" s="209"/>
      <c r="H639" s="209"/>
      <c r="I639" s="205"/>
    </row>
    <row r="640" spans="3:9">
      <c r="C640" s="205"/>
      <c r="D640" s="205"/>
      <c r="E640" s="205"/>
      <c r="F640" s="205"/>
      <c r="G640" s="209"/>
      <c r="H640" s="209"/>
      <c r="I640" s="205"/>
    </row>
    <row r="641" spans="3:9">
      <c r="C641" s="205"/>
      <c r="D641" s="205"/>
      <c r="E641" s="205"/>
      <c r="F641" s="205"/>
      <c r="G641" s="209"/>
      <c r="H641" s="209"/>
      <c r="I641" s="205"/>
    </row>
    <row r="642" spans="3:9">
      <c r="C642" s="205"/>
      <c r="D642" s="205"/>
      <c r="E642" s="205"/>
      <c r="F642" s="205"/>
      <c r="G642" s="209"/>
      <c r="H642" s="209"/>
      <c r="I642" s="205"/>
    </row>
    <row r="643" spans="3:9">
      <c r="C643" s="205"/>
      <c r="D643" s="205"/>
      <c r="E643" s="205"/>
      <c r="F643" s="205"/>
      <c r="G643" s="209"/>
      <c r="H643" s="209"/>
      <c r="I643" s="205"/>
    </row>
    <row r="644" spans="3:9">
      <c r="C644" s="205"/>
      <c r="D644" s="205"/>
      <c r="E644" s="205"/>
      <c r="F644" s="205"/>
      <c r="G644" s="209"/>
      <c r="H644" s="209"/>
      <c r="I644" s="205"/>
    </row>
    <row r="645" spans="3:9">
      <c r="C645" s="205"/>
      <c r="D645" s="205"/>
      <c r="E645" s="205"/>
      <c r="F645" s="205"/>
      <c r="G645" s="209"/>
      <c r="H645" s="209"/>
      <c r="I645" s="205"/>
    </row>
    <row r="646" spans="3:9">
      <c r="C646" s="205"/>
      <c r="D646" s="205"/>
      <c r="E646" s="205"/>
      <c r="F646" s="205"/>
      <c r="G646" s="209"/>
      <c r="H646" s="209"/>
      <c r="I646" s="205"/>
    </row>
    <row r="647" spans="3:9">
      <c r="C647" s="205"/>
      <c r="D647" s="205"/>
      <c r="E647" s="205"/>
      <c r="F647" s="205"/>
      <c r="G647" s="209"/>
      <c r="H647" s="209"/>
      <c r="I647" s="205"/>
    </row>
    <row r="648" spans="3:9">
      <c r="C648" s="205"/>
      <c r="D648" s="205"/>
      <c r="E648" s="205"/>
      <c r="F648" s="205"/>
      <c r="G648" s="209"/>
      <c r="H648" s="209"/>
      <c r="I648" s="205"/>
    </row>
    <row r="649" spans="3:9">
      <c r="C649" s="205"/>
      <c r="D649" s="205"/>
      <c r="E649" s="205"/>
      <c r="F649" s="205"/>
      <c r="G649" s="209"/>
      <c r="H649" s="209"/>
      <c r="I649" s="205"/>
    </row>
    <row r="650" spans="3:9">
      <c r="C650" s="205"/>
      <c r="D650" s="205"/>
      <c r="E650" s="205"/>
      <c r="F650" s="205"/>
      <c r="G650" s="209"/>
      <c r="H650" s="209"/>
      <c r="I650" s="205"/>
    </row>
    <row r="651" spans="3:9">
      <c r="C651" s="205"/>
      <c r="D651" s="205"/>
      <c r="E651" s="205"/>
      <c r="F651" s="205"/>
      <c r="G651" s="209"/>
      <c r="H651" s="209"/>
      <c r="I651" s="205"/>
    </row>
    <row r="652" spans="3:9">
      <c r="C652" s="205"/>
      <c r="D652" s="205"/>
      <c r="E652" s="205"/>
      <c r="F652" s="205"/>
      <c r="G652" s="209"/>
      <c r="H652" s="209"/>
      <c r="I652" s="205"/>
    </row>
    <row r="653" spans="3:9">
      <c r="C653" s="205"/>
      <c r="D653" s="205"/>
      <c r="E653" s="205"/>
      <c r="F653" s="205"/>
      <c r="G653" s="209"/>
      <c r="H653" s="209"/>
      <c r="I653" s="205"/>
    </row>
    <row r="654" spans="3:9">
      <c r="C654" s="205"/>
      <c r="D654" s="205"/>
      <c r="E654" s="205"/>
      <c r="F654" s="205"/>
      <c r="G654" s="209"/>
      <c r="H654" s="209"/>
      <c r="I654" s="205"/>
    </row>
    <row r="655" spans="3:9">
      <c r="C655" s="205"/>
      <c r="D655" s="205"/>
      <c r="E655" s="205"/>
      <c r="F655" s="205"/>
      <c r="G655" s="209"/>
      <c r="H655" s="209"/>
      <c r="I655" s="205"/>
    </row>
    <row r="656" spans="3:9">
      <c r="C656" s="205"/>
      <c r="D656" s="205"/>
      <c r="E656" s="205"/>
      <c r="F656" s="205"/>
      <c r="G656" s="209"/>
      <c r="H656" s="209"/>
      <c r="I656" s="205"/>
    </row>
    <row r="657" spans="3:9">
      <c r="C657" s="205"/>
      <c r="D657" s="205"/>
      <c r="E657" s="205"/>
      <c r="F657" s="205"/>
      <c r="G657" s="209"/>
      <c r="H657" s="209"/>
      <c r="I657" s="205"/>
    </row>
    <row r="658" spans="3:9">
      <c r="C658" s="205"/>
      <c r="D658" s="205"/>
      <c r="E658" s="205"/>
      <c r="F658" s="205"/>
      <c r="G658" s="209"/>
      <c r="H658" s="209"/>
      <c r="I658" s="205"/>
    </row>
    <row r="659" spans="3:9">
      <c r="C659" s="205"/>
      <c r="D659" s="205"/>
      <c r="E659" s="205"/>
      <c r="F659" s="205"/>
      <c r="G659" s="209"/>
      <c r="H659" s="209"/>
      <c r="I659" s="205"/>
    </row>
    <row r="660" spans="3:9">
      <c r="C660" s="205"/>
      <c r="D660" s="205"/>
      <c r="E660" s="205"/>
      <c r="F660" s="205"/>
      <c r="G660" s="209"/>
      <c r="H660" s="209"/>
      <c r="I660" s="205"/>
    </row>
    <row r="661" spans="3:9">
      <c r="C661" s="205"/>
      <c r="D661" s="205"/>
      <c r="E661" s="205"/>
      <c r="F661" s="205"/>
      <c r="G661" s="209"/>
      <c r="H661" s="209"/>
      <c r="I661" s="205"/>
    </row>
    <row r="662" spans="3:9">
      <c r="C662" s="205"/>
      <c r="D662" s="205"/>
      <c r="E662" s="205"/>
      <c r="F662" s="205"/>
      <c r="G662" s="209"/>
      <c r="H662" s="209"/>
      <c r="I662" s="205"/>
    </row>
    <row r="663" spans="3:9">
      <c r="C663" s="205"/>
      <c r="D663" s="205"/>
      <c r="E663" s="205"/>
      <c r="F663" s="205"/>
      <c r="G663" s="209"/>
      <c r="H663" s="209"/>
      <c r="I663" s="205"/>
    </row>
    <row r="664" spans="3:9">
      <c r="C664" s="205"/>
      <c r="D664" s="205"/>
      <c r="E664" s="205"/>
      <c r="F664" s="205"/>
      <c r="G664" s="209"/>
      <c r="H664" s="209"/>
      <c r="I664" s="205"/>
    </row>
    <row r="665" spans="3:9">
      <c r="C665" s="205"/>
      <c r="D665" s="205"/>
      <c r="E665" s="205"/>
      <c r="F665" s="205"/>
      <c r="G665" s="209"/>
      <c r="H665" s="209"/>
      <c r="I665" s="205"/>
    </row>
    <row r="666" spans="3:9">
      <c r="C666" s="205"/>
      <c r="D666" s="205"/>
      <c r="E666" s="205"/>
      <c r="F666" s="205"/>
      <c r="G666" s="209"/>
      <c r="H666" s="209"/>
      <c r="I666" s="205"/>
    </row>
    <row r="667" spans="3:9">
      <c r="C667" s="205"/>
      <c r="D667" s="205"/>
      <c r="E667" s="205"/>
      <c r="F667" s="205"/>
      <c r="G667" s="209"/>
      <c r="H667" s="209"/>
      <c r="I667" s="205"/>
    </row>
    <row r="668" spans="3:9">
      <c r="C668" s="205"/>
      <c r="D668" s="205"/>
      <c r="E668" s="205"/>
      <c r="F668" s="205"/>
      <c r="G668" s="209"/>
      <c r="H668" s="209"/>
      <c r="I668" s="205"/>
    </row>
    <row r="669" spans="3:9">
      <c r="C669" s="205"/>
      <c r="D669" s="205"/>
      <c r="E669" s="205"/>
      <c r="F669" s="205"/>
      <c r="G669" s="209"/>
      <c r="H669" s="209"/>
      <c r="I669" s="205"/>
    </row>
    <row r="670" spans="3:9">
      <c r="C670" s="205"/>
      <c r="D670" s="205"/>
      <c r="E670" s="205"/>
      <c r="F670" s="205"/>
      <c r="G670" s="209"/>
      <c r="H670" s="209"/>
      <c r="I670" s="205"/>
    </row>
    <row r="671" spans="3:9">
      <c r="C671" s="205"/>
      <c r="D671" s="205"/>
      <c r="E671" s="205"/>
      <c r="F671" s="205"/>
      <c r="G671" s="209"/>
      <c r="H671" s="209"/>
      <c r="I671" s="205"/>
    </row>
    <row r="672" spans="3:9">
      <c r="C672" s="205"/>
      <c r="D672" s="205"/>
      <c r="E672" s="205"/>
      <c r="F672" s="205"/>
      <c r="G672" s="209"/>
      <c r="H672" s="209"/>
      <c r="I672" s="205"/>
    </row>
    <row r="673" spans="3:9">
      <c r="C673" s="205"/>
      <c r="D673" s="205"/>
      <c r="E673" s="205"/>
      <c r="F673" s="205"/>
      <c r="G673" s="209"/>
      <c r="H673" s="209"/>
      <c r="I673" s="205"/>
    </row>
    <row r="674" spans="3:9">
      <c r="C674" s="205"/>
      <c r="D674" s="205"/>
      <c r="E674" s="205"/>
      <c r="F674" s="205"/>
      <c r="G674" s="209"/>
      <c r="H674" s="209"/>
      <c r="I674" s="205"/>
    </row>
    <row r="675" spans="3:9">
      <c r="C675" s="205"/>
      <c r="D675" s="205"/>
      <c r="E675" s="205"/>
      <c r="F675" s="205"/>
      <c r="G675" s="209"/>
      <c r="H675" s="209"/>
      <c r="I675" s="205"/>
    </row>
    <row r="676" spans="3:9">
      <c r="C676" s="205"/>
      <c r="D676" s="205"/>
      <c r="E676" s="205"/>
      <c r="F676" s="205"/>
      <c r="G676" s="209"/>
      <c r="H676" s="209"/>
      <c r="I676" s="205"/>
    </row>
    <row r="677" spans="3:9">
      <c r="C677" s="205"/>
      <c r="D677" s="205"/>
      <c r="E677" s="205"/>
      <c r="F677" s="205"/>
      <c r="G677" s="209"/>
      <c r="H677" s="209"/>
      <c r="I677" s="205"/>
    </row>
    <row r="678" spans="3:9">
      <c r="C678" s="205"/>
      <c r="D678" s="205"/>
      <c r="E678" s="205"/>
      <c r="F678" s="205"/>
      <c r="G678" s="209"/>
      <c r="H678" s="209"/>
      <c r="I678" s="205"/>
    </row>
    <row r="679" spans="3:9">
      <c r="C679" s="205"/>
      <c r="D679" s="205"/>
      <c r="E679" s="205"/>
      <c r="F679" s="205"/>
      <c r="G679" s="209"/>
      <c r="H679" s="209"/>
      <c r="I679" s="205"/>
    </row>
    <row r="680" spans="3:9">
      <c r="C680" s="205"/>
      <c r="D680" s="205"/>
      <c r="E680" s="205"/>
      <c r="F680" s="205"/>
      <c r="G680" s="209"/>
      <c r="H680" s="209"/>
      <c r="I680" s="205"/>
    </row>
    <row r="681" spans="3:9">
      <c r="C681" s="205"/>
      <c r="D681" s="205"/>
      <c r="E681" s="205"/>
      <c r="F681" s="205"/>
      <c r="G681" s="209"/>
      <c r="H681" s="209"/>
      <c r="I681" s="205"/>
    </row>
    <row r="682" spans="3:9">
      <c r="C682" s="205"/>
      <c r="D682" s="205"/>
      <c r="E682" s="205"/>
      <c r="F682" s="205"/>
      <c r="G682" s="209"/>
      <c r="H682" s="209"/>
      <c r="I682" s="205"/>
    </row>
    <row r="683" spans="3:9">
      <c r="C683" s="205"/>
      <c r="D683" s="205"/>
      <c r="E683" s="205"/>
      <c r="F683" s="205"/>
      <c r="G683" s="209"/>
      <c r="H683" s="209"/>
      <c r="I683" s="205"/>
    </row>
    <row r="684" spans="3:9">
      <c r="C684" s="205"/>
      <c r="D684" s="205"/>
      <c r="E684" s="205"/>
      <c r="F684" s="205"/>
      <c r="G684" s="209"/>
      <c r="H684" s="209"/>
      <c r="I684" s="205"/>
    </row>
    <row r="685" spans="3:9">
      <c r="C685" s="205"/>
      <c r="D685" s="205"/>
      <c r="E685" s="205"/>
      <c r="F685" s="205"/>
      <c r="G685" s="209"/>
      <c r="H685" s="209"/>
      <c r="I685" s="205"/>
    </row>
    <row r="686" spans="3:9">
      <c r="C686" s="205"/>
      <c r="D686" s="205"/>
      <c r="E686" s="205"/>
      <c r="F686" s="205"/>
      <c r="G686" s="209"/>
      <c r="H686" s="209"/>
      <c r="I686" s="205"/>
    </row>
    <row r="687" spans="3:9">
      <c r="C687" s="205"/>
      <c r="D687" s="205"/>
      <c r="E687" s="205"/>
      <c r="F687" s="205"/>
      <c r="G687" s="209"/>
      <c r="H687" s="209"/>
      <c r="I687" s="205"/>
    </row>
    <row r="688" spans="3:9">
      <c r="C688" s="205"/>
      <c r="D688" s="205"/>
      <c r="E688" s="205"/>
      <c r="F688" s="205"/>
      <c r="G688" s="209"/>
      <c r="H688" s="209"/>
      <c r="I688" s="205"/>
    </row>
    <row r="689" spans="3:9">
      <c r="C689" s="205"/>
      <c r="D689" s="205"/>
      <c r="E689" s="205"/>
      <c r="F689" s="205"/>
      <c r="G689" s="209"/>
      <c r="H689" s="209"/>
      <c r="I689" s="205"/>
    </row>
    <row r="690" spans="3:9">
      <c r="C690" s="205"/>
      <c r="D690" s="205"/>
      <c r="E690" s="205"/>
      <c r="F690" s="205"/>
      <c r="G690" s="209"/>
      <c r="H690" s="209"/>
      <c r="I690" s="205"/>
    </row>
    <row r="691" spans="3:9">
      <c r="C691" s="205"/>
      <c r="D691" s="205"/>
      <c r="E691" s="205"/>
      <c r="F691" s="205"/>
      <c r="G691" s="209"/>
      <c r="H691" s="209"/>
      <c r="I691" s="205"/>
    </row>
    <row r="692" spans="3:9">
      <c r="C692" s="205"/>
      <c r="D692" s="205"/>
      <c r="E692" s="205"/>
      <c r="F692" s="205"/>
      <c r="G692" s="209"/>
      <c r="H692" s="209"/>
      <c r="I692" s="205"/>
    </row>
    <row r="693" spans="3:9">
      <c r="C693" s="205"/>
      <c r="D693" s="205"/>
      <c r="E693" s="205"/>
      <c r="F693" s="205"/>
      <c r="G693" s="209"/>
      <c r="H693" s="209"/>
      <c r="I693" s="205"/>
    </row>
    <row r="694" spans="3:9">
      <c r="C694" s="205"/>
      <c r="D694" s="205"/>
      <c r="E694" s="205"/>
      <c r="F694" s="205"/>
      <c r="G694" s="209"/>
      <c r="H694" s="209"/>
      <c r="I694" s="205"/>
    </row>
    <row r="695" spans="3:9">
      <c r="C695" s="205"/>
      <c r="D695" s="205"/>
      <c r="E695" s="205"/>
      <c r="F695" s="205"/>
      <c r="G695" s="209"/>
      <c r="H695" s="209"/>
      <c r="I695" s="205"/>
    </row>
    <row r="696" spans="3:9">
      <c r="C696" s="205"/>
      <c r="D696" s="205"/>
      <c r="E696" s="205"/>
      <c r="F696" s="205"/>
      <c r="G696" s="209"/>
      <c r="H696" s="209"/>
      <c r="I696" s="205"/>
    </row>
    <row r="697" spans="3:9">
      <c r="C697" s="205"/>
      <c r="D697" s="205"/>
      <c r="E697" s="205"/>
      <c r="F697" s="205"/>
      <c r="G697" s="209"/>
      <c r="H697" s="209"/>
      <c r="I697" s="205"/>
    </row>
    <row r="698" spans="3:9">
      <c r="C698" s="205"/>
      <c r="D698" s="205"/>
      <c r="E698" s="205"/>
      <c r="F698" s="205"/>
      <c r="G698" s="209"/>
      <c r="H698" s="209"/>
      <c r="I698" s="205"/>
    </row>
    <row r="699" spans="3:9">
      <c r="C699" s="205"/>
      <c r="D699" s="205"/>
      <c r="E699" s="205"/>
      <c r="F699" s="205"/>
      <c r="G699" s="209"/>
      <c r="H699" s="209"/>
      <c r="I699" s="205"/>
    </row>
    <row r="700" spans="3:9">
      <c r="C700" s="205"/>
      <c r="D700" s="205"/>
      <c r="E700" s="205"/>
      <c r="F700" s="205"/>
      <c r="G700" s="209"/>
      <c r="H700" s="209"/>
      <c r="I700" s="205"/>
    </row>
    <row r="701" spans="3:9">
      <c r="C701" s="205"/>
      <c r="D701" s="205"/>
      <c r="E701" s="205"/>
      <c r="F701" s="205"/>
      <c r="G701" s="209"/>
      <c r="H701" s="209"/>
      <c r="I701" s="205"/>
    </row>
    <row r="702" spans="3:9">
      <c r="C702" s="205"/>
      <c r="D702" s="205"/>
      <c r="E702" s="205"/>
      <c r="F702" s="205"/>
      <c r="G702" s="209"/>
      <c r="H702" s="209"/>
      <c r="I702" s="205"/>
    </row>
    <row r="703" spans="3:9">
      <c r="C703" s="205"/>
      <c r="D703" s="205"/>
      <c r="E703" s="205"/>
      <c r="F703" s="205"/>
      <c r="G703" s="209"/>
      <c r="H703" s="209"/>
      <c r="I703" s="205"/>
    </row>
    <row r="704" spans="3:9">
      <c r="C704" s="205"/>
      <c r="D704" s="205"/>
      <c r="E704" s="205"/>
      <c r="F704" s="205"/>
      <c r="G704" s="209"/>
      <c r="H704" s="209"/>
      <c r="I704" s="205"/>
    </row>
    <row r="705" spans="3:9">
      <c r="C705" s="205"/>
      <c r="D705" s="205"/>
      <c r="E705" s="205"/>
      <c r="F705" s="205"/>
      <c r="G705" s="209"/>
      <c r="H705" s="209"/>
      <c r="I705" s="205"/>
    </row>
    <row r="706" spans="3:9">
      <c r="C706" s="205"/>
      <c r="D706" s="205"/>
      <c r="E706" s="205"/>
      <c r="F706" s="205"/>
      <c r="G706" s="209"/>
      <c r="H706" s="209"/>
      <c r="I706" s="205"/>
    </row>
    <row r="707" spans="3:9">
      <c r="C707" s="205"/>
      <c r="D707" s="205"/>
      <c r="E707" s="205"/>
      <c r="F707" s="205"/>
      <c r="G707" s="209"/>
      <c r="H707" s="209"/>
      <c r="I707" s="205"/>
    </row>
    <row r="708" spans="3:9">
      <c r="C708" s="205"/>
      <c r="D708" s="205"/>
      <c r="E708" s="205"/>
      <c r="F708" s="205"/>
      <c r="G708" s="209"/>
      <c r="H708" s="209"/>
      <c r="I708" s="205"/>
    </row>
    <row r="709" spans="3:9">
      <c r="C709" s="205"/>
      <c r="D709" s="205"/>
      <c r="E709" s="205"/>
      <c r="F709" s="205"/>
      <c r="G709" s="209"/>
      <c r="H709" s="209"/>
      <c r="I709" s="205"/>
    </row>
    <row r="710" spans="3:9">
      <c r="C710" s="205"/>
      <c r="D710" s="205"/>
      <c r="E710" s="205"/>
      <c r="F710" s="205"/>
      <c r="G710" s="209"/>
      <c r="H710" s="209"/>
      <c r="I710" s="205"/>
    </row>
    <row r="711" spans="3:9">
      <c r="C711" s="205"/>
      <c r="D711" s="205"/>
      <c r="E711" s="205"/>
      <c r="F711" s="205"/>
      <c r="G711" s="209"/>
      <c r="H711" s="209"/>
      <c r="I711" s="205"/>
    </row>
    <row r="712" spans="3:9">
      <c r="C712" s="205"/>
      <c r="D712" s="205"/>
      <c r="E712" s="205"/>
      <c r="F712" s="205"/>
      <c r="G712" s="209"/>
      <c r="H712" s="209"/>
      <c r="I712" s="205"/>
    </row>
    <row r="713" spans="3:9">
      <c r="C713" s="205"/>
      <c r="D713" s="205"/>
      <c r="E713" s="205"/>
      <c r="F713" s="205"/>
      <c r="G713" s="209"/>
      <c r="H713" s="209"/>
      <c r="I713" s="205"/>
    </row>
    <row r="714" spans="3:9">
      <c r="C714" s="205"/>
      <c r="D714" s="205"/>
      <c r="E714" s="205"/>
      <c r="F714" s="205"/>
      <c r="G714" s="209"/>
      <c r="H714" s="209"/>
      <c r="I714" s="205"/>
    </row>
    <row r="715" spans="3:9">
      <c r="C715" s="205"/>
      <c r="D715" s="205"/>
      <c r="E715" s="205"/>
      <c r="F715" s="205"/>
      <c r="G715" s="209"/>
      <c r="H715" s="209"/>
      <c r="I715" s="205"/>
    </row>
    <row r="716" spans="3:9">
      <c r="C716" s="205"/>
      <c r="D716" s="205"/>
      <c r="E716" s="205"/>
      <c r="F716" s="205"/>
      <c r="G716" s="209"/>
      <c r="H716" s="209"/>
      <c r="I716" s="205"/>
    </row>
    <row r="717" spans="3:9">
      <c r="C717" s="205"/>
      <c r="D717" s="205"/>
      <c r="E717" s="205"/>
      <c r="F717" s="205"/>
      <c r="G717" s="209"/>
      <c r="H717" s="209"/>
      <c r="I717" s="205"/>
    </row>
    <row r="718" spans="3:9">
      <c r="C718" s="205"/>
      <c r="D718" s="205"/>
      <c r="E718" s="205"/>
      <c r="F718" s="205"/>
      <c r="G718" s="209"/>
      <c r="H718" s="209"/>
      <c r="I718" s="205"/>
    </row>
    <row r="719" spans="3:9">
      <c r="C719" s="205"/>
      <c r="D719" s="205"/>
      <c r="E719" s="205"/>
      <c r="F719" s="205"/>
      <c r="G719" s="209"/>
      <c r="H719" s="209"/>
      <c r="I719" s="205"/>
    </row>
    <row r="720" spans="3:9">
      <c r="C720" s="205"/>
      <c r="D720" s="205"/>
      <c r="E720" s="205"/>
      <c r="F720" s="205"/>
      <c r="G720" s="209"/>
      <c r="H720" s="209"/>
      <c r="I720" s="205"/>
    </row>
    <row r="721" spans="3:9">
      <c r="C721" s="205"/>
      <c r="D721" s="205"/>
      <c r="E721" s="205"/>
      <c r="F721" s="205"/>
      <c r="G721" s="209"/>
      <c r="H721" s="209"/>
      <c r="I721" s="205"/>
    </row>
    <row r="722" spans="3:9">
      <c r="C722" s="205"/>
      <c r="D722" s="205"/>
      <c r="E722" s="205"/>
      <c r="F722" s="205"/>
      <c r="G722" s="209"/>
      <c r="H722" s="209"/>
      <c r="I722" s="205"/>
    </row>
    <row r="723" spans="3:9">
      <c r="C723" s="205"/>
      <c r="D723" s="205"/>
      <c r="E723" s="205"/>
      <c r="F723" s="205"/>
      <c r="G723" s="209"/>
      <c r="H723" s="209"/>
      <c r="I723" s="205"/>
    </row>
    <row r="724" spans="3:9">
      <c r="C724" s="205"/>
      <c r="D724" s="205"/>
      <c r="E724" s="205"/>
      <c r="F724" s="205"/>
      <c r="G724" s="209"/>
      <c r="H724" s="209"/>
      <c r="I724" s="205"/>
    </row>
    <row r="725" spans="3:9">
      <c r="C725" s="205"/>
      <c r="D725" s="205"/>
      <c r="E725" s="205"/>
      <c r="F725" s="205"/>
      <c r="G725" s="209"/>
      <c r="H725" s="209"/>
      <c r="I725" s="205"/>
    </row>
    <row r="726" spans="3:9">
      <c r="C726" s="205"/>
      <c r="D726" s="205"/>
      <c r="E726" s="205"/>
      <c r="F726" s="205"/>
      <c r="G726" s="209"/>
      <c r="H726" s="209"/>
      <c r="I726" s="205"/>
    </row>
    <row r="727" spans="3:9">
      <c r="C727" s="205"/>
      <c r="D727" s="205"/>
      <c r="E727" s="205"/>
      <c r="F727" s="205"/>
      <c r="G727" s="209"/>
      <c r="H727" s="209"/>
      <c r="I727" s="205"/>
    </row>
    <row r="728" spans="3:9">
      <c r="C728" s="205"/>
      <c r="D728" s="205"/>
      <c r="E728" s="205"/>
      <c r="F728" s="205"/>
      <c r="G728" s="209"/>
      <c r="H728" s="209"/>
      <c r="I728" s="205"/>
    </row>
    <row r="729" spans="3:9">
      <c r="C729" s="205"/>
      <c r="D729" s="205"/>
      <c r="E729" s="205"/>
      <c r="F729" s="205"/>
      <c r="G729" s="209"/>
      <c r="H729" s="209"/>
      <c r="I729" s="205"/>
    </row>
    <row r="730" spans="3:9">
      <c r="C730" s="205"/>
      <c r="D730" s="205"/>
      <c r="E730" s="205"/>
      <c r="F730" s="205"/>
      <c r="G730" s="209"/>
      <c r="H730" s="209"/>
      <c r="I730" s="205"/>
    </row>
    <row r="731" spans="3:9">
      <c r="C731" s="205"/>
      <c r="D731" s="205"/>
      <c r="E731" s="205"/>
      <c r="F731" s="205"/>
      <c r="G731" s="209"/>
      <c r="H731" s="209"/>
      <c r="I731" s="205"/>
    </row>
    <row r="732" spans="3:9">
      <c r="C732" s="205"/>
      <c r="D732" s="205"/>
      <c r="E732" s="205"/>
      <c r="F732" s="205"/>
      <c r="G732" s="209"/>
      <c r="H732" s="209"/>
      <c r="I732" s="205"/>
    </row>
    <row r="733" spans="3:9">
      <c r="C733" s="205"/>
      <c r="D733" s="205"/>
      <c r="E733" s="205"/>
      <c r="F733" s="205"/>
      <c r="G733" s="209"/>
      <c r="H733" s="209"/>
      <c r="I733" s="205"/>
    </row>
    <row r="734" spans="3:9">
      <c r="C734" s="205"/>
      <c r="D734" s="205"/>
      <c r="E734" s="205"/>
      <c r="F734" s="205"/>
      <c r="G734" s="209"/>
      <c r="H734" s="209"/>
      <c r="I734" s="205"/>
    </row>
    <row r="735" spans="3:9">
      <c r="C735" s="205"/>
      <c r="D735" s="205"/>
      <c r="E735" s="205"/>
      <c r="F735" s="205"/>
      <c r="G735" s="209"/>
      <c r="H735" s="209"/>
      <c r="I735" s="205"/>
    </row>
    <row r="736" spans="3:9">
      <c r="C736" s="205"/>
      <c r="D736" s="205"/>
      <c r="E736" s="205"/>
      <c r="F736" s="205"/>
      <c r="G736" s="209"/>
      <c r="H736" s="209"/>
      <c r="I736" s="205"/>
    </row>
    <row r="737" spans="3:9">
      <c r="C737" s="205"/>
      <c r="D737" s="205"/>
      <c r="E737" s="205"/>
      <c r="F737" s="205"/>
      <c r="G737" s="209"/>
      <c r="H737" s="209"/>
      <c r="I737" s="205"/>
    </row>
    <row r="738" spans="3:9">
      <c r="C738" s="205"/>
      <c r="D738" s="205"/>
      <c r="E738" s="205"/>
      <c r="F738" s="205"/>
      <c r="G738" s="209"/>
      <c r="H738" s="209"/>
      <c r="I738" s="205"/>
    </row>
    <row r="739" spans="3:9">
      <c r="C739" s="205"/>
      <c r="D739" s="205"/>
      <c r="E739" s="205"/>
      <c r="F739" s="205"/>
      <c r="G739" s="209"/>
      <c r="H739" s="209"/>
      <c r="I739" s="205"/>
    </row>
    <row r="740" spans="3:9">
      <c r="C740" s="205"/>
      <c r="D740" s="205"/>
      <c r="E740" s="205"/>
      <c r="F740" s="205"/>
      <c r="G740" s="209"/>
      <c r="H740" s="209"/>
      <c r="I740" s="205"/>
    </row>
    <row r="741" spans="3:9">
      <c r="C741" s="205"/>
      <c r="D741" s="205"/>
      <c r="E741" s="205"/>
      <c r="F741" s="205"/>
      <c r="G741" s="209"/>
      <c r="H741" s="209"/>
      <c r="I741" s="205"/>
    </row>
    <row r="742" spans="3:9">
      <c r="C742" s="205"/>
      <c r="D742" s="205"/>
      <c r="E742" s="205"/>
      <c r="F742" s="205"/>
      <c r="G742" s="209"/>
      <c r="H742" s="209"/>
      <c r="I742" s="205"/>
    </row>
    <row r="743" spans="3:9">
      <c r="C743" s="205"/>
      <c r="D743" s="205"/>
      <c r="E743" s="205"/>
      <c r="F743" s="205"/>
      <c r="G743" s="209"/>
      <c r="H743" s="209"/>
      <c r="I743" s="205"/>
    </row>
    <row r="744" spans="3:9">
      <c r="C744" s="205"/>
      <c r="D744" s="205"/>
      <c r="E744" s="205"/>
      <c r="F744" s="205"/>
      <c r="G744" s="209"/>
      <c r="H744" s="209"/>
      <c r="I744" s="205"/>
    </row>
    <row r="745" spans="3:9">
      <c r="C745" s="205"/>
      <c r="D745" s="205"/>
      <c r="E745" s="205"/>
      <c r="F745" s="205"/>
      <c r="G745" s="209"/>
      <c r="H745" s="209"/>
      <c r="I745" s="205"/>
    </row>
    <row r="746" spans="3:9">
      <c r="C746" s="205"/>
      <c r="D746" s="205"/>
      <c r="E746" s="205"/>
      <c r="F746" s="205"/>
      <c r="G746" s="209"/>
      <c r="H746" s="209"/>
      <c r="I746" s="205"/>
    </row>
    <row r="747" spans="3:9">
      <c r="C747" s="205"/>
      <c r="D747" s="205"/>
      <c r="E747" s="205"/>
      <c r="F747" s="205"/>
      <c r="G747" s="209"/>
      <c r="H747" s="209"/>
      <c r="I747" s="205"/>
    </row>
    <row r="748" spans="3:9">
      <c r="C748" s="205"/>
      <c r="D748" s="205"/>
      <c r="E748" s="205"/>
      <c r="F748" s="205"/>
      <c r="G748" s="209"/>
      <c r="H748" s="209"/>
      <c r="I748" s="205"/>
    </row>
    <row r="749" spans="3:9">
      <c r="C749" s="205"/>
      <c r="D749" s="205"/>
      <c r="E749" s="205"/>
      <c r="F749" s="205"/>
      <c r="G749" s="209"/>
      <c r="H749" s="209"/>
      <c r="I749" s="205"/>
    </row>
    <row r="750" spans="3:9">
      <c r="C750" s="205"/>
      <c r="D750" s="205"/>
      <c r="E750" s="205"/>
      <c r="F750" s="205"/>
      <c r="G750" s="209"/>
      <c r="H750" s="209"/>
      <c r="I750" s="205"/>
    </row>
    <row r="751" spans="3:9">
      <c r="C751" s="205"/>
      <c r="D751" s="205"/>
      <c r="E751" s="205"/>
      <c r="F751" s="205"/>
      <c r="G751" s="209"/>
      <c r="H751" s="209"/>
      <c r="I751" s="205"/>
    </row>
    <row r="752" spans="3:9">
      <c r="C752" s="205"/>
      <c r="D752" s="205"/>
      <c r="E752" s="205"/>
      <c r="F752" s="205"/>
      <c r="G752" s="209"/>
      <c r="H752" s="209"/>
      <c r="I752" s="205"/>
    </row>
    <row r="753" spans="3:9">
      <c r="C753" s="205"/>
      <c r="D753" s="205"/>
      <c r="E753" s="205"/>
      <c r="F753" s="205"/>
      <c r="G753" s="209"/>
      <c r="H753" s="209"/>
      <c r="I753" s="205"/>
    </row>
    <row r="754" spans="3:9">
      <c r="C754" s="205"/>
      <c r="D754" s="205"/>
      <c r="E754" s="205"/>
      <c r="F754" s="205"/>
      <c r="G754" s="209"/>
      <c r="H754" s="209"/>
      <c r="I754" s="205"/>
    </row>
    <row r="755" spans="3:9">
      <c r="C755" s="205"/>
      <c r="D755" s="205"/>
      <c r="E755" s="205"/>
      <c r="F755" s="205"/>
      <c r="G755" s="209"/>
      <c r="H755" s="209"/>
      <c r="I755" s="205"/>
    </row>
    <row r="756" spans="3:9">
      <c r="C756" s="205"/>
      <c r="D756" s="205"/>
      <c r="E756" s="205"/>
      <c r="F756" s="205"/>
      <c r="G756" s="209"/>
      <c r="H756" s="209"/>
      <c r="I756" s="205"/>
    </row>
    <row r="757" spans="3:9">
      <c r="C757" s="205"/>
      <c r="D757" s="205"/>
      <c r="E757" s="205"/>
      <c r="F757" s="205"/>
      <c r="G757" s="209"/>
      <c r="H757" s="209"/>
      <c r="I757" s="205"/>
    </row>
    <row r="758" spans="3:9">
      <c r="C758" s="205"/>
      <c r="D758" s="205"/>
      <c r="E758" s="205"/>
      <c r="F758" s="205"/>
      <c r="G758" s="209"/>
      <c r="H758" s="209"/>
      <c r="I758" s="205"/>
    </row>
    <row r="759" spans="3:9">
      <c r="C759" s="205"/>
      <c r="D759" s="205"/>
      <c r="E759" s="205"/>
      <c r="F759" s="205"/>
      <c r="G759" s="209"/>
      <c r="H759" s="209"/>
      <c r="I759" s="205"/>
    </row>
    <row r="760" spans="3:9">
      <c r="C760" s="205"/>
      <c r="D760" s="205"/>
      <c r="E760" s="205"/>
      <c r="F760" s="205"/>
      <c r="G760" s="209"/>
      <c r="H760" s="209"/>
      <c r="I760" s="205"/>
    </row>
    <row r="761" spans="3:9">
      <c r="C761" s="205"/>
      <c r="D761" s="205"/>
      <c r="E761" s="205"/>
      <c r="F761" s="205"/>
      <c r="G761" s="209"/>
      <c r="H761" s="209"/>
      <c r="I761" s="205"/>
    </row>
    <row r="762" spans="3:9">
      <c r="C762" s="205"/>
      <c r="D762" s="205"/>
      <c r="E762" s="205"/>
      <c r="F762" s="205"/>
      <c r="G762" s="209"/>
      <c r="H762" s="209"/>
      <c r="I762" s="205"/>
    </row>
    <row r="763" spans="3:9">
      <c r="C763" s="205"/>
      <c r="D763" s="205"/>
      <c r="E763" s="205"/>
      <c r="F763" s="205"/>
      <c r="G763" s="209"/>
      <c r="H763" s="209"/>
      <c r="I763" s="205"/>
    </row>
    <row r="764" spans="3:9">
      <c r="C764" s="205"/>
      <c r="D764" s="205"/>
      <c r="E764" s="205"/>
      <c r="F764" s="205"/>
      <c r="G764" s="209"/>
      <c r="H764" s="209"/>
      <c r="I764" s="205"/>
    </row>
    <row r="765" spans="3:9">
      <c r="C765" s="205"/>
      <c r="D765" s="205"/>
      <c r="E765" s="205"/>
      <c r="F765" s="205"/>
      <c r="G765" s="209"/>
      <c r="H765" s="209"/>
      <c r="I765" s="205"/>
    </row>
    <row r="766" spans="3:9">
      <c r="C766" s="205"/>
      <c r="D766" s="205"/>
      <c r="E766" s="205"/>
      <c r="F766" s="205"/>
      <c r="G766" s="209"/>
      <c r="H766" s="209"/>
      <c r="I766" s="205"/>
    </row>
    <row r="767" spans="3:9">
      <c r="C767" s="205"/>
      <c r="D767" s="205"/>
      <c r="E767" s="205"/>
      <c r="F767" s="205"/>
      <c r="G767" s="209"/>
      <c r="H767" s="209"/>
      <c r="I767" s="205"/>
    </row>
    <row r="768" spans="3:9">
      <c r="C768" s="205"/>
      <c r="D768" s="205"/>
      <c r="E768" s="205"/>
      <c r="F768" s="205"/>
      <c r="G768" s="209"/>
      <c r="H768" s="209"/>
      <c r="I768" s="205"/>
    </row>
    <row r="769" spans="3:9">
      <c r="C769" s="205"/>
      <c r="D769" s="205"/>
      <c r="E769" s="205"/>
      <c r="F769" s="205"/>
      <c r="G769" s="209"/>
      <c r="H769" s="209"/>
      <c r="I769" s="205"/>
    </row>
    <row r="770" spans="3:9">
      <c r="C770" s="205"/>
      <c r="D770" s="205"/>
      <c r="E770" s="205"/>
      <c r="F770" s="205"/>
      <c r="G770" s="209"/>
      <c r="H770" s="209"/>
      <c r="I770" s="205"/>
    </row>
    <row r="771" spans="3:9">
      <c r="C771" s="205"/>
      <c r="D771" s="205"/>
      <c r="E771" s="205"/>
      <c r="F771" s="205"/>
      <c r="G771" s="209"/>
      <c r="H771" s="209"/>
      <c r="I771" s="205"/>
    </row>
    <row r="772" spans="3:9">
      <c r="C772" s="205"/>
      <c r="D772" s="205"/>
      <c r="E772" s="205"/>
      <c r="F772" s="205"/>
      <c r="G772" s="209"/>
      <c r="H772" s="209"/>
      <c r="I772" s="205"/>
    </row>
    <row r="773" spans="3:9">
      <c r="C773" s="205"/>
      <c r="D773" s="205"/>
      <c r="E773" s="205"/>
      <c r="F773" s="205"/>
      <c r="G773" s="209"/>
      <c r="H773" s="209"/>
      <c r="I773" s="205"/>
    </row>
    <row r="774" spans="3:9">
      <c r="C774" s="205"/>
      <c r="D774" s="205"/>
      <c r="E774" s="205"/>
      <c r="F774" s="205"/>
      <c r="G774" s="209"/>
      <c r="H774" s="209"/>
      <c r="I774" s="205"/>
    </row>
    <row r="775" spans="3:9">
      <c r="C775" s="205"/>
      <c r="D775" s="205"/>
      <c r="E775" s="205"/>
      <c r="F775" s="205"/>
      <c r="G775" s="209"/>
      <c r="H775" s="209"/>
      <c r="I775" s="205"/>
    </row>
    <row r="776" spans="3:9">
      <c r="C776" s="205"/>
      <c r="D776" s="205"/>
      <c r="E776" s="205"/>
      <c r="F776" s="205"/>
      <c r="G776" s="209"/>
      <c r="H776" s="209"/>
      <c r="I776" s="205"/>
    </row>
    <row r="777" spans="3:9">
      <c r="C777" s="205"/>
      <c r="D777" s="205"/>
      <c r="E777" s="205"/>
      <c r="F777" s="205"/>
      <c r="G777" s="209"/>
      <c r="H777" s="209"/>
      <c r="I777" s="205"/>
    </row>
    <row r="778" spans="3:9">
      <c r="C778" s="205"/>
      <c r="D778" s="205"/>
      <c r="E778" s="205"/>
      <c r="F778" s="205"/>
      <c r="G778" s="209"/>
      <c r="H778" s="209"/>
      <c r="I778" s="205"/>
    </row>
    <row r="779" spans="3:9">
      <c r="C779" s="205"/>
      <c r="D779" s="205"/>
      <c r="E779" s="205"/>
      <c r="F779" s="205"/>
      <c r="G779" s="209"/>
      <c r="H779" s="209"/>
      <c r="I779" s="205"/>
    </row>
    <row r="780" spans="3:9">
      <c r="C780" s="205"/>
      <c r="D780" s="205"/>
      <c r="E780" s="205"/>
      <c r="F780" s="205"/>
      <c r="G780" s="209"/>
      <c r="H780" s="209"/>
      <c r="I780" s="205"/>
    </row>
    <row r="781" spans="3:9">
      <c r="C781" s="205"/>
      <c r="D781" s="205"/>
      <c r="E781" s="205"/>
      <c r="F781" s="205"/>
      <c r="G781" s="209"/>
      <c r="H781" s="209"/>
      <c r="I781" s="205"/>
    </row>
    <row r="782" spans="3:9">
      <c r="C782" s="205"/>
      <c r="D782" s="205"/>
      <c r="E782" s="205"/>
      <c r="F782" s="205"/>
      <c r="G782" s="209"/>
      <c r="H782" s="209"/>
      <c r="I782" s="205"/>
    </row>
    <row r="783" spans="3:9">
      <c r="C783" s="205"/>
      <c r="D783" s="205"/>
      <c r="E783" s="205"/>
      <c r="F783" s="205"/>
      <c r="G783" s="209"/>
      <c r="H783" s="209"/>
      <c r="I783" s="205"/>
    </row>
    <row r="784" spans="3:9">
      <c r="C784" s="205"/>
      <c r="D784" s="205"/>
      <c r="E784" s="205"/>
      <c r="F784" s="205"/>
      <c r="G784" s="209"/>
      <c r="H784" s="209"/>
      <c r="I784" s="205"/>
    </row>
    <row r="785" spans="3:9">
      <c r="C785" s="205"/>
      <c r="D785" s="205"/>
      <c r="E785" s="205"/>
      <c r="F785" s="205"/>
      <c r="G785" s="209"/>
      <c r="H785" s="209"/>
      <c r="I785" s="205"/>
    </row>
    <row r="786" spans="3:9">
      <c r="C786" s="205"/>
      <c r="D786" s="205"/>
      <c r="E786" s="205"/>
      <c r="F786" s="205"/>
      <c r="G786" s="209"/>
      <c r="H786" s="209"/>
      <c r="I786" s="205"/>
    </row>
    <row r="787" spans="3:9">
      <c r="C787" s="205"/>
      <c r="D787" s="205"/>
      <c r="E787" s="205"/>
      <c r="F787" s="205"/>
      <c r="G787" s="209"/>
      <c r="H787" s="209"/>
      <c r="I787" s="205"/>
    </row>
    <row r="788" spans="3:9">
      <c r="C788" s="205"/>
      <c r="D788" s="205"/>
      <c r="E788" s="205"/>
      <c r="F788" s="205"/>
      <c r="G788" s="209"/>
      <c r="H788" s="209"/>
      <c r="I788" s="205"/>
    </row>
    <row r="789" spans="3:9">
      <c r="C789" s="205"/>
      <c r="D789" s="205"/>
      <c r="E789" s="205"/>
      <c r="F789" s="205"/>
      <c r="G789" s="209"/>
      <c r="H789" s="209"/>
      <c r="I789" s="205"/>
    </row>
    <row r="790" spans="3:9">
      <c r="C790" s="205"/>
      <c r="D790" s="205"/>
      <c r="E790" s="205"/>
      <c r="F790" s="205"/>
      <c r="G790" s="209"/>
      <c r="H790" s="209"/>
      <c r="I790" s="205"/>
    </row>
    <row r="791" spans="3:9">
      <c r="C791" s="205"/>
      <c r="D791" s="205"/>
      <c r="E791" s="205"/>
      <c r="F791" s="205"/>
      <c r="G791" s="209"/>
      <c r="H791" s="209"/>
      <c r="I791" s="205"/>
    </row>
    <row r="792" spans="3:9">
      <c r="C792" s="205"/>
      <c r="D792" s="205"/>
      <c r="E792" s="205"/>
      <c r="F792" s="205"/>
      <c r="G792" s="209"/>
      <c r="H792" s="209"/>
      <c r="I792" s="205"/>
    </row>
    <row r="793" spans="3:9">
      <c r="C793" s="205"/>
      <c r="D793" s="205"/>
      <c r="E793" s="205"/>
      <c r="F793" s="205"/>
      <c r="G793" s="209"/>
      <c r="H793" s="209"/>
      <c r="I793" s="205"/>
    </row>
    <row r="794" spans="3:9">
      <c r="C794" s="205"/>
      <c r="D794" s="205"/>
      <c r="E794" s="205"/>
      <c r="F794" s="205"/>
      <c r="G794" s="209"/>
      <c r="H794" s="209"/>
      <c r="I794" s="205"/>
    </row>
    <row r="795" spans="3:9">
      <c r="C795" s="205"/>
      <c r="D795" s="205"/>
      <c r="E795" s="205"/>
      <c r="F795" s="205"/>
      <c r="G795" s="209"/>
      <c r="H795" s="209"/>
      <c r="I795" s="205"/>
    </row>
    <row r="796" spans="3:9">
      <c r="C796" s="205"/>
      <c r="D796" s="205"/>
      <c r="E796" s="205"/>
      <c r="F796" s="205"/>
      <c r="G796" s="209"/>
      <c r="H796" s="209"/>
      <c r="I796" s="205"/>
    </row>
    <row r="797" spans="3:9">
      <c r="C797" s="205"/>
      <c r="D797" s="205"/>
      <c r="E797" s="205"/>
      <c r="F797" s="205"/>
      <c r="G797" s="209"/>
      <c r="H797" s="209"/>
      <c r="I797" s="205"/>
    </row>
    <row r="798" spans="3:9">
      <c r="C798" s="205"/>
      <c r="D798" s="205"/>
      <c r="E798" s="205"/>
      <c r="F798" s="205"/>
      <c r="G798" s="209"/>
      <c r="H798" s="209"/>
      <c r="I798" s="205"/>
    </row>
    <row r="799" spans="3:9">
      <c r="C799" s="205"/>
      <c r="D799" s="205"/>
      <c r="E799" s="205"/>
      <c r="F799" s="205"/>
      <c r="G799" s="209"/>
      <c r="H799" s="209"/>
      <c r="I799" s="205"/>
    </row>
    <row r="800" spans="3:9">
      <c r="C800" s="205"/>
      <c r="D800" s="205"/>
      <c r="E800" s="205"/>
      <c r="F800" s="205"/>
      <c r="G800" s="209"/>
      <c r="H800" s="209"/>
      <c r="I800" s="205"/>
    </row>
    <row r="801" spans="3:9">
      <c r="C801" s="205"/>
      <c r="D801" s="205"/>
      <c r="E801" s="205"/>
      <c r="F801" s="205"/>
      <c r="G801" s="209"/>
      <c r="H801" s="209"/>
      <c r="I801" s="205"/>
    </row>
    <row r="802" spans="3:9">
      <c r="C802" s="205"/>
      <c r="D802" s="205"/>
      <c r="E802" s="205"/>
      <c r="F802" s="205"/>
      <c r="G802" s="209"/>
      <c r="H802" s="209"/>
      <c r="I802" s="205"/>
    </row>
    <row r="803" spans="3:9">
      <c r="C803" s="205"/>
      <c r="D803" s="205"/>
      <c r="E803" s="205"/>
      <c r="F803" s="205"/>
      <c r="G803" s="209"/>
      <c r="H803" s="209"/>
      <c r="I803" s="205"/>
    </row>
    <row r="804" spans="3:9">
      <c r="C804" s="205"/>
      <c r="D804" s="205"/>
      <c r="E804" s="205"/>
      <c r="F804" s="205"/>
      <c r="G804" s="209"/>
      <c r="H804" s="209"/>
      <c r="I804" s="205"/>
    </row>
    <row r="805" spans="3:9">
      <c r="C805" s="205"/>
      <c r="D805" s="205"/>
      <c r="E805" s="205"/>
      <c r="F805" s="205"/>
      <c r="G805" s="209"/>
      <c r="H805" s="209"/>
      <c r="I805" s="205"/>
    </row>
    <row r="806" spans="3:9">
      <c r="C806" s="205"/>
      <c r="D806" s="205"/>
      <c r="E806" s="205"/>
      <c r="F806" s="205"/>
      <c r="G806" s="209"/>
      <c r="H806" s="209"/>
      <c r="I806" s="205"/>
    </row>
    <row r="807" spans="3:9">
      <c r="C807" s="205"/>
      <c r="D807" s="205"/>
      <c r="E807" s="205"/>
      <c r="F807" s="205"/>
      <c r="G807" s="209"/>
      <c r="H807" s="209"/>
      <c r="I807" s="205"/>
    </row>
    <row r="808" spans="3:9">
      <c r="C808" s="205"/>
      <c r="D808" s="205"/>
      <c r="E808" s="205"/>
      <c r="F808" s="205"/>
      <c r="G808" s="209"/>
      <c r="H808" s="209"/>
      <c r="I808" s="205"/>
    </row>
    <row r="809" spans="3:9">
      <c r="C809" s="205"/>
      <c r="D809" s="205"/>
      <c r="E809" s="205"/>
      <c r="F809" s="205"/>
      <c r="G809" s="209"/>
      <c r="H809" s="209"/>
      <c r="I809" s="205"/>
    </row>
    <row r="810" spans="3:9">
      <c r="C810" s="205"/>
      <c r="D810" s="205"/>
      <c r="E810" s="205"/>
      <c r="F810" s="205"/>
      <c r="G810" s="209"/>
      <c r="H810" s="209"/>
      <c r="I810" s="205"/>
    </row>
    <row r="811" spans="3:9">
      <c r="C811" s="205"/>
      <c r="D811" s="205"/>
      <c r="E811" s="205"/>
      <c r="F811" s="205"/>
      <c r="G811" s="209"/>
      <c r="H811" s="209"/>
      <c r="I811" s="205"/>
    </row>
    <row r="812" spans="3:9">
      <c r="C812" s="205"/>
      <c r="D812" s="205"/>
      <c r="E812" s="205"/>
      <c r="F812" s="205"/>
      <c r="G812" s="209"/>
      <c r="H812" s="209"/>
      <c r="I812" s="205"/>
    </row>
    <row r="813" spans="3:9">
      <c r="C813" s="205"/>
      <c r="D813" s="205"/>
      <c r="E813" s="205"/>
      <c r="F813" s="205"/>
      <c r="G813" s="209"/>
      <c r="H813" s="209"/>
      <c r="I813" s="205"/>
    </row>
    <row r="814" spans="3:9">
      <c r="C814" s="205"/>
      <c r="D814" s="205"/>
      <c r="E814" s="205"/>
      <c r="F814" s="205"/>
      <c r="G814" s="209"/>
      <c r="H814" s="209"/>
      <c r="I814" s="205"/>
    </row>
    <row r="815" spans="3:9">
      <c r="C815" s="205"/>
      <c r="D815" s="205"/>
      <c r="E815" s="205"/>
      <c r="F815" s="205"/>
      <c r="G815" s="209"/>
      <c r="H815" s="209"/>
      <c r="I815" s="205"/>
    </row>
    <row r="816" spans="3:9">
      <c r="C816" s="205"/>
      <c r="D816" s="205"/>
      <c r="E816" s="205"/>
      <c r="F816" s="205"/>
      <c r="G816" s="209"/>
      <c r="H816" s="209"/>
      <c r="I816" s="205"/>
    </row>
    <row r="817" spans="3:9">
      <c r="C817" s="205"/>
      <c r="D817" s="205"/>
      <c r="E817" s="205"/>
      <c r="F817" s="205"/>
      <c r="G817" s="209"/>
      <c r="H817" s="209"/>
      <c r="I817" s="205"/>
    </row>
    <row r="818" spans="3:9">
      <c r="C818" s="205"/>
      <c r="D818" s="205"/>
      <c r="E818" s="205"/>
      <c r="F818" s="205"/>
      <c r="G818" s="209"/>
      <c r="H818" s="209"/>
      <c r="I818" s="205"/>
    </row>
    <row r="819" spans="3:9">
      <c r="C819" s="205"/>
      <c r="D819" s="205"/>
      <c r="E819" s="205"/>
      <c r="F819" s="205"/>
      <c r="G819" s="209"/>
      <c r="H819" s="209"/>
      <c r="I819" s="205"/>
    </row>
    <row r="820" spans="3:9">
      <c r="C820" s="205"/>
      <c r="D820" s="205"/>
      <c r="E820" s="205"/>
      <c r="F820" s="205"/>
      <c r="G820" s="209"/>
      <c r="H820" s="209"/>
      <c r="I820" s="205"/>
    </row>
    <row r="821" spans="3:9">
      <c r="C821" s="205"/>
      <c r="D821" s="205"/>
      <c r="E821" s="205"/>
      <c r="F821" s="205"/>
      <c r="G821" s="209"/>
      <c r="H821" s="209"/>
      <c r="I821" s="205"/>
    </row>
    <row r="822" spans="3:9">
      <c r="C822" s="205"/>
      <c r="D822" s="205"/>
      <c r="E822" s="205"/>
      <c r="F822" s="205"/>
      <c r="G822" s="209"/>
      <c r="H822" s="209"/>
      <c r="I822" s="205"/>
    </row>
    <row r="823" spans="3:9">
      <c r="C823" s="205"/>
      <c r="D823" s="205"/>
      <c r="E823" s="205"/>
      <c r="F823" s="205"/>
      <c r="G823" s="209"/>
      <c r="H823" s="209"/>
      <c r="I823" s="205"/>
    </row>
    <row r="824" spans="3:9">
      <c r="C824" s="205"/>
      <c r="D824" s="205"/>
      <c r="E824" s="205"/>
      <c r="F824" s="205"/>
      <c r="G824" s="209"/>
      <c r="H824" s="209"/>
      <c r="I824" s="205"/>
    </row>
    <row r="825" spans="3:9">
      <c r="C825" s="205"/>
      <c r="D825" s="205"/>
      <c r="E825" s="205"/>
      <c r="F825" s="205"/>
      <c r="G825" s="209"/>
      <c r="H825" s="209"/>
      <c r="I825" s="205"/>
    </row>
    <row r="826" spans="3:9">
      <c r="C826" s="205"/>
      <c r="D826" s="205"/>
      <c r="E826" s="205"/>
      <c r="F826" s="205"/>
      <c r="G826" s="209"/>
      <c r="H826" s="209"/>
      <c r="I826" s="205"/>
    </row>
    <row r="827" spans="3:9">
      <c r="C827" s="205"/>
      <c r="D827" s="205"/>
      <c r="E827" s="205"/>
      <c r="F827" s="205"/>
      <c r="G827" s="209"/>
      <c r="H827" s="209"/>
      <c r="I827" s="205"/>
    </row>
    <row r="828" spans="3:9">
      <c r="C828" s="205"/>
      <c r="D828" s="205"/>
      <c r="E828" s="205"/>
      <c r="F828" s="205"/>
      <c r="G828" s="209"/>
      <c r="H828" s="209"/>
      <c r="I828" s="205"/>
    </row>
    <row r="829" spans="3:9">
      <c r="C829" s="205"/>
      <c r="D829" s="205"/>
      <c r="E829" s="205"/>
      <c r="F829" s="205"/>
      <c r="G829" s="209"/>
      <c r="H829" s="209"/>
      <c r="I829" s="205"/>
    </row>
    <row r="830" spans="3:9">
      <c r="C830" s="205"/>
      <c r="D830" s="205"/>
      <c r="E830" s="205"/>
      <c r="F830" s="205"/>
      <c r="G830" s="209"/>
      <c r="H830" s="209"/>
      <c r="I830" s="205"/>
    </row>
    <row r="831" spans="3:9">
      <c r="C831" s="205"/>
      <c r="D831" s="205"/>
      <c r="E831" s="205"/>
      <c r="F831" s="205"/>
      <c r="G831" s="209"/>
      <c r="H831" s="209"/>
      <c r="I831" s="205"/>
    </row>
    <row r="832" spans="3:9">
      <c r="C832" s="205"/>
      <c r="D832" s="205"/>
      <c r="E832" s="205"/>
      <c r="F832" s="205"/>
      <c r="G832" s="209"/>
      <c r="H832" s="209"/>
      <c r="I832" s="205"/>
    </row>
    <row r="833" spans="3:9">
      <c r="C833" s="205"/>
      <c r="D833" s="205"/>
      <c r="E833" s="205"/>
      <c r="F833" s="205"/>
      <c r="G833" s="209"/>
      <c r="H833" s="209"/>
      <c r="I833" s="205"/>
    </row>
    <row r="834" spans="3:9">
      <c r="C834" s="205"/>
      <c r="D834" s="205"/>
      <c r="E834" s="205"/>
      <c r="F834" s="205"/>
      <c r="G834" s="209"/>
      <c r="H834" s="209"/>
      <c r="I834" s="205"/>
    </row>
    <row r="835" spans="3:9">
      <c r="C835" s="205"/>
      <c r="D835" s="205"/>
      <c r="E835" s="205"/>
      <c r="F835" s="205"/>
      <c r="G835" s="209"/>
      <c r="H835" s="209"/>
      <c r="I835" s="205"/>
    </row>
    <row r="836" spans="3:9">
      <c r="C836" s="205"/>
      <c r="D836" s="205"/>
      <c r="E836" s="205"/>
      <c r="F836" s="205"/>
      <c r="G836" s="209"/>
      <c r="H836" s="209"/>
      <c r="I836" s="205"/>
    </row>
    <row r="837" spans="3:9">
      <c r="C837" s="205"/>
      <c r="D837" s="205"/>
      <c r="E837" s="205"/>
      <c r="F837" s="205"/>
      <c r="G837" s="209"/>
      <c r="H837" s="209"/>
      <c r="I837" s="205"/>
    </row>
    <row r="838" spans="3:9">
      <c r="C838" s="205"/>
      <c r="D838" s="205"/>
      <c r="E838" s="205"/>
      <c r="F838" s="205"/>
      <c r="G838" s="209"/>
      <c r="H838" s="209"/>
      <c r="I838" s="205"/>
    </row>
    <row r="839" spans="3:9">
      <c r="C839" s="205"/>
      <c r="D839" s="205"/>
      <c r="E839" s="205"/>
      <c r="F839" s="205"/>
      <c r="G839" s="209"/>
      <c r="H839" s="209"/>
      <c r="I839" s="205"/>
    </row>
    <row r="840" spans="3:9">
      <c r="C840" s="205"/>
      <c r="D840" s="205"/>
      <c r="E840" s="205"/>
      <c r="F840" s="205"/>
      <c r="G840" s="209"/>
      <c r="H840" s="209"/>
      <c r="I840" s="205"/>
    </row>
    <row r="841" spans="3:9">
      <c r="C841" s="205"/>
      <c r="D841" s="205"/>
      <c r="E841" s="205"/>
      <c r="F841" s="205"/>
      <c r="G841" s="209"/>
      <c r="H841" s="209"/>
      <c r="I841" s="205"/>
    </row>
    <row r="842" spans="3:9">
      <c r="C842" s="205"/>
      <c r="D842" s="205"/>
      <c r="E842" s="205"/>
      <c r="F842" s="205"/>
      <c r="G842" s="209"/>
      <c r="H842" s="209"/>
      <c r="I842" s="205"/>
    </row>
    <row r="843" spans="3:9">
      <c r="C843" s="205"/>
      <c r="D843" s="205"/>
      <c r="E843" s="205"/>
      <c r="F843" s="205"/>
      <c r="G843" s="209"/>
      <c r="H843" s="209"/>
      <c r="I843" s="205"/>
    </row>
    <row r="844" spans="3:9">
      <c r="C844" s="205"/>
      <c r="D844" s="205"/>
      <c r="E844" s="205"/>
      <c r="F844" s="205"/>
      <c r="G844" s="209"/>
      <c r="H844" s="209"/>
      <c r="I844" s="205"/>
    </row>
    <row r="845" spans="3:9">
      <c r="C845" s="205"/>
      <c r="D845" s="205"/>
      <c r="E845" s="205"/>
      <c r="F845" s="205"/>
      <c r="G845" s="209"/>
      <c r="H845" s="209"/>
      <c r="I845" s="205"/>
    </row>
    <row r="846" spans="3:9">
      <c r="C846" s="205"/>
      <c r="D846" s="205"/>
      <c r="E846" s="205"/>
      <c r="F846" s="205"/>
      <c r="G846" s="209"/>
      <c r="H846" s="209"/>
      <c r="I846" s="205"/>
    </row>
    <row r="847" spans="3:9">
      <c r="C847" s="205"/>
      <c r="D847" s="205"/>
      <c r="E847" s="205"/>
      <c r="F847" s="205"/>
      <c r="G847" s="209"/>
      <c r="H847" s="209"/>
      <c r="I847" s="205"/>
    </row>
    <row r="848" spans="3:9">
      <c r="C848" s="205"/>
      <c r="D848" s="205"/>
      <c r="E848" s="205"/>
      <c r="F848" s="205"/>
      <c r="G848" s="209"/>
      <c r="H848" s="209"/>
      <c r="I848" s="205"/>
    </row>
    <row r="849" spans="3:9">
      <c r="C849" s="205"/>
      <c r="D849" s="205"/>
      <c r="E849" s="205"/>
      <c r="F849" s="205"/>
      <c r="G849" s="209"/>
      <c r="H849" s="209"/>
      <c r="I849" s="205"/>
    </row>
    <row r="850" spans="3:9">
      <c r="C850" s="205"/>
      <c r="D850" s="205"/>
      <c r="E850" s="205"/>
      <c r="F850" s="205"/>
      <c r="G850" s="209"/>
      <c r="H850" s="209"/>
      <c r="I850" s="205"/>
    </row>
    <row r="851" spans="3:9">
      <c r="C851" s="205"/>
      <c r="D851" s="205"/>
      <c r="E851" s="205"/>
      <c r="F851" s="205"/>
      <c r="G851" s="209"/>
      <c r="H851" s="209"/>
      <c r="I851" s="205"/>
    </row>
    <row r="852" spans="3:9">
      <c r="C852" s="205"/>
      <c r="D852" s="205"/>
      <c r="E852" s="205"/>
      <c r="F852" s="205"/>
      <c r="G852" s="209"/>
      <c r="H852" s="209"/>
      <c r="I852" s="205"/>
    </row>
    <row r="853" spans="3:9">
      <c r="C853" s="205"/>
      <c r="D853" s="205"/>
      <c r="E853" s="205"/>
      <c r="F853" s="205"/>
      <c r="G853" s="209"/>
      <c r="H853" s="209"/>
      <c r="I853" s="205"/>
    </row>
    <row r="854" spans="3:9">
      <c r="C854" s="205"/>
      <c r="D854" s="205"/>
      <c r="E854" s="205"/>
      <c r="F854" s="205"/>
      <c r="G854" s="209"/>
      <c r="H854" s="209"/>
      <c r="I854" s="205"/>
    </row>
    <row r="855" spans="3:9">
      <c r="C855" s="205"/>
      <c r="D855" s="205"/>
      <c r="E855" s="205"/>
      <c r="F855" s="205"/>
      <c r="G855" s="209"/>
      <c r="H855" s="209"/>
      <c r="I855" s="205"/>
    </row>
    <row r="856" spans="3:9">
      <c r="C856" s="205"/>
      <c r="D856" s="205"/>
      <c r="E856" s="205"/>
      <c r="F856" s="205"/>
      <c r="G856" s="209"/>
      <c r="H856" s="209"/>
      <c r="I856" s="205"/>
    </row>
    <row r="857" spans="3:9">
      <c r="C857" s="205"/>
      <c r="D857" s="205"/>
      <c r="E857" s="205"/>
      <c r="F857" s="205"/>
      <c r="G857" s="209"/>
      <c r="H857" s="209"/>
      <c r="I857" s="205"/>
    </row>
    <row r="858" spans="3:9">
      <c r="C858" s="205"/>
      <c r="D858" s="205"/>
      <c r="E858" s="205"/>
      <c r="F858" s="205"/>
      <c r="G858" s="209"/>
      <c r="H858" s="209"/>
      <c r="I858" s="205"/>
    </row>
    <row r="859" spans="3:9">
      <c r="C859" s="205"/>
      <c r="D859" s="205"/>
      <c r="E859" s="205"/>
      <c r="F859" s="205"/>
      <c r="G859" s="209"/>
      <c r="H859" s="209"/>
      <c r="I859" s="205"/>
    </row>
    <row r="860" spans="3:9">
      <c r="C860" s="205"/>
      <c r="D860" s="205"/>
      <c r="E860" s="205"/>
      <c r="F860" s="205"/>
      <c r="G860" s="209"/>
      <c r="H860" s="209"/>
      <c r="I860" s="205"/>
    </row>
    <row r="861" spans="3:9">
      <c r="C861" s="205"/>
      <c r="D861" s="205"/>
      <c r="E861" s="205"/>
      <c r="F861" s="205"/>
      <c r="G861" s="209"/>
      <c r="H861" s="209"/>
      <c r="I861" s="205"/>
    </row>
    <row r="862" spans="3:9">
      <c r="C862" s="205"/>
      <c r="D862" s="205"/>
      <c r="E862" s="205"/>
      <c r="F862" s="205"/>
      <c r="G862" s="209"/>
      <c r="H862" s="209"/>
      <c r="I862" s="205"/>
    </row>
    <row r="863" spans="3:9">
      <c r="C863" s="205"/>
      <c r="D863" s="205"/>
      <c r="E863" s="205"/>
      <c r="F863" s="205"/>
      <c r="G863" s="209"/>
      <c r="H863" s="209"/>
      <c r="I863" s="205"/>
    </row>
    <row r="864" spans="3:9">
      <c r="C864" s="205"/>
      <c r="D864" s="205"/>
      <c r="E864" s="205"/>
      <c r="F864" s="205"/>
      <c r="G864" s="209"/>
      <c r="H864" s="209"/>
      <c r="I864" s="205"/>
    </row>
    <row r="865" spans="3:9">
      <c r="C865" s="205"/>
      <c r="D865" s="205"/>
      <c r="E865" s="205"/>
      <c r="F865" s="205"/>
      <c r="G865" s="209"/>
      <c r="H865" s="209"/>
      <c r="I865" s="205"/>
    </row>
    <row r="866" spans="3:9">
      <c r="C866" s="205"/>
      <c r="D866" s="205"/>
      <c r="E866" s="205"/>
      <c r="F866" s="205"/>
      <c r="G866" s="209"/>
      <c r="H866" s="209"/>
      <c r="I866" s="205"/>
    </row>
    <row r="867" spans="3:9">
      <c r="C867" s="205"/>
      <c r="D867" s="205"/>
      <c r="E867" s="205"/>
      <c r="F867" s="205"/>
      <c r="G867" s="209"/>
      <c r="H867" s="209"/>
      <c r="I867" s="205"/>
    </row>
    <row r="868" spans="3:9">
      <c r="C868" s="205"/>
      <c r="D868" s="205"/>
      <c r="E868" s="205"/>
      <c r="F868" s="205"/>
      <c r="G868" s="209"/>
      <c r="H868" s="209"/>
      <c r="I868" s="205"/>
    </row>
    <row r="869" spans="3:9">
      <c r="C869" s="205"/>
      <c r="D869" s="205"/>
      <c r="E869" s="205"/>
      <c r="F869" s="205"/>
      <c r="G869" s="209"/>
      <c r="H869" s="209"/>
      <c r="I869" s="205"/>
    </row>
    <row r="870" spans="3:9">
      <c r="C870" s="205"/>
      <c r="D870" s="205"/>
      <c r="E870" s="205"/>
      <c r="F870" s="205"/>
      <c r="G870" s="209"/>
      <c r="H870" s="209"/>
      <c r="I870" s="205"/>
    </row>
    <row r="871" spans="3:9">
      <c r="C871" s="205"/>
      <c r="D871" s="205"/>
      <c r="E871" s="205"/>
      <c r="F871" s="205"/>
      <c r="G871" s="209"/>
      <c r="H871" s="209"/>
      <c r="I871" s="205"/>
    </row>
    <row r="872" spans="3:9">
      <c r="C872" s="205"/>
      <c r="D872" s="205"/>
      <c r="E872" s="205"/>
      <c r="F872" s="205"/>
      <c r="G872" s="209"/>
      <c r="H872" s="209"/>
      <c r="I872" s="205"/>
    </row>
    <row r="873" spans="3:9">
      <c r="C873" s="205"/>
      <c r="D873" s="205"/>
      <c r="E873" s="205"/>
      <c r="F873" s="205"/>
      <c r="G873" s="209"/>
      <c r="H873" s="209"/>
      <c r="I873" s="205"/>
    </row>
    <row r="874" spans="3:9">
      <c r="C874" s="205"/>
      <c r="D874" s="205"/>
      <c r="E874" s="205"/>
      <c r="F874" s="205"/>
      <c r="G874" s="209"/>
      <c r="H874" s="209"/>
      <c r="I874" s="205"/>
    </row>
    <row r="875" spans="3:9">
      <c r="C875" s="205"/>
      <c r="D875" s="205"/>
      <c r="E875" s="205"/>
      <c r="F875" s="205"/>
      <c r="G875" s="209"/>
      <c r="H875" s="209"/>
      <c r="I875" s="205"/>
    </row>
    <row r="876" spans="3:9">
      <c r="C876" s="205"/>
      <c r="D876" s="205"/>
      <c r="E876" s="205"/>
      <c r="F876" s="205"/>
      <c r="G876" s="209"/>
      <c r="H876" s="209"/>
      <c r="I876" s="205"/>
    </row>
    <row r="877" spans="3:9">
      <c r="C877" s="205"/>
      <c r="D877" s="205"/>
      <c r="E877" s="205"/>
      <c r="F877" s="205"/>
      <c r="G877" s="209"/>
      <c r="H877" s="209"/>
      <c r="I877" s="205"/>
    </row>
    <row r="878" spans="3:9">
      <c r="C878" s="205"/>
      <c r="D878" s="205"/>
      <c r="E878" s="205"/>
      <c r="F878" s="205"/>
      <c r="G878" s="209"/>
      <c r="H878" s="209"/>
      <c r="I878" s="205"/>
    </row>
    <row r="879" spans="3:9">
      <c r="C879" s="205"/>
      <c r="D879" s="205"/>
      <c r="E879" s="205"/>
      <c r="F879" s="205"/>
      <c r="G879" s="209"/>
      <c r="H879" s="209"/>
      <c r="I879" s="205"/>
    </row>
    <row r="880" spans="3:9">
      <c r="C880" s="205"/>
      <c r="D880" s="205"/>
      <c r="E880" s="205"/>
      <c r="F880" s="205"/>
      <c r="G880" s="209"/>
      <c r="H880" s="209"/>
      <c r="I880" s="205"/>
    </row>
    <row r="881" spans="3:9">
      <c r="C881" s="205"/>
      <c r="D881" s="205"/>
      <c r="E881" s="205"/>
      <c r="F881" s="205"/>
      <c r="G881" s="209"/>
      <c r="H881" s="209"/>
      <c r="I881" s="205"/>
    </row>
    <row r="882" spans="3:9">
      <c r="C882" s="205"/>
      <c r="D882" s="205"/>
      <c r="E882" s="205"/>
      <c r="F882" s="205"/>
      <c r="G882" s="209"/>
      <c r="H882" s="209"/>
      <c r="I882" s="205"/>
    </row>
    <row r="883" spans="3:9">
      <c r="C883" s="205"/>
      <c r="D883" s="205"/>
      <c r="E883" s="205"/>
      <c r="F883" s="205"/>
      <c r="G883" s="209"/>
      <c r="H883" s="209"/>
      <c r="I883" s="205"/>
    </row>
    <row r="884" spans="3:9">
      <c r="C884" s="205"/>
      <c r="D884" s="205"/>
      <c r="E884" s="205"/>
      <c r="F884" s="205"/>
      <c r="G884" s="209"/>
      <c r="H884" s="209"/>
      <c r="I884" s="205"/>
    </row>
    <row r="885" spans="3:9">
      <c r="C885" s="205"/>
      <c r="D885" s="205"/>
      <c r="E885" s="205"/>
      <c r="F885" s="205"/>
      <c r="G885" s="209"/>
      <c r="H885" s="209"/>
      <c r="I885" s="205"/>
    </row>
    <row r="886" spans="3:9">
      <c r="C886" s="205"/>
      <c r="D886" s="205"/>
      <c r="E886" s="205"/>
      <c r="F886" s="205"/>
      <c r="G886" s="209"/>
      <c r="H886" s="209"/>
      <c r="I886" s="205"/>
    </row>
    <row r="887" spans="3:9">
      <c r="C887" s="205"/>
      <c r="D887" s="205"/>
      <c r="E887" s="205"/>
      <c r="F887" s="205"/>
      <c r="G887" s="209"/>
      <c r="H887" s="209"/>
      <c r="I887" s="205"/>
    </row>
    <row r="888" spans="3:9">
      <c r="C888" s="205"/>
      <c r="D888" s="205"/>
      <c r="E888" s="205"/>
      <c r="F888" s="205"/>
      <c r="G888" s="209"/>
      <c r="H888" s="209"/>
      <c r="I888" s="205"/>
    </row>
    <row r="889" spans="3:9">
      <c r="C889" s="205"/>
      <c r="D889" s="205"/>
      <c r="E889" s="205"/>
      <c r="F889" s="205"/>
      <c r="G889" s="209"/>
      <c r="H889" s="209"/>
      <c r="I889" s="205"/>
    </row>
    <row r="890" spans="3:9">
      <c r="C890" s="205"/>
      <c r="D890" s="205"/>
      <c r="E890" s="205"/>
      <c r="F890" s="205"/>
      <c r="G890" s="209"/>
      <c r="H890" s="209"/>
      <c r="I890" s="205"/>
    </row>
    <row r="891" spans="3:9">
      <c r="C891" s="205"/>
      <c r="D891" s="205"/>
      <c r="E891" s="205"/>
      <c r="F891" s="205"/>
      <c r="G891" s="209"/>
      <c r="H891" s="209"/>
      <c r="I891" s="205"/>
    </row>
    <row r="892" spans="3:9">
      <c r="C892" s="205"/>
      <c r="D892" s="205"/>
      <c r="E892" s="205"/>
      <c r="F892" s="205"/>
      <c r="G892" s="209"/>
      <c r="H892" s="209"/>
      <c r="I892" s="205"/>
    </row>
    <row r="893" spans="3:9">
      <c r="C893" s="205"/>
      <c r="D893" s="205"/>
      <c r="E893" s="205"/>
      <c r="F893" s="205"/>
      <c r="G893" s="209"/>
      <c r="H893" s="209"/>
      <c r="I893" s="205"/>
    </row>
    <row r="894" spans="3:9">
      <c r="C894" s="205"/>
      <c r="D894" s="205"/>
      <c r="E894" s="205"/>
      <c r="F894" s="205"/>
      <c r="G894" s="209"/>
      <c r="H894" s="209"/>
      <c r="I894" s="205"/>
    </row>
    <row r="895" spans="3:9">
      <c r="C895" s="205"/>
      <c r="D895" s="205"/>
      <c r="E895" s="205"/>
      <c r="F895" s="205"/>
      <c r="G895" s="209"/>
      <c r="H895" s="209"/>
      <c r="I895" s="205"/>
    </row>
    <row r="896" spans="3:9">
      <c r="C896" s="205"/>
      <c r="D896" s="205"/>
      <c r="E896" s="205"/>
      <c r="F896" s="205"/>
      <c r="G896" s="209"/>
      <c r="H896" s="209"/>
      <c r="I896" s="205"/>
    </row>
    <row r="897" spans="3:9">
      <c r="C897" s="205"/>
      <c r="D897" s="205"/>
      <c r="E897" s="205"/>
      <c r="F897" s="205"/>
      <c r="G897" s="209"/>
      <c r="H897" s="209"/>
      <c r="I897" s="205"/>
    </row>
    <row r="898" spans="3:9">
      <c r="C898" s="205"/>
      <c r="D898" s="205"/>
      <c r="E898" s="205"/>
      <c r="F898" s="205"/>
      <c r="G898" s="209"/>
      <c r="H898" s="209"/>
      <c r="I898" s="205"/>
    </row>
    <row r="899" spans="3:9">
      <c r="C899" s="205"/>
      <c r="D899" s="205"/>
      <c r="E899" s="205"/>
      <c r="F899" s="205"/>
      <c r="G899" s="209"/>
      <c r="H899" s="209"/>
      <c r="I899" s="205"/>
    </row>
    <row r="900" spans="3:9">
      <c r="C900" s="205"/>
      <c r="D900" s="205"/>
      <c r="E900" s="205"/>
      <c r="F900" s="205"/>
      <c r="G900" s="209"/>
      <c r="H900" s="209"/>
      <c r="I900" s="205"/>
    </row>
    <row r="901" spans="3:9">
      <c r="C901" s="205"/>
      <c r="D901" s="205"/>
      <c r="E901" s="205"/>
      <c r="F901" s="205"/>
      <c r="G901" s="209"/>
      <c r="H901" s="209"/>
      <c r="I901" s="205"/>
    </row>
    <row r="902" spans="3:9">
      <c r="C902" s="205"/>
      <c r="D902" s="205"/>
      <c r="E902" s="205"/>
      <c r="F902" s="205"/>
      <c r="G902" s="209"/>
      <c r="H902" s="209"/>
      <c r="I902" s="205"/>
    </row>
    <row r="903" spans="3:9">
      <c r="C903" s="205"/>
      <c r="D903" s="205"/>
      <c r="E903" s="205"/>
      <c r="F903" s="205"/>
      <c r="G903" s="209"/>
      <c r="H903" s="209"/>
      <c r="I903" s="205"/>
    </row>
    <row r="904" spans="3:9">
      <c r="C904" s="205"/>
      <c r="D904" s="205"/>
      <c r="E904" s="205"/>
      <c r="F904" s="205"/>
      <c r="G904" s="209"/>
      <c r="H904" s="209"/>
      <c r="I904" s="205"/>
    </row>
    <row r="905" spans="3:9">
      <c r="C905" s="205"/>
      <c r="D905" s="205"/>
      <c r="E905" s="205"/>
      <c r="F905" s="205"/>
      <c r="G905" s="209"/>
      <c r="H905" s="209"/>
      <c r="I905" s="205"/>
    </row>
    <row r="906" spans="3:9">
      <c r="C906" s="205"/>
      <c r="D906" s="205"/>
      <c r="E906" s="205"/>
      <c r="F906" s="205"/>
      <c r="G906" s="209"/>
      <c r="H906" s="209"/>
      <c r="I906" s="205"/>
    </row>
    <row r="907" spans="3:9">
      <c r="C907" s="205"/>
      <c r="D907" s="205"/>
      <c r="E907" s="205"/>
      <c r="F907" s="205"/>
      <c r="G907" s="209"/>
      <c r="H907" s="209"/>
      <c r="I907" s="205"/>
    </row>
    <row r="908" spans="3:9">
      <c r="C908" s="205"/>
      <c r="D908" s="205"/>
      <c r="E908" s="205"/>
      <c r="F908" s="205"/>
      <c r="G908" s="209"/>
      <c r="H908" s="209"/>
      <c r="I908" s="205"/>
    </row>
    <row r="909" spans="3:9">
      <c r="C909" s="205"/>
      <c r="D909" s="205"/>
      <c r="E909" s="205"/>
      <c r="F909" s="205"/>
      <c r="G909" s="209"/>
      <c r="H909" s="209"/>
      <c r="I909" s="205"/>
    </row>
    <row r="910" spans="3:9">
      <c r="C910" s="205"/>
      <c r="D910" s="205"/>
      <c r="E910" s="205"/>
      <c r="F910" s="205"/>
      <c r="G910" s="209"/>
      <c r="H910" s="209"/>
      <c r="I910" s="205"/>
    </row>
    <row r="911" spans="3:9">
      <c r="C911" s="205"/>
      <c r="D911" s="205"/>
      <c r="E911" s="205"/>
      <c r="F911" s="205"/>
      <c r="G911" s="209"/>
      <c r="H911" s="209"/>
      <c r="I911" s="205"/>
    </row>
    <row r="912" spans="3:9">
      <c r="C912" s="205"/>
      <c r="D912" s="205"/>
      <c r="E912" s="205"/>
      <c r="F912" s="205"/>
      <c r="G912" s="209"/>
      <c r="H912" s="209"/>
      <c r="I912" s="205"/>
    </row>
    <row r="913" spans="3:9">
      <c r="C913" s="205"/>
      <c r="D913" s="205"/>
      <c r="E913" s="205"/>
      <c r="F913" s="205"/>
      <c r="G913" s="209"/>
      <c r="H913" s="209"/>
      <c r="I913" s="205"/>
    </row>
    <row r="914" spans="3:9">
      <c r="C914" s="205"/>
      <c r="D914" s="205"/>
      <c r="E914" s="205"/>
      <c r="F914" s="205"/>
      <c r="G914" s="209"/>
      <c r="H914" s="209"/>
      <c r="I914" s="205"/>
    </row>
    <row r="915" spans="3:9">
      <c r="C915" s="205"/>
      <c r="D915" s="205"/>
      <c r="E915" s="205"/>
      <c r="F915" s="205"/>
      <c r="G915" s="209"/>
      <c r="H915" s="209"/>
      <c r="I915" s="205"/>
    </row>
    <row r="916" spans="3:9">
      <c r="C916" s="205"/>
      <c r="D916" s="205"/>
      <c r="E916" s="205"/>
      <c r="F916" s="205"/>
      <c r="G916" s="209"/>
      <c r="H916" s="209"/>
      <c r="I916" s="205"/>
    </row>
    <row r="917" spans="3:9">
      <c r="C917" s="205"/>
      <c r="D917" s="205"/>
      <c r="E917" s="205"/>
      <c r="F917" s="205"/>
      <c r="G917" s="209"/>
      <c r="H917" s="209"/>
      <c r="I917" s="205"/>
    </row>
    <row r="918" spans="3:9">
      <c r="C918" s="205"/>
      <c r="D918" s="205"/>
      <c r="E918" s="205"/>
      <c r="F918" s="205"/>
      <c r="G918" s="209"/>
      <c r="H918" s="209"/>
      <c r="I918" s="205"/>
    </row>
    <row r="919" spans="3:9">
      <c r="C919" s="205"/>
      <c r="D919" s="205"/>
      <c r="E919" s="205"/>
      <c r="F919" s="205"/>
      <c r="G919" s="209"/>
      <c r="H919" s="209"/>
      <c r="I919" s="205"/>
    </row>
    <row r="920" spans="3:9">
      <c r="C920" s="205"/>
      <c r="D920" s="205"/>
      <c r="E920" s="205"/>
      <c r="F920" s="205"/>
      <c r="G920" s="209"/>
      <c r="H920" s="209"/>
      <c r="I920" s="205"/>
    </row>
    <row r="921" spans="3:9">
      <c r="C921" s="205"/>
      <c r="D921" s="205"/>
      <c r="E921" s="205"/>
      <c r="F921" s="205"/>
      <c r="G921" s="209"/>
      <c r="H921" s="209"/>
      <c r="I921" s="205"/>
    </row>
    <row r="922" spans="3:9">
      <c r="C922" s="205"/>
      <c r="D922" s="205"/>
      <c r="E922" s="205"/>
      <c r="F922" s="205"/>
      <c r="G922" s="209"/>
      <c r="H922" s="209"/>
      <c r="I922" s="205"/>
    </row>
    <row r="923" spans="3:9">
      <c r="C923" s="205"/>
      <c r="D923" s="205"/>
      <c r="E923" s="205"/>
      <c r="F923" s="205"/>
      <c r="G923" s="209"/>
      <c r="H923" s="209"/>
      <c r="I923" s="205"/>
    </row>
    <row r="924" spans="3:9">
      <c r="C924" s="205"/>
      <c r="D924" s="205"/>
      <c r="E924" s="205"/>
      <c r="F924" s="205"/>
      <c r="G924" s="209"/>
      <c r="H924" s="209"/>
      <c r="I924" s="205"/>
    </row>
    <row r="925" spans="3:9">
      <c r="C925" s="205"/>
      <c r="D925" s="205"/>
      <c r="E925" s="205"/>
      <c r="F925" s="205"/>
      <c r="G925" s="209"/>
      <c r="H925" s="209"/>
      <c r="I925" s="205"/>
    </row>
    <row r="926" spans="3:9">
      <c r="C926" s="205"/>
      <c r="D926" s="205"/>
      <c r="E926" s="205"/>
      <c r="F926" s="205"/>
      <c r="G926" s="209"/>
      <c r="H926" s="209"/>
      <c r="I926" s="205"/>
    </row>
    <row r="927" spans="3:9">
      <c r="C927" s="205"/>
      <c r="D927" s="205"/>
      <c r="E927" s="205"/>
      <c r="F927" s="205"/>
      <c r="G927" s="209"/>
      <c r="H927" s="209"/>
      <c r="I927" s="205"/>
    </row>
    <row r="928" spans="3:9">
      <c r="C928" s="205"/>
      <c r="D928" s="205"/>
      <c r="E928" s="205"/>
      <c r="F928" s="205"/>
      <c r="G928" s="209"/>
      <c r="H928" s="209"/>
      <c r="I928" s="205"/>
    </row>
    <row r="929" spans="3:9">
      <c r="C929" s="205"/>
      <c r="D929" s="205"/>
      <c r="E929" s="205"/>
      <c r="F929" s="205"/>
      <c r="G929" s="209"/>
      <c r="H929" s="209"/>
      <c r="I929" s="205"/>
    </row>
    <row r="930" spans="3:9">
      <c r="C930" s="205"/>
      <c r="D930" s="205"/>
      <c r="E930" s="205"/>
      <c r="F930" s="205"/>
      <c r="G930" s="209"/>
      <c r="H930" s="209"/>
      <c r="I930" s="205"/>
    </row>
    <row r="931" spans="3:9">
      <c r="C931" s="205"/>
      <c r="D931" s="205"/>
      <c r="E931" s="205"/>
      <c r="F931" s="205"/>
      <c r="G931" s="209"/>
      <c r="H931" s="209"/>
      <c r="I931" s="205"/>
    </row>
    <row r="932" spans="3:9">
      <c r="C932" s="205"/>
      <c r="D932" s="205"/>
      <c r="E932" s="205"/>
      <c r="F932" s="205"/>
      <c r="G932" s="209"/>
      <c r="H932" s="209"/>
      <c r="I932" s="205"/>
    </row>
    <row r="933" spans="3:9">
      <c r="C933" s="205"/>
      <c r="D933" s="205"/>
      <c r="E933" s="205"/>
      <c r="F933" s="205"/>
      <c r="G933" s="209"/>
      <c r="H933" s="209"/>
      <c r="I933" s="205"/>
    </row>
    <row r="934" spans="3:9">
      <c r="C934" s="205"/>
      <c r="D934" s="205"/>
      <c r="E934" s="205"/>
      <c r="F934" s="205"/>
      <c r="G934" s="209"/>
      <c r="H934" s="209"/>
      <c r="I934" s="205"/>
    </row>
    <row r="935" spans="3:9">
      <c r="C935" s="205"/>
      <c r="D935" s="205"/>
      <c r="E935" s="205"/>
      <c r="F935" s="205"/>
      <c r="G935" s="209"/>
      <c r="H935" s="209"/>
      <c r="I935" s="205"/>
    </row>
    <row r="936" spans="3:9">
      <c r="C936" s="205"/>
      <c r="D936" s="205"/>
      <c r="E936" s="205"/>
      <c r="F936" s="205"/>
      <c r="G936" s="209"/>
      <c r="H936" s="209"/>
      <c r="I936" s="205"/>
    </row>
    <row r="937" spans="3:9">
      <c r="C937" s="205"/>
      <c r="D937" s="205"/>
      <c r="E937" s="205"/>
      <c r="F937" s="205"/>
      <c r="G937" s="209"/>
      <c r="H937" s="209"/>
      <c r="I937" s="205"/>
    </row>
    <row r="938" spans="3:9">
      <c r="C938" s="205"/>
      <c r="D938" s="205"/>
      <c r="E938" s="205"/>
      <c r="F938" s="205"/>
      <c r="G938" s="209"/>
      <c r="H938" s="209"/>
      <c r="I938" s="205"/>
    </row>
    <row r="939" spans="3:9">
      <c r="C939" s="205"/>
      <c r="D939" s="205"/>
      <c r="E939" s="205"/>
      <c r="F939" s="205"/>
      <c r="G939" s="209"/>
      <c r="H939" s="209"/>
      <c r="I939" s="205"/>
    </row>
    <row r="940" spans="3:9">
      <c r="C940" s="205"/>
      <c r="D940" s="205"/>
      <c r="E940" s="205"/>
      <c r="F940" s="205"/>
      <c r="G940" s="209"/>
      <c r="H940" s="209"/>
      <c r="I940" s="205"/>
    </row>
    <row r="941" spans="3:9">
      <c r="C941" s="205"/>
      <c r="D941" s="205"/>
      <c r="E941" s="205"/>
      <c r="F941" s="205"/>
      <c r="G941" s="209"/>
      <c r="H941" s="209"/>
      <c r="I941" s="205"/>
    </row>
    <row r="942" spans="3:9">
      <c r="C942" s="205"/>
      <c r="D942" s="205"/>
      <c r="E942" s="205"/>
      <c r="F942" s="205"/>
      <c r="G942" s="209"/>
      <c r="H942" s="209"/>
      <c r="I942" s="205"/>
    </row>
    <row r="943" spans="3:9">
      <c r="C943" s="205"/>
      <c r="D943" s="205"/>
      <c r="E943" s="205"/>
      <c r="F943" s="205"/>
      <c r="G943" s="209"/>
      <c r="H943" s="209"/>
      <c r="I943" s="205"/>
    </row>
    <row r="944" spans="3:9">
      <c r="C944" s="205"/>
      <c r="D944" s="205"/>
      <c r="E944" s="205"/>
      <c r="F944" s="205"/>
      <c r="G944" s="209"/>
      <c r="H944" s="209"/>
      <c r="I944" s="205"/>
    </row>
    <row r="945" spans="3:9">
      <c r="C945" s="205"/>
      <c r="D945" s="205"/>
      <c r="E945" s="205"/>
      <c r="F945" s="205"/>
      <c r="G945" s="209"/>
      <c r="H945" s="209"/>
      <c r="I945" s="205"/>
    </row>
    <row r="946" spans="3:9">
      <c r="C946" s="205"/>
      <c r="D946" s="205"/>
      <c r="E946" s="205"/>
      <c r="F946" s="205"/>
      <c r="G946" s="209"/>
      <c r="H946" s="209"/>
      <c r="I946" s="205"/>
    </row>
    <row r="947" spans="3:9">
      <c r="C947" s="205"/>
      <c r="D947" s="205"/>
      <c r="E947" s="205"/>
      <c r="F947" s="205"/>
      <c r="G947" s="209"/>
      <c r="H947" s="209"/>
      <c r="I947" s="205"/>
    </row>
    <row r="948" spans="3:9">
      <c r="C948" s="205"/>
      <c r="D948" s="205"/>
      <c r="E948" s="205"/>
      <c r="F948" s="205"/>
      <c r="G948" s="209"/>
      <c r="H948" s="209"/>
      <c r="I948" s="205"/>
    </row>
    <row r="949" spans="3:9">
      <c r="C949" s="205"/>
      <c r="D949" s="205"/>
      <c r="E949" s="205"/>
      <c r="F949" s="205"/>
      <c r="G949" s="209"/>
      <c r="H949" s="209"/>
      <c r="I949" s="205"/>
    </row>
    <row r="950" spans="3:9">
      <c r="C950" s="205"/>
      <c r="D950" s="205"/>
      <c r="E950" s="205"/>
      <c r="F950" s="205"/>
      <c r="G950" s="209"/>
      <c r="H950" s="209"/>
      <c r="I950" s="205"/>
    </row>
    <row r="951" spans="3:9">
      <c r="C951" s="205"/>
      <c r="D951" s="205"/>
      <c r="E951" s="205"/>
      <c r="F951" s="205"/>
      <c r="G951" s="209"/>
      <c r="H951" s="209"/>
      <c r="I951" s="205"/>
    </row>
    <row r="952" spans="3:9">
      <c r="C952" s="205"/>
      <c r="D952" s="205"/>
      <c r="E952" s="205"/>
      <c r="F952" s="205"/>
      <c r="G952" s="209"/>
      <c r="H952" s="209"/>
      <c r="I952" s="205"/>
    </row>
    <row r="953" spans="3:9">
      <c r="C953" s="205"/>
      <c r="D953" s="205"/>
      <c r="E953" s="205"/>
      <c r="F953" s="205"/>
      <c r="G953" s="209"/>
      <c r="H953" s="209"/>
      <c r="I953" s="205"/>
    </row>
    <row r="954" spans="3:9">
      <c r="C954" s="205"/>
      <c r="D954" s="205"/>
      <c r="E954" s="205"/>
      <c r="F954" s="205"/>
      <c r="G954" s="209"/>
      <c r="H954" s="209"/>
      <c r="I954" s="205"/>
    </row>
    <row r="955" spans="3:9">
      <c r="C955" s="205"/>
      <c r="D955" s="205"/>
      <c r="E955" s="205"/>
      <c r="F955" s="205"/>
      <c r="G955" s="209"/>
      <c r="H955" s="209"/>
      <c r="I955" s="205"/>
    </row>
    <row r="956" spans="3:9">
      <c r="C956" s="205"/>
      <c r="D956" s="205"/>
      <c r="E956" s="205"/>
      <c r="F956" s="205"/>
      <c r="G956" s="209"/>
      <c r="H956" s="209"/>
      <c r="I956" s="205"/>
    </row>
    <row r="957" spans="3:9">
      <c r="C957" s="205"/>
      <c r="D957" s="205"/>
      <c r="E957" s="205"/>
      <c r="F957" s="205"/>
      <c r="G957" s="209"/>
      <c r="H957" s="209"/>
      <c r="I957" s="205"/>
    </row>
    <row r="958" spans="3:9">
      <c r="C958" s="205"/>
      <c r="D958" s="205"/>
      <c r="E958" s="205"/>
      <c r="F958" s="205"/>
      <c r="G958" s="209"/>
      <c r="H958" s="209"/>
      <c r="I958" s="205"/>
    </row>
    <row r="959" spans="3:9">
      <c r="C959" s="205"/>
      <c r="D959" s="205"/>
      <c r="E959" s="205"/>
      <c r="F959" s="205"/>
      <c r="G959" s="209"/>
      <c r="H959" s="209"/>
      <c r="I959" s="205"/>
    </row>
    <row r="960" spans="3:9">
      <c r="C960" s="205"/>
      <c r="D960" s="205"/>
      <c r="E960" s="205"/>
      <c r="F960" s="205"/>
      <c r="G960" s="209"/>
      <c r="H960" s="209"/>
      <c r="I960" s="205"/>
    </row>
    <row r="961" spans="3:9">
      <c r="C961" s="205"/>
      <c r="D961" s="205"/>
      <c r="E961" s="205"/>
      <c r="F961" s="205"/>
      <c r="G961" s="209"/>
      <c r="H961" s="209"/>
      <c r="I961" s="205"/>
    </row>
    <row r="962" spans="3:9">
      <c r="C962" s="205"/>
      <c r="D962" s="205"/>
      <c r="E962" s="205"/>
      <c r="F962" s="205"/>
      <c r="G962" s="209"/>
      <c r="H962" s="209"/>
      <c r="I962" s="205"/>
    </row>
    <row r="963" spans="3:9">
      <c r="C963" s="205"/>
      <c r="D963" s="205"/>
      <c r="E963" s="205"/>
      <c r="F963" s="205"/>
      <c r="G963" s="209"/>
      <c r="H963" s="209"/>
      <c r="I963" s="205"/>
    </row>
    <row r="964" spans="3:9">
      <c r="C964" s="205"/>
      <c r="D964" s="205"/>
      <c r="E964" s="205"/>
      <c r="F964" s="205"/>
      <c r="G964" s="209"/>
      <c r="H964" s="209"/>
      <c r="I964" s="205"/>
    </row>
    <row r="965" spans="3:9">
      <c r="C965" s="205"/>
      <c r="D965" s="205"/>
      <c r="E965" s="205"/>
      <c r="F965" s="205"/>
      <c r="G965" s="209"/>
      <c r="H965" s="209"/>
      <c r="I965" s="205"/>
    </row>
    <row r="966" spans="3:9">
      <c r="C966" s="205"/>
      <c r="D966" s="205"/>
      <c r="E966" s="205"/>
      <c r="F966" s="205"/>
      <c r="G966" s="209"/>
      <c r="H966" s="209"/>
      <c r="I966" s="205"/>
    </row>
    <row r="967" spans="3:9">
      <c r="C967" s="205"/>
      <c r="D967" s="205"/>
      <c r="E967" s="205"/>
      <c r="F967" s="205"/>
      <c r="G967" s="209"/>
      <c r="H967" s="209"/>
      <c r="I967" s="205"/>
    </row>
    <row r="968" spans="3:9">
      <c r="C968" s="205"/>
      <c r="D968" s="205"/>
      <c r="E968" s="205"/>
      <c r="F968" s="205"/>
      <c r="G968" s="209"/>
      <c r="H968" s="209"/>
      <c r="I968" s="205"/>
    </row>
    <row r="969" spans="3:9">
      <c r="C969" s="205"/>
      <c r="D969" s="205"/>
      <c r="E969" s="205"/>
      <c r="F969" s="205"/>
      <c r="G969" s="209"/>
      <c r="H969" s="209"/>
      <c r="I969" s="205"/>
    </row>
    <row r="970" spans="3:9">
      <c r="C970" s="205"/>
      <c r="D970" s="205"/>
      <c r="E970" s="205"/>
      <c r="F970" s="205"/>
      <c r="G970" s="209"/>
      <c r="H970" s="209"/>
      <c r="I970" s="205"/>
    </row>
    <row r="971" spans="3:9">
      <c r="C971" s="205"/>
      <c r="D971" s="205"/>
      <c r="E971" s="205"/>
      <c r="F971" s="205"/>
      <c r="G971" s="209"/>
      <c r="H971" s="209"/>
      <c r="I971" s="205"/>
    </row>
    <row r="972" spans="3:9">
      <c r="C972" s="205"/>
      <c r="D972" s="205"/>
      <c r="E972" s="205"/>
      <c r="F972" s="205"/>
      <c r="G972" s="209"/>
      <c r="H972" s="209"/>
      <c r="I972" s="205"/>
    </row>
    <row r="973" spans="3:9">
      <c r="C973" s="205"/>
      <c r="D973" s="205"/>
      <c r="E973" s="205"/>
      <c r="F973" s="205"/>
      <c r="G973" s="209"/>
      <c r="H973" s="209"/>
      <c r="I973" s="205"/>
    </row>
    <row r="974" spans="3:9">
      <c r="C974" s="205"/>
      <c r="D974" s="205"/>
      <c r="E974" s="205"/>
      <c r="F974" s="205"/>
      <c r="G974" s="209"/>
      <c r="H974" s="209"/>
      <c r="I974" s="205"/>
    </row>
    <row r="975" spans="3:9">
      <c r="C975" s="205"/>
      <c r="D975" s="205"/>
      <c r="E975" s="205"/>
      <c r="F975" s="205"/>
      <c r="G975" s="209"/>
      <c r="H975" s="209"/>
      <c r="I975" s="205"/>
    </row>
    <row r="976" spans="3:9">
      <c r="C976" s="205"/>
      <c r="D976" s="205"/>
      <c r="E976" s="205"/>
      <c r="F976" s="205"/>
      <c r="G976" s="209"/>
      <c r="H976" s="209"/>
      <c r="I976" s="205"/>
    </row>
    <row r="977" spans="3:9">
      <c r="C977" s="205"/>
      <c r="D977" s="205"/>
      <c r="E977" s="205"/>
      <c r="F977" s="205"/>
      <c r="G977" s="209"/>
      <c r="H977" s="209"/>
      <c r="I977" s="205"/>
    </row>
    <row r="978" spans="3:9">
      <c r="C978" s="205"/>
      <c r="D978" s="205"/>
      <c r="E978" s="205"/>
      <c r="F978" s="205"/>
      <c r="G978" s="209"/>
      <c r="H978" s="209"/>
      <c r="I978" s="205"/>
    </row>
    <row r="979" spans="3:9">
      <c r="C979" s="205"/>
      <c r="D979" s="205"/>
      <c r="E979" s="205"/>
      <c r="F979" s="205"/>
      <c r="G979" s="209"/>
      <c r="H979" s="209"/>
      <c r="I979" s="205"/>
    </row>
    <row r="980" spans="3:9">
      <c r="C980" s="205"/>
      <c r="D980" s="205"/>
      <c r="E980" s="205"/>
      <c r="F980" s="205"/>
      <c r="G980" s="209"/>
      <c r="H980" s="209"/>
      <c r="I980" s="205"/>
    </row>
    <row r="981" spans="3:9">
      <c r="C981" s="205"/>
      <c r="D981" s="205"/>
      <c r="E981" s="205"/>
      <c r="F981" s="205"/>
      <c r="G981" s="209"/>
      <c r="H981" s="209"/>
      <c r="I981" s="205"/>
    </row>
    <row r="982" spans="3:9">
      <c r="C982" s="205"/>
      <c r="D982" s="205"/>
      <c r="E982" s="205"/>
      <c r="F982" s="205"/>
      <c r="G982" s="209"/>
      <c r="H982" s="209"/>
      <c r="I982" s="205"/>
    </row>
    <row r="983" spans="3:9">
      <c r="C983" s="205"/>
      <c r="D983" s="205"/>
      <c r="E983" s="205"/>
      <c r="F983" s="205"/>
      <c r="G983" s="209"/>
      <c r="H983" s="209"/>
      <c r="I983" s="205"/>
    </row>
    <row r="984" spans="3:9">
      <c r="C984" s="205"/>
      <c r="D984" s="205"/>
      <c r="E984" s="205"/>
      <c r="F984" s="205"/>
      <c r="G984" s="209"/>
      <c r="H984" s="209"/>
      <c r="I984" s="205"/>
    </row>
    <row r="985" spans="3:9">
      <c r="C985" s="205"/>
      <c r="D985" s="205"/>
      <c r="E985" s="205"/>
      <c r="F985" s="205"/>
      <c r="G985" s="209"/>
      <c r="H985" s="209"/>
      <c r="I985" s="205"/>
    </row>
    <row r="986" spans="3:9">
      <c r="C986" s="205"/>
      <c r="D986" s="205"/>
      <c r="E986" s="205"/>
      <c r="F986" s="205"/>
      <c r="G986" s="209"/>
      <c r="H986" s="209"/>
      <c r="I986" s="205"/>
    </row>
    <row r="987" spans="3:9">
      <c r="C987" s="205"/>
      <c r="D987" s="205"/>
      <c r="E987" s="205"/>
      <c r="F987" s="205"/>
      <c r="G987" s="209"/>
      <c r="H987" s="209"/>
      <c r="I987" s="205"/>
    </row>
    <row r="988" spans="3:9">
      <c r="C988" s="205"/>
      <c r="D988" s="205"/>
      <c r="E988" s="205"/>
      <c r="F988" s="205"/>
      <c r="G988" s="209"/>
      <c r="H988" s="209"/>
      <c r="I988" s="205"/>
    </row>
    <row r="989" spans="3:9">
      <c r="C989" s="205"/>
      <c r="D989" s="205"/>
      <c r="E989" s="205"/>
      <c r="F989" s="205"/>
      <c r="G989" s="209"/>
      <c r="H989" s="209"/>
      <c r="I989" s="205"/>
    </row>
    <row r="990" spans="3:9">
      <c r="C990" s="205"/>
      <c r="D990" s="205"/>
      <c r="E990" s="205"/>
      <c r="F990" s="205"/>
      <c r="G990" s="209"/>
      <c r="H990" s="209"/>
      <c r="I990" s="205"/>
    </row>
    <row r="991" spans="3:9">
      <c r="C991" s="205"/>
      <c r="D991" s="205"/>
      <c r="E991" s="205"/>
      <c r="F991" s="205"/>
      <c r="G991" s="209"/>
      <c r="H991" s="209"/>
      <c r="I991" s="205"/>
    </row>
    <row r="992" spans="3:9">
      <c r="C992" s="205"/>
      <c r="D992" s="205"/>
      <c r="E992" s="205"/>
      <c r="F992" s="205"/>
      <c r="G992" s="209"/>
      <c r="H992" s="209"/>
      <c r="I992" s="205"/>
    </row>
    <row r="993" spans="3:9">
      <c r="C993" s="205"/>
      <c r="D993" s="205"/>
      <c r="E993" s="205"/>
      <c r="F993" s="205"/>
      <c r="G993" s="209"/>
      <c r="H993" s="209"/>
      <c r="I993" s="205"/>
    </row>
    <row r="994" spans="3:9">
      <c r="C994" s="205"/>
      <c r="D994" s="205"/>
      <c r="E994" s="205"/>
      <c r="F994" s="205"/>
      <c r="G994" s="209"/>
      <c r="H994" s="209"/>
      <c r="I994" s="205"/>
    </row>
    <row r="995" spans="3:9">
      <c r="C995" s="205"/>
      <c r="D995" s="205"/>
      <c r="E995" s="205"/>
      <c r="F995" s="205"/>
      <c r="G995" s="209"/>
      <c r="H995" s="209"/>
      <c r="I995" s="205"/>
    </row>
    <row r="996" spans="3:9">
      <c r="C996" s="205"/>
      <c r="D996" s="205"/>
      <c r="E996" s="205"/>
      <c r="F996" s="205"/>
      <c r="G996" s="209"/>
      <c r="H996" s="209"/>
      <c r="I996" s="205"/>
    </row>
    <row r="997" spans="3:9">
      <c r="C997" s="205"/>
      <c r="D997" s="205"/>
      <c r="E997" s="205"/>
      <c r="F997" s="205"/>
      <c r="G997" s="209"/>
      <c r="H997" s="209"/>
      <c r="I997" s="205"/>
    </row>
    <row r="998" spans="3:9">
      <c r="C998" s="205"/>
      <c r="D998" s="205"/>
      <c r="E998" s="205"/>
      <c r="F998" s="205"/>
      <c r="G998" s="209"/>
      <c r="H998" s="209"/>
      <c r="I998" s="205"/>
    </row>
    <row r="999" spans="3:9">
      <c r="C999" s="205"/>
      <c r="D999" s="205"/>
      <c r="E999" s="205"/>
      <c r="F999" s="205"/>
      <c r="G999" s="209"/>
      <c r="H999" s="209"/>
      <c r="I999" s="205"/>
    </row>
    <row r="1000" spans="3:9">
      <c r="C1000" s="205"/>
      <c r="D1000" s="205"/>
      <c r="E1000" s="205"/>
      <c r="F1000" s="205"/>
      <c r="G1000" s="209"/>
      <c r="H1000" s="209"/>
      <c r="I1000" s="205"/>
    </row>
    <row r="1001" spans="3:9">
      <c r="C1001" s="205"/>
      <c r="D1001" s="205"/>
      <c r="E1001" s="205"/>
      <c r="F1001" s="205"/>
      <c r="G1001" s="209"/>
      <c r="H1001" s="209"/>
      <c r="I1001" s="205"/>
    </row>
    <row r="1002" spans="3:9">
      <c r="C1002" s="205"/>
      <c r="D1002" s="205"/>
      <c r="E1002" s="205"/>
      <c r="F1002" s="205"/>
      <c r="G1002" s="209"/>
      <c r="H1002" s="209"/>
      <c r="I1002" s="205"/>
    </row>
    <row r="1003" spans="3:9">
      <c r="C1003" s="205"/>
      <c r="D1003" s="205"/>
      <c r="E1003" s="205"/>
      <c r="F1003" s="205"/>
      <c r="G1003" s="209"/>
      <c r="H1003" s="209"/>
      <c r="I1003" s="205"/>
    </row>
    <row r="1004" spans="3:9">
      <c r="C1004" s="205"/>
      <c r="D1004" s="205"/>
      <c r="E1004" s="205"/>
      <c r="F1004" s="205"/>
      <c r="G1004" s="209"/>
      <c r="H1004" s="209"/>
      <c r="I1004" s="205"/>
    </row>
    <row r="1005" spans="3:9">
      <c r="C1005" s="205"/>
      <c r="D1005" s="205"/>
      <c r="E1005" s="205"/>
      <c r="F1005" s="205"/>
      <c r="G1005" s="209"/>
      <c r="H1005" s="209"/>
      <c r="I1005" s="205"/>
    </row>
    <row r="1006" spans="3:9">
      <c r="C1006" s="205"/>
      <c r="D1006" s="205"/>
      <c r="E1006" s="205"/>
      <c r="F1006" s="205"/>
      <c r="G1006" s="209"/>
      <c r="H1006" s="209"/>
      <c r="I1006" s="205"/>
    </row>
    <row r="1007" spans="3:9">
      <c r="C1007" s="205"/>
      <c r="D1007" s="205"/>
      <c r="E1007" s="205"/>
      <c r="F1007" s="205"/>
      <c r="G1007" s="209"/>
      <c r="H1007" s="209"/>
      <c r="I1007" s="205"/>
    </row>
    <row r="1008" spans="3:9">
      <c r="C1008" s="205"/>
      <c r="D1008" s="205"/>
      <c r="E1008" s="205"/>
      <c r="F1008" s="205"/>
      <c r="G1008" s="209"/>
      <c r="H1008" s="209"/>
      <c r="I1008" s="205"/>
    </row>
    <row r="1009" spans="3:9">
      <c r="C1009" s="205"/>
      <c r="D1009" s="205"/>
      <c r="E1009" s="205"/>
      <c r="F1009" s="205"/>
      <c r="G1009" s="209"/>
      <c r="H1009" s="209"/>
      <c r="I1009" s="205"/>
    </row>
    <row r="1010" spans="3:9">
      <c r="C1010" s="205"/>
      <c r="D1010" s="205"/>
      <c r="E1010" s="205"/>
      <c r="F1010" s="205"/>
      <c r="G1010" s="209"/>
      <c r="H1010" s="209"/>
      <c r="I1010" s="205"/>
    </row>
    <row r="1011" spans="3:9">
      <c r="C1011" s="205"/>
      <c r="D1011" s="205"/>
      <c r="E1011" s="205"/>
      <c r="F1011" s="205"/>
      <c r="G1011" s="209"/>
      <c r="H1011" s="209"/>
      <c r="I1011" s="205"/>
    </row>
    <row r="1012" spans="3:9">
      <c r="C1012" s="205"/>
      <c r="D1012" s="205"/>
      <c r="E1012" s="205"/>
      <c r="F1012" s="205"/>
      <c r="G1012" s="209"/>
      <c r="H1012" s="209"/>
      <c r="I1012" s="205"/>
    </row>
    <row r="1013" spans="3:9">
      <c r="C1013" s="205"/>
      <c r="D1013" s="205"/>
      <c r="E1013" s="205"/>
      <c r="F1013" s="205"/>
      <c r="G1013" s="209"/>
      <c r="H1013" s="209"/>
      <c r="I1013" s="205"/>
    </row>
    <row r="1014" spans="3:9">
      <c r="C1014" s="205"/>
      <c r="D1014" s="205"/>
      <c r="E1014" s="205"/>
      <c r="F1014" s="205"/>
      <c r="G1014" s="209"/>
      <c r="H1014" s="209"/>
      <c r="I1014" s="205"/>
    </row>
    <row r="1015" spans="3:9">
      <c r="C1015" s="205"/>
      <c r="D1015" s="205"/>
      <c r="E1015" s="205"/>
      <c r="F1015" s="205"/>
      <c r="G1015" s="209"/>
      <c r="H1015" s="209"/>
      <c r="I1015" s="205"/>
    </row>
    <row r="1016" spans="3:9">
      <c r="C1016" s="205"/>
      <c r="D1016" s="205"/>
      <c r="E1016" s="205"/>
      <c r="F1016" s="205"/>
      <c r="G1016" s="209"/>
      <c r="H1016" s="209"/>
      <c r="I1016" s="205"/>
    </row>
    <row r="1017" spans="3:9">
      <c r="C1017" s="205"/>
      <c r="D1017" s="205"/>
      <c r="E1017" s="205"/>
      <c r="F1017" s="205"/>
      <c r="G1017" s="209"/>
      <c r="H1017" s="209"/>
      <c r="I1017" s="205"/>
    </row>
    <row r="1018" spans="3:9">
      <c r="C1018" s="205"/>
      <c r="D1018" s="205"/>
      <c r="E1018" s="205"/>
      <c r="F1018" s="205"/>
      <c r="G1018" s="209"/>
      <c r="H1018" s="209"/>
      <c r="I1018" s="205"/>
    </row>
    <row r="1019" spans="3:9">
      <c r="C1019" s="205"/>
      <c r="D1019" s="205"/>
      <c r="E1019" s="205"/>
      <c r="F1019" s="205"/>
      <c r="G1019" s="209"/>
      <c r="H1019" s="209"/>
      <c r="I1019" s="205"/>
    </row>
    <row r="1020" spans="3:9">
      <c r="C1020" s="205"/>
      <c r="D1020" s="205"/>
      <c r="E1020" s="205"/>
      <c r="F1020" s="205"/>
      <c r="G1020" s="209"/>
      <c r="H1020" s="209"/>
      <c r="I1020" s="205"/>
    </row>
    <row r="1021" spans="3:9">
      <c r="C1021" s="205"/>
      <c r="D1021" s="205"/>
      <c r="E1021" s="205"/>
      <c r="F1021" s="205"/>
      <c r="G1021" s="209"/>
      <c r="H1021" s="209"/>
      <c r="I1021" s="205"/>
    </row>
    <row r="1022" spans="3:9">
      <c r="C1022" s="205"/>
      <c r="D1022" s="205"/>
      <c r="E1022" s="205"/>
      <c r="F1022" s="205"/>
      <c r="G1022" s="209"/>
      <c r="H1022" s="209"/>
      <c r="I1022" s="205"/>
    </row>
    <row r="1023" spans="3:9">
      <c r="C1023" s="205"/>
      <c r="D1023" s="205"/>
      <c r="E1023" s="205"/>
      <c r="F1023" s="205"/>
      <c r="G1023" s="209"/>
      <c r="H1023" s="209"/>
      <c r="I1023" s="205"/>
    </row>
    <row r="1024" spans="3:9">
      <c r="C1024" s="205"/>
      <c r="D1024" s="205"/>
      <c r="E1024" s="205"/>
      <c r="F1024" s="205"/>
      <c r="G1024" s="209"/>
      <c r="H1024" s="209"/>
      <c r="I1024" s="205"/>
    </row>
    <row r="1025" spans="3:9">
      <c r="C1025" s="205"/>
      <c r="D1025" s="205"/>
      <c r="E1025" s="205"/>
      <c r="F1025" s="205"/>
      <c r="G1025" s="209"/>
      <c r="H1025" s="209"/>
      <c r="I1025" s="205"/>
    </row>
    <row r="1026" spans="3:9">
      <c r="C1026" s="205"/>
      <c r="D1026" s="205"/>
      <c r="E1026" s="205"/>
      <c r="F1026" s="205"/>
      <c r="G1026" s="209"/>
      <c r="H1026" s="209"/>
      <c r="I1026" s="205"/>
    </row>
    <row r="1027" spans="3:9">
      <c r="C1027" s="205"/>
      <c r="D1027" s="205"/>
      <c r="E1027" s="205"/>
      <c r="F1027" s="205"/>
      <c r="G1027" s="209"/>
      <c r="H1027" s="209"/>
      <c r="I1027" s="205"/>
    </row>
    <row r="1028" spans="3:9">
      <c r="C1028" s="205"/>
      <c r="D1028" s="205"/>
      <c r="E1028" s="205"/>
      <c r="F1028" s="205"/>
      <c r="G1028" s="209"/>
      <c r="H1028" s="209"/>
      <c r="I1028" s="205"/>
    </row>
    <row r="1029" spans="3:9">
      <c r="C1029" s="205"/>
      <c r="D1029" s="205"/>
      <c r="E1029" s="205"/>
      <c r="F1029" s="205"/>
      <c r="G1029" s="209"/>
      <c r="H1029" s="209"/>
      <c r="I1029" s="205"/>
    </row>
    <row r="1030" spans="3:9">
      <c r="C1030" s="205"/>
      <c r="D1030" s="205"/>
      <c r="E1030" s="205"/>
      <c r="F1030" s="205"/>
      <c r="G1030" s="209"/>
      <c r="H1030" s="209"/>
      <c r="I1030" s="205"/>
    </row>
    <row r="1031" spans="3:9">
      <c r="C1031" s="205"/>
      <c r="D1031" s="205"/>
      <c r="E1031" s="205"/>
      <c r="F1031" s="205"/>
      <c r="G1031" s="209"/>
      <c r="H1031" s="209"/>
      <c r="I1031" s="205"/>
    </row>
    <row r="1032" spans="3:9">
      <c r="C1032" s="205"/>
      <c r="D1032" s="205"/>
      <c r="E1032" s="205"/>
      <c r="F1032" s="205"/>
      <c r="G1032" s="209"/>
      <c r="H1032" s="209"/>
      <c r="I1032" s="205"/>
    </row>
    <row r="1033" spans="3:9">
      <c r="C1033" s="205"/>
      <c r="D1033" s="205"/>
      <c r="E1033" s="205"/>
      <c r="F1033" s="205"/>
      <c r="G1033" s="209"/>
      <c r="H1033" s="209"/>
      <c r="I1033" s="205"/>
    </row>
    <row r="1034" spans="3:9">
      <c r="C1034" s="205"/>
      <c r="D1034" s="205"/>
      <c r="E1034" s="205"/>
      <c r="F1034" s="205"/>
      <c r="G1034" s="209"/>
      <c r="H1034" s="209"/>
      <c r="I1034" s="205"/>
    </row>
    <row r="1035" spans="3:9">
      <c r="C1035" s="205"/>
      <c r="D1035" s="205"/>
      <c r="E1035" s="205"/>
      <c r="F1035" s="205"/>
      <c r="G1035" s="209"/>
      <c r="H1035" s="209"/>
      <c r="I1035" s="205"/>
    </row>
    <row r="1036" spans="3:9">
      <c r="C1036" s="205"/>
      <c r="D1036" s="205"/>
      <c r="E1036" s="205"/>
      <c r="F1036" s="205"/>
      <c r="G1036" s="209"/>
      <c r="H1036" s="209"/>
      <c r="I1036" s="205"/>
    </row>
    <row r="1037" spans="3:9">
      <c r="C1037" s="205"/>
      <c r="D1037" s="205"/>
      <c r="E1037" s="205"/>
      <c r="F1037" s="205"/>
      <c r="G1037" s="209"/>
      <c r="H1037" s="209"/>
      <c r="I1037" s="205"/>
    </row>
    <row r="1038" spans="3:9">
      <c r="C1038" s="205"/>
      <c r="D1038" s="205"/>
      <c r="E1038" s="205"/>
      <c r="F1038" s="205"/>
      <c r="G1038" s="209"/>
      <c r="H1038" s="209"/>
      <c r="I1038" s="205"/>
    </row>
    <row r="1039" spans="3:9">
      <c r="C1039" s="205"/>
      <c r="D1039" s="205"/>
      <c r="E1039" s="205"/>
      <c r="F1039" s="205"/>
      <c r="G1039" s="209"/>
      <c r="H1039" s="209"/>
      <c r="I1039" s="205"/>
    </row>
    <row r="1040" spans="3:9">
      <c r="C1040" s="205"/>
      <c r="D1040" s="205"/>
      <c r="E1040" s="205"/>
      <c r="F1040" s="205"/>
      <c r="G1040" s="209"/>
      <c r="H1040" s="209"/>
      <c r="I1040" s="205"/>
    </row>
    <row r="1041" spans="3:9">
      <c r="C1041" s="205"/>
      <c r="D1041" s="205"/>
      <c r="E1041" s="205"/>
      <c r="F1041" s="205"/>
      <c r="G1041" s="209"/>
      <c r="H1041" s="209"/>
      <c r="I1041" s="205"/>
    </row>
    <row r="1042" spans="3:9">
      <c r="C1042" s="205"/>
      <c r="D1042" s="205"/>
      <c r="E1042" s="205"/>
      <c r="F1042" s="205"/>
      <c r="G1042" s="209"/>
      <c r="H1042" s="209"/>
      <c r="I1042" s="205"/>
    </row>
    <row r="1043" spans="3:9">
      <c r="C1043" s="205"/>
      <c r="D1043" s="205"/>
      <c r="E1043" s="205"/>
      <c r="F1043" s="205"/>
      <c r="G1043" s="209"/>
      <c r="H1043" s="209"/>
      <c r="I1043" s="205"/>
    </row>
    <row r="1044" spans="3:9">
      <c r="C1044" s="205"/>
      <c r="D1044" s="205"/>
      <c r="E1044" s="205"/>
      <c r="F1044" s="205"/>
      <c r="G1044" s="209"/>
      <c r="H1044" s="209"/>
      <c r="I1044" s="205"/>
    </row>
    <row r="1045" spans="3:9">
      <c r="C1045" s="205"/>
      <c r="D1045" s="205"/>
      <c r="E1045" s="205"/>
      <c r="F1045" s="205"/>
      <c r="G1045" s="209"/>
      <c r="H1045" s="209"/>
      <c r="I1045" s="205"/>
    </row>
    <row r="1046" spans="3:9">
      <c r="C1046" s="205"/>
      <c r="D1046" s="205"/>
      <c r="E1046" s="205"/>
      <c r="F1046" s="205"/>
      <c r="G1046" s="209"/>
      <c r="H1046" s="209"/>
      <c r="I1046" s="205"/>
    </row>
    <row r="1047" spans="3:9">
      <c r="C1047" s="205"/>
      <c r="D1047" s="205"/>
      <c r="E1047" s="205"/>
      <c r="F1047" s="205"/>
      <c r="G1047" s="209"/>
      <c r="H1047" s="209"/>
      <c r="I1047" s="205"/>
    </row>
    <row r="1048" spans="3:9">
      <c r="C1048" s="205"/>
      <c r="D1048" s="205"/>
      <c r="E1048" s="205"/>
      <c r="F1048" s="205"/>
      <c r="G1048" s="209"/>
      <c r="H1048" s="209"/>
      <c r="I1048" s="205"/>
    </row>
    <row r="1049" spans="3:9">
      <c r="C1049" s="205"/>
      <c r="D1049" s="205"/>
      <c r="E1049" s="205"/>
      <c r="F1049" s="205"/>
      <c r="G1049" s="209"/>
      <c r="H1049" s="209"/>
      <c r="I1049" s="205"/>
    </row>
    <row r="1050" spans="3:9">
      <c r="C1050" s="205"/>
      <c r="D1050" s="205"/>
      <c r="E1050" s="205"/>
      <c r="F1050" s="205"/>
      <c r="G1050" s="209"/>
      <c r="H1050" s="209"/>
      <c r="I1050" s="205"/>
    </row>
    <row r="1051" spans="3:9">
      <c r="C1051" s="205"/>
      <c r="D1051" s="205"/>
      <c r="E1051" s="205"/>
      <c r="F1051" s="205"/>
      <c r="G1051" s="209"/>
      <c r="H1051" s="209"/>
      <c r="I1051" s="205"/>
    </row>
    <row r="1052" spans="3:9">
      <c r="C1052" s="205"/>
      <c r="D1052" s="205"/>
      <c r="E1052" s="205"/>
      <c r="F1052" s="205"/>
      <c r="G1052" s="209"/>
      <c r="H1052" s="209"/>
      <c r="I1052" s="205"/>
    </row>
    <row r="1053" spans="3:9">
      <c r="C1053" s="205"/>
      <c r="D1053" s="205"/>
      <c r="E1053" s="205"/>
      <c r="F1053" s="205"/>
      <c r="G1053" s="209"/>
      <c r="H1053" s="209"/>
      <c r="I1053" s="205"/>
    </row>
    <row r="1054" spans="3:9">
      <c r="C1054" s="205"/>
      <c r="D1054" s="205"/>
      <c r="E1054" s="205"/>
      <c r="F1054" s="205"/>
      <c r="G1054" s="209"/>
      <c r="H1054" s="209"/>
      <c r="I1054" s="205"/>
    </row>
    <row r="1055" spans="3:9">
      <c r="C1055" s="205"/>
      <c r="D1055" s="205"/>
      <c r="E1055" s="205"/>
      <c r="F1055" s="205"/>
      <c r="G1055" s="209"/>
      <c r="H1055" s="209"/>
      <c r="I1055" s="205"/>
    </row>
    <row r="1056" spans="3:9">
      <c r="C1056" s="205"/>
      <c r="D1056" s="205"/>
      <c r="E1056" s="205"/>
      <c r="F1056" s="205"/>
      <c r="G1056" s="209"/>
      <c r="H1056" s="209"/>
      <c r="I1056" s="205"/>
    </row>
    <row r="1057" spans="3:9">
      <c r="C1057" s="205"/>
      <c r="D1057" s="205"/>
      <c r="E1057" s="205"/>
      <c r="F1057" s="205"/>
      <c r="G1057" s="209"/>
      <c r="H1057" s="209"/>
      <c r="I1057" s="205"/>
    </row>
    <row r="1058" spans="3:9">
      <c r="C1058" s="205"/>
      <c r="D1058" s="205"/>
      <c r="E1058" s="205"/>
      <c r="F1058" s="205"/>
      <c r="G1058" s="209"/>
      <c r="H1058" s="209"/>
      <c r="I1058" s="205"/>
    </row>
    <row r="1059" spans="3:9">
      <c r="C1059" s="205"/>
      <c r="D1059" s="205"/>
      <c r="E1059" s="205"/>
      <c r="F1059" s="205"/>
      <c r="G1059" s="209"/>
      <c r="H1059" s="209"/>
      <c r="I1059" s="205"/>
    </row>
    <row r="1060" spans="3:9">
      <c r="C1060" s="205"/>
      <c r="D1060" s="205"/>
      <c r="E1060" s="205"/>
      <c r="F1060" s="205"/>
      <c r="G1060" s="209"/>
      <c r="H1060" s="209"/>
      <c r="I1060" s="205"/>
    </row>
    <row r="1061" spans="3:9">
      <c r="C1061" s="205"/>
      <c r="D1061" s="205"/>
      <c r="E1061" s="205"/>
      <c r="F1061" s="205"/>
      <c r="G1061" s="209"/>
      <c r="H1061" s="209"/>
      <c r="I1061" s="205"/>
    </row>
    <row r="1062" spans="3:9">
      <c r="C1062" s="205"/>
      <c r="D1062" s="205"/>
      <c r="E1062" s="205"/>
      <c r="F1062" s="205"/>
      <c r="G1062" s="209"/>
      <c r="H1062" s="209"/>
      <c r="I1062" s="205"/>
    </row>
    <row r="1063" spans="3:9">
      <c r="C1063" s="205"/>
      <c r="D1063" s="205"/>
      <c r="E1063" s="205"/>
      <c r="F1063" s="205"/>
      <c r="G1063" s="209"/>
      <c r="H1063" s="209"/>
      <c r="I1063" s="205"/>
    </row>
    <row r="1064" spans="3:9">
      <c r="C1064" s="205"/>
      <c r="D1064" s="205"/>
      <c r="E1064" s="205"/>
      <c r="F1064" s="205"/>
      <c r="G1064" s="209"/>
      <c r="H1064" s="209"/>
      <c r="I1064" s="205"/>
    </row>
    <row r="1065" spans="3:9">
      <c r="C1065" s="205"/>
      <c r="D1065" s="205"/>
      <c r="E1065" s="205"/>
      <c r="F1065" s="205"/>
      <c r="G1065" s="209"/>
      <c r="H1065" s="209"/>
      <c r="I1065" s="205"/>
    </row>
    <row r="1066" spans="3:9">
      <c r="C1066" s="205"/>
      <c r="D1066" s="205"/>
      <c r="E1066" s="205"/>
      <c r="F1066" s="205"/>
      <c r="G1066" s="209"/>
      <c r="H1066" s="209"/>
      <c r="I1066" s="205"/>
    </row>
    <row r="1067" spans="3:9">
      <c r="C1067" s="205"/>
      <c r="D1067" s="205"/>
      <c r="E1067" s="205"/>
      <c r="F1067" s="205"/>
      <c r="G1067" s="209"/>
      <c r="H1067" s="209"/>
      <c r="I1067" s="205"/>
    </row>
    <row r="1068" spans="3:9">
      <c r="C1068" s="205"/>
      <c r="D1068" s="205"/>
      <c r="E1068" s="205"/>
      <c r="F1068" s="205"/>
      <c r="G1068" s="209"/>
      <c r="H1068" s="209"/>
      <c r="I1068" s="205"/>
    </row>
    <row r="1069" spans="3:9">
      <c r="C1069" s="205"/>
      <c r="D1069" s="205"/>
      <c r="E1069" s="205"/>
      <c r="F1069" s="205"/>
      <c r="G1069" s="209"/>
      <c r="H1069" s="209"/>
      <c r="I1069" s="205"/>
    </row>
    <row r="1070" spans="3:9">
      <c r="C1070" s="205"/>
      <c r="D1070" s="205"/>
      <c r="E1070" s="205"/>
      <c r="F1070" s="205"/>
      <c r="G1070" s="209"/>
      <c r="H1070" s="209"/>
      <c r="I1070" s="205"/>
    </row>
    <row r="1071" spans="3:9">
      <c r="C1071" s="205"/>
      <c r="D1071" s="205"/>
      <c r="E1071" s="205"/>
      <c r="F1071" s="205"/>
      <c r="G1071" s="209"/>
      <c r="H1071" s="209"/>
      <c r="I1071" s="205"/>
    </row>
    <row r="1072" spans="3:9">
      <c r="C1072" s="205"/>
      <c r="D1072" s="205"/>
      <c r="E1072" s="205"/>
      <c r="F1072" s="205"/>
      <c r="G1072" s="209"/>
      <c r="H1072" s="209"/>
      <c r="I1072" s="205"/>
    </row>
    <row r="1073" spans="3:9">
      <c r="C1073" s="205"/>
      <c r="D1073" s="205"/>
      <c r="E1073" s="205"/>
      <c r="F1073" s="205"/>
      <c r="G1073" s="209"/>
      <c r="H1073" s="209"/>
      <c r="I1073" s="205"/>
    </row>
    <row r="1074" spans="3:9">
      <c r="C1074" s="205"/>
      <c r="D1074" s="205"/>
      <c r="E1074" s="205"/>
      <c r="F1074" s="205"/>
      <c r="G1074" s="209"/>
      <c r="H1074" s="209"/>
      <c r="I1074" s="205"/>
    </row>
    <row r="1075" spans="3:9">
      <c r="C1075" s="205"/>
      <c r="D1075" s="205"/>
      <c r="E1075" s="205"/>
      <c r="F1075" s="205"/>
      <c r="G1075" s="209"/>
      <c r="H1075" s="209"/>
      <c r="I1075" s="205"/>
    </row>
    <row r="1076" spans="3:9">
      <c r="C1076" s="205"/>
      <c r="D1076" s="205"/>
      <c r="E1076" s="205"/>
      <c r="F1076" s="205"/>
      <c r="G1076" s="209"/>
      <c r="H1076" s="209"/>
      <c r="I1076" s="205"/>
    </row>
    <row r="1077" spans="3:9">
      <c r="C1077" s="205"/>
      <c r="D1077" s="205"/>
      <c r="E1077" s="205"/>
      <c r="F1077" s="205"/>
      <c r="G1077" s="209"/>
      <c r="H1077" s="209"/>
      <c r="I1077" s="205"/>
    </row>
    <row r="1078" spans="3:9">
      <c r="C1078" s="205"/>
      <c r="D1078" s="205"/>
      <c r="E1078" s="205"/>
      <c r="F1078" s="205"/>
      <c r="G1078" s="209"/>
      <c r="H1078" s="209"/>
      <c r="I1078" s="205"/>
    </row>
    <row r="1079" spans="3:9">
      <c r="C1079" s="205"/>
      <c r="D1079" s="205"/>
      <c r="E1079" s="205"/>
      <c r="F1079" s="205"/>
      <c r="G1079" s="209"/>
      <c r="H1079" s="209"/>
      <c r="I1079" s="205"/>
    </row>
    <row r="1080" spans="3:9">
      <c r="C1080" s="205"/>
      <c r="D1080" s="205"/>
      <c r="E1080" s="205"/>
      <c r="F1080" s="205"/>
      <c r="G1080" s="209"/>
      <c r="H1080" s="209"/>
      <c r="I1080" s="205"/>
    </row>
    <row r="1081" spans="3:9">
      <c r="C1081" s="205"/>
      <c r="D1081" s="205"/>
      <c r="E1081" s="205"/>
      <c r="F1081" s="205"/>
      <c r="G1081" s="209"/>
      <c r="H1081" s="209"/>
      <c r="I1081" s="205"/>
    </row>
    <row r="1082" spans="3:9">
      <c r="C1082" s="205"/>
      <c r="D1082" s="205"/>
      <c r="E1082" s="205"/>
      <c r="F1082" s="205"/>
      <c r="G1082" s="209"/>
      <c r="H1082" s="209"/>
      <c r="I1082" s="205"/>
    </row>
    <row r="1083" spans="3:9">
      <c r="C1083" s="205"/>
      <c r="D1083" s="205"/>
      <c r="E1083" s="205"/>
      <c r="F1083" s="205"/>
      <c r="G1083" s="209"/>
      <c r="H1083" s="209"/>
      <c r="I1083" s="205"/>
    </row>
    <row r="1084" spans="3:9">
      <c r="C1084" s="205"/>
      <c r="D1084" s="205"/>
      <c r="E1084" s="205"/>
      <c r="F1084" s="205"/>
      <c r="G1084" s="209"/>
      <c r="H1084" s="209"/>
      <c r="I1084" s="205"/>
    </row>
    <row r="1085" spans="3:9">
      <c r="C1085" s="205"/>
      <c r="D1085" s="205"/>
      <c r="E1085" s="205"/>
      <c r="F1085" s="205"/>
      <c r="G1085" s="209"/>
      <c r="H1085" s="209"/>
      <c r="I1085" s="205"/>
    </row>
    <row r="1086" spans="3:9">
      <c r="C1086" s="205"/>
      <c r="D1086" s="205"/>
      <c r="E1086" s="205"/>
      <c r="F1086" s="205"/>
      <c r="G1086" s="209"/>
      <c r="H1086" s="209"/>
      <c r="I1086" s="205"/>
    </row>
    <row r="1087" spans="3:9">
      <c r="C1087" s="205"/>
      <c r="D1087" s="205"/>
      <c r="E1087" s="205"/>
      <c r="F1087" s="205"/>
      <c r="G1087" s="209"/>
      <c r="H1087" s="209"/>
      <c r="I1087" s="205"/>
    </row>
    <row r="1088" spans="3:9">
      <c r="C1088" s="205"/>
      <c r="D1088" s="205"/>
      <c r="E1088" s="205"/>
      <c r="F1088" s="205"/>
      <c r="G1088" s="209"/>
      <c r="H1088" s="209"/>
      <c r="I1088" s="205"/>
    </row>
    <row r="1089" spans="3:9">
      <c r="C1089" s="205"/>
      <c r="D1089" s="205"/>
      <c r="E1089" s="205"/>
      <c r="F1089" s="205"/>
      <c r="G1089" s="209"/>
      <c r="H1089" s="209"/>
      <c r="I1089" s="205"/>
    </row>
    <row r="1090" spans="3:9">
      <c r="C1090" s="205"/>
      <c r="D1090" s="205"/>
      <c r="E1090" s="205"/>
      <c r="F1090" s="205"/>
      <c r="G1090" s="209"/>
      <c r="H1090" s="209"/>
      <c r="I1090" s="205"/>
    </row>
    <row r="1091" spans="3:9">
      <c r="C1091" s="205"/>
      <c r="D1091" s="205"/>
      <c r="E1091" s="205"/>
      <c r="F1091" s="205"/>
      <c r="G1091" s="209"/>
      <c r="H1091" s="209"/>
      <c r="I1091" s="205"/>
    </row>
    <row r="1092" spans="3:9">
      <c r="C1092" s="205"/>
      <c r="D1092" s="205"/>
      <c r="E1092" s="205"/>
      <c r="F1092" s="205"/>
      <c r="G1092" s="209"/>
      <c r="H1092" s="209"/>
      <c r="I1092" s="205"/>
    </row>
    <row r="1093" spans="3:9">
      <c r="C1093" s="205"/>
      <c r="D1093" s="205"/>
      <c r="E1093" s="205"/>
      <c r="F1093" s="205"/>
      <c r="G1093" s="209"/>
      <c r="H1093" s="209"/>
      <c r="I1093" s="205"/>
    </row>
    <row r="1094" spans="3:9">
      <c r="C1094" s="205"/>
      <c r="D1094" s="205"/>
      <c r="E1094" s="205"/>
      <c r="F1094" s="205"/>
      <c r="G1094" s="209"/>
      <c r="H1094" s="209"/>
      <c r="I1094" s="205"/>
    </row>
    <row r="1095" spans="3:9">
      <c r="C1095" s="205"/>
      <c r="D1095" s="205"/>
      <c r="E1095" s="205"/>
      <c r="F1095" s="205"/>
      <c r="G1095" s="209"/>
      <c r="H1095" s="209"/>
      <c r="I1095" s="205"/>
    </row>
    <row r="1096" spans="3:9">
      <c r="C1096" s="205"/>
      <c r="D1096" s="205"/>
      <c r="E1096" s="205"/>
      <c r="F1096" s="205"/>
      <c r="G1096" s="209"/>
      <c r="H1096" s="209"/>
      <c r="I1096" s="205"/>
    </row>
    <row r="1097" spans="3:9">
      <c r="C1097" s="205"/>
      <c r="D1097" s="205"/>
      <c r="E1097" s="205"/>
      <c r="F1097" s="205"/>
      <c r="G1097" s="209"/>
      <c r="H1097" s="209"/>
      <c r="I1097" s="205"/>
    </row>
    <row r="1098" spans="3:9">
      <c r="C1098" s="205"/>
      <c r="D1098" s="205"/>
      <c r="E1098" s="205"/>
      <c r="F1098" s="205"/>
      <c r="G1098" s="209"/>
      <c r="H1098" s="209"/>
      <c r="I1098" s="205"/>
    </row>
    <row r="1099" spans="3:9">
      <c r="C1099" s="205"/>
      <c r="D1099" s="205"/>
      <c r="E1099" s="205"/>
      <c r="F1099" s="205"/>
      <c r="G1099" s="209"/>
      <c r="H1099" s="209"/>
      <c r="I1099" s="205"/>
    </row>
    <row r="1100" spans="3:9">
      <c r="C1100" s="205"/>
      <c r="D1100" s="205"/>
      <c r="E1100" s="205"/>
      <c r="F1100" s="205"/>
      <c r="G1100" s="209"/>
      <c r="H1100" s="209"/>
      <c r="I1100" s="205"/>
    </row>
    <row r="1101" spans="3:9">
      <c r="C1101" s="205"/>
      <c r="D1101" s="205"/>
      <c r="E1101" s="205"/>
      <c r="F1101" s="205"/>
      <c r="G1101" s="209"/>
      <c r="H1101" s="209"/>
      <c r="I1101" s="205"/>
    </row>
    <row r="1102" spans="3:9">
      <c r="C1102" s="205"/>
      <c r="D1102" s="205"/>
      <c r="E1102" s="205"/>
      <c r="F1102" s="205"/>
      <c r="G1102" s="209"/>
      <c r="H1102" s="209"/>
      <c r="I1102" s="205"/>
    </row>
    <row r="1103" spans="3:9">
      <c r="C1103" s="205"/>
      <c r="D1103" s="205"/>
      <c r="E1103" s="205"/>
      <c r="F1103" s="205"/>
      <c r="G1103" s="209"/>
      <c r="H1103" s="209"/>
      <c r="I1103" s="205"/>
    </row>
    <row r="1104" spans="3:9">
      <c r="C1104" s="205"/>
      <c r="D1104" s="205"/>
      <c r="E1104" s="205"/>
      <c r="F1104" s="205"/>
      <c r="G1104" s="209"/>
      <c r="H1104" s="209"/>
      <c r="I1104" s="205"/>
    </row>
    <row r="1105" spans="3:9">
      <c r="C1105" s="205"/>
      <c r="D1105" s="205"/>
      <c r="E1105" s="205"/>
      <c r="F1105" s="205"/>
      <c r="G1105" s="209"/>
      <c r="H1105" s="209"/>
      <c r="I1105" s="205"/>
    </row>
    <row r="1106" spans="3:9">
      <c r="C1106" s="205"/>
      <c r="D1106" s="205"/>
      <c r="E1106" s="205"/>
      <c r="F1106" s="205"/>
      <c r="G1106" s="209"/>
      <c r="H1106" s="209"/>
      <c r="I1106" s="205"/>
    </row>
    <row r="1107" spans="3:9">
      <c r="C1107" s="205"/>
      <c r="D1107" s="205"/>
      <c r="E1107" s="205"/>
      <c r="F1107" s="205"/>
      <c r="G1107" s="209"/>
      <c r="H1107" s="209"/>
      <c r="I1107" s="205"/>
    </row>
    <row r="1108" spans="3:9">
      <c r="C1108" s="205"/>
      <c r="D1108" s="205"/>
      <c r="E1108" s="205"/>
      <c r="F1108" s="205"/>
      <c r="G1108" s="209"/>
      <c r="H1108" s="209"/>
      <c r="I1108" s="205"/>
    </row>
    <row r="1109" spans="3:9">
      <c r="C1109" s="205"/>
      <c r="D1109" s="205"/>
      <c r="E1109" s="205"/>
      <c r="F1109" s="205"/>
      <c r="G1109" s="209"/>
      <c r="H1109" s="209"/>
      <c r="I1109" s="205"/>
    </row>
    <row r="1110" spans="3:9">
      <c r="C1110" s="205"/>
      <c r="D1110" s="205"/>
      <c r="E1110" s="205"/>
      <c r="F1110" s="205"/>
      <c r="G1110" s="209"/>
      <c r="H1110" s="209"/>
      <c r="I1110" s="205"/>
    </row>
    <row r="1111" spans="3:9">
      <c r="C1111" s="205"/>
      <c r="D1111" s="205"/>
      <c r="E1111" s="205"/>
      <c r="F1111" s="205"/>
      <c r="G1111" s="209"/>
      <c r="H1111" s="209"/>
      <c r="I1111" s="205"/>
    </row>
    <row r="1112" spans="3:9">
      <c r="C1112" s="205"/>
      <c r="D1112" s="205"/>
      <c r="E1112" s="205"/>
      <c r="F1112" s="205"/>
      <c r="G1112" s="209"/>
      <c r="H1112" s="209"/>
      <c r="I1112" s="205"/>
    </row>
    <row r="1113" spans="3:9">
      <c r="C1113" s="205"/>
      <c r="D1113" s="205"/>
      <c r="E1113" s="205"/>
      <c r="F1113" s="205"/>
      <c r="G1113" s="209"/>
      <c r="H1113" s="209"/>
      <c r="I1113" s="205"/>
    </row>
    <row r="1114" spans="3:9">
      <c r="C1114" s="205"/>
      <c r="D1114" s="205"/>
      <c r="E1114" s="205"/>
      <c r="F1114" s="205"/>
      <c r="G1114" s="209"/>
      <c r="H1114" s="209"/>
      <c r="I1114" s="205"/>
    </row>
    <row r="1115" spans="3:9">
      <c r="C1115" s="205"/>
      <c r="D1115" s="205"/>
      <c r="E1115" s="205"/>
      <c r="F1115" s="205"/>
      <c r="G1115" s="209"/>
      <c r="H1115" s="209"/>
      <c r="I1115" s="205"/>
    </row>
    <row r="1116" spans="3:9">
      <c r="C1116" s="205"/>
      <c r="D1116" s="205"/>
      <c r="E1116" s="205"/>
      <c r="F1116" s="205"/>
      <c r="G1116" s="209"/>
      <c r="H1116" s="209"/>
      <c r="I1116" s="205"/>
    </row>
    <row r="1117" spans="3:9">
      <c r="C1117" s="205"/>
      <c r="D1117" s="205"/>
      <c r="E1117" s="205"/>
      <c r="F1117" s="205"/>
      <c r="G1117" s="209"/>
      <c r="H1117" s="209"/>
      <c r="I1117" s="205"/>
    </row>
    <row r="1118" spans="3:9">
      <c r="C1118" s="205"/>
      <c r="D1118" s="205"/>
      <c r="E1118" s="205"/>
      <c r="F1118" s="205"/>
      <c r="G1118" s="209"/>
      <c r="H1118" s="209"/>
      <c r="I1118" s="205"/>
    </row>
    <row r="1119" spans="3:9">
      <c r="C1119" s="205"/>
      <c r="D1119" s="205"/>
      <c r="E1119" s="205"/>
      <c r="F1119" s="205"/>
      <c r="G1119" s="209"/>
      <c r="H1119" s="209"/>
      <c r="I1119" s="205"/>
    </row>
    <row r="1120" spans="3:9">
      <c r="C1120" s="205"/>
      <c r="D1120" s="205"/>
      <c r="E1120" s="205"/>
      <c r="F1120" s="205"/>
      <c r="G1120" s="209"/>
      <c r="H1120" s="209"/>
      <c r="I1120" s="205"/>
    </row>
    <row r="1121" spans="3:9">
      <c r="C1121" s="205"/>
      <c r="D1121" s="205"/>
      <c r="E1121" s="205"/>
      <c r="F1121" s="205"/>
      <c r="G1121" s="209"/>
      <c r="H1121" s="209"/>
      <c r="I1121" s="205"/>
    </row>
    <row r="1122" spans="3:9">
      <c r="C1122" s="205"/>
      <c r="D1122" s="205"/>
      <c r="E1122" s="205"/>
      <c r="F1122" s="205"/>
      <c r="G1122" s="209"/>
      <c r="H1122" s="209"/>
      <c r="I1122" s="205"/>
    </row>
    <row r="1123" spans="3:9">
      <c r="C1123" s="205"/>
      <c r="D1123" s="205"/>
      <c r="E1123" s="205"/>
      <c r="F1123" s="205"/>
      <c r="G1123" s="209"/>
      <c r="H1123" s="209"/>
      <c r="I1123" s="205"/>
    </row>
    <row r="1124" spans="3:9">
      <c r="C1124" s="205"/>
      <c r="D1124" s="205"/>
      <c r="E1124" s="205"/>
      <c r="F1124" s="205"/>
      <c r="G1124" s="209"/>
      <c r="H1124" s="209"/>
      <c r="I1124" s="205"/>
    </row>
    <row r="1125" spans="3:9">
      <c r="C1125" s="205"/>
      <c r="D1125" s="205"/>
      <c r="E1125" s="205"/>
      <c r="F1125" s="205"/>
      <c r="G1125" s="209"/>
      <c r="H1125" s="209"/>
      <c r="I1125" s="205"/>
    </row>
    <row r="1126" spans="3:9">
      <c r="C1126" s="205"/>
      <c r="D1126" s="205"/>
      <c r="E1126" s="205"/>
      <c r="F1126" s="205"/>
      <c r="G1126" s="209"/>
      <c r="H1126" s="209"/>
      <c r="I1126" s="205"/>
    </row>
    <row r="1127" spans="3:9">
      <c r="C1127" s="205"/>
      <c r="D1127" s="205"/>
      <c r="E1127" s="205"/>
      <c r="F1127" s="205"/>
      <c r="G1127" s="209"/>
      <c r="H1127" s="209"/>
      <c r="I1127" s="205"/>
    </row>
    <row r="1128" spans="3:9">
      <c r="C1128" s="205"/>
      <c r="D1128" s="205"/>
      <c r="E1128" s="205"/>
      <c r="F1128" s="205"/>
      <c r="G1128" s="209"/>
      <c r="H1128" s="209"/>
      <c r="I1128" s="205"/>
    </row>
    <row r="1129" spans="3:9">
      <c r="C1129" s="205"/>
      <c r="D1129" s="205"/>
      <c r="E1129" s="205"/>
      <c r="F1129" s="205"/>
      <c r="G1129" s="209"/>
      <c r="H1129" s="209"/>
      <c r="I1129" s="205"/>
    </row>
    <row r="1130" spans="3:9">
      <c r="C1130" s="205"/>
      <c r="D1130" s="205"/>
      <c r="E1130" s="205"/>
      <c r="F1130" s="205"/>
      <c r="G1130" s="209"/>
      <c r="H1130" s="209"/>
      <c r="I1130" s="205"/>
    </row>
    <row r="1131" spans="3:9">
      <c r="C1131" s="205"/>
      <c r="D1131" s="205"/>
      <c r="E1131" s="205"/>
      <c r="F1131" s="205"/>
      <c r="G1131" s="209"/>
      <c r="H1131" s="209"/>
      <c r="I1131" s="205"/>
    </row>
    <row r="1132" spans="3:9">
      <c r="C1132" s="205"/>
      <c r="D1132" s="205"/>
      <c r="E1132" s="205"/>
      <c r="F1132" s="205"/>
      <c r="G1132" s="209"/>
      <c r="H1132" s="209"/>
      <c r="I1132" s="205"/>
    </row>
    <row r="1133" spans="3:9">
      <c r="C1133" s="205"/>
      <c r="D1133" s="205"/>
      <c r="E1133" s="205"/>
      <c r="F1133" s="205"/>
      <c r="G1133" s="209"/>
      <c r="H1133" s="209"/>
      <c r="I1133" s="205"/>
    </row>
    <row r="1134" spans="3:9">
      <c r="C1134" s="205"/>
      <c r="D1134" s="205"/>
      <c r="E1134" s="205"/>
      <c r="F1134" s="205"/>
      <c r="G1134" s="209"/>
      <c r="H1134" s="209"/>
      <c r="I1134" s="205"/>
    </row>
    <row r="1135" spans="3:9">
      <c r="C1135" s="205"/>
      <c r="D1135" s="205"/>
      <c r="E1135" s="205"/>
      <c r="F1135" s="205"/>
      <c r="G1135" s="209"/>
      <c r="H1135" s="209"/>
      <c r="I1135" s="205"/>
    </row>
    <row r="1136" spans="3:9">
      <c r="C1136" s="205"/>
      <c r="D1136" s="205"/>
      <c r="E1136" s="205"/>
      <c r="F1136" s="205"/>
      <c r="G1136" s="209"/>
      <c r="H1136" s="209"/>
      <c r="I1136" s="205"/>
    </row>
    <row r="1137" spans="3:9">
      <c r="C1137" s="205"/>
      <c r="D1137" s="205"/>
      <c r="E1137" s="205"/>
      <c r="F1137" s="205"/>
      <c r="G1137" s="209"/>
      <c r="H1137" s="209"/>
      <c r="I1137" s="205"/>
    </row>
    <row r="1138" spans="3:9">
      <c r="C1138" s="205"/>
      <c r="D1138" s="205"/>
      <c r="E1138" s="205"/>
      <c r="F1138" s="205"/>
      <c r="G1138" s="209"/>
      <c r="H1138" s="209"/>
      <c r="I1138" s="205"/>
    </row>
    <row r="1139" spans="3:9">
      <c r="C1139" s="205"/>
      <c r="D1139" s="205"/>
      <c r="E1139" s="205"/>
      <c r="F1139" s="205"/>
      <c r="G1139" s="209"/>
      <c r="H1139" s="209"/>
      <c r="I1139" s="205"/>
    </row>
    <row r="1140" spans="3:9">
      <c r="C1140" s="205"/>
      <c r="D1140" s="205"/>
      <c r="E1140" s="205"/>
      <c r="F1140" s="205"/>
      <c r="G1140" s="209"/>
      <c r="H1140" s="209"/>
      <c r="I1140" s="205"/>
    </row>
    <row r="1141" spans="3:9">
      <c r="C1141" s="205"/>
      <c r="D1141" s="205"/>
      <c r="E1141" s="205"/>
      <c r="F1141" s="205"/>
      <c r="G1141" s="209"/>
      <c r="H1141" s="209"/>
      <c r="I1141" s="205"/>
    </row>
    <row r="1142" spans="3:9">
      <c r="C1142" s="205"/>
      <c r="D1142" s="205"/>
      <c r="E1142" s="205"/>
      <c r="F1142" s="205"/>
      <c r="G1142" s="209"/>
      <c r="H1142" s="209"/>
      <c r="I1142" s="205"/>
    </row>
    <row r="1143" spans="3:9">
      <c r="C1143" s="205"/>
      <c r="D1143" s="205"/>
      <c r="E1143" s="205"/>
      <c r="F1143" s="205"/>
      <c r="G1143" s="209"/>
      <c r="H1143" s="209"/>
      <c r="I1143" s="205"/>
    </row>
    <row r="1144" spans="3:9">
      <c r="C1144" s="205"/>
      <c r="D1144" s="205"/>
      <c r="E1144" s="205"/>
      <c r="F1144" s="205"/>
      <c r="G1144" s="209"/>
      <c r="H1144" s="209"/>
      <c r="I1144" s="205"/>
    </row>
    <row r="1145" spans="3:9">
      <c r="C1145" s="205"/>
      <c r="D1145" s="205"/>
      <c r="E1145" s="205"/>
      <c r="F1145" s="205"/>
      <c r="G1145" s="209"/>
      <c r="H1145" s="209"/>
      <c r="I1145" s="205"/>
    </row>
    <row r="1146" spans="3:9">
      <c r="C1146" s="205"/>
      <c r="D1146" s="205"/>
      <c r="E1146" s="205"/>
      <c r="F1146" s="205"/>
      <c r="G1146" s="209"/>
      <c r="H1146" s="209"/>
      <c r="I1146" s="205"/>
    </row>
    <row r="1147" spans="3:9">
      <c r="C1147" s="205"/>
      <c r="D1147" s="205"/>
      <c r="E1147" s="205"/>
      <c r="F1147" s="205"/>
      <c r="G1147" s="209"/>
      <c r="H1147" s="209"/>
      <c r="I1147" s="205"/>
    </row>
    <row r="1148" spans="3:9">
      <c r="C1148" s="205"/>
      <c r="D1148" s="205"/>
      <c r="E1148" s="205"/>
      <c r="F1148" s="205"/>
      <c r="G1148" s="209"/>
      <c r="H1148" s="209"/>
      <c r="I1148" s="205"/>
    </row>
    <row r="1149" spans="3:9">
      <c r="C1149" s="205"/>
      <c r="D1149" s="205"/>
      <c r="E1149" s="205"/>
      <c r="F1149" s="205"/>
      <c r="G1149" s="209"/>
      <c r="H1149" s="209"/>
      <c r="I1149" s="205"/>
    </row>
    <row r="1150" spans="3:9">
      <c r="C1150" s="205"/>
      <c r="D1150" s="205"/>
      <c r="E1150" s="205"/>
      <c r="F1150" s="205"/>
      <c r="G1150" s="209"/>
      <c r="H1150" s="209"/>
      <c r="I1150" s="205"/>
    </row>
    <row r="1151" spans="3:9">
      <c r="C1151" s="205"/>
      <c r="D1151" s="205"/>
      <c r="E1151" s="205"/>
      <c r="F1151" s="205"/>
      <c r="G1151" s="209"/>
      <c r="H1151" s="209"/>
      <c r="I1151" s="205"/>
    </row>
    <row r="1152" spans="3:9">
      <c r="C1152" s="205"/>
      <c r="D1152" s="205"/>
      <c r="E1152" s="205"/>
      <c r="F1152" s="205"/>
      <c r="G1152" s="209"/>
      <c r="H1152" s="209"/>
      <c r="I1152" s="205"/>
    </row>
    <row r="1153" spans="3:9">
      <c r="C1153" s="205"/>
      <c r="D1153" s="205"/>
      <c r="E1153" s="205"/>
      <c r="F1153" s="205"/>
      <c r="G1153" s="209"/>
      <c r="H1153" s="209"/>
      <c r="I1153" s="205"/>
    </row>
    <row r="1154" spans="3:9">
      <c r="C1154" s="205"/>
      <c r="D1154" s="205"/>
      <c r="E1154" s="205"/>
      <c r="F1154" s="205"/>
      <c r="G1154" s="209"/>
      <c r="H1154" s="209"/>
      <c r="I1154" s="205"/>
    </row>
    <row r="1155" spans="3:9">
      <c r="C1155" s="205"/>
      <c r="D1155" s="205"/>
      <c r="E1155" s="205"/>
      <c r="F1155" s="205"/>
      <c r="G1155" s="209"/>
      <c r="H1155" s="209"/>
      <c r="I1155" s="205"/>
    </row>
    <row r="1156" spans="3:9">
      <c r="C1156" s="205"/>
      <c r="D1156" s="205"/>
      <c r="E1156" s="205"/>
      <c r="F1156" s="205"/>
      <c r="G1156" s="209"/>
      <c r="H1156" s="209"/>
      <c r="I1156" s="205"/>
    </row>
    <row r="1157" spans="3:9">
      <c r="C1157" s="205"/>
      <c r="D1157" s="205"/>
      <c r="E1157" s="205"/>
      <c r="F1157" s="205"/>
      <c r="G1157" s="209"/>
      <c r="H1157" s="209"/>
      <c r="I1157" s="205"/>
    </row>
    <row r="1158" spans="3:9">
      <c r="C1158" s="205"/>
      <c r="D1158" s="205"/>
      <c r="E1158" s="205"/>
      <c r="F1158" s="205"/>
      <c r="G1158" s="209"/>
      <c r="H1158" s="209"/>
      <c r="I1158" s="205"/>
    </row>
    <row r="1159" spans="3:9">
      <c r="C1159" s="205"/>
      <c r="D1159" s="205"/>
      <c r="E1159" s="205"/>
      <c r="F1159" s="205"/>
      <c r="G1159" s="209"/>
      <c r="H1159" s="209"/>
      <c r="I1159" s="205"/>
    </row>
    <row r="1160" spans="3:9">
      <c r="C1160" s="205"/>
      <c r="D1160" s="205"/>
      <c r="E1160" s="205"/>
      <c r="F1160" s="205"/>
      <c r="G1160" s="209"/>
      <c r="H1160" s="209"/>
      <c r="I1160" s="205"/>
    </row>
    <row r="1161" spans="3:9">
      <c r="C1161" s="205"/>
      <c r="D1161" s="205"/>
      <c r="E1161" s="205"/>
      <c r="F1161" s="205"/>
      <c r="G1161" s="209"/>
      <c r="H1161" s="209"/>
      <c r="I1161" s="205"/>
    </row>
    <row r="1162" spans="3:9">
      <c r="C1162" s="205"/>
      <c r="D1162" s="205"/>
      <c r="E1162" s="205"/>
      <c r="F1162" s="205"/>
      <c r="G1162" s="209"/>
      <c r="H1162" s="209"/>
      <c r="I1162" s="205"/>
    </row>
    <row r="1163" spans="3:9">
      <c r="C1163" s="205"/>
      <c r="D1163" s="205"/>
      <c r="E1163" s="205"/>
      <c r="F1163" s="205"/>
      <c r="G1163" s="209"/>
      <c r="H1163" s="209"/>
      <c r="I1163" s="205"/>
    </row>
    <row r="1164" spans="3:9">
      <c r="C1164" s="205"/>
      <c r="D1164" s="205"/>
      <c r="E1164" s="205"/>
      <c r="F1164" s="205"/>
      <c r="G1164" s="209"/>
      <c r="H1164" s="209"/>
      <c r="I1164" s="205"/>
    </row>
    <row r="1165" spans="3:9">
      <c r="C1165" s="205"/>
      <c r="D1165" s="205"/>
      <c r="E1165" s="205"/>
      <c r="F1165" s="205"/>
      <c r="G1165" s="209"/>
      <c r="H1165" s="209"/>
      <c r="I1165" s="205"/>
    </row>
    <row r="1166" spans="3:9">
      <c r="C1166" s="205"/>
      <c r="D1166" s="205"/>
      <c r="E1166" s="205"/>
      <c r="F1166" s="205"/>
      <c r="G1166" s="209"/>
      <c r="H1166" s="209"/>
      <c r="I1166" s="205"/>
    </row>
    <row r="1167" spans="3:9">
      <c r="C1167" s="205"/>
      <c r="D1167" s="205"/>
      <c r="E1167" s="205"/>
      <c r="F1167" s="205"/>
      <c r="G1167" s="209"/>
      <c r="H1167" s="209"/>
      <c r="I1167" s="205"/>
    </row>
    <row r="1168" spans="3:9">
      <c r="C1168" s="205"/>
      <c r="D1168" s="205"/>
      <c r="E1168" s="205"/>
      <c r="F1168" s="205"/>
      <c r="G1168" s="209"/>
      <c r="H1168" s="209"/>
      <c r="I1168" s="205"/>
    </row>
    <row r="1169" spans="3:9">
      <c r="C1169" s="205"/>
      <c r="D1169" s="205"/>
      <c r="E1169" s="205"/>
      <c r="F1169" s="205"/>
      <c r="G1169" s="209"/>
      <c r="H1169" s="209"/>
      <c r="I1169" s="205"/>
    </row>
    <row r="1170" spans="3:9">
      <c r="C1170" s="205"/>
      <c r="D1170" s="205"/>
      <c r="E1170" s="205"/>
      <c r="F1170" s="205"/>
      <c r="G1170" s="209"/>
      <c r="H1170" s="209"/>
      <c r="I1170" s="205"/>
    </row>
    <row r="1171" spans="3:9">
      <c r="C1171" s="205"/>
      <c r="D1171" s="205"/>
      <c r="E1171" s="205"/>
      <c r="F1171" s="205"/>
      <c r="G1171" s="209"/>
      <c r="H1171" s="209"/>
      <c r="I1171" s="205"/>
    </row>
    <row r="1172" spans="3:9">
      <c r="C1172" s="205"/>
      <c r="D1172" s="205"/>
      <c r="E1172" s="205"/>
      <c r="F1172" s="205"/>
      <c r="G1172" s="209"/>
      <c r="H1172" s="209"/>
      <c r="I1172" s="205"/>
    </row>
    <row r="1173" spans="3:9">
      <c r="C1173" s="205"/>
      <c r="D1173" s="205"/>
      <c r="E1173" s="205"/>
      <c r="F1173" s="205"/>
      <c r="G1173" s="209"/>
      <c r="H1173" s="209"/>
      <c r="I1173" s="205"/>
    </row>
    <row r="1174" spans="3:9">
      <c r="C1174" s="205"/>
      <c r="D1174" s="205"/>
      <c r="E1174" s="205"/>
      <c r="F1174" s="205"/>
      <c r="G1174" s="209"/>
      <c r="H1174" s="209"/>
      <c r="I1174" s="205"/>
    </row>
    <row r="1175" spans="3:9">
      <c r="C1175" s="205"/>
      <c r="D1175" s="205"/>
      <c r="E1175" s="205"/>
      <c r="F1175" s="205"/>
      <c r="G1175" s="209"/>
      <c r="H1175" s="209"/>
      <c r="I1175" s="205"/>
    </row>
    <row r="1176" spans="3:9">
      <c r="C1176" s="205"/>
      <c r="D1176" s="205"/>
      <c r="E1176" s="205"/>
      <c r="F1176" s="205"/>
      <c r="G1176" s="209"/>
      <c r="H1176" s="209"/>
      <c r="I1176" s="205"/>
    </row>
    <row r="1177" spans="3:9">
      <c r="C1177" s="205"/>
      <c r="D1177" s="205"/>
      <c r="E1177" s="205"/>
      <c r="F1177" s="205"/>
      <c r="G1177" s="209"/>
      <c r="H1177" s="209"/>
      <c r="I1177" s="205"/>
    </row>
    <row r="1178" spans="3:9">
      <c r="C1178" s="205"/>
      <c r="D1178" s="205"/>
      <c r="E1178" s="205"/>
      <c r="F1178" s="205"/>
      <c r="G1178" s="209"/>
      <c r="H1178" s="209"/>
      <c r="I1178" s="205"/>
    </row>
    <row r="1179" spans="3:9">
      <c r="C1179" s="205"/>
      <c r="D1179" s="205"/>
      <c r="E1179" s="205"/>
      <c r="F1179" s="205"/>
      <c r="G1179" s="209"/>
      <c r="H1179" s="209"/>
      <c r="I1179" s="205"/>
    </row>
    <row r="1180" spans="3:9">
      <c r="C1180" s="205"/>
      <c r="D1180" s="205"/>
      <c r="E1180" s="205"/>
      <c r="F1180" s="205"/>
      <c r="G1180" s="209"/>
      <c r="H1180" s="209"/>
      <c r="I1180" s="205"/>
    </row>
    <row r="1181" spans="3:9">
      <c r="C1181" s="205"/>
      <c r="D1181" s="205"/>
      <c r="E1181" s="205"/>
      <c r="F1181" s="205"/>
      <c r="G1181" s="209"/>
      <c r="H1181" s="209"/>
      <c r="I1181" s="205"/>
    </row>
    <row r="1182" spans="3:9">
      <c r="C1182" s="205"/>
      <c r="D1182" s="205"/>
      <c r="E1182" s="205"/>
      <c r="F1182" s="205"/>
      <c r="G1182" s="209"/>
      <c r="H1182" s="209"/>
      <c r="I1182" s="205"/>
    </row>
    <row r="1183" spans="3:9">
      <c r="C1183" s="205"/>
      <c r="D1183" s="205"/>
      <c r="E1183" s="205"/>
      <c r="F1183" s="205"/>
      <c r="G1183" s="209"/>
      <c r="H1183" s="209"/>
      <c r="I1183" s="205"/>
    </row>
    <row r="1184" spans="3:9">
      <c r="C1184" s="205"/>
      <c r="D1184" s="205"/>
      <c r="E1184" s="205"/>
      <c r="F1184" s="205"/>
      <c r="G1184" s="209"/>
      <c r="H1184" s="209"/>
      <c r="I1184" s="205"/>
    </row>
    <row r="1185" spans="3:9">
      <c r="C1185" s="205"/>
      <c r="D1185" s="205"/>
      <c r="E1185" s="205"/>
      <c r="F1185" s="205"/>
      <c r="G1185" s="209"/>
      <c r="H1185" s="209"/>
      <c r="I1185" s="205"/>
    </row>
    <row r="1186" spans="3:9">
      <c r="C1186" s="205"/>
      <c r="D1186" s="205"/>
      <c r="E1186" s="205"/>
      <c r="F1186" s="205"/>
      <c r="G1186" s="209"/>
      <c r="H1186" s="209"/>
      <c r="I1186" s="205"/>
    </row>
    <row r="1187" spans="3:9">
      <c r="C1187" s="205"/>
      <c r="D1187" s="205"/>
      <c r="E1187" s="205"/>
      <c r="F1187" s="205"/>
      <c r="G1187" s="209"/>
      <c r="H1187" s="209"/>
      <c r="I1187" s="205"/>
    </row>
    <row r="1188" spans="3:9">
      <c r="C1188" s="205"/>
      <c r="D1188" s="205"/>
      <c r="E1188" s="205"/>
      <c r="F1188" s="205"/>
      <c r="G1188" s="209"/>
      <c r="H1188" s="209"/>
      <c r="I1188" s="205"/>
    </row>
    <row r="1189" spans="3:9">
      <c r="C1189" s="205"/>
      <c r="D1189" s="205"/>
      <c r="E1189" s="205"/>
      <c r="F1189" s="205"/>
      <c r="G1189" s="209"/>
      <c r="H1189" s="209"/>
      <c r="I1189" s="205"/>
    </row>
    <row r="1190" spans="3:9">
      <c r="C1190" s="205"/>
      <c r="D1190" s="205"/>
      <c r="E1190" s="205"/>
      <c r="F1190" s="205"/>
      <c r="G1190" s="209"/>
      <c r="H1190" s="209"/>
      <c r="I1190" s="205"/>
    </row>
    <row r="1191" spans="3:9">
      <c r="C1191" s="205"/>
      <c r="D1191" s="205"/>
      <c r="E1191" s="205"/>
      <c r="F1191" s="205"/>
      <c r="G1191" s="209"/>
      <c r="H1191" s="209"/>
      <c r="I1191" s="205"/>
    </row>
    <row r="1192" spans="3:9">
      <c r="C1192" s="205"/>
      <c r="D1192" s="205"/>
      <c r="E1192" s="205"/>
      <c r="F1192" s="205"/>
      <c r="G1192" s="209"/>
      <c r="H1192" s="209"/>
      <c r="I1192" s="205"/>
    </row>
    <row r="1193" spans="3:9">
      <c r="C1193" s="205"/>
      <c r="D1193" s="205"/>
      <c r="E1193" s="205"/>
      <c r="F1193" s="205"/>
      <c r="G1193" s="209"/>
      <c r="H1193" s="209"/>
      <c r="I1193" s="205"/>
    </row>
    <row r="1194" spans="3:9">
      <c r="C1194" s="205"/>
      <c r="D1194" s="205"/>
      <c r="E1194" s="205"/>
      <c r="F1194" s="205"/>
      <c r="G1194" s="209"/>
      <c r="H1194" s="209"/>
      <c r="I1194" s="205"/>
    </row>
    <row r="1195" spans="3:9">
      <c r="C1195" s="205"/>
      <c r="D1195" s="205"/>
      <c r="E1195" s="205"/>
      <c r="F1195" s="205"/>
      <c r="G1195" s="209"/>
      <c r="H1195" s="209"/>
      <c r="I1195" s="205"/>
    </row>
    <row r="1196" spans="3:9">
      <c r="C1196" s="205"/>
      <c r="D1196" s="205"/>
      <c r="E1196" s="205"/>
      <c r="F1196" s="205"/>
      <c r="G1196" s="209"/>
      <c r="H1196" s="209"/>
      <c r="I1196" s="205"/>
    </row>
    <row r="1197" spans="3:9">
      <c r="C1197" s="205"/>
      <c r="D1197" s="205"/>
      <c r="E1197" s="205"/>
      <c r="F1197" s="205"/>
      <c r="G1197" s="209"/>
      <c r="H1197" s="209"/>
      <c r="I1197" s="205"/>
    </row>
    <row r="1198" spans="3:9">
      <c r="C1198" s="205"/>
      <c r="D1198" s="205"/>
      <c r="E1198" s="205"/>
      <c r="F1198" s="205"/>
      <c r="G1198" s="209"/>
      <c r="H1198" s="209"/>
      <c r="I1198" s="205"/>
    </row>
    <row r="1199" spans="3:9">
      <c r="C1199" s="205"/>
      <c r="D1199" s="205"/>
      <c r="E1199" s="205"/>
      <c r="F1199" s="205"/>
      <c r="G1199" s="209"/>
      <c r="H1199" s="209"/>
      <c r="I1199" s="205"/>
    </row>
    <row r="1200" spans="3:9">
      <c r="C1200" s="205"/>
      <c r="D1200" s="205"/>
      <c r="E1200" s="205"/>
      <c r="F1200" s="205"/>
      <c r="G1200" s="209"/>
      <c r="H1200" s="209"/>
      <c r="I1200" s="205"/>
    </row>
    <row r="1201" spans="3:9">
      <c r="C1201" s="205"/>
      <c r="D1201" s="205"/>
      <c r="E1201" s="205"/>
      <c r="F1201" s="205"/>
      <c r="G1201" s="209"/>
      <c r="H1201" s="209"/>
      <c r="I1201" s="205"/>
    </row>
    <row r="1202" spans="3:9">
      <c r="C1202" s="205"/>
      <c r="D1202" s="205"/>
      <c r="E1202" s="205"/>
      <c r="F1202" s="205"/>
      <c r="G1202" s="209"/>
      <c r="H1202" s="209"/>
      <c r="I1202" s="205"/>
    </row>
    <row r="1203" spans="3:9">
      <c r="C1203" s="205"/>
      <c r="D1203" s="205"/>
      <c r="E1203" s="205"/>
      <c r="F1203" s="205"/>
      <c r="G1203" s="209"/>
      <c r="H1203" s="209"/>
      <c r="I1203" s="205"/>
    </row>
    <row r="1204" spans="3:9">
      <c r="C1204" s="205"/>
      <c r="D1204" s="205"/>
      <c r="E1204" s="205"/>
      <c r="F1204" s="205"/>
      <c r="G1204" s="209"/>
      <c r="H1204" s="209"/>
      <c r="I1204" s="205"/>
    </row>
    <row r="1205" spans="3:9">
      <c r="C1205" s="205"/>
      <c r="D1205" s="205"/>
      <c r="E1205" s="205"/>
      <c r="F1205" s="205"/>
      <c r="G1205" s="209"/>
      <c r="H1205" s="209"/>
      <c r="I1205" s="205"/>
    </row>
    <row r="1206" spans="3:9">
      <c r="C1206" s="205"/>
      <c r="D1206" s="205"/>
      <c r="E1206" s="205"/>
      <c r="F1206" s="205"/>
      <c r="G1206" s="209"/>
      <c r="H1206" s="209"/>
      <c r="I1206" s="205"/>
    </row>
    <row r="1207" spans="3:9">
      <c r="C1207" s="205"/>
      <c r="D1207" s="205"/>
      <c r="E1207" s="205"/>
      <c r="F1207" s="205"/>
      <c r="G1207" s="209"/>
      <c r="H1207" s="209"/>
      <c r="I1207" s="205"/>
    </row>
    <row r="1208" spans="3:9">
      <c r="C1208" s="205"/>
      <c r="D1208" s="205"/>
      <c r="E1208" s="205"/>
      <c r="F1208" s="205"/>
      <c r="G1208" s="209"/>
      <c r="H1208" s="209"/>
      <c r="I1208" s="205"/>
    </row>
    <row r="1209" spans="3:9">
      <c r="C1209" s="205"/>
      <c r="D1209" s="205"/>
      <c r="E1209" s="205"/>
      <c r="F1209" s="205"/>
      <c r="G1209" s="209"/>
      <c r="H1209" s="209"/>
      <c r="I1209" s="205"/>
    </row>
    <row r="1210" spans="3:9">
      <c r="C1210" s="205"/>
      <c r="D1210" s="205"/>
      <c r="E1210" s="205"/>
      <c r="F1210" s="205"/>
      <c r="G1210" s="209"/>
      <c r="H1210" s="209"/>
      <c r="I1210" s="205"/>
    </row>
    <row r="1211" spans="3:9">
      <c r="C1211" s="205"/>
      <c r="D1211" s="205"/>
      <c r="E1211" s="205"/>
      <c r="F1211" s="205"/>
      <c r="G1211" s="209"/>
      <c r="H1211" s="209"/>
      <c r="I1211" s="205"/>
    </row>
    <row r="1212" spans="3:9">
      <c r="C1212" s="205"/>
      <c r="D1212" s="205"/>
      <c r="E1212" s="205"/>
      <c r="F1212" s="205"/>
      <c r="G1212" s="209"/>
      <c r="H1212" s="209"/>
      <c r="I1212" s="205"/>
    </row>
    <row r="1213" spans="3:9">
      <c r="C1213" s="205"/>
      <c r="D1213" s="205"/>
      <c r="E1213" s="205"/>
      <c r="F1213" s="205"/>
      <c r="G1213" s="209"/>
      <c r="H1213" s="209"/>
      <c r="I1213" s="205"/>
    </row>
    <row r="1214" spans="3:9">
      <c r="C1214" s="205"/>
      <c r="D1214" s="205"/>
      <c r="E1214" s="205"/>
      <c r="F1214" s="205"/>
      <c r="G1214" s="209"/>
      <c r="H1214" s="209"/>
      <c r="I1214" s="205"/>
    </row>
    <row r="1215" spans="3:9">
      <c r="C1215" s="205"/>
      <c r="D1215" s="205"/>
      <c r="E1215" s="205"/>
      <c r="F1215" s="205"/>
      <c r="G1215" s="209"/>
      <c r="H1215" s="209"/>
      <c r="I1215" s="205"/>
    </row>
    <row r="1216" spans="3:9">
      <c r="C1216" s="205"/>
      <c r="D1216" s="205"/>
      <c r="E1216" s="205"/>
      <c r="F1216" s="205"/>
      <c r="G1216" s="209"/>
      <c r="H1216" s="209"/>
      <c r="I1216" s="205"/>
    </row>
    <row r="1217" spans="3:9">
      <c r="C1217" s="205"/>
      <c r="D1217" s="205"/>
      <c r="E1217" s="205"/>
      <c r="F1217" s="205"/>
      <c r="G1217" s="209"/>
      <c r="H1217" s="209"/>
      <c r="I1217" s="205"/>
    </row>
    <row r="1218" spans="3:9">
      <c r="C1218" s="205"/>
      <c r="D1218" s="205"/>
      <c r="E1218" s="205"/>
      <c r="F1218" s="205"/>
      <c r="G1218" s="209"/>
      <c r="H1218" s="209"/>
      <c r="I1218" s="205"/>
    </row>
    <row r="1219" spans="3:9">
      <c r="C1219" s="205"/>
      <c r="D1219" s="205"/>
      <c r="E1219" s="205"/>
      <c r="F1219" s="205"/>
      <c r="G1219" s="209"/>
      <c r="H1219" s="209"/>
      <c r="I1219" s="205"/>
    </row>
    <row r="1220" spans="3:9">
      <c r="C1220" s="205"/>
      <c r="D1220" s="205"/>
      <c r="E1220" s="205"/>
      <c r="F1220" s="205"/>
      <c r="G1220" s="209"/>
      <c r="H1220" s="209"/>
      <c r="I1220" s="205"/>
    </row>
    <row r="1221" spans="3:9">
      <c r="C1221" s="205"/>
      <c r="D1221" s="205"/>
      <c r="E1221" s="205"/>
      <c r="F1221" s="205"/>
      <c r="G1221" s="209"/>
      <c r="H1221" s="209"/>
      <c r="I1221" s="205"/>
    </row>
    <row r="1222" spans="3:9">
      <c r="C1222" s="205"/>
      <c r="D1222" s="205"/>
      <c r="E1222" s="205"/>
      <c r="F1222" s="205"/>
      <c r="G1222" s="209"/>
      <c r="H1222" s="209"/>
      <c r="I1222" s="205"/>
    </row>
    <row r="1223" spans="3:9">
      <c r="C1223" s="205"/>
      <c r="D1223" s="205"/>
      <c r="E1223" s="205"/>
      <c r="F1223" s="205"/>
      <c r="G1223" s="209"/>
      <c r="H1223" s="209"/>
      <c r="I1223" s="205"/>
    </row>
    <row r="1224" spans="3:9">
      <c r="C1224" s="205"/>
      <c r="D1224" s="205"/>
      <c r="E1224" s="205"/>
      <c r="F1224" s="205"/>
      <c r="G1224" s="209"/>
      <c r="H1224" s="209"/>
      <c r="I1224" s="205"/>
    </row>
    <row r="1225" spans="3:9">
      <c r="C1225" s="205"/>
      <c r="D1225" s="205"/>
      <c r="E1225" s="205"/>
      <c r="F1225" s="205"/>
      <c r="G1225" s="209"/>
      <c r="H1225" s="209"/>
      <c r="I1225" s="205"/>
    </row>
    <row r="1226" spans="3:9">
      <c r="C1226" s="205"/>
      <c r="D1226" s="205"/>
      <c r="E1226" s="205"/>
      <c r="F1226" s="205"/>
      <c r="G1226" s="209"/>
      <c r="H1226" s="209"/>
      <c r="I1226" s="205"/>
    </row>
    <row r="1227" spans="3:9">
      <c r="C1227" s="205"/>
      <c r="D1227" s="205"/>
      <c r="E1227" s="205"/>
      <c r="F1227" s="205"/>
      <c r="G1227" s="209"/>
      <c r="H1227" s="209"/>
      <c r="I1227" s="205"/>
    </row>
    <row r="1228" spans="3:9">
      <c r="C1228" s="205"/>
      <c r="D1228" s="205"/>
      <c r="E1228" s="205"/>
      <c r="F1228" s="205"/>
      <c r="G1228" s="209"/>
      <c r="H1228" s="209"/>
      <c r="I1228" s="205"/>
    </row>
    <row r="1229" spans="3:9">
      <c r="C1229" s="205"/>
      <c r="D1229" s="205"/>
      <c r="E1229" s="205"/>
      <c r="F1229" s="205"/>
      <c r="G1229" s="209"/>
      <c r="H1229" s="209"/>
      <c r="I1229" s="205"/>
    </row>
    <row r="1230" spans="3:9">
      <c r="C1230" s="205"/>
      <c r="D1230" s="205"/>
      <c r="E1230" s="205"/>
      <c r="F1230" s="205"/>
      <c r="G1230" s="209"/>
      <c r="H1230" s="209"/>
      <c r="I1230" s="205"/>
    </row>
    <row r="1231" spans="3:9">
      <c r="C1231" s="205"/>
      <c r="D1231" s="205"/>
      <c r="E1231" s="205"/>
      <c r="F1231" s="205"/>
      <c r="G1231" s="209"/>
      <c r="H1231" s="209"/>
      <c r="I1231" s="205"/>
    </row>
    <row r="1232" spans="3:9">
      <c r="C1232" s="205"/>
      <c r="D1232" s="205"/>
      <c r="E1232" s="205"/>
      <c r="F1232" s="205"/>
      <c r="G1232" s="209"/>
      <c r="H1232" s="209"/>
      <c r="I1232" s="205"/>
    </row>
    <row r="1233" spans="3:9">
      <c r="C1233" s="205"/>
      <c r="D1233" s="205"/>
      <c r="E1233" s="205"/>
      <c r="F1233" s="205"/>
      <c r="G1233" s="209"/>
      <c r="H1233" s="209"/>
      <c r="I1233" s="205"/>
    </row>
    <row r="1234" spans="3:9">
      <c r="C1234" s="205"/>
      <c r="D1234" s="205"/>
      <c r="E1234" s="205"/>
      <c r="F1234" s="205"/>
      <c r="G1234" s="209"/>
      <c r="H1234" s="209"/>
      <c r="I1234" s="205"/>
    </row>
    <row r="1235" spans="3:9">
      <c r="C1235" s="205"/>
      <c r="D1235" s="205"/>
      <c r="E1235" s="205"/>
      <c r="F1235" s="205"/>
      <c r="G1235" s="209"/>
      <c r="H1235" s="209"/>
      <c r="I1235" s="205"/>
    </row>
    <row r="1236" spans="3:9">
      <c r="C1236" s="205"/>
      <c r="D1236" s="205"/>
      <c r="E1236" s="205"/>
      <c r="F1236" s="205"/>
      <c r="G1236" s="209"/>
      <c r="H1236" s="209"/>
      <c r="I1236" s="205"/>
    </row>
    <row r="1237" spans="3:9">
      <c r="C1237" s="205"/>
      <c r="D1237" s="205"/>
      <c r="E1237" s="205"/>
      <c r="F1237" s="205"/>
      <c r="G1237" s="209"/>
      <c r="H1237" s="209"/>
      <c r="I1237" s="205"/>
    </row>
    <row r="1238" spans="3:9">
      <c r="C1238" s="205"/>
      <c r="D1238" s="205"/>
      <c r="E1238" s="205"/>
      <c r="F1238" s="205"/>
      <c r="G1238" s="209"/>
      <c r="H1238" s="209"/>
      <c r="I1238" s="205"/>
    </row>
    <row r="1239" spans="3:9">
      <c r="C1239" s="205"/>
      <c r="D1239" s="205"/>
      <c r="E1239" s="205"/>
      <c r="F1239" s="205"/>
      <c r="G1239" s="209"/>
      <c r="H1239" s="209"/>
      <c r="I1239" s="205"/>
    </row>
    <row r="1240" spans="3:9">
      <c r="C1240" s="205"/>
      <c r="D1240" s="205"/>
      <c r="E1240" s="205"/>
      <c r="F1240" s="205"/>
      <c r="G1240" s="209"/>
      <c r="H1240" s="209"/>
      <c r="I1240" s="205"/>
    </row>
    <row r="1241" spans="3:9">
      <c r="C1241" s="205"/>
      <c r="D1241" s="205"/>
      <c r="E1241" s="205"/>
      <c r="F1241" s="205"/>
      <c r="G1241" s="209"/>
      <c r="H1241" s="209"/>
      <c r="I1241" s="205"/>
    </row>
    <row r="1242" spans="3:9">
      <c r="C1242" s="205"/>
      <c r="D1242" s="205"/>
      <c r="E1242" s="205"/>
      <c r="F1242" s="205"/>
      <c r="G1242" s="209"/>
      <c r="H1242" s="209"/>
      <c r="I1242" s="205"/>
    </row>
    <row r="1243" spans="3:9">
      <c r="C1243" s="205"/>
      <c r="D1243" s="205"/>
      <c r="E1243" s="205"/>
      <c r="F1243" s="205"/>
      <c r="G1243" s="209"/>
      <c r="H1243" s="209"/>
      <c r="I1243" s="205"/>
    </row>
    <row r="1244" spans="3:9">
      <c r="C1244" s="205"/>
      <c r="D1244" s="205"/>
      <c r="E1244" s="205"/>
      <c r="F1244" s="205"/>
      <c r="G1244" s="209"/>
      <c r="H1244" s="209"/>
      <c r="I1244" s="205"/>
    </row>
    <row r="1245" spans="3:9">
      <c r="C1245" s="205"/>
      <c r="D1245" s="205"/>
      <c r="E1245" s="205"/>
      <c r="F1245" s="205"/>
      <c r="G1245" s="209"/>
      <c r="H1245" s="209"/>
      <c r="I1245" s="205"/>
    </row>
    <row r="1246" spans="3:9">
      <c r="C1246" s="205"/>
      <c r="D1246" s="205"/>
      <c r="E1246" s="205"/>
      <c r="F1246" s="205"/>
      <c r="G1246" s="209"/>
      <c r="H1246" s="209"/>
      <c r="I1246" s="205"/>
    </row>
    <row r="1247" spans="3:9">
      <c r="C1247" s="205"/>
      <c r="D1247" s="205"/>
      <c r="E1247" s="205"/>
      <c r="F1247" s="205"/>
      <c r="G1247" s="209"/>
      <c r="H1247" s="209"/>
      <c r="I1247" s="205"/>
    </row>
    <row r="1248" spans="3:9">
      <c r="C1248" s="205"/>
      <c r="D1248" s="205"/>
      <c r="E1248" s="205"/>
      <c r="F1248" s="205"/>
      <c r="G1248" s="209"/>
      <c r="H1248" s="209"/>
      <c r="I1248" s="205"/>
    </row>
    <row r="1249" spans="3:9">
      <c r="C1249" s="205"/>
      <c r="D1249" s="205"/>
      <c r="E1249" s="205"/>
      <c r="F1249" s="205"/>
      <c r="G1249" s="209"/>
      <c r="H1249" s="209"/>
      <c r="I1249" s="205"/>
    </row>
    <row r="1250" spans="3:9">
      <c r="C1250" s="205"/>
      <c r="D1250" s="205"/>
      <c r="E1250" s="205"/>
      <c r="F1250" s="205"/>
      <c r="G1250" s="209"/>
      <c r="H1250" s="209"/>
      <c r="I1250" s="205"/>
    </row>
    <row r="1251" spans="3:9">
      <c r="C1251" s="205"/>
      <c r="D1251" s="205"/>
      <c r="E1251" s="205"/>
      <c r="F1251" s="205"/>
      <c r="G1251" s="209"/>
      <c r="H1251" s="209"/>
      <c r="I1251" s="205"/>
    </row>
    <row r="1252" spans="3:9">
      <c r="C1252" s="205"/>
      <c r="D1252" s="205"/>
      <c r="E1252" s="205"/>
      <c r="F1252" s="205"/>
      <c r="G1252" s="209"/>
      <c r="H1252" s="209"/>
      <c r="I1252" s="205"/>
    </row>
    <row r="1253" spans="3:9">
      <c r="C1253" s="205"/>
      <c r="D1253" s="205"/>
      <c r="E1253" s="205"/>
      <c r="F1253" s="205"/>
      <c r="G1253" s="209"/>
      <c r="H1253" s="209"/>
      <c r="I1253" s="205"/>
    </row>
    <row r="1254" spans="3:9">
      <c r="C1254" s="205"/>
      <c r="D1254" s="205"/>
      <c r="E1254" s="205"/>
      <c r="F1254" s="205"/>
      <c r="G1254" s="209"/>
      <c r="H1254" s="209"/>
      <c r="I1254" s="205"/>
    </row>
    <row r="1255" spans="3:9">
      <c r="C1255" s="205"/>
      <c r="D1255" s="205"/>
      <c r="E1255" s="205"/>
      <c r="F1255" s="205"/>
      <c r="G1255" s="209"/>
      <c r="H1255" s="209"/>
      <c r="I1255" s="205"/>
    </row>
    <row r="1256" spans="3:9">
      <c r="C1256" s="205"/>
      <c r="D1256" s="205"/>
      <c r="E1256" s="205"/>
      <c r="F1256" s="205"/>
      <c r="G1256" s="209"/>
      <c r="H1256" s="209"/>
      <c r="I1256" s="205"/>
    </row>
    <row r="1257" spans="3:9">
      <c r="C1257" s="205"/>
      <c r="D1257" s="205"/>
      <c r="E1257" s="205"/>
      <c r="F1257" s="205"/>
      <c r="G1257" s="209"/>
      <c r="H1257" s="209"/>
      <c r="I1257" s="205"/>
    </row>
    <row r="1258" spans="3:9">
      <c r="C1258" s="205"/>
      <c r="D1258" s="205"/>
      <c r="E1258" s="205"/>
      <c r="F1258" s="205"/>
      <c r="G1258" s="209"/>
      <c r="H1258" s="209"/>
      <c r="I1258" s="205"/>
    </row>
    <row r="1259" spans="3:9">
      <c r="C1259" s="205"/>
      <c r="D1259" s="205"/>
      <c r="E1259" s="205"/>
      <c r="F1259" s="205"/>
      <c r="G1259" s="209"/>
      <c r="H1259" s="209"/>
      <c r="I1259" s="205"/>
    </row>
    <row r="1260" spans="3:9">
      <c r="C1260" s="205"/>
      <c r="D1260" s="205"/>
      <c r="E1260" s="205"/>
      <c r="F1260" s="205"/>
      <c r="G1260" s="209"/>
      <c r="H1260" s="209"/>
      <c r="I1260" s="205"/>
    </row>
    <row r="1261" spans="3:9">
      <c r="C1261" s="205"/>
      <c r="D1261" s="205"/>
      <c r="E1261" s="205"/>
      <c r="F1261" s="205"/>
      <c r="G1261" s="209"/>
      <c r="H1261" s="209"/>
      <c r="I1261" s="205"/>
    </row>
    <row r="1262" spans="3:9">
      <c r="C1262" s="205"/>
      <c r="D1262" s="205"/>
      <c r="E1262" s="205"/>
      <c r="F1262" s="205"/>
      <c r="G1262" s="209"/>
      <c r="H1262" s="209"/>
      <c r="I1262" s="205"/>
    </row>
    <row r="1263" spans="3:9">
      <c r="C1263" s="205"/>
      <c r="D1263" s="205"/>
      <c r="E1263" s="205"/>
      <c r="F1263" s="205"/>
      <c r="G1263" s="209"/>
      <c r="H1263" s="209"/>
      <c r="I1263" s="205"/>
    </row>
    <row r="1264" spans="3:9">
      <c r="C1264" s="205"/>
      <c r="D1264" s="205"/>
      <c r="E1264" s="205"/>
      <c r="F1264" s="205"/>
      <c r="G1264" s="209"/>
      <c r="H1264" s="209"/>
      <c r="I1264" s="205"/>
    </row>
    <row r="1265" spans="3:9">
      <c r="C1265" s="205"/>
      <c r="D1265" s="205"/>
      <c r="E1265" s="205"/>
      <c r="F1265" s="205"/>
      <c r="G1265" s="209"/>
      <c r="H1265" s="209"/>
      <c r="I1265" s="205"/>
    </row>
    <row r="1266" spans="3:9">
      <c r="C1266" s="205"/>
      <c r="D1266" s="205"/>
      <c r="E1266" s="205"/>
      <c r="F1266" s="205"/>
      <c r="G1266" s="209"/>
      <c r="H1266" s="209"/>
      <c r="I1266" s="205"/>
    </row>
    <row r="1267" spans="3:9">
      <c r="C1267" s="205"/>
      <c r="D1267" s="205"/>
      <c r="E1267" s="205"/>
      <c r="F1267" s="205"/>
      <c r="G1267" s="209"/>
      <c r="H1267" s="209"/>
      <c r="I1267" s="205"/>
    </row>
    <row r="1268" spans="3:9">
      <c r="C1268" s="205"/>
      <c r="D1268" s="205"/>
      <c r="E1268" s="205"/>
      <c r="F1268" s="205"/>
      <c r="G1268" s="209"/>
      <c r="H1268" s="209"/>
      <c r="I1268" s="205"/>
    </row>
    <row r="1269" spans="3:9">
      <c r="C1269" s="205"/>
      <c r="D1269" s="205"/>
      <c r="E1269" s="205"/>
      <c r="F1269" s="205"/>
      <c r="G1269" s="209"/>
      <c r="H1269" s="209"/>
      <c r="I1269" s="205"/>
    </row>
    <row r="1270" spans="3:9">
      <c r="C1270" s="205"/>
      <c r="D1270" s="205"/>
      <c r="E1270" s="205"/>
      <c r="F1270" s="205"/>
      <c r="G1270" s="209"/>
      <c r="H1270" s="209"/>
      <c r="I1270" s="205"/>
    </row>
    <row r="1271" spans="3:9">
      <c r="C1271" s="205"/>
      <c r="D1271" s="205"/>
      <c r="E1271" s="205"/>
      <c r="F1271" s="205"/>
      <c r="G1271" s="209"/>
      <c r="H1271" s="209"/>
      <c r="I1271" s="205"/>
    </row>
    <row r="1272" spans="3:9">
      <c r="C1272" s="205"/>
      <c r="D1272" s="205"/>
      <c r="E1272" s="205"/>
      <c r="F1272" s="205"/>
      <c r="G1272" s="209"/>
      <c r="H1272" s="209"/>
      <c r="I1272" s="205"/>
    </row>
    <row r="1273" spans="3:9">
      <c r="C1273" s="205"/>
      <c r="D1273" s="205"/>
      <c r="E1273" s="205"/>
      <c r="F1273" s="205"/>
      <c r="G1273" s="209"/>
      <c r="H1273" s="209"/>
      <c r="I1273" s="205"/>
    </row>
    <row r="1274" spans="3:9">
      <c r="C1274" s="205"/>
      <c r="D1274" s="205"/>
      <c r="E1274" s="205"/>
      <c r="F1274" s="205"/>
      <c r="G1274" s="209"/>
      <c r="H1274" s="209"/>
      <c r="I1274" s="205"/>
    </row>
    <row r="1275" spans="3:9">
      <c r="C1275" s="205"/>
      <c r="D1275" s="205"/>
      <c r="E1275" s="205"/>
      <c r="F1275" s="205"/>
      <c r="G1275" s="209"/>
      <c r="H1275" s="209"/>
      <c r="I1275" s="205"/>
    </row>
    <row r="1276" spans="3:9">
      <c r="C1276" s="205"/>
      <c r="D1276" s="205"/>
      <c r="E1276" s="205"/>
      <c r="F1276" s="205"/>
      <c r="G1276" s="209"/>
      <c r="H1276" s="209"/>
      <c r="I1276" s="205"/>
    </row>
    <row r="1277" spans="3:9">
      <c r="C1277" s="205"/>
      <c r="D1277" s="205"/>
      <c r="E1277" s="205"/>
      <c r="F1277" s="205"/>
      <c r="G1277" s="209"/>
      <c r="H1277" s="209"/>
      <c r="I1277" s="205"/>
    </row>
    <row r="1278" spans="3:9">
      <c r="C1278" s="205"/>
      <c r="D1278" s="205"/>
      <c r="E1278" s="205"/>
      <c r="F1278" s="205"/>
      <c r="G1278" s="209"/>
      <c r="H1278" s="209"/>
      <c r="I1278" s="205"/>
    </row>
    <row r="1279" spans="3:9">
      <c r="C1279" s="205"/>
      <c r="D1279" s="205"/>
      <c r="E1279" s="205"/>
      <c r="F1279" s="205"/>
      <c r="G1279" s="209"/>
      <c r="H1279" s="209"/>
      <c r="I1279" s="205"/>
    </row>
    <row r="1280" spans="3:9">
      <c r="C1280" s="205"/>
      <c r="D1280" s="205"/>
      <c r="E1280" s="205"/>
      <c r="F1280" s="205"/>
      <c r="G1280" s="209"/>
      <c r="H1280" s="209"/>
      <c r="I1280" s="205"/>
    </row>
    <row r="1281" spans="3:9">
      <c r="C1281" s="205"/>
      <c r="D1281" s="205"/>
      <c r="E1281" s="205"/>
      <c r="F1281" s="205"/>
      <c r="G1281" s="209"/>
      <c r="H1281" s="209"/>
      <c r="I1281" s="205"/>
    </row>
    <row r="1282" spans="3:9">
      <c r="C1282" s="205"/>
      <c r="D1282" s="205"/>
      <c r="E1282" s="205"/>
      <c r="F1282" s="205"/>
      <c r="G1282" s="209"/>
      <c r="H1282" s="209"/>
      <c r="I1282" s="205"/>
    </row>
    <row r="1283" spans="3:9">
      <c r="C1283" s="205"/>
      <c r="D1283" s="205"/>
      <c r="E1283" s="205"/>
      <c r="F1283" s="205"/>
      <c r="G1283" s="209"/>
      <c r="H1283" s="209"/>
      <c r="I1283" s="205"/>
    </row>
    <row r="1284" spans="3:9">
      <c r="C1284" s="205"/>
      <c r="D1284" s="205"/>
      <c r="E1284" s="205"/>
      <c r="F1284" s="205"/>
      <c r="G1284" s="209"/>
      <c r="H1284" s="209"/>
      <c r="I1284" s="205"/>
    </row>
    <row r="1285" spans="3:9">
      <c r="C1285" s="205"/>
      <c r="D1285" s="205"/>
      <c r="E1285" s="205"/>
      <c r="F1285" s="205"/>
      <c r="G1285" s="209"/>
      <c r="H1285" s="209"/>
      <c r="I1285" s="205"/>
    </row>
    <row r="1286" spans="3:9">
      <c r="C1286" s="205"/>
      <c r="D1286" s="205"/>
      <c r="E1286" s="205"/>
      <c r="F1286" s="205"/>
      <c r="G1286" s="209"/>
      <c r="H1286" s="209"/>
      <c r="I1286" s="205"/>
    </row>
    <row r="1287" spans="3:9">
      <c r="C1287" s="205"/>
      <c r="D1287" s="205"/>
      <c r="E1287" s="205"/>
      <c r="F1287" s="205"/>
      <c r="G1287" s="209"/>
      <c r="H1287" s="209"/>
      <c r="I1287" s="205"/>
    </row>
    <row r="1288" spans="3:9">
      <c r="C1288" s="205"/>
      <c r="D1288" s="205"/>
      <c r="E1288" s="205"/>
      <c r="F1288" s="205"/>
      <c r="G1288" s="209"/>
      <c r="H1288" s="209"/>
      <c r="I1288" s="205"/>
    </row>
    <row r="1289" spans="3:9">
      <c r="C1289" s="205"/>
      <c r="D1289" s="205"/>
      <c r="E1289" s="205"/>
      <c r="F1289" s="205"/>
      <c r="G1289" s="209"/>
      <c r="H1289" s="209"/>
      <c r="I1289" s="205"/>
    </row>
    <row r="1290" spans="3:9">
      <c r="C1290" s="205"/>
      <c r="D1290" s="205"/>
      <c r="E1290" s="205"/>
      <c r="F1290" s="205"/>
      <c r="G1290" s="209"/>
      <c r="H1290" s="209"/>
      <c r="I1290" s="205"/>
    </row>
    <row r="1291" spans="3:9">
      <c r="C1291" s="205"/>
      <c r="D1291" s="205"/>
      <c r="E1291" s="205"/>
      <c r="F1291" s="205"/>
      <c r="G1291" s="209"/>
      <c r="H1291" s="209"/>
      <c r="I1291" s="205"/>
    </row>
    <row r="1292" spans="3:9">
      <c r="C1292" s="205"/>
      <c r="D1292" s="205"/>
      <c r="E1292" s="205"/>
      <c r="F1292" s="205"/>
      <c r="G1292" s="209"/>
      <c r="H1292" s="209"/>
      <c r="I1292" s="205"/>
    </row>
    <row r="1293" spans="3:9">
      <c r="C1293" s="205"/>
      <c r="D1293" s="205"/>
      <c r="E1293" s="205"/>
      <c r="F1293" s="205"/>
      <c r="G1293" s="209"/>
      <c r="H1293" s="209"/>
      <c r="I1293" s="205"/>
    </row>
    <row r="1294" spans="3:9">
      <c r="C1294" s="205"/>
      <c r="D1294" s="205"/>
      <c r="E1294" s="205"/>
      <c r="F1294" s="205"/>
      <c r="G1294" s="209"/>
      <c r="H1294" s="209"/>
      <c r="I1294" s="205"/>
    </row>
    <row r="1295" spans="3:9">
      <c r="C1295" s="205"/>
      <c r="D1295" s="205"/>
      <c r="E1295" s="205"/>
      <c r="F1295" s="205"/>
      <c r="G1295" s="209"/>
      <c r="H1295" s="209"/>
      <c r="I1295" s="205"/>
    </row>
    <row r="1296" spans="3:9">
      <c r="C1296" s="205"/>
      <c r="D1296" s="205"/>
      <c r="E1296" s="205"/>
      <c r="F1296" s="205"/>
      <c r="G1296" s="209"/>
      <c r="H1296" s="209"/>
      <c r="I1296" s="205"/>
    </row>
    <row r="1297" spans="3:9">
      <c r="C1297" s="205"/>
      <c r="D1297" s="205"/>
      <c r="E1297" s="205"/>
      <c r="F1297" s="205"/>
      <c r="G1297" s="209"/>
      <c r="H1297" s="209"/>
      <c r="I1297" s="205"/>
    </row>
    <row r="1298" spans="3:9">
      <c r="C1298" s="205"/>
      <c r="D1298" s="205"/>
      <c r="E1298" s="205"/>
      <c r="F1298" s="205"/>
      <c r="G1298" s="209"/>
      <c r="H1298" s="209"/>
      <c r="I1298" s="205"/>
    </row>
    <row r="1299" spans="3:9">
      <c r="C1299" s="205"/>
      <c r="D1299" s="205"/>
      <c r="E1299" s="205"/>
      <c r="F1299" s="205"/>
      <c r="G1299" s="209"/>
      <c r="H1299" s="209"/>
      <c r="I1299" s="205"/>
    </row>
    <row r="1300" spans="3:9">
      <c r="C1300" s="205"/>
      <c r="D1300" s="205"/>
      <c r="E1300" s="205"/>
      <c r="F1300" s="205"/>
      <c r="G1300" s="209"/>
      <c r="H1300" s="209"/>
      <c r="I1300" s="205"/>
    </row>
    <row r="1301" spans="3:9">
      <c r="C1301" s="205"/>
      <c r="D1301" s="205"/>
      <c r="E1301" s="205"/>
      <c r="F1301" s="205"/>
      <c r="G1301" s="209"/>
      <c r="H1301" s="209"/>
      <c r="I1301" s="205"/>
    </row>
    <row r="1302" spans="3:9">
      <c r="C1302" s="205"/>
      <c r="D1302" s="205"/>
      <c r="E1302" s="205"/>
      <c r="F1302" s="205"/>
      <c r="G1302" s="209"/>
      <c r="H1302" s="209"/>
      <c r="I1302" s="205"/>
    </row>
    <row r="1303" spans="3:9">
      <c r="C1303" s="205"/>
      <c r="D1303" s="205"/>
      <c r="E1303" s="205"/>
      <c r="F1303" s="205"/>
      <c r="G1303" s="209"/>
      <c r="H1303" s="209"/>
      <c r="I1303" s="205"/>
    </row>
    <row r="1304" spans="3:9">
      <c r="C1304" s="205"/>
      <c r="D1304" s="205"/>
      <c r="E1304" s="205"/>
      <c r="F1304" s="205"/>
      <c r="G1304" s="209"/>
      <c r="H1304" s="209"/>
      <c r="I1304" s="205"/>
    </row>
    <row r="1305" spans="3:9">
      <c r="C1305" s="205"/>
      <c r="D1305" s="205"/>
      <c r="E1305" s="205"/>
      <c r="F1305" s="205"/>
      <c r="G1305" s="209"/>
      <c r="H1305" s="209"/>
      <c r="I1305" s="205"/>
    </row>
    <row r="1306" spans="3:9">
      <c r="C1306" s="205"/>
      <c r="D1306" s="205"/>
      <c r="E1306" s="205"/>
      <c r="F1306" s="205"/>
      <c r="G1306" s="209"/>
      <c r="H1306" s="209"/>
      <c r="I1306" s="205"/>
    </row>
    <row r="1307" spans="3:9">
      <c r="C1307" s="205"/>
      <c r="D1307" s="205"/>
      <c r="E1307" s="205"/>
      <c r="F1307" s="205"/>
      <c r="G1307" s="209"/>
      <c r="H1307" s="209"/>
      <c r="I1307" s="205"/>
    </row>
    <row r="1308" spans="3:9">
      <c r="C1308" s="205"/>
      <c r="D1308" s="205"/>
      <c r="E1308" s="205"/>
      <c r="F1308" s="205"/>
      <c r="G1308" s="209"/>
      <c r="H1308" s="209"/>
      <c r="I1308" s="205"/>
    </row>
    <row r="1309" spans="3:9">
      <c r="C1309" s="205"/>
      <c r="D1309" s="205"/>
      <c r="E1309" s="205"/>
      <c r="F1309" s="205"/>
      <c r="G1309" s="209"/>
      <c r="H1309" s="209"/>
      <c r="I1309" s="205"/>
    </row>
    <row r="1310" spans="3:9">
      <c r="C1310" s="205"/>
      <c r="D1310" s="205"/>
      <c r="E1310" s="205"/>
      <c r="F1310" s="205"/>
      <c r="G1310" s="209"/>
      <c r="H1310" s="209"/>
      <c r="I1310" s="205"/>
    </row>
    <row r="1311" spans="3:9">
      <c r="C1311" s="205"/>
      <c r="D1311" s="205"/>
      <c r="E1311" s="205"/>
      <c r="F1311" s="205"/>
      <c r="G1311" s="209"/>
      <c r="H1311" s="209"/>
      <c r="I1311" s="205"/>
    </row>
    <row r="1312" spans="3:9">
      <c r="C1312" s="205"/>
      <c r="D1312" s="205"/>
      <c r="E1312" s="205"/>
      <c r="F1312" s="205"/>
      <c r="G1312" s="209"/>
      <c r="H1312" s="209"/>
      <c r="I1312" s="205"/>
    </row>
    <row r="1313" spans="3:9">
      <c r="C1313" s="205"/>
      <c r="D1313" s="205"/>
      <c r="E1313" s="205"/>
      <c r="F1313" s="205"/>
      <c r="G1313" s="209"/>
      <c r="H1313" s="209"/>
      <c r="I1313" s="205"/>
    </row>
    <row r="1314" spans="3:9">
      <c r="C1314" s="205"/>
      <c r="D1314" s="205"/>
      <c r="E1314" s="205"/>
      <c r="F1314" s="205"/>
      <c r="G1314" s="209"/>
      <c r="H1314" s="209"/>
      <c r="I1314" s="205"/>
    </row>
    <row r="1315" spans="3:9">
      <c r="C1315" s="205"/>
      <c r="D1315" s="205"/>
      <c r="E1315" s="205"/>
      <c r="F1315" s="205"/>
      <c r="G1315" s="209"/>
      <c r="H1315" s="209"/>
      <c r="I1315" s="205"/>
    </row>
    <row r="1316" spans="3:9">
      <c r="C1316" s="205"/>
      <c r="D1316" s="205"/>
      <c r="E1316" s="205"/>
      <c r="F1316" s="205"/>
      <c r="G1316" s="209"/>
      <c r="H1316" s="209"/>
      <c r="I1316" s="205"/>
    </row>
    <row r="1317" spans="3:9">
      <c r="C1317" s="205"/>
      <c r="D1317" s="205"/>
      <c r="E1317" s="205"/>
      <c r="F1317" s="205"/>
      <c r="G1317" s="209"/>
      <c r="H1317" s="209"/>
      <c r="I1317" s="205"/>
    </row>
    <row r="1318" spans="3:9">
      <c r="C1318" s="205"/>
      <c r="D1318" s="205"/>
      <c r="E1318" s="205"/>
      <c r="F1318" s="205"/>
      <c r="G1318" s="209"/>
      <c r="H1318" s="209"/>
      <c r="I1318" s="205"/>
    </row>
    <row r="1319" spans="3:9">
      <c r="C1319" s="205"/>
      <c r="D1319" s="205"/>
      <c r="E1319" s="205"/>
      <c r="F1319" s="205"/>
      <c r="G1319" s="209"/>
      <c r="H1319" s="209"/>
      <c r="I1319" s="205"/>
    </row>
    <row r="1320" spans="3:9">
      <c r="C1320" s="205"/>
      <c r="D1320" s="205"/>
      <c r="E1320" s="205"/>
      <c r="F1320" s="205"/>
      <c r="G1320" s="209"/>
      <c r="H1320" s="209"/>
      <c r="I1320" s="205"/>
    </row>
    <row r="1321" spans="3:9">
      <c r="C1321" s="205"/>
      <c r="D1321" s="205"/>
      <c r="E1321" s="205"/>
      <c r="F1321" s="205"/>
      <c r="G1321" s="209"/>
      <c r="H1321" s="209"/>
      <c r="I1321" s="205"/>
    </row>
    <row r="1322" spans="3:9">
      <c r="C1322" s="205"/>
      <c r="D1322" s="205"/>
      <c r="E1322" s="205"/>
      <c r="F1322" s="205"/>
      <c r="G1322" s="209"/>
      <c r="H1322" s="209"/>
      <c r="I1322" s="205"/>
    </row>
    <row r="1323" spans="3:9">
      <c r="C1323" s="205"/>
      <c r="D1323" s="205"/>
      <c r="E1323" s="205"/>
      <c r="F1323" s="205"/>
      <c r="G1323" s="209"/>
      <c r="H1323" s="209"/>
      <c r="I1323" s="205"/>
    </row>
    <row r="1324" spans="3:9">
      <c r="C1324" s="205"/>
      <c r="D1324" s="205"/>
      <c r="E1324" s="205"/>
      <c r="F1324" s="205"/>
      <c r="G1324" s="209"/>
      <c r="H1324" s="209"/>
      <c r="I1324" s="205"/>
    </row>
    <row r="1325" spans="3:9">
      <c r="C1325" s="205"/>
      <c r="D1325" s="205"/>
      <c r="E1325" s="205"/>
      <c r="F1325" s="205"/>
      <c r="G1325" s="209"/>
      <c r="H1325" s="209"/>
      <c r="I1325" s="205"/>
    </row>
    <row r="1326" spans="3:9">
      <c r="C1326" s="205"/>
      <c r="D1326" s="205"/>
      <c r="E1326" s="205"/>
      <c r="F1326" s="205"/>
      <c r="G1326" s="209"/>
      <c r="H1326" s="209"/>
      <c r="I1326" s="205"/>
    </row>
    <row r="1327" spans="3:9">
      <c r="C1327" s="205"/>
      <c r="D1327" s="205"/>
      <c r="E1327" s="205"/>
      <c r="F1327" s="205"/>
      <c r="G1327" s="209"/>
      <c r="H1327" s="209"/>
      <c r="I1327" s="205"/>
    </row>
    <row r="1328" spans="3:9">
      <c r="C1328" s="205"/>
      <c r="D1328" s="205"/>
      <c r="E1328" s="205"/>
      <c r="F1328" s="205"/>
      <c r="G1328" s="209"/>
      <c r="H1328" s="209"/>
      <c r="I1328" s="205"/>
    </row>
    <row r="1329" spans="3:9">
      <c r="C1329" s="205"/>
      <c r="D1329" s="205"/>
      <c r="E1329" s="205"/>
      <c r="F1329" s="205"/>
      <c r="G1329" s="209"/>
      <c r="H1329" s="209"/>
      <c r="I1329" s="205"/>
    </row>
    <row r="1330" spans="3:9">
      <c r="C1330" s="205"/>
      <c r="D1330" s="205"/>
      <c r="E1330" s="205"/>
      <c r="F1330" s="205"/>
      <c r="G1330" s="209"/>
      <c r="H1330" s="209"/>
      <c r="I1330" s="205"/>
    </row>
    <row r="1331" spans="3:9">
      <c r="C1331" s="205"/>
      <c r="D1331" s="205"/>
      <c r="E1331" s="205"/>
      <c r="F1331" s="205"/>
      <c r="G1331" s="209"/>
      <c r="H1331" s="209"/>
      <c r="I1331" s="205"/>
    </row>
    <row r="1332" spans="3:9">
      <c r="C1332" s="205"/>
      <c r="D1332" s="205"/>
      <c r="E1332" s="205"/>
      <c r="F1332" s="205"/>
      <c r="G1332" s="209"/>
      <c r="H1332" s="209"/>
      <c r="I1332" s="205"/>
    </row>
    <row r="1333" spans="3:9">
      <c r="C1333" s="205"/>
      <c r="D1333" s="205"/>
      <c r="E1333" s="205"/>
      <c r="F1333" s="205"/>
      <c r="G1333" s="209"/>
      <c r="H1333" s="209"/>
      <c r="I1333" s="205"/>
    </row>
    <row r="1334" spans="3:9">
      <c r="C1334" s="205"/>
      <c r="D1334" s="205"/>
      <c r="E1334" s="205"/>
      <c r="F1334" s="205"/>
      <c r="G1334" s="209"/>
      <c r="H1334" s="209"/>
      <c r="I1334" s="205"/>
    </row>
    <row r="1335" spans="3:9">
      <c r="C1335" s="205"/>
      <c r="D1335" s="205"/>
      <c r="E1335" s="205"/>
      <c r="F1335" s="205"/>
      <c r="G1335" s="209"/>
      <c r="H1335" s="209"/>
      <c r="I1335" s="205"/>
    </row>
    <row r="1336" spans="3:9">
      <c r="C1336" s="205"/>
      <c r="D1336" s="205"/>
      <c r="E1336" s="205"/>
      <c r="F1336" s="205"/>
      <c r="G1336" s="209"/>
      <c r="H1336" s="209"/>
      <c r="I1336" s="205"/>
    </row>
    <row r="1337" spans="3:9">
      <c r="C1337" s="205"/>
      <c r="D1337" s="205"/>
      <c r="E1337" s="205"/>
      <c r="F1337" s="205"/>
      <c r="G1337" s="209"/>
      <c r="H1337" s="209"/>
      <c r="I1337" s="205"/>
    </row>
    <row r="1338" spans="3:9">
      <c r="C1338" s="205"/>
      <c r="D1338" s="205"/>
      <c r="E1338" s="205"/>
      <c r="F1338" s="205"/>
      <c r="G1338" s="209"/>
      <c r="H1338" s="209"/>
      <c r="I1338" s="205"/>
    </row>
    <row r="1339" spans="3:9">
      <c r="C1339" s="205"/>
      <c r="D1339" s="205"/>
      <c r="E1339" s="205"/>
      <c r="F1339" s="205"/>
      <c r="G1339" s="209"/>
      <c r="H1339" s="209"/>
      <c r="I1339" s="205"/>
    </row>
    <row r="1340" spans="3:9">
      <c r="C1340" s="205"/>
      <c r="D1340" s="205"/>
      <c r="E1340" s="205"/>
      <c r="F1340" s="205"/>
      <c r="G1340" s="209"/>
      <c r="H1340" s="209"/>
      <c r="I1340" s="205"/>
    </row>
    <row r="1341" spans="3:9">
      <c r="C1341" s="205"/>
      <c r="D1341" s="205"/>
      <c r="E1341" s="205"/>
      <c r="F1341" s="205"/>
      <c r="G1341" s="209"/>
      <c r="H1341" s="209"/>
      <c r="I1341" s="205"/>
    </row>
    <row r="1342" spans="3:9">
      <c r="C1342" s="205"/>
      <c r="D1342" s="205"/>
      <c r="E1342" s="205"/>
      <c r="F1342" s="205"/>
      <c r="G1342" s="209"/>
      <c r="H1342" s="209"/>
      <c r="I1342" s="205"/>
    </row>
    <row r="1343" spans="3:9">
      <c r="C1343" s="205"/>
      <c r="D1343" s="205"/>
      <c r="E1343" s="205"/>
      <c r="F1343" s="205"/>
      <c r="G1343" s="209"/>
      <c r="H1343" s="209"/>
      <c r="I1343" s="205"/>
    </row>
    <row r="1344" spans="3:9">
      <c r="C1344" s="205"/>
      <c r="D1344" s="205"/>
      <c r="E1344" s="205"/>
      <c r="F1344" s="205"/>
      <c r="G1344" s="209"/>
      <c r="H1344" s="209"/>
      <c r="I1344" s="205"/>
    </row>
    <row r="1345" spans="3:9">
      <c r="C1345" s="205"/>
      <c r="D1345" s="205"/>
      <c r="E1345" s="205"/>
      <c r="F1345" s="205"/>
      <c r="G1345" s="209"/>
      <c r="H1345" s="209"/>
      <c r="I1345" s="205"/>
    </row>
    <row r="1346" spans="3:9">
      <c r="C1346" s="205"/>
      <c r="D1346" s="205"/>
      <c r="E1346" s="205"/>
      <c r="F1346" s="205"/>
      <c r="G1346" s="209"/>
      <c r="H1346" s="209"/>
      <c r="I1346" s="205"/>
    </row>
    <row r="1347" spans="3:9">
      <c r="C1347" s="205"/>
      <c r="D1347" s="205"/>
      <c r="E1347" s="205"/>
      <c r="F1347" s="205"/>
      <c r="G1347" s="209"/>
      <c r="H1347" s="209"/>
      <c r="I1347" s="205"/>
    </row>
    <row r="1348" spans="3:9">
      <c r="C1348" s="205"/>
      <c r="D1348" s="205"/>
      <c r="E1348" s="205"/>
      <c r="F1348" s="205"/>
      <c r="G1348" s="209"/>
      <c r="H1348" s="209"/>
      <c r="I1348" s="205"/>
    </row>
    <row r="1349" spans="3:9">
      <c r="C1349" s="205"/>
      <c r="D1349" s="205"/>
      <c r="E1349" s="205"/>
      <c r="F1349" s="205"/>
      <c r="G1349" s="209"/>
      <c r="H1349" s="209"/>
      <c r="I1349" s="205"/>
    </row>
    <row r="1350" spans="3:9">
      <c r="C1350" s="205"/>
      <c r="D1350" s="205"/>
      <c r="E1350" s="205"/>
      <c r="F1350" s="205"/>
      <c r="G1350" s="209"/>
      <c r="H1350" s="209"/>
      <c r="I1350" s="205"/>
    </row>
    <row r="1351" spans="3:9">
      <c r="C1351" s="205"/>
      <c r="D1351" s="205"/>
      <c r="E1351" s="205"/>
      <c r="F1351" s="205"/>
      <c r="G1351" s="209"/>
      <c r="H1351" s="209"/>
      <c r="I1351" s="205"/>
    </row>
    <row r="1352" spans="3:9">
      <c r="C1352" s="205"/>
      <c r="D1352" s="205"/>
      <c r="E1352" s="205"/>
      <c r="F1352" s="205"/>
      <c r="G1352" s="209"/>
      <c r="H1352" s="209"/>
      <c r="I1352" s="205"/>
    </row>
    <row r="1353" spans="3:9">
      <c r="C1353" s="205"/>
      <c r="D1353" s="205"/>
      <c r="E1353" s="205"/>
      <c r="F1353" s="205"/>
      <c r="G1353" s="209"/>
      <c r="H1353" s="209"/>
      <c r="I1353" s="205"/>
    </row>
    <row r="1354" spans="3:9">
      <c r="C1354" s="205"/>
      <c r="D1354" s="205"/>
      <c r="E1354" s="205"/>
      <c r="F1354" s="205"/>
      <c r="G1354" s="209"/>
      <c r="H1354" s="209"/>
      <c r="I1354" s="205"/>
    </row>
    <row r="1355" spans="3:9">
      <c r="C1355" s="205"/>
      <c r="D1355" s="205"/>
      <c r="E1355" s="205"/>
      <c r="F1355" s="205"/>
      <c r="G1355" s="209"/>
      <c r="H1355" s="209"/>
      <c r="I1355" s="205"/>
    </row>
    <row r="1356" spans="3:9">
      <c r="C1356" s="205"/>
      <c r="D1356" s="205"/>
      <c r="E1356" s="205"/>
      <c r="F1356" s="205"/>
      <c r="G1356" s="209"/>
      <c r="H1356" s="209"/>
      <c r="I1356" s="205"/>
    </row>
    <row r="1357" spans="3:9">
      <c r="C1357" s="205"/>
      <c r="D1357" s="205"/>
      <c r="E1357" s="205"/>
      <c r="F1357" s="205"/>
      <c r="G1357" s="209"/>
      <c r="H1357" s="209"/>
      <c r="I1357" s="205"/>
    </row>
    <row r="1358" spans="3:9">
      <c r="C1358" s="205"/>
      <c r="D1358" s="205"/>
      <c r="E1358" s="205"/>
      <c r="F1358" s="205"/>
      <c r="G1358" s="209"/>
      <c r="H1358" s="209"/>
      <c r="I1358" s="205"/>
    </row>
    <row r="1359" spans="3:9">
      <c r="C1359" s="205"/>
      <c r="D1359" s="205"/>
      <c r="E1359" s="205"/>
      <c r="F1359" s="205"/>
      <c r="G1359" s="209"/>
      <c r="H1359" s="209"/>
      <c r="I1359" s="205"/>
    </row>
    <row r="1360" spans="3:9">
      <c r="C1360" s="205"/>
      <c r="D1360" s="205"/>
      <c r="E1360" s="205"/>
      <c r="F1360" s="205"/>
      <c r="G1360" s="209"/>
      <c r="H1360" s="209"/>
      <c r="I1360" s="205"/>
    </row>
    <row r="1361" spans="3:9">
      <c r="C1361" s="205"/>
      <c r="D1361" s="205"/>
      <c r="E1361" s="205"/>
      <c r="F1361" s="205"/>
      <c r="G1361" s="209"/>
      <c r="H1361" s="209"/>
      <c r="I1361" s="205"/>
    </row>
    <row r="1362" spans="3:9">
      <c r="C1362" s="205"/>
      <c r="D1362" s="205"/>
      <c r="E1362" s="205"/>
      <c r="F1362" s="205"/>
      <c r="G1362" s="209"/>
      <c r="H1362" s="209"/>
      <c r="I1362" s="205"/>
    </row>
    <row r="1363" spans="3:9">
      <c r="C1363" s="205"/>
      <c r="D1363" s="205"/>
      <c r="E1363" s="205"/>
      <c r="F1363" s="205"/>
      <c r="G1363" s="209"/>
      <c r="H1363" s="209"/>
      <c r="I1363" s="205"/>
    </row>
    <row r="1364" spans="3:9">
      <c r="C1364" s="205"/>
      <c r="D1364" s="205"/>
      <c r="E1364" s="205"/>
      <c r="F1364" s="205"/>
      <c r="G1364" s="209"/>
      <c r="H1364" s="209"/>
      <c r="I1364" s="205"/>
    </row>
    <row r="1365" spans="3:9">
      <c r="C1365" s="205"/>
      <c r="D1365" s="205"/>
      <c r="E1365" s="205"/>
      <c r="F1365" s="205"/>
      <c r="G1365" s="209"/>
      <c r="H1365" s="209"/>
      <c r="I1365" s="205"/>
    </row>
    <row r="1366" spans="3:9">
      <c r="C1366" s="205"/>
      <c r="D1366" s="205"/>
      <c r="E1366" s="205"/>
      <c r="F1366" s="205"/>
      <c r="G1366" s="209"/>
      <c r="H1366" s="209"/>
      <c r="I1366" s="205"/>
    </row>
    <row r="1367" spans="3:9">
      <c r="C1367" s="205"/>
      <c r="D1367" s="205"/>
      <c r="E1367" s="205"/>
      <c r="F1367" s="205"/>
      <c r="G1367" s="209"/>
      <c r="H1367" s="209"/>
      <c r="I1367" s="205"/>
    </row>
    <row r="1368" spans="3:9">
      <c r="C1368" s="205"/>
      <c r="D1368" s="205"/>
      <c r="E1368" s="205"/>
      <c r="F1368" s="205"/>
      <c r="G1368" s="209"/>
      <c r="H1368" s="209"/>
      <c r="I1368" s="205"/>
    </row>
    <row r="1369" spans="3:9">
      <c r="C1369" s="205"/>
      <c r="D1369" s="205"/>
      <c r="E1369" s="205"/>
      <c r="F1369" s="205"/>
      <c r="G1369" s="209"/>
      <c r="H1369" s="209"/>
      <c r="I1369" s="205"/>
    </row>
    <row r="1370" spans="3:9">
      <c r="C1370" s="205"/>
      <c r="D1370" s="205"/>
      <c r="E1370" s="205"/>
      <c r="F1370" s="205"/>
      <c r="G1370" s="209"/>
      <c r="H1370" s="209"/>
      <c r="I1370" s="205"/>
    </row>
    <row r="1371" spans="3:9">
      <c r="C1371" s="205"/>
      <c r="D1371" s="205"/>
      <c r="E1371" s="205"/>
      <c r="F1371" s="205"/>
      <c r="G1371" s="209"/>
      <c r="H1371" s="209"/>
      <c r="I1371" s="205"/>
    </row>
    <row r="1372" spans="3:9">
      <c r="C1372" s="205"/>
      <c r="D1372" s="205"/>
      <c r="E1372" s="205"/>
      <c r="F1372" s="205"/>
      <c r="G1372" s="209"/>
      <c r="H1372" s="209"/>
      <c r="I1372" s="205"/>
    </row>
    <row r="1373" spans="3:9">
      <c r="C1373" s="205"/>
      <c r="D1373" s="205"/>
      <c r="E1373" s="205"/>
      <c r="F1373" s="205"/>
      <c r="G1373" s="209"/>
      <c r="H1373" s="209"/>
      <c r="I1373" s="205"/>
    </row>
    <row r="1374" spans="3:9">
      <c r="C1374" s="205"/>
      <c r="D1374" s="205"/>
      <c r="E1374" s="205"/>
      <c r="F1374" s="205"/>
      <c r="G1374" s="209"/>
      <c r="H1374" s="209"/>
      <c r="I1374" s="205"/>
    </row>
    <row r="1375" spans="3:9">
      <c r="C1375" s="205"/>
      <c r="D1375" s="205"/>
      <c r="E1375" s="205"/>
      <c r="F1375" s="205"/>
      <c r="G1375" s="209"/>
      <c r="H1375" s="209"/>
      <c r="I1375" s="205"/>
    </row>
    <row r="1376" spans="3:9">
      <c r="C1376" s="205"/>
      <c r="D1376" s="205"/>
      <c r="E1376" s="205"/>
      <c r="F1376" s="205"/>
      <c r="G1376" s="209"/>
      <c r="H1376" s="209"/>
      <c r="I1376" s="205"/>
    </row>
    <row r="1377" spans="3:9">
      <c r="C1377" s="205"/>
      <c r="D1377" s="205"/>
      <c r="E1377" s="205"/>
      <c r="F1377" s="205"/>
      <c r="G1377" s="209"/>
      <c r="H1377" s="209"/>
      <c r="I1377" s="205"/>
    </row>
    <row r="1378" spans="3:9">
      <c r="C1378" s="205"/>
      <c r="D1378" s="205"/>
      <c r="E1378" s="205"/>
      <c r="F1378" s="205"/>
      <c r="G1378" s="209"/>
      <c r="H1378" s="209"/>
      <c r="I1378" s="205"/>
    </row>
    <row r="1379" spans="3:9">
      <c r="C1379" s="205"/>
      <c r="D1379" s="205"/>
      <c r="E1379" s="205"/>
      <c r="F1379" s="205"/>
      <c r="G1379" s="209"/>
      <c r="H1379" s="209"/>
      <c r="I1379" s="205"/>
    </row>
    <row r="1380" spans="3:9">
      <c r="C1380" s="205"/>
      <c r="D1380" s="205"/>
      <c r="E1380" s="205"/>
      <c r="F1380" s="205"/>
      <c r="G1380" s="209"/>
      <c r="H1380" s="209"/>
      <c r="I1380" s="205"/>
    </row>
    <row r="1381" spans="3:9">
      <c r="C1381" s="205"/>
      <c r="D1381" s="205"/>
      <c r="E1381" s="205"/>
      <c r="F1381" s="205"/>
      <c r="G1381" s="209"/>
      <c r="H1381" s="209"/>
      <c r="I1381" s="205"/>
    </row>
    <row r="1382" spans="3:9">
      <c r="C1382" s="205"/>
      <c r="D1382" s="205"/>
      <c r="E1382" s="205"/>
      <c r="F1382" s="205"/>
      <c r="G1382" s="209"/>
      <c r="H1382" s="209"/>
      <c r="I1382" s="205"/>
    </row>
    <row r="1383" spans="3:9">
      <c r="C1383" s="205"/>
      <c r="D1383" s="205"/>
      <c r="E1383" s="205"/>
      <c r="F1383" s="205"/>
      <c r="G1383" s="209"/>
      <c r="H1383" s="209"/>
      <c r="I1383" s="205"/>
    </row>
    <row r="1384" spans="3:9">
      <c r="C1384" s="205"/>
      <c r="D1384" s="205"/>
      <c r="E1384" s="205"/>
      <c r="F1384" s="205"/>
      <c r="G1384" s="209"/>
      <c r="H1384" s="209"/>
      <c r="I1384" s="205"/>
    </row>
    <row r="1385" spans="3:9">
      <c r="C1385" s="205"/>
      <c r="D1385" s="205"/>
      <c r="E1385" s="205"/>
      <c r="F1385" s="205"/>
      <c r="G1385" s="209"/>
      <c r="H1385" s="209"/>
      <c r="I1385" s="205"/>
    </row>
    <row r="1386" spans="3:9">
      <c r="C1386" s="205"/>
      <c r="D1386" s="205"/>
      <c r="E1386" s="205"/>
      <c r="F1386" s="205"/>
      <c r="G1386" s="209"/>
      <c r="H1386" s="209"/>
      <c r="I1386" s="205"/>
    </row>
    <row r="1387" spans="3:9">
      <c r="C1387" s="205"/>
      <c r="D1387" s="205"/>
      <c r="E1387" s="205"/>
      <c r="F1387" s="205"/>
      <c r="G1387" s="209"/>
      <c r="H1387" s="209"/>
      <c r="I1387" s="205"/>
    </row>
    <row r="1388" spans="3:9">
      <c r="C1388" s="205"/>
      <c r="D1388" s="205"/>
      <c r="E1388" s="205"/>
      <c r="F1388" s="205"/>
      <c r="G1388" s="209"/>
      <c r="H1388" s="209"/>
      <c r="I1388" s="205"/>
    </row>
    <row r="1389" spans="3:9">
      <c r="C1389" s="205"/>
      <c r="D1389" s="205"/>
      <c r="E1389" s="205"/>
      <c r="F1389" s="205"/>
      <c r="G1389" s="209"/>
      <c r="H1389" s="209"/>
      <c r="I1389" s="205"/>
    </row>
    <row r="1390" spans="3:9">
      <c r="C1390" s="205"/>
      <c r="D1390" s="205"/>
      <c r="E1390" s="205"/>
      <c r="F1390" s="205"/>
      <c r="G1390" s="209"/>
      <c r="H1390" s="209"/>
      <c r="I1390" s="205"/>
    </row>
    <row r="1391" spans="3:9">
      <c r="C1391" s="205"/>
      <c r="D1391" s="205"/>
      <c r="E1391" s="205"/>
      <c r="F1391" s="205"/>
      <c r="G1391" s="209"/>
      <c r="H1391" s="209"/>
      <c r="I1391" s="205"/>
    </row>
    <row r="1392" spans="3:9">
      <c r="C1392" s="205"/>
      <c r="D1392" s="205"/>
      <c r="E1392" s="205"/>
      <c r="F1392" s="205"/>
      <c r="G1392" s="209"/>
      <c r="H1392" s="209"/>
      <c r="I1392" s="205"/>
    </row>
    <row r="1393" spans="3:9">
      <c r="C1393" s="205"/>
      <c r="D1393" s="205"/>
      <c r="E1393" s="205"/>
      <c r="F1393" s="205"/>
      <c r="G1393" s="209"/>
      <c r="H1393" s="209"/>
      <c r="I1393" s="205"/>
    </row>
    <row r="1394" spans="3:9">
      <c r="C1394" s="205"/>
      <c r="D1394" s="205"/>
      <c r="E1394" s="205"/>
      <c r="F1394" s="205"/>
      <c r="G1394" s="209"/>
      <c r="H1394" s="209"/>
      <c r="I1394" s="205"/>
    </row>
    <row r="1395" spans="3:9">
      <c r="C1395" s="205"/>
      <c r="D1395" s="205"/>
      <c r="E1395" s="205"/>
      <c r="F1395" s="205"/>
      <c r="G1395" s="209"/>
      <c r="H1395" s="209"/>
      <c r="I1395" s="205"/>
    </row>
    <row r="1396" spans="3:9">
      <c r="C1396" s="205"/>
      <c r="D1396" s="205"/>
      <c r="E1396" s="205"/>
      <c r="F1396" s="205"/>
      <c r="G1396" s="209"/>
      <c r="H1396" s="209"/>
      <c r="I1396" s="205"/>
    </row>
    <row r="1397" spans="3:9">
      <c r="C1397" s="205"/>
      <c r="D1397" s="205"/>
      <c r="E1397" s="205"/>
      <c r="F1397" s="205"/>
      <c r="G1397" s="209"/>
      <c r="H1397" s="209"/>
      <c r="I1397" s="205"/>
    </row>
    <row r="1398" spans="3:9">
      <c r="C1398" s="205"/>
      <c r="D1398" s="205"/>
      <c r="E1398" s="205"/>
      <c r="F1398" s="205"/>
      <c r="G1398" s="209"/>
      <c r="H1398" s="209"/>
      <c r="I1398" s="205"/>
    </row>
    <row r="1399" spans="3:9">
      <c r="C1399" s="205"/>
      <c r="D1399" s="205"/>
      <c r="E1399" s="205"/>
      <c r="F1399" s="205"/>
      <c r="G1399" s="209"/>
      <c r="H1399" s="209"/>
      <c r="I1399" s="205"/>
    </row>
    <row r="1400" spans="3:9">
      <c r="C1400" s="205"/>
      <c r="D1400" s="205"/>
      <c r="E1400" s="205"/>
      <c r="F1400" s="205"/>
      <c r="G1400" s="209"/>
      <c r="H1400" s="209"/>
      <c r="I1400" s="205"/>
    </row>
    <row r="1401" spans="3:9">
      <c r="C1401" s="205"/>
      <c r="D1401" s="205"/>
      <c r="E1401" s="205"/>
      <c r="F1401" s="205"/>
      <c r="G1401" s="209"/>
      <c r="H1401" s="209"/>
      <c r="I1401" s="205"/>
    </row>
    <row r="1402" spans="3:9">
      <c r="C1402" s="205"/>
      <c r="D1402" s="205"/>
      <c r="E1402" s="205"/>
      <c r="F1402" s="205"/>
      <c r="G1402" s="209"/>
      <c r="H1402" s="209"/>
      <c r="I1402" s="205"/>
    </row>
    <row r="1403" spans="3:9">
      <c r="C1403" s="205"/>
      <c r="D1403" s="205"/>
      <c r="E1403" s="205"/>
      <c r="F1403" s="205"/>
      <c r="G1403" s="209"/>
      <c r="H1403" s="209"/>
      <c r="I1403" s="205"/>
    </row>
    <row r="1404" spans="3:9">
      <c r="C1404" s="205"/>
      <c r="D1404" s="205"/>
      <c r="E1404" s="205"/>
      <c r="F1404" s="205"/>
      <c r="G1404" s="209"/>
      <c r="H1404" s="209"/>
      <c r="I1404" s="205"/>
    </row>
    <row r="1405" spans="3:9">
      <c r="C1405" s="205"/>
      <c r="D1405" s="205"/>
      <c r="E1405" s="205"/>
      <c r="F1405" s="205"/>
      <c r="G1405" s="209"/>
      <c r="H1405" s="209"/>
      <c r="I1405" s="205"/>
    </row>
    <row r="1406" spans="3:9">
      <c r="C1406" s="205"/>
      <c r="D1406" s="205"/>
      <c r="E1406" s="205"/>
      <c r="F1406" s="205"/>
      <c r="G1406" s="209"/>
      <c r="H1406" s="209"/>
      <c r="I1406" s="205"/>
    </row>
    <row r="1407" spans="3:9">
      <c r="C1407" s="205"/>
      <c r="D1407" s="205"/>
      <c r="E1407" s="205"/>
      <c r="F1407" s="205"/>
      <c r="G1407" s="209"/>
      <c r="H1407" s="209"/>
      <c r="I1407" s="205"/>
    </row>
    <row r="1408" spans="3:9">
      <c r="C1408" s="205"/>
      <c r="D1408" s="205"/>
      <c r="E1408" s="205"/>
      <c r="F1408" s="205"/>
      <c r="G1408" s="209"/>
      <c r="H1408" s="209"/>
      <c r="I1408" s="205"/>
    </row>
    <row r="1409" spans="3:9">
      <c r="C1409" s="205"/>
      <c r="D1409" s="205"/>
      <c r="E1409" s="205"/>
      <c r="F1409" s="205"/>
      <c r="G1409" s="209"/>
      <c r="H1409" s="209"/>
      <c r="I1409" s="205"/>
    </row>
    <row r="1410" spans="3:9">
      <c r="C1410" s="205"/>
      <c r="D1410" s="205"/>
      <c r="E1410" s="205"/>
      <c r="F1410" s="205"/>
      <c r="G1410" s="209"/>
      <c r="H1410" s="209"/>
      <c r="I1410" s="205"/>
    </row>
    <row r="1411" spans="3:9">
      <c r="C1411" s="205"/>
      <c r="D1411" s="205"/>
      <c r="E1411" s="205"/>
      <c r="F1411" s="205"/>
      <c r="G1411" s="209"/>
      <c r="H1411" s="209"/>
      <c r="I1411" s="205"/>
    </row>
    <row r="1412" spans="3:9">
      <c r="C1412" s="205"/>
      <c r="D1412" s="205"/>
      <c r="E1412" s="205"/>
      <c r="F1412" s="205"/>
      <c r="G1412" s="209"/>
      <c r="H1412" s="209"/>
      <c r="I1412" s="205"/>
    </row>
    <row r="1413" spans="3:9">
      <c r="C1413" s="205"/>
      <c r="D1413" s="205"/>
      <c r="E1413" s="205"/>
      <c r="F1413" s="205"/>
      <c r="G1413" s="209"/>
      <c r="H1413" s="209"/>
      <c r="I1413" s="205"/>
    </row>
    <row r="1414" spans="3:9">
      <c r="C1414" s="205"/>
      <c r="D1414" s="205"/>
      <c r="E1414" s="205"/>
      <c r="F1414" s="205"/>
      <c r="G1414" s="209"/>
      <c r="H1414" s="209"/>
      <c r="I1414" s="205"/>
    </row>
    <row r="1415" spans="3:9">
      <c r="C1415" s="205"/>
      <c r="D1415" s="205"/>
      <c r="E1415" s="205"/>
      <c r="F1415" s="205"/>
      <c r="G1415" s="209"/>
      <c r="H1415" s="209"/>
      <c r="I1415" s="205"/>
    </row>
    <row r="1416" spans="3:9">
      <c r="C1416" s="205"/>
      <c r="D1416" s="205"/>
      <c r="E1416" s="205"/>
      <c r="F1416" s="205"/>
      <c r="G1416" s="209"/>
      <c r="H1416" s="209"/>
      <c r="I1416" s="205"/>
    </row>
    <row r="1417" spans="3:9">
      <c r="C1417" s="205"/>
      <c r="D1417" s="205"/>
      <c r="E1417" s="205"/>
      <c r="F1417" s="205"/>
      <c r="G1417" s="209"/>
      <c r="H1417" s="209"/>
      <c r="I1417" s="205"/>
    </row>
    <row r="1418" spans="3:9">
      <c r="C1418" s="205"/>
      <c r="D1418" s="205"/>
      <c r="E1418" s="205"/>
      <c r="F1418" s="205"/>
      <c r="G1418" s="209"/>
      <c r="H1418" s="209"/>
      <c r="I1418" s="205"/>
    </row>
    <row r="1419" spans="3:9">
      <c r="C1419" s="205"/>
      <c r="D1419" s="205"/>
      <c r="E1419" s="205"/>
      <c r="F1419" s="205"/>
      <c r="G1419" s="209"/>
      <c r="H1419" s="209"/>
      <c r="I1419" s="205"/>
    </row>
    <row r="1420" spans="3:9">
      <c r="C1420" s="205"/>
      <c r="D1420" s="205"/>
      <c r="E1420" s="205"/>
      <c r="F1420" s="205"/>
      <c r="G1420" s="209"/>
      <c r="H1420" s="209"/>
      <c r="I1420" s="205"/>
    </row>
    <row r="1421" spans="3:9">
      <c r="C1421" s="205"/>
      <c r="D1421" s="205"/>
      <c r="E1421" s="205"/>
      <c r="F1421" s="205"/>
      <c r="G1421" s="209"/>
      <c r="H1421" s="209"/>
      <c r="I1421" s="205"/>
    </row>
    <row r="1422" spans="3:9">
      <c r="C1422" s="205"/>
      <c r="D1422" s="205"/>
      <c r="E1422" s="205"/>
      <c r="F1422" s="205"/>
      <c r="G1422" s="209"/>
      <c r="H1422" s="209"/>
      <c r="I1422" s="205"/>
    </row>
    <row r="1423" spans="3:9">
      <c r="C1423" s="205"/>
      <c r="D1423" s="205"/>
      <c r="E1423" s="205"/>
      <c r="F1423" s="205"/>
      <c r="G1423" s="209"/>
      <c r="H1423" s="209"/>
      <c r="I1423" s="205"/>
    </row>
    <row r="1424" spans="3:9">
      <c r="C1424" s="205"/>
      <c r="D1424" s="205"/>
      <c r="E1424" s="205"/>
      <c r="F1424" s="205"/>
      <c r="G1424" s="209"/>
      <c r="H1424" s="209"/>
      <c r="I1424" s="205"/>
    </row>
    <row r="1425" spans="3:9">
      <c r="C1425" s="205"/>
      <c r="D1425" s="205"/>
      <c r="E1425" s="205"/>
      <c r="F1425" s="205"/>
      <c r="G1425" s="209"/>
      <c r="H1425" s="209"/>
      <c r="I1425" s="205"/>
    </row>
    <row r="1426" spans="3:9">
      <c r="C1426" s="205"/>
      <c r="D1426" s="205"/>
      <c r="E1426" s="205"/>
      <c r="F1426" s="205"/>
      <c r="G1426" s="209"/>
      <c r="H1426" s="209"/>
      <c r="I1426" s="205"/>
    </row>
    <row r="1427" spans="3:9">
      <c r="C1427" s="205"/>
      <c r="D1427" s="205"/>
      <c r="E1427" s="205"/>
      <c r="F1427" s="205"/>
      <c r="G1427" s="209"/>
      <c r="H1427" s="209"/>
      <c r="I1427" s="205"/>
    </row>
    <row r="1428" spans="3:9">
      <c r="C1428" s="205"/>
      <c r="D1428" s="205"/>
      <c r="E1428" s="205"/>
      <c r="F1428" s="205"/>
      <c r="G1428" s="209"/>
      <c r="H1428" s="209"/>
      <c r="I1428" s="205"/>
    </row>
    <row r="1429" spans="3:9">
      <c r="C1429" s="205"/>
      <c r="D1429" s="205"/>
      <c r="E1429" s="205"/>
      <c r="F1429" s="205"/>
      <c r="G1429" s="209"/>
      <c r="H1429" s="209"/>
      <c r="I1429" s="205"/>
    </row>
    <row r="1430" spans="3:9">
      <c r="C1430" s="205"/>
      <c r="D1430" s="205"/>
      <c r="E1430" s="205"/>
      <c r="F1430" s="205"/>
      <c r="G1430" s="209"/>
      <c r="H1430" s="209"/>
      <c r="I1430" s="205"/>
    </row>
    <row r="1431" spans="3:9">
      <c r="C1431" s="205"/>
      <c r="D1431" s="205"/>
      <c r="E1431" s="205"/>
      <c r="F1431" s="205"/>
      <c r="G1431" s="209"/>
      <c r="H1431" s="209"/>
      <c r="I1431" s="205"/>
    </row>
    <row r="1432" spans="3:9">
      <c r="C1432" s="205"/>
      <c r="D1432" s="205"/>
      <c r="E1432" s="205"/>
      <c r="F1432" s="205"/>
      <c r="G1432" s="209"/>
      <c r="H1432" s="209"/>
      <c r="I1432" s="205"/>
    </row>
    <row r="1433" spans="3:9">
      <c r="C1433" s="205"/>
      <c r="D1433" s="205"/>
      <c r="E1433" s="205"/>
      <c r="F1433" s="205"/>
      <c r="G1433" s="209"/>
      <c r="H1433" s="209"/>
      <c r="I1433" s="205"/>
    </row>
    <row r="1434" spans="3:9">
      <c r="C1434" s="205"/>
      <c r="D1434" s="205"/>
      <c r="E1434" s="205"/>
      <c r="F1434" s="205"/>
      <c r="G1434" s="209"/>
      <c r="H1434" s="209"/>
      <c r="I1434" s="205"/>
    </row>
    <row r="1435" spans="3:9">
      <c r="C1435" s="205"/>
      <c r="D1435" s="205"/>
      <c r="E1435" s="205"/>
      <c r="F1435" s="205"/>
      <c r="G1435" s="209"/>
      <c r="H1435" s="209"/>
      <c r="I1435" s="205"/>
    </row>
    <row r="1436" spans="3:9">
      <c r="C1436" s="205"/>
      <c r="D1436" s="205"/>
      <c r="E1436" s="205"/>
      <c r="F1436" s="205"/>
      <c r="G1436" s="209"/>
      <c r="H1436" s="209"/>
      <c r="I1436" s="205"/>
    </row>
    <row r="1437" spans="3:9">
      <c r="C1437" s="205"/>
      <c r="D1437" s="205"/>
      <c r="E1437" s="205"/>
      <c r="F1437" s="205"/>
      <c r="G1437" s="209"/>
      <c r="H1437" s="209"/>
      <c r="I1437" s="205"/>
    </row>
    <row r="1438" spans="3:9">
      <c r="C1438" s="205"/>
      <c r="D1438" s="205"/>
      <c r="E1438" s="205"/>
      <c r="F1438" s="205"/>
      <c r="G1438" s="209"/>
      <c r="H1438" s="209"/>
      <c r="I1438" s="205"/>
    </row>
    <row r="1439" spans="3:9">
      <c r="C1439" s="205"/>
      <c r="D1439" s="205"/>
      <c r="E1439" s="205"/>
      <c r="F1439" s="205"/>
      <c r="G1439" s="209"/>
      <c r="H1439" s="209"/>
      <c r="I1439" s="205"/>
    </row>
    <row r="1440" spans="3:9">
      <c r="C1440" s="205"/>
      <c r="D1440" s="205"/>
      <c r="E1440" s="205"/>
      <c r="F1440" s="205"/>
      <c r="G1440" s="209"/>
      <c r="H1440" s="209"/>
      <c r="I1440" s="205"/>
    </row>
    <row r="1441" spans="3:9">
      <c r="C1441" s="205"/>
      <c r="D1441" s="205"/>
      <c r="E1441" s="205"/>
      <c r="F1441" s="205"/>
      <c r="G1441" s="209"/>
      <c r="H1441" s="209"/>
      <c r="I1441" s="205"/>
    </row>
    <row r="1442" spans="3:9">
      <c r="C1442" s="205"/>
      <c r="D1442" s="205"/>
      <c r="E1442" s="205"/>
      <c r="F1442" s="205"/>
      <c r="G1442" s="209"/>
      <c r="H1442" s="209"/>
      <c r="I1442" s="205"/>
    </row>
    <row r="1443" spans="3:9">
      <c r="C1443" s="205"/>
      <c r="D1443" s="205"/>
      <c r="E1443" s="205"/>
      <c r="F1443" s="205"/>
      <c r="G1443" s="209"/>
      <c r="H1443" s="209"/>
      <c r="I1443" s="205"/>
    </row>
    <row r="1444" spans="3:9">
      <c r="C1444" s="205"/>
      <c r="D1444" s="205"/>
      <c r="E1444" s="205"/>
      <c r="F1444" s="205"/>
      <c r="G1444" s="209"/>
      <c r="H1444" s="209"/>
      <c r="I1444" s="205"/>
    </row>
    <row r="1445" spans="3:9">
      <c r="C1445" s="205"/>
      <c r="D1445" s="205"/>
      <c r="E1445" s="205"/>
      <c r="F1445" s="205"/>
      <c r="G1445" s="209"/>
      <c r="H1445" s="209"/>
      <c r="I1445" s="205"/>
    </row>
    <row r="1446" spans="3:9">
      <c r="C1446" s="205"/>
      <c r="D1446" s="205"/>
      <c r="E1446" s="205"/>
      <c r="F1446" s="205"/>
      <c r="G1446" s="209"/>
      <c r="H1446" s="209"/>
      <c r="I1446" s="205"/>
    </row>
    <row r="1447" spans="3:9">
      <c r="C1447" s="205"/>
      <c r="D1447" s="205"/>
      <c r="E1447" s="205"/>
      <c r="F1447" s="205"/>
      <c r="G1447" s="209"/>
      <c r="H1447" s="209"/>
      <c r="I1447" s="205"/>
    </row>
    <row r="1448" spans="3:9">
      <c r="C1448" s="205"/>
      <c r="D1448" s="205"/>
      <c r="E1448" s="205"/>
      <c r="F1448" s="205"/>
      <c r="G1448" s="209"/>
      <c r="H1448" s="209"/>
      <c r="I1448" s="205"/>
    </row>
    <row r="1449" spans="3:9">
      <c r="C1449" s="205"/>
      <c r="D1449" s="205"/>
      <c r="E1449" s="205"/>
      <c r="F1449" s="205"/>
      <c r="G1449" s="209"/>
      <c r="H1449" s="209"/>
      <c r="I1449" s="205"/>
    </row>
    <row r="1450" spans="3:9">
      <c r="C1450" s="205"/>
      <c r="D1450" s="205"/>
      <c r="E1450" s="205"/>
      <c r="F1450" s="205"/>
      <c r="G1450" s="209"/>
      <c r="H1450" s="209"/>
      <c r="I1450" s="205"/>
    </row>
    <row r="1451" spans="3:9">
      <c r="C1451" s="205"/>
      <c r="D1451" s="205"/>
      <c r="E1451" s="205"/>
      <c r="F1451" s="205"/>
      <c r="G1451" s="209"/>
      <c r="H1451" s="209"/>
      <c r="I1451" s="205"/>
    </row>
    <row r="1452" spans="3:9">
      <c r="C1452" s="205"/>
      <c r="D1452" s="205"/>
      <c r="E1452" s="205"/>
      <c r="F1452" s="205"/>
      <c r="G1452" s="209"/>
      <c r="H1452" s="209"/>
      <c r="I1452" s="205"/>
    </row>
    <row r="1453" spans="3:9">
      <c r="C1453" s="205"/>
      <c r="D1453" s="205"/>
      <c r="E1453" s="205"/>
      <c r="F1453" s="205"/>
      <c r="G1453" s="209"/>
      <c r="H1453" s="209"/>
      <c r="I1453" s="205"/>
    </row>
    <row r="1454" spans="3:9">
      <c r="C1454" s="205"/>
      <c r="D1454" s="205"/>
      <c r="E1454" s="205"/>
      <c r="F1454" s="205"/>
      <c r="G1454" s="209"/>
      <c r="H1454" s="209"/>
      <c r="I1454" s="205"/>
    </row>
    <row r="1455" spans="3:9">
      <c r="C1455" s="205"/>
      <c r="D1455" s="205"/>
      <c r="E1455" s="205"/>
      <c r="F1455" s="205"/>
      <c r="G1455" s="209"/>
      <c r="H1455" s="209"/>
      <c r="I1455" s="205"/>
    </row>
    <row r="1456" spans="3:9">
      <c r="C1456" s="205"/>
      <c r="D1456" s="205"/>
      <c r="E1456" s="205"/>
      <c r="F1456" s="205"/>
      <c r="G1456" s="209"/>
      <c r="H1456" s="209"/>
      <c r="I1456" s="205"/>
    </row>
    <row r="1457" spans="3:9">
      <c r="C1457" s="205"/>
      <c r="D1457" s="205"/>
      <c r="E1457" s="205"/>
      <c r="F1457" s="205"/>
      <c r="G1457" s="209"/>
      <c r="H1457" s="209"/>
      <c r="I1457" s="205"/>
    </row>
    <row r="1458" spans="3:9">
      <c r="C1458" s="205"/>
      <c r="D1458" s="205"/>
      <c r="E1458" s="205"/>
      <c r="F1458" s="205"/>
      <c r="G1458" s="209"/>
      <c r="H1458" s="209"/>
      <c r="I1458" s="205"/>
    </row>
    <row r="1459" spans="3:9">
      <c r="C1459" s="205"/>
      <c r="D1459" s="205"/>
      <c r="E1459" s="205"/>
      <c r="F1459" s="205"/>
      <c r="G1459" s="209"/>
      <c r="H1459" s="209"/>
      <c r="I1459" s="205"/>
    </row>
    <row r="1460" spans="3:9">
      <c r="C1460" s="205"/>
      <c r="D1460" s="205"/>
      <c r="E1460" s="205"/>
      <c r="F1460" s="205"/>
      <c r="G1460" s="209"/>
      <c r="H1460" s="209"/>
      <c r="I1460" s="205"/>
    </row>
    <row r="1461" spans="3:9">
      <c r="C1461" s="205"/>
      <c r="D1461" s="205"/>
      <c r="E1461" s="205"/>
      <c r="F1461" s="205"/>
      <c r="G1461" s="209"/>
      <c r="H1461" s="209"/>
      <c r="I1461" s="205"/>
    </row>
    <row r="1462" spans="3:9">
      <c r="C1462" s="205"/>
      <c r="D1462" s="205"/>
      <c r="E1462" s="205"/>
      <c r="F1462" s="205"/>
      <c r="G1462" s="209"/>
      <c r="H1462" s="209"/>
      <c r="I1462" s="205"/>
    </row>
    <row r="1463" spans="3:9">
      <c r="C1463" s="205"/>
      <c r="D1463" s="205"/>
      <c r="E1463" s="205"/>
      <c r="F1463" s="205"/>
      <c r="G1463" s="209"/>
      <c r="H1463" s="209"/>
      <c r="I1463" s="205"/>
    </row>
    <row r="1464" spans="3:9">
      <c r="C1464" s="205"/>
      <c r="D1464" s="205"/>
      <c r="E1464" s="205"/>
      <c r="F1464" s="205"/>
      <c r="G1464" s="209"/>
      <c r="H1464" s="209"/>
      <c r="I1464" s="205"/>
    </row>
    <row r="1465" spans="3:9">
      <c r="C1465" s="205"/>
      <c r="D1465" s="205"/>
      <c r="E1465" s="205"/>
      <c r="F1465" s="205"/>
      <c r="G1465" s="209"/>
      <c r="H1465" s="209"/>
      <c r="I1465" s="205"/>
    </row>
    <row r="1466" spans="3:9">
      <c r="C1466" s="205"/>
      <c r="D1466" s="205"/>
      <c r="E1466" s="205"/>
      <c r="F1466" s="205"/>
      <c r="G1466" s="209"/>
      <c r="H1466" s="209"/>
      <c r="I1466" s="205"/>
    </row>
    <row r="1467" spans="3:9">
      <c r="C1467" s="205"/>
      <c r="D1467" s="205"/>
      <c r="E1467" s="205"/>
      <c r="F1467" s="205"/>
      <c r="G1467" s="209"/>
      <c r="H1467" s="209"/>
      <c r="I1467" s="205"/>
    </row>
    <row r="1468" spans="3:9">
      <c r="C1468" s="205"/>
      <c r="D1468" s="205"/>
      <c r="E1468" s="205"/>
      <c r="F1468" s="205"/>
      <c r="G1468" s="209"/>
      <c r="H1468" s="209"/>
      <c r="I1468" s="205"/>
    </row>
    <row r="1469" spans="3:9">
      <c r="C1469" s="205"/>
      <c r="D1469" s="205"/>
      <c r="E1469" s="205"/>
      <c r="F1469" s="205"/>
      <c r="G1469" s="209"/>
      <c r="H1469" s="209"/>
      <c r="I1469" s="205"/>
    </row>
    <row r="1470" spans="3:9">
      <c r="C1470" s="205"/>
      <c r="D1470" s="205"/>
      <c r="E1470" s="205"/>
      <c r="F1470" s="205"/>
      <c r="G1470" s="209"/>
      <c r="H1470" s="209"/>
      <c r="I1470" s="205"/>
    </row>
    <row r="1471" spans="3:9">
      <c r="C1471" s="205"/>
      <c r="D1471" s="205"/>
      <c r="E1471" s="205"/>
      <c r="F1471" s="205"/>
      <c r="G1471" s="209"/>
      <c r="H1471" s="209"/>
      <c r="I1471" s="205"/>
    </row>
    <row r="1472" spans="3:9">
      <c r="C1472" s="205"/>
      <c r="D1472" s="205"/>
      <c r="E1472" s="205"/>
      <c r="F1472" s="205"/>
      <c r="G1472" s="209"/>
      <c r="H1472" s="209"/>
      <c r="I1472" s="205"/>
    </row>
    <row r="1473" spans="3:9">
      <c r="C1473" s="205"/>
      <c r="D1473" s="205"/>
      <c r="E1473" s="205"/>
      <c r="F1473" s="205"/>
      <c r="G1473" s="209"/>
      <c r="H1473" s="209"/>
      <c r="I1473" s="205"/>
    </row>
    <row r="1474" spans="3:9">
      <c r="C1474" s="205"/>
      <c r="D1474" s="205"/>
      <c r="E1474" s="205"/>
      <c r="F1474" s="205"/>
      <c r="G1474" s="209"/>
      <c r="H1474" s="209"/>
      <c r="I1474" s="205"/>
    </row>
    <row r="1475" spans="3:9">
      <c r="C1475" s="205"/>
      <c r="D1475" s="205"/>
      <c r="E1475" s="205"/>
      <c r="F1475" s="205"/>
      <c r="G1475" s="209"/>
      <c r="H1475" s="209"/>
      <c r="I1475" s="205"/>
    </row>
    <row r="1476" spans="3:9">
      <c r="C1476" s="205"/>
      <c r="D1476" s="205"/>
      <c r="E1476" s="205"/>
      <c r="F1476" s="205"/>
      <c r="G1476" s="209"/>
      <c r="H1476" s="209"/>
      <c r="I1476" s="205"/>
    </row>
    <row r="1477" spans="3:9">
      <c r="C1477" s="205"/>
      <c r="D1477" s="205"/>
      <c r="E1477" s="205"/>
      <c r="F1477" s="205"/>
      <c r="G1477" s="209"/>
      <c r="H1477" s="209"/>
      <c r="I1477" s="205"/>
    </row>
    <row r="1478" spans="3:9">
      <c r="C1478" s="205"/>
      <c r="D1478" s="205"/>
      <c r="E1478" s="205"/>
      <c r="F1478" s="205"/>
      <c r="G1478" s="209"/>
      <c r="H1478" s="209"/>
      <c r="I1478" s="205"/>
    </row>
    <row r="1479" spans="3:9">
      <c r="C1479" s="205"/>
      <c r="D1479" s="205"/>
      <c r="E1479" s="205"/>
      <c r="F1479" s="205"/>
      <c r="G1479" s="209"/>
      <c r="H1479" s="209"/>
      <c r="I1479" s="205"/>
    </row>
    <row r="1480" spans="3:9">
      <c r="C1480" s="205"/>
      <c r="D1480" s="205"/>
      <c r="E1480" s="205"/>
      <c r="F1480" s="205"/>
      <c r="G1480" s="209"/>
      <c r="H1480" s="209"/>
      <c r="I1480" s="205"/>
    </row>
    <row r="1481" spans="3:9">
      <c r="C1481" s="205"/>
      <c r="D1481" s="205"/>
      <c r="E1481" s="205"/>
      <c r="F1481" s="205"/>
      <c r="G1481" s="209"/>
      <c r="H1481" s="209"/>
      <c r="I1481" s="205"/>
    </row>
    <row r="1482" spans="3:9">
      <c r="C1482" s="205"/>
      <c r="D1482" s="205"/>
      <c r="E1482" s="205"/>
      <c r="F1482" s="205"/>
      <c r="G1482" s="209"/>
      <c r="H1482" s="209"/>
      <c r="I1482" s="205"/>
    </row>
    <row r="1483" spans="3:9">
      <c r="C1483" s="205"/>
      <c r="D1483" s="205"/>
      <c r="E1483" s="205"/>
      <c r="F1483" s="205"/>
      <c r="G1483" s="209"/>
      <c r="H1483" s="209"/>
      <c r="I1483" s="205"/>
    </row>
    <row r="1484" spans="3:9">
      <c r="C1484" s="205"/>
      <c r="D1484" s="205"/>
      <c r="E1484" s="205"/>
      <c r="F1484" s="205"/>
      <c r="G1484" s="209"/>
      <c r="H1484" s="209"/>
      <c r="I1484" s="205"/>
    </row>
    <row r="1485" spans="3:9">
      <c r="C1485" s="205"/>
      <c r="D1485" s="205"/>
      <c r="E1485" s="205"/>
      <c r="F1485" s="205"/>
      <c r="G1485" s="209"/>
      <c r="H1485" s="209"/>
      <c r="I1485" s="205"/>
    </row>
    <row r="1486" spans="3:9">
      <c r="C1486" s="205"/>
      <c r="D1486" s="205"/>
      <c r="E1486" s="205"/>
      <c r="F1486" s="205"/>
      <c r="G1486" s="209"/>
      <c r="H1486" s="209"/>
      <c r="I1486" s="205"/>
    </row>
    <row r="1487" spans="3:9">
      <c r="C1487" s="205"/>
      <c r="D1487" s="205"/>
      <c r="E1487" s="205"/>
      <c r="F1487" s="205"/>
      <c r="G1487" s="209"/>
      <c r="H1487" s="209"/>
      <c r="I1487" s="205"/>
    </row>
    <row r="1488" spans="3:9">
      <c r="C1488" s="205"/>
      <c r="D1488" s="205"/>
      <c r="E1488" s="205"/>
      <c r="F1488" s="205"/>
      <c r="G1488" s="209"/>
      <c r="H1488" s="209"/>
      <c r="I1488" s="205"/>
    </row>
    <row r="1489" spans="3:9">
      <c r="C1489" s="205"/>
      <c r="D1489" s="205"/>
      <c r="E1489" s="205"/>
      <c r="F1489" s="205"/>
      <c r="G1489" s="209"/>
      <c r="H1489" s="209"/>
      <c r="I1489" s="205"/>
    </row>
    <row r="1490" spans="3:9">
      <c r="C1490" s="205"/>
      <c r="D1490" s="205"/>
      <c r="E1490" s="205"/>
      <c r="F1490" s="205"/>
      <c r="G1490" s="209"/>
      <c r="H1490" s="209"/>
      <c r="I1490" s="205"/>
    </row>
    <row r="1491" spans="3:9">
      <c r="C1491" s="205"/>
      <c r="D1491" s="205"/>
      <c r="E1491" s="205"/>
      <c r="F1491" s="205"/>
      <c r="G1491" s="209"/>
      <c r="H1491" s="209"/>
      <c r="I1491" s="205"/>
    </row>
    <row r="1492" spans="3:9">
      <c r="C1492" s="205"/>
      <c r="D1492" s="205"/>
      <c r="E1492" s="205"/>
      <c r="F1492" s="205"/>
      <c r="G1492" s="209"/>
      <c r="H1492" s="209"/>
      <c r="I1492" s="205"/>
    </row>
    <row r="1493" spans="3:9">
      <c r="C1493" s="205"/>
      <c r="D1493" s="205"/>
      <c r="E1493" s="205"/>
      <c r="F1493" s="205"/>
      <c r="G1493" s="209"/>
      <c r="H1493" s="209"/>
      <c r="I1493" s="205"/>
    </row>
    <row r="1494" spans="3:9">
      <c r="C1494" s="205"/>
      <c r="D1494" s="205"/>
      <c r="E1494" s="205"/>
      <c r="F1494" s="205"/>
      <c r="G1494" s="209"/>
      <c r="H1494" s="209"/>
      <c r="I1494" s="205"/>
    </row>
    <row r="1495" spans="3:9">
      <c r="C1495" s="205"/>
      <c r="D1495" s="205"/>
      <c r="E1495" s="205"/>
      <c r="F1495" s="205"/>
      <c r="G1495" s="209"/>
      <c r="H1495" s="209"/>
      <c r="I1495" s="205"/>
    </row>
    <row r="1496" spans="3:9">
      <c r="C1496" s="205"/>
      <c r="D1496" s="205"/>
      <c r="E1496" s="205"/>
      <c r="F1496" s="205"/>
      <c r="G1496" s="209"/>
      <c r="H1496" s="209"/>
      <c r="I1496" s="205"/>
    </row>
    <row r="1497" spans="3:9">
      <c r="C1497" s="205"/>
      <c r="D1497" s="205"/>
      <c r="E1497" s="205"/>
      <c r="F1497" s="205"/>
      <c r="G1497" s="209"/>
      <c r="H1497" s="209"/>
      <c r="I1497" s="205"/>
    </row>
    <row r="1498" spans="3:9">
      <c r="C1498" s="205"/>
      <c r="D1498" s="205"/>
      <c r="E1498" s="205"/>
      <c r="F1498" s="205"/>
      <c r="G1498" s="209"/>
      <c r="H1498" s="209"/>
      <c r="I1498" s="205"/>
    </row>
    <row r="1499" spans="3:9">
      <c r="C1499" s="205"/>
      <c r="D1499" s="205"/>
      <c r="E1499" s="205"/>
      <c r="F1499" s="205"/>
      <c r="G1499" s="209"/>
      <c r="H1499" s="209"/>
      <c r="I1499" s="205"/>
    </row>
    <row r="1500" spans="3:9">
      <c r="C1500" s="205"/>
      <c r="D1500" s="205"/>
      <c r="E1500" s="205"/>
      <c r="F1500" s="205"/>
      <c r="G1500" s="209"/>
      <c r="H1500" s="209"/>
      <c r="I1500" s="205"/>
    </row>
    <row r="1501" spans="3:9">
      <c r="C1501" s="205"/>
      <c r="D1501" s="205"/>
      <c r="E1501" s="205"/>
      <c r="F1501" s="205"/>
      <c r="G1501" s="209"/>
      <c r="H1501" s="209"/>
      <c r="I1501" s="205"/>
    </row>
    <row r="1502" spans="3:9">
      <c r="C1502" s="205"/>
      <c r="D1502" s="205"/>
      <c r="E1502" s="205"/>
      <c r="F1502" s="205"/>
      <c r="G1502" s="209"/>
      <c r="H1502" s="209"/>
      <c r="I1502" s="205"/>
    </row>
    <row r="1503" spans="3:9">
      <c r="C1503" s="205"/>
      <c r="D1503" s="205"/>
      <c r="E1503" s="205"/>
      <c r="F1503" s="205"/>
      <c r="G1503" s="209"/>
      <c r="H1503" s="209"/>
      <c r="I1503" s="205"/>
    </row>
    <row r="1504" spans="3:9">
      <c r="C1504" s="205"/>
      <c r="D1504" s="205"/>
      <c r="E1504" s="205"/>
      <c r="F1504" s="205"/>
      <c r="G1504" s="209"/>
      <c r="H1504" s="209"/>
      <c r="I1504" s="205"/>
    </row>
    <row r="1505" spans="3:9">
      <c r="C1505" s="205"/>
      <c r="D1505" s="205"/>
      <c r="E1505" s="205"/>
      <c r="F1505" s="205"/>
      <c r="G1505" s="209"/>
      <c r="H1505" s="209"/>
      <c r="I1505" s="205"/>
    </row>
    <row r="1506" spans="3:9">
      <c r="C1506" s="205"/>
      <c r="D1506" s="205"/>
      <c r="E1506" s="205"/>
      <c r="F1506" s="205"/>
      <c r="G1506" s="209"/>
      <c r="H1506" s="209"/>
      <c r="I1506" s="205"/>
    </row>
    <row r="1507" spans="3:9">
      <c r="C1507" s="205"/>
      <c r="D1507" s="205"/>
      <c r="E1507" s="205"/>
      <c r="F1507" s="205"/>
      <c r="G1507" s="209"/>
      <c r="H1507" s="209"/>
      <c r="I1507" s="205"/>
    </row>
    <row r="1508" spans="3:9">
      <c r="C1508" s="205"/>
      <c r="D1508" s="205"/>
      <c r="E1508" s="205"/>
      <c r="F1508" s="205"/>
      <c r="G1508" s="209"/>
      <c r="H1508" s="209"/>
      <c r="I1508" s="205"/>
    </row>
    <row r="1509" spans="3:9">
      <c r="C1509" s="205"/>
      <c r="D1509" s="205"/>
      <c r="E1509" s="205"/>
      <c r="F1509" s="205"/>
      <c r="G1509" s="209"/>
      <c r="H1509" s="209"/>
      <c r="I1509" s="205"/>
    </row>
    <row r="1510" spans="3:9">
      <c r="C1510" s="205"/>
      <c r="D1510" s="205"/>
      <c r="E1510" s="205"/>
      <c r="F1510" s="205"/>
      <c r="G1510" s="209"/>
      <c r="H1510" s="209"/>
      <c r="I1510" s="205"/>
    </row>
    <row r="1511" spans="3:9">
      <c r="C1511" s="205"/>
      <c r="D1511" s="205"/>
      <c r="E1511" s="205"/>
      <c r="F1511" s="205"/>
      <c r="G1511" s="209"/>
      <c r="H1511" s="209"/>
      <c r="I1511" s="205"/>
    </row>
    <row r="1512" spans="3:9">
      <c r="C1512" s="205"/>
      <c r="D1512" s="205"/>
      <c r="E1512" s="205"/>
      <c r="F1512" s="205"/>
      <c r="G1512" s="209"/>
      <c r="H1512" s="209"/>
      <c r="I1512" s="205"/>
    </row>
    <row r="1513" spans="3:9">
      <c r="C1513" s="205"/>
      <c r="D1513" s="205"/>
      <c r="E1513" s="205"/>
      <c r="F1513" s="205"/>
      <c r="G1513" s="209"/>
      <c r="H1513" s="209"/>
      <c r="I1513" s="205"/>
    </row>
    <row r="1514" spans="3:9">
      <c r="C1514" s="205"/>
      <c r="D1514" s="205"/>
      <c r="E1514" s="205"/>
      <c r="F1514" s="205"/>
      <c r="G1514" s="209"/>
      <c r="H1514" s="209"/>
      <c r="I1514" s="205"/>
    </row>
    <row r="1515" spans="3:9">
      <c r="C1515" s="205"/>
      <c r="D1515" s="205"/>
      <c r="E1515" s="205"/>
      <c r="F1515" s="205"/>
      <c r="G1515" s="209"/>
      <c r="H1515" s="209"/>
      <c r="I1515" s="205"/>
    </row>
    <row r="1516" spans="3:9">
      <c r="C1516" s="205"/>
      <c r="D1516" s="205"/>
      <c r="E1516" s="205"/>
      <c r="F1516" s="205"/>
      <c r="G1516" s="209"/>
      <c r="H1516" s="209"/>
      <c r="I1516" s="205"/>
    </row>
    <row r="1517" spans="3:9">
      <c r="C1517" s="205"/>
      <c r="D1517" s="205"/>
      <c r="E1517" s="205"/>
      <c r="F1517" s="205"/>
      <c r="G1517" s="209"/>
      <c r="H1517" s="209"/>
      <c r="I1517" s="205"/>
    </row>
    <row r="1518" spans="3:9">
      <c r="C1518" s="205"/>
      <c r="D1518" s="205"/>
      <c r="E1518" s="205"/>
      <c r="F1518" s="205"/>
      <c r="G1518" s="209"/>
      <c r="H1518" s="209"/>
      <c r="I1518" s="205"/>
    </row>
    <row r="1519" spans="3:9">
      <c r="C1519" s="205"/>
      <c r="D1519" s="205"/>
      <c r="E1519" s="205"/>
      <c r="F1519" s="205"/>
      <c r="G1519" s="209"/>
      <c r="H1519" s="209"/>
      <c r="I1519" s="205"/>
    </row>
    <row r="1520" spans="3:9">
      <c r="C1520" s="205"/>
      <c r="D1520" s="205"/>
      <c r="E1520" s="205"/>
      <c r="F1520" s="205"/>
      <c r="G1520" s="209"/>
      <c r="H1520" s="209"/>
      <c r="I1520" s="205"/>
    </row>
    <row r="1521" spans="3:9">
      <c r="C1521" s="205"/>
      <c r="D1521" s="205"/>
      <c r="E1521" s="205"/>
      <c r="F1521" s="205"/>
      <c r="G1521" s="209"/>
      <c r="H1521" s="209"/>
      <c r="I1521" s="205"/>
    </row>
    <row r="1522" spans="3:9">
      <c r="C1522" s="205"/>
      <c r="D1522" s="205"/>
      <c r="E1522" s="205"/>
      <c r="F1522" s="205"/>
      <c r="G1522" s="209"/>
      <c r="H1522" s="209"/>
      <c r="I1522" s="205"/>
    </row>
    <row r="1523" spans="3:9">
      <c r="C1523" s="205"/>
      <c r="D1523" s="205"/>
      <c r="E1523" s="205"/>
      <c r="F1523" s="205"/>
      <c r="G1523" s="209"/>
      <c r="H1523" s="209"/>
      <c r="I1523" s="205"/>
    </row>
    <row r="1524" spans="3:9">
      <c r="C1524" s="205"/>
      <c r="D1524" s="205"/>
      <c r="E1524" s="205"/>
      <c r="F1524" s="205"/>
      <c r="G1524" s="209"/>
      <c r="H1524" s="209"/>
      <c r="I1524" s="205"/>
    </row>
    <row r="1525" spans="3:9">
      <c r="C1525" s="205"/>
      <c r="D1525" s="205"/>
      <c r="E1525" s="205"/>
      <c r="F1525" s="205"/>
      <c r="G1525" s="209"/>
      <c r="H1525" s="209"/>
      <c r="I1525" s="205"/>
    </row>
    <row r="1526" spans="3:9">
      <c r="C1526" s="205"/>
      <c r="D1526" s="205"/>
      <c r="E1526" s="205"/>
      <c r="F1526" s="205"/>
      <c r="G1526" s="209"/>
      <c r="H1526" s="209"/>
      <c r="I1526" s="205"/>
    </row>
    <row r="1527" spans="3:9">
      <c r="C1527" s="205"/>
      <c r="D1527" s="205"/>
      <c r="E1527" s="205"/>
      <c r="F1527" s="205"/>
      <c r="G1527" s="209"/>
      <c r="H1527" s="209"/>
      <c r="I1527" s="205"/>
    </row>
    <row r="1528" spans="3:9">
      <c r="C1528" s="205"/>
      <c r="D1528" s="205"/>
      <c r="E1528" s="205"/>
      <c r="F1528" s="205"/>
      <c r="G1528" s="209"/>
      <c r="H1528" s="209"/>
      <c r="I1528" s="205"/>
    </row>
    <row r="1529" spans="3:9">
      <c r="C1529" s="205"/>
      <c r="D1529" s="205"/>
      <c r="E1529" s="205"/>
      <c r="F1529" s="205"/>
      <c r="G1529" s="209"/>
      <c r="H1529" s="209"/>
      <c r="I1529" s="205"/>
    </row>
    <row r="1530" spans="3:9">
      <c r="C1530" s="205"/>
      <c r="D1530" s="205"/>
      <c r="E1530" s="205"/>
      <c r="F1530" s="205"/>
      <c r="G1530" s="209"/>
      <c r="H1530" s="209"/>
      <c r="I1530" s="205"/>
    </row>
    <row r="1531" spans="3:9">
      <c r="C1531" s="205"/>
      <c r="D1531" s="205"/>
      <c r="E1531" s="205"/>
      <c r="F1531" s="205"/>
      <c r="G1531" s="209"/>
      <c r="H1531" s="209"/>
      <c r="I1531" s="205"/>
    </row>
    <row r="1532" spans="3:9">
      <c r="C1532" s="205"/>
      <c r="D1532" s="205"/>
      <c r="E1532" s="205"/>
      <c r="F1532" s="205"/>
      <c r="G1532" s="209"/>
      <c r="H1532" s="209"/>
      <c r="I1532" s="205"/>
    </row>
    <row r="1533" spans="3:9">
      <c r="C1533" s="205"/>
      <c r="D1533" s="205"/>
      <c r="E1533" s="205"/>
      <c r="F1533" s="205"/>
      <c r="G1533" s="209"/>
      <c r="H1533" s="209"/>
      <c r="I1533" s="205"/>
    </row>
    <row r="1534" spans="3:9">
      <c r="C1534" s="205"/>
      <c r="D1534" s="205"/>
      <c r="E1534" s="205"/>
      <c r="F1534" s="205"/>
      <c r="G1534" s="209"/>
      <c r="H1534" s="209"/>
      <c r="I1534" s="205"/>
    </row>
    <row r="1535" spans="3:9">
      <c r="C1535" s="205"/>
      <c r="D1535" s="205"/>
      <c r="E1535" s="205"/>
      <c r="F1535" s="205"/>
      <c r="G1535" s="209"/>
      <c r="H1535" s="209"/>
      <c r="I1535" s="205"/>
    </row>
    <row r="1536" spans="3:9">
      <c r="C1536" s="205"/>
      <c r="D1536" s="205"/>
      <c r="E1536" s="205"/>
      <c r="F1536" s="205"/>
      <c r="G1536" s="209"/>
      <c r="H1536" s="209"/>
      <c r="I1536" s="205"/>
    </row>
    <row r="1537" spans="3:9">
      <c r="C1537" s="205"/>
      <c r="D1537" s="205"/>
      <c r="E1537" s="205"/>
      <c r="F1537" s="205"/>
      <c r="G1537" s="209"/>
      <c r="H1537" s="209"/>
      <c r="I1537" s="205"/>
    </row>
    <row r="1538" spans="3:9">
      <c r="C1538" s="205"/>
      <c r="D1538" s="205"/>
      <c r="E1538" s="205"/>
      <c r="F1538" s="205"/>
      <c r="G1538" s="209"/>
      <c r="H1538" s="209"/>
      <c r="I1538" s="205"/>
    </row>
    <row r="1539" spans="3:9">
      <c r="C1539" s="205"/>
      <c r="D1539" s="205"/>
      <c r="E1539" s="205"/>
      <c r="F1539" s="205"/>
      <c r="G1539" s="209"/>
      <c r="H1539" s="209"/>
      <c r="I1539" s="205"/>
    </row>
    <row r="1540" spans="3:9">
      <c r="C1540" s="205"/>
      <c r="D1540" s="205"/>
      <c r="E1540" s="205"/>
      <c r="F1540" s="205"/>
      <c r="G1540" s="209"/>
      <c r="H1540" s="209"/>
      <c r="I1540" s="205"/>
    </row>
    <row r="1541" spans="3:9">
      <c r="C1541" s="205"/>
      <c r="D1541" s="205"/>
      <c r="E1541" s="205"/>
      <c r="F1541" s="205"/>
      <c r="G1541" s="209"/>
      <c r="H1541" s="209"/>
      <c r="I1541" s="205"/>
    </row>
    <row r="1542" spans="3:9">
      <c r="C1542" s="205"/>
      <c r="D1542" s="205"/>
      <c r="E1542" s="205"/>
      <c r="F1542" s="205"/>
      <c r="G1542" s="209"/>
      <c r="H1542" s="209"/>
      <c r="I1542" s="205"/>
    </row>
    <row r="1543" spans="3:9">
      <c r="C1543" s="205"/>
      <c r="D1543" s="205"/>
      <c r="E1543" s="205"/>
      <c r="F1543" s="205"/>
      <c r="G1543" s="209"/>
      <c r="H1543" s="209"/>
      <c r="I1543" s="205"/>
    </row>
    <row r="1544" spans="3:9">
      <c r="C1544" s="205"/>
      <c r="D1544" s="205"/>
      <c r="E1544" s="205"/>
      <c r="F1544" s="205"/>
      <c r="G1544" s="209"/>
      <c r="H1544" s="209"/>
      <c r="I1544" s="205"/>
    </row>
    <row r="1545" spans="3:9">
      <c r="C1545" s="205"/>
      <c r="D1545" s="205"/>
      <c r="E1545" s="205"/>
      <c r="F1545" s="205"/>
      <c r="G1545" s="209"/>
      <c r="H1545" s="209"/>
      <c r="I1545" s="205"/>
    </row>
    <row r="1546" spans="3:9">
      <c r="C1546" s="205"/>
      <c r="D1546" s="205"/>
      <c r="E1546" s="205"/>
      <c r="F1546" s="205"/>
      <c r="G1546" s="209"/>
      <c r="H1546" s="209"/>
      <c r="I1546" s="205"/>
    </row>
    <row r="1547" spans="3:9">
      <c r="C1547" s="205"/>
      <c r="D1547" s="205"/>
      <c r="E1547" s="205"/>
      <c r="F1547" s="205"/>
      <c r="G1547" s="209"/>
      <c r="H1547" s="209"/>
      <c r="I1547" s="205"/>
    </row>
    <row r="1548" spans="3:9">
      <c r="C1548" s="205"/>
      <c r="D1548" s="205"/>
      <c r="E1548" s="205"/>
      <c r="F1548" s="205"/>
      <c r="G1548" s="209"/>
      <c r="H1548" s="209"/>
      <c r="I1548" s="205"/>
    </row>
    <row r="1549" spans="3:9">
      <c r="C1549" s="205"/>
      <c r="D1549" s="205"/>
      <c r="E1549" s="205"/>
      <c r="F1549" s="205"/>
      <c r="G1549" s="209"/>
      <c r="H1549" s="209"/>
      <c r="I1549" s="205"/>
    </row>
    <row r="1550" spans="3:9">
      <c r="C1550" s="205"/>
      <c r="D1550" s="205"/>
      <c r="E1550" s="205"/>
      <c r="F1550" s="205"/>
      <c r="G1550" s="209"/>
      <c r="H1550" s="209"/>
      <c r="I1550" s="205"/>
    </row>
    <row r="1551" spans="3:9">
      <c r="C1551" s="205"/>
      <c r="D1551" s="205"/>
      <c r="E1551" s="205"/>
      <c r="F1551" s="205"/>
      <c r="G1551" s="209"/>
      <c r="H1551" s="209"/>
      <c r="I1551" s="205"/>
    </row>
    <row r="1552" spans="3:9">
      <c r="C1552" s="205"/>
      <c r="D1552" s="205"/>
      <c r="E1552" s="205"/>
      <c r="F1552" s="205"/>
      <c r="G1552" s="209"/>
      <c r="H1552" s="209"/>
      <c r="I1552" s="205"/>
    </row>
    <row r="1553" spans="3:9">
      <c r="C1553" s="205"/>
      <c r="D1553" s="205"/>
      <c r="E1553" s="205"/>
      <c r="F1553" s="205"/>
      <c r="G1553" s="209"/>
      <c r="H1553" s="209"/>
      <c r="I1553" s="205"/>
    </row>
    <row r="1554" spans="3:9">
      <c r="C1554" s="205"/>
      <c r="D1554" s="205"/>
      <c r="E1554" s="205"/>
      <c r="F1554" s="205"/>
      <c r="G1554" s="209"/>
      <c r="H1554" s="209"/>
      <c r="I1554" s="205"/>
    </row>
    <row r="1555" spans="3:9">
      <c r="C1555" s="205"/>
      <c r="D1555" s="205"/>
      <c r="E1555" s="205"/>
      <c r="F1555" s="205"/>
      <c r="G1555" s="209"/>
      <c r="H1555" s="209"/>
      <c r="I1555" s="205"/>
    </row>
    <row r="1556" spans="3:9">
      <c r="C1556" s="205"/>
      <c r="D1556" s="205"/>
      <c r="E1556" s="205"/>
      <c r="F1556" s="205"/>
      <c r="G1556" s="209"/>
      <c r="H1556" s="209"/>
      <c r="I1556" s="205"/>
    </row>
    <row r="1557" spans="3:9">
      <c r="C1557" s="205"/>
      <c r="D1557" s="205"/>
      <c r="E1557" s="205"/>
      <c r="F1557" s="205"/>
      <c r="G1557" s="209"/>
      <c r="H1557" s="209"/>
      <c r="I1557" s="205"/>
    </row>
    <row r="1558" spans="3:9">
      <c r="C1558" s="205"/>
      <c r="D1558" s="205"/>
      <c r="E1558" s="205"/>
      <c r="F1558" s="205"/>
      <c r="G1558" s="209"/>
      <c r="H1558" s="209"/>
      <c r="I1558" s="205"/>
    </row>
    <row r="1559" spans="3:9">
      <c r="C1559" s="205"/>
      <c r="D1559" s="205"/>
      <c r="E1559" s="205"/>
      <c r="F1559" s="205"/>
      <c r="G1559" s="209"/>
      <c r="H1559" s="209"/>
      <c r="I1559" s="205"/>
    </row>
    <row r="1560" spans="3:9">
      <c r="C1560" s="205"/>
      <c r="D1560" s="205"/>
      <c r="E1560" s="205"/>
      <c r="F1560" s="205"/>
      <c r="G1560" s="209"/>
      <c r="H1560" s="209"/>
      <c r="I1560" s="205"/>
    </row>
    <row r="1561" spans="3:9">
      <c r="C1561" s="205"/>
      <c r="D1561" s="205"/>
      <c r="E1561" s="205"/>
      <c r="F1561" s="205"/>
      <c r="G1561" s="209"/>
      <c r="H1561" s="209"/>
      <c r="I1561" s="205"/>
    </row>
    <row r="1562" spans="3:9">
      <c r="C1562" s="205"/>
      <c r="D1562" s="205"/>
      <c r="E1562" s="205"/>
      <c r="F1562" s="205"/>
      <c r="G1562" s="209"/>
      <c r="H1562" s="209"/>
      <c r="I1562" s="205"/>
    </row>
    <row r="1563" spans="3:9">
      <c r="C1563" s="205"/>
      <c r="D1563" s="205"/>
      <c r="E1563" s="205"/>
      <c r="F1563" s="205"/>
      <c r="G1563" s="209"/>
      <c r="H1563" s="209"/>
      <c r="I1563" s="205"/>
    </row>
    <row r="1564" spans="3:9">
      <c r="C1564" s="205"/>
      <c r="D1564" s="205"/>
      <c r="E1564" s="205"/>
      <c r="F1564" s="205"/>
      <c r="G1564" s="209"/>
      <c r="H1564" s="209"/>
      <c r="I1564" s="205"/>
    </row>
    <row r="1565" spans="3:9">
      <c r="C1565" s="205"/>
      <c r="D1565" s="205"/>
      <c r="E1565" s="205"/>
      <c r="F1565" s="205"/>
      <c r="G1565" s="209"/>
      <c r="H1565" s="209"/>
      <c r="I1565" s="205"/>
    </row>
    <row r="1566" spans="3:9">
      <c r="C1566" s="205"/>
      <c r="D1566" s="205"/>
      <c r="E1566" s="205"/>
      <c r="F1566" s="205"/>
      <c r="G1566" s="209"/>
      <c r="H1566" s="209"/>
      <c r="I1566" s="205"/>
    </row>
    <row r="1567" spans="3:9">
      <c r="C1567" s="205"/>
      <c r="D1567" s="205"/>
      <c r="E1567" s="205"/>
      <c r="F1567" s="205"/>
      <c r="G1567" s="209"/>
      <c r="H1567" s="209"/>
      <c r="I1567" s="205"/>
    </row>
    <row r="1568" spans="3:9">
      <c r="C1568" s="205"/>
      <c r="D1568" s="205"/>
      <c r="E1568" s="205"/>
      <c r="F1568" s="205"/>
      <c r="G1568" s="209"/>
      <c r="H1568" s="209"/>
      <c r="I1568" s="205"/>
    </row>
    <row r="1569" spans="3:9">
      <c r="C1569" s="205"/>
      <c r="D1569" s="205"/>
      <c r="E1569" s="205"/>
      <c r="F1569" s="205"/>
      <c r="G1569" s="209"/>
      <c r="H1569" s="209"/>
      <c r="I1569" s="205"/>
    </row>
    <row r="1570" spans="3:9">
      <c r="C1570" s="205"/>
      <c r="D1570" s="205"/>
      <c r="E1570" s="205"/>
      <c r="F1570" s="205"/>
      <c r="G1570" s="209"/>
      <c r="H1570" s="209"/>
      <c r="I1570" s="205"/>
    </row>
    <row r="1571" spans="3:9">
      <c r="C1571" s="205"/>
      <c r="D1571" s="205"/>
      <c r="E1571" s="205"/>
      <c r="F1571" s="205"/>
      <c r="G1571" s="209"/>
      <c r="H1571" s="209"/>
      <c r="I1571" s="205"/>
    </row>
    <row r="1572" spans="3:9">
      <c r="C1572" s="205"/>
      <c r="D1572" s="205"/>
      <c r="E1572" s="205"/>
      <c r="F1572" s="205"/>
      <c r="G1572" s="209"/>
      <c r="H1572" s="209"/>
      <c r="I1572" s="205"/>
    </row>
    <row r="1573" spans="3:9">
      <c r="C1573" s="205"/>
      <c r="D1573" s="205"/>
      <c r="E1573" s="205"/>
      <c r="F1573" s="205"/>
      <c r="G1573" s="209"/>
      <c r="H1573" s="209"/>
      <c r="I1573" s="205"/>
    </row>
    <row r="1574" spans="3:9">
      <c r="C1574" s="205"/>
      <c r="D1574" s="205"/>
      <c r="E1574" s="205"/>
      <c r="F1574" s="205"/>
      <c r="G1574" s="209"/>
      <c r="H1574" s="209"/>
      <c r="I1574" s="205"/>
    </row>
    <row r="1575" spans="3:9">
      <c r="C1575" s="205"/>
      <c r="D1575" s="205"/>
      <c r="E1575" s="205"/>
      <c r="F1575" s="205"/>
      <c r="G1575" s="209"/>
      <c r="H1575" s="209"/>
      <c r="I1575" s="205"/>
    </row>
    <row r="1576" spans="3:9">
      <c r="C1576" s="205"/>
      <c r="D1576" s="205"/>
      <c r="E1576" s="205"/>
      <c r="F1576" s="205"/>
      <c r="G1576" s="209"/>
      <c r="H1576" s="209"/>
      <c r="I1576" s="205"/>
    </row>
    <row r="1577" spans="3:9">
      <c r="C1577" s="205"/>
      <c r="D1577" s="205"/>
      <c r="E1577" s="205"/>
      <c r="F1577" s="205"/>
      <c r="G1577" s="209"/>
      <c r="H1577" s="209"/>
      <c r="I1577" s="205"/>
    </row>
    <row r="1578" spans="3:9">
      <c r="C1578" s="205"/>
      <c r="D1578" s="205"/>
      <c r="E1578" s="205"/>
      <c r="F1578" s="205"/>
      <c r="G1578" s="209"/>
      <c r="H1578" s="209"/>
      <c r="I1578" s="205"/>
    </row>
    <row r="1579" spans="3:9">
      <c r="C1579" s="205"/>
      <c r="D1579" s="205"/>
      <c r="E1579" s="205"/>
      <c r="F1579" s="205"/>
      <c r="G1579" s="209"/>
      <c r="H1579" s="209"/>
      <c r="I1579" s="205"/>
    </row>
    <row r="1580" spans="3:9">
      <c r="C1580" s="205"/>
      <c r="D1580" s="205"/>
      <c r="E1580" s="205"/>
      <c r="F1580" s="205"/>
      <c r="G1580" s="209"/>
      <c r="H1580" s="209"/>
      <c r="I1580" s="205"/>
    </row>
    <row r="1581" spans="3:9">
      <c r="C1581" s="205"/>
      <c r="D1581" s="205"/>
      <c r="E1581" s="205"/>
      <c r="F1581" s="205"/>
      <c r="G1581" s="209"/>
      <c r="H1581" s="209"/>
      <c r="I1581" s="205"/>
    </row>
    <row r="1582" spans="3:9">
      <c r="C1582" s="205"/>
      <c r="D1582" s="205"/>
      <c r="E1582" s="205"/>
      <c r="F1582" s="205"/>
      <c r="G1582" s="209"/>
      <c r="H1582" s="209"/>
      <c r="I1582" s="205"/>
    </row>
    <row r="1583" spans="3:9">
      <c r="C1583" s="205"/>
      <c r="D1583" s="205"/>
      <c r="E1583" s="205"/>
      <c r="F1583" s="205"/>
      <c r="G1583" s="209"/>
      <c r="H1583" s="209"/>
      <c r="I1583" s="205"/>
    </row>
    <row r="1584" spans="3:9">
      <c r="C1584" s="205"/>
      <c r="D1584" s="205"/>
      <c r="E1584" s="205"/>
      <c r="F1584" s="205"/>
      <c r="G1584" s="209"/>
      <c r="H1584" s="209"/>
      <c r="I1584" s="205"/>
    </row>
    <row r="1585" spans="3:9">
      <c r="C1585" s="205"/>
      <c r="D1585" s="205"/>
      <c r="E1585" s="205"/>
      <c r="F1585" s="205"/>
      <c r="G1585" s="209"/>
      <c r="H1585" s="209"/>
      <c r="I1585" s="205"/>
    </row>
    <row r="1586" spans="3:9">
      <c r="C1586" s="205"/>
      <c r="D1586" s="205"/>
      <c r="E1586" s="205"/>
      <c r="F1586" s="205"/>
      <c r="G1586" s="209"/>
      <c r="H1586" s="209"/>
      <c r="I1586" s="205"/>
    </row>
    <row r="1587" spans="3:9">
      <c r="C1587" s="205"/>
      <c r="D1587" s="205"/>
      <c r="E1587" s="205"/>
      <c r="F1587" s="205"/>
      <c r="G1587" s="209"/>
      <c r="H1587" s="209"/>
      <c r="I1587" s="205"/>
    </row>
    <row r="1588" spans="3:9">
      <c r="C1588" s="205"/>
      <c r="D1588" s="205"/>
      <c r="E1588" s="205"/>
      <c r="F1588" s="205"/>
      <c r="G1588" s="209"/>
      <c r="H1588" s="209"/>
      <c r="I1588" s="205"/>
    </row>
    <row r="1589" spans="3:9">
      <c r="C1589" s="205"/>
      <c r="D1589" s="205"/>
      <c r="E1589" s="205"/>
      <c r="F1589" s="205"/>
      <c r="G1589" s="209"/>
      <c r="H1589" s="209"/>
      <c r="I1589" s="205"/>
    </row>
    <row r="1590" spans="3:9">
      <c r="C1590" s="205"/>
      <c r="D1590" s="205"/>
      <c r="E1590" s="205"/>
      <c r="F1590" s="205"/>
      <c r="G1590" s="209"/>
      <c r="H1590" s="209"/>
      <c r="I1590" s="205"/>
    </row>
    <row r="1591" spans="3:9">
      <c r="C1591" s="205"/>
      <c r="D1591" s="205"/>
      <c r="E1591" s="205"/>
      <c r="F1591" s="205"/>
      <c r="G1591" s="209"/>
      <c r="H1591" s="209"/>
      <c r="I1591" s="205"/>
    </row>
    <row r="1592" spans="3:9">
      <c r="C1592" s="205"/>
      <c r="D1592" s="205"/>
      <c r="E1592" s="205"/>
      <c r="F1592" s="205"/>
      <c r="G1592" s="209"/>
      <c r="H1592" s="209"/>
      <c r="I1592" s="205"/>
    </row>
    <row r="1593" spans="3:9">
      <c r="C1593" s="205"/>
      <c r="D1593" s="205"/>
      <c r="E1593" s="205"/>
      <c r="F1593" s="205"/>
      <c r="G1593" s="209"/>
      <c r="H1593" s="209"/>
      <c r="I1593" s="205"/>
    </row>
    <row r="1594" spans="3:9">
      <c r="C1594" s="205"/>
      <c r="D1594" s="205"/>
      <c r="E1594" s="205"/>
      <c r="F1594" s="205"/>
      <c r="G1594" s="209"/>
      <c r="H1594" s="209"/>
      <c r="I1594" s="205"/>
    </row>
    <row r="1595" spans="3:9">
      <c r="C1595" s="205"/>
      <c r="D1595" s="205"/>
      <c r="E1595" s="205"/>
      <c r="F1595" s="205"/>
      <c r="G1595" s="209"/>
      <c r="H1595" s="209"/>
      <c r="I1595" s="205"/>
    </row>
    <row r="1596" spans="3:9">
      <c r="C1596" s="205"/>
      <c r="D1596" s="205"/>
      <c r="E1596" s="205"/>
      <c r="F1596" s="205"/>
      <c r="G1596" s="209"/>
      <c r="H1596" s="209"/>
      <c r="I1596" s="205"/>
    </row>
    <row r="1597" spans="3:9">
      <c r="C1597" s="205"/>
      <c r="D1597" s="205"/>
      <c r="E1597" s="205"/>
      <c r="F1597" s="205"/>
      <c r="G1597" s="209"/>
      <c r="H1597" s="209"/>
      <c r="I1597" s="205"/>
    </row>
    <row r="1598" spans="3:9">
      <c r="C1598" s="205"/>
      <c r="D1598" s="205"/>
      <c r="E1598" s="205"/>
      <c r="F1598" s="205"/>
      <c r="G1598" s="209"/>
      <c r="H1598" s="209"/>
      <c r="I1598" s="205"/>
    </row>
    <row r="1599" spans="3:9">
      <c r="C1599" s="205"/>
      <c r="D1599" s="205"/>
      <c r="E1599" s="205"/>
      <c r="F1599" s="205"/>
      <c r="G1599" s="209"/>
      <c r="H1599" s="209"/>
      <c r="I1599" s="205"/>
    </row>
    <row r="1600" spans="3:9">
      <c r="C1600" s="205"/>
      <c r="D1600" s="205"/>
      <c r="E1600" s="205"/>
      <c r="F1600" s="205"/>
      <c r="G1600" s="209"/>
      <c r="H1600" s="209"/>
      <c r="I1600" s="205"/>
    </row>
    <row r="1601" spans="3:9">
      <c r="C1601" s="205"/>
      <c r="D1601" s="205"/>
      <c r="E1601" s="205"/>
      <c r="F1601" s="205"/>
      <c r="G1601" s="209"/>
      <c r="H1601" s="209"/>
      <c r="I1601" s="205"/>
    </row>
    <row r="1602" spans="3:9">
      <c r="C1602" s="205"/>
      <c r="D1602" s="205"/>
      <c r="E1602" s="205"/>
      <c r="F1602" s="205"/>
      <c r="G1602" s="209"/>
      <c r="H1602" s="209"/>
      <c r="I1602" s="205"/>
    </row>
    <row r="1603" spans="3:9">
      <c r="C1603" s="205"/>
      <c r="D1603" s="205"/>
      <c r="E1603" s="205"/>
      <c r="F1603" s="205"/>
      <c r="G1603" s="209"/>
      <c r="H1603" s="209"/>
      <c r="I1603" s="205"/>
    </row>
    <row r="1604" spans="3:9">
      <c r="C1604" s="205"/>
      <c r="D1604" s="205"/>
      <c r="E1604" s="205"/>
      <c r="F1604" s="205"/>
      <c r="G1604" s="209"/>
      <c r="H1604" s="209"/>
      <c r="I1604" s="205"/>
    </row>
    <row r="1605" spans="3:9">
      <c r="C1605" s="205"/>
      <c r="D1605" s="205"/>
      <c r="E1605" s="205"/>
      <c r="F1605" s="205"/>
      <c r="G1605" s="209"/>
      <c r="H1605" s="209"/>
      <c r="I1605" s="205"/>
    </row>
    <row r="1606" spans="3:9">
      <c r="C1606" s="205"/>
      <c r="D1606" s="205"/>
      <c r="E1606" s="205"/>
      <c r="F1606" s="205"/>
      <c r="G1606" s="209"/>
      <c r="H1606" s="209"/>
      <c r="I1606" s="205"/>
    </row>
    <row r="1607" spans="3:9">
      <c r="C1607" s="205"/>
      <c r="D1607" s="205"/>
      <c r="E1607" s="205"/>
      <c r="F1607" s="205"/>
      <c r="G1607" s="209"/>
      <c r="H1607" s="209"/>
      <c r="I1607" s="205"/>
    </row>
    <row r="1608" spans="3:9">
      <c r="C1608" s="205"/>
      <c r="D1608" s="205"/>
      <c r="E1608" s="205"/>
      <c r="F1608" s="205"/>
      <c r="G1608" s="209"/>
      <c r="H1608" s="209"/>
      <c r="I1608" s="205"/>
    </row>
    <row r="1609" spans="3:9">
      <c r="C1609" s="205"/>
      <c r="D1609" s="205"/>
      <c r="E1609" s="205"/>
      <c r="F1609" s="205"/>
      <c r="G1609" s="209"/>
      <c r="H1609" s="209"/>
      <c r="I1609" s="205"/>
    </row>
    <row r="1610" spans="3:9">
      <c r="C1610" s="205"/>
      <c r="D1610" s="205"/>
      <c r="E1610" s="205"/>
      <c r="F1610" s="205"/>
      <c r="G1610" s="209"/>
      <c r="H1610" s="209"/>
      <c r="I1610" s="205"/>
    </row>
    <row r="1611" spans="3:9">
      <c r="C1611" s="205"/>
      <c r="D1611" s="205"/>
      <c r="E1611" s="205"/>
      <c r="F1611" s="205"/>
      <c r="G1611" s="209"/>
      <c r="H1611" s="209"/>
      <c r="I1611" s="205"/>
    </row>
    <row r="1612" spans="3:9">
      <c r="C1612" s="205"/>
      <c r="D1612" s="205"/>
      <c r="E1612" s="205"/>
      <c r="F1612" s="205"/>
      <c r="G1612" s="209"/>
      <c r="H1612" s="209"/>
      <c r="I1612" s="205"/>
    </row>
    <row r="1613" spans="3:9">
      <c r="C1613" s="205"/>
      <c r="D1613" s="205"/>
      <c r="E1613" s="205"/>
      <c r="F1613" s="205"/>
      <c r="G1613" s="209"/>
      <c r="H1613" s="209"/>
      <c r="I1613" s="205"/>
    </row>
    <row r="1614" spans="3:9">
      <c r="C1614" s="205"/>
      <c r="D1614" s="205"/>
      <c r="E1614" s="205"/>
      <c r="F1614" s="205"/>
      <c r="G1614" s="209"/>
      <c r="H1614" s="209"/>
      <c r="I1614" s="205"/>
    </row>
    <row r="1615" spans="3:9">
      <c r="C1615" s="205"/>
      <c r="D1615" s="205"/>
      <c r="E1615" s="205"/>
      <c r="F1615" s="205"/>
      <c r="G1615" s="209"/>
      <c r="H1615" s="209"/>
      <c r="I1615" s="205"/>
    </row>
    <row r="1616" spans="3:9">
      <c r="C1616" s="205"/>
      <c r="D1616" s="205"/>
      <c r="E1616" s="205"/>
      <c r="F1616" s="205"/>
      <c r="G1616" s="209"/>
      <c r="H1616" s="209"/>
      <c r="I1616" s="205"/>
    </row>
    <row r="1617" spans="3:9">
      <c r="C1617" s="205"/>
      <c r="D1617" s="205"/>
      <c r="E1617" s="205"/>
      <c r="F1617" s="205"/>
      <c r="G1617" s="209"/>
      <c r="H1617" s="209"/>
      <c r="I1617" s="205"/>
    </row>
    <row r="1618" spans="3:9">
      <c r="C1618" s="205"/>
      <c r="D1618" s="205"/>
      <c r="E1618" s="205"/>
      <c r="F1618" s="205"/>
      <c r="G1618" s="209"/>
      <c r="H1618" s="209"/>
      <c r="I1618" s="205"/>
    </row>
    <row r="1619" spans="3:9">
      <c r="C1619" s="205"/>
      <c r="D1619" s="205"/>
      <c r="E1619" s="205"/>
      <c r="F1619" s="205"/>
      <c r="G1619" s="209"/>
      <c r="H1619" s="209"/>
      <c r="I1619" s="205"/>
    </row>
    <row r="1620" spans="3:9">
      <c r="C1620" s="205"/>
      <c r="D1620" s="205"/>
      <c r="E1620" s="205"/>
      <c r="F1620" s="205"/>
      <c r="G1620" s="209"/>
      <c r="H1620" s="209"/>
      <c r="I1620" s="205"/>
    </row>
    <row r="1621" spans="3:9">
      <c r="C1621" s="205"/>
      <c r="D1621" s="205"/>
      <c r="E1621" s="205"/>
      <c r="F1621" s="205"/>
      <c r="G1621" s="209"/>
      <c r="H1621" s="209"/>
      <c r="I1621" s="205"/>
    </row>
    <row r="1622" spans="3:9">
      <c r="C1622" s="205"/>
      <c r="D1622" s="205"/>
      <c r="E1622" s="205"/>
      <c r="F1622" s="205"/>
      <c r="G1622" s="209"/>
      <c r="H1622" s="209"/>
      <c r="I1622" s="205"/>
    </row>
    <row r="1623" spans="3:9">
      <c r="C1623" s="205"/>
      <c r="D1623" s="205"/>
      <c r="E1623" s="205"/>
      <c r="F1623" s="205"/>
      <c r="G1623" s="209"/>
      <c r="H1623" s="209"/>
      <c r="I1623" s="205"/>
    </row>
    <row r="1624" spans="3:9">
      <c r="C1624" s="205"/>
      <c r="D1624" s="205"/>
      <c r="E1624" s="205"/>
      <c r="F1624" s="205"/>
      <c r="G1624" s="209"/>
      <c r="H1624" s="209"/>
      <c r="I1624" s="205"/>
    </row>
    <row r="1625" spans="3:9">
      <c r="C1625" s="205"/>
      <c r="D1625" s="205"/>
      <c r="E1625" s="205"/>
      <c r="F1625" s="205"/>
      <c r="G1625" s="209"/>
      <c r="H1625" s="209"/>
      <c r="I1625" s="205"/>
    </row>
    <row r="1626" spans="3:9">
      <c r="C1626" s="205"/>
      <c r="D1626" s="205"/>
      <c r="E1626" s="205"/>
      <c r="F1626" s="205"/>
      <c r="G1626" s="209"/>
      <c r="H1626" s="209"/>
      <c r="I1626" s="205"/>
    </row>
    <row r="1627" spans="3:9">
      <c r="C1627" s="205"/>
      <c r="D1627" s="205"/>
      <c r="E1627" s="205"/>
      <c r="F1627" s="205"/>
      <c r="G1627" s="209"/>
      <c r="H1627" s="209"/>
      <c r="I1627" s="205"/>
    </row>
    <row r="1628" spans="3:9">
      <c r="C1628" s="205"/>
      <c r="D1628" s="205"/>
      <c r="E1628" s="205"/>
      <c r="F1628" s="205"/>
      <c r="G1628" s="209"/>
      <c r="H1628" s="209"/>
      <c r="I1628" s="205"/>
    </row>
    <row r="1629" spans="3:9">
      <c r="C1629" s="205"/>
      <c r="D1629" s="205"/>
      <c r="E1629" s="205"/>
      <c r="F1629" s="205"/>
      <c r="G1629" s="209"/>
      <c r="H1629" s="209"/>
      <c r="I1629" s="205"/>
    </row>
    <row r="1630" spans="3:9">
      <c r="C1630" s="205"/>
      <c r="D1630" s="205"/>
      <c r="E1630" s="205"/>
      <c r="F1630" s="205"/>
      <c r="G1630" s="209"/>
      <c r="H1630" s="209"/>
      <c r="I1630" s="205"/>
    </row>
    <row r="1631" spans="3:9">
      <c r="C1631" s="205"/>
      <c r="D1631" s="205"/>
      <c r="E1631" s="205"/>
      <c r="F1631" s="205"/>
      <c r="G1631" s="209"/>
      <c r="H1631" s="209"/>
      <c r="I1631" s="205"/>
    </row>
    <row r="1632" spans="3:9">
      <c r="C1632" s="205"/>
      <c r="D1632" s="205"/>
      <c r="E1632" s="205"/>
      <c r="F1632" s="205"/>
      <c r="G1632" s="209"/>
      <c r="H1632" s="209"/>
      <c r="I1632" s="205"/>
    </row>
    <row r="1633" spans="3:9">
      <c r="C1633" s="205"/>
      <c r="D1633" s="205"/>
      <c r="E1633" s="205"/>
      <c r="F1633" s="205"/>
      <c r="G1633" s="209"/>
      <c r="H1633" s="209"/>
      <c r="I1633" s="205"/>
    </row>
    <row r="1634" spans="3:9">
      <c r="C1634" s="205"/>
      <c r="D1634" s="205"/>
      <c r="E1634" s="205"/>
      <c r="F1634" s="205"/>
      <c r="G1634" s="209"/>
      <c r="H1634" s="209"/>
      <c r="I1634" s="205"/>
    </row>
    <row r="1635" spans="3:9">
      <c r="C1635" s="205"/>
      <c r="D1635" s="205"/>
      <c r="E1635" s="205"/>
      <c r="F1635" s="205"/>
      <c r="G1635" s="209"/>
      <c r="H1635" s="209"/>
      <c r="I1635" s="205"/>
    </row>
    <row r="1636" spans="3:9">
      <c r="C1636" s="205"/>
      <c r="D1636" s="205"/>
      <c r="E1636" s="205"/>
      <c r="F1636" s="205"/>
      <c r="G1636" s="209"/>
      <c r="H1636" s="209"/>
      <c r="I1636" s="205"/>
    </row>
    <row r="1637" spans="3:9">
      <c r="C1637" s="205"/>
      <c r="D1637" s="205"/>
      <c r="E1637" s="205"/>
      <c r="F1637" s="205"/>
      <c r="G1637" s="209"/>
      <c r="H1637" s="209"/>
      <c r="I1637" s="205"/>
    </row>
    <row r="1638" spans="3:9">
      <c r="C1638" s="205"/>
      <c r="D1638" s="205"/>
      <c r="E1638" s="205"/>
      <c r="F1638" s="205"/>
      <c r="G1638" s="209"/>
      <c r="H1638" s="209"/>
      <c r="I1638" s="205"/>
    </row>
    <row r="1639" spans="3:9">
      <c r="C1639" s="205"/>
      <c r="D1639" s="205"/>
      <c r="E1639" s="205"/>
      <c r="F1639" s="205"/>
      <c r="G1639" s="209"/>
      <c r="H1639" s="209"/>
      <c r="I1639" s="205"/>
    </row>
    <row r="1640" spans="3:9">
      <c r="C1640" s="205"/>
      <c r="D1640" s="205"/>
      <c r="E1640" s="205"/>
      <c r="F1640" s="205"/>
      <c r="G1640" s="209"/>
      <c r="H1640" s="209"/>
      <c r="I1640" s="205"/>
    </row>
    <row r="1641" spans="3:9">
      <c r="C1641" s="205"/>
      <c r="D1641" s="205"/>
      <c r="E1641" s="205"/>
      <c r="F1641" s="205"/>
      <c r="G1641" s="209"/>
      <c r="H1641" s="209"/>
      <c r="I1641" s="205"/>
    </row>
    <row r="1642" spans="3:9">
      <c r="C1642" s="205"/>
      <c r="D1642" s="205"/>
      <c r="E1642" s="205"/>
      <c r="F1642" s="205"/>
      <c r="G1642" s="209"/>
      <c r="H1642" s="209"/>
      <c r="I1642" s="205"/>
    </row>
    <row r="1643" spans="3:9">
      <c r="C1643" s="205"/>
      <c r="D1643" s="205"/>
      <c r="E1643" s="205"/>
      <c r="F1643" s="205"/>
      <c r="G1643" s="209"/>
      <c r="H1643" s="209"/>
      <c r="I1643" s="205"/>
    </row>
    <row r="1644" spans="3:9">
      <c r="C1644" s="205"/>
      <c r="D1644" s="205"/>
      <c r="E1644" s="205"/>
      <c r="F1644" s="205"/>
      <c r="G1644" s="209"/>
      <c r="H1644" s="209"/>
      <c r="I1644" s="205"/>
    </row>
    <row r="1645" spans="3:9">
      <c r="C1645" s="205"/>
      <c r="D1645" s="205"/>
      <c r="E1645" s="205"/>
      <c r="F1645" s="205"/>
      <c r="G1645" s="209"/>
      <c r="H1645" s="209"/>
      <c r="I1645" s="205"/>
    </row>
    <row r="1646" spans="3:9">
      <c r="C1646" s="205"/>
      <c r="D1646" s="205"/>
      <c r="E1646" s="205"/>
      <c r="F1646" s="205"/>
      <c r="G1646" s="209"/>
      <c r="H1646" s="209"/>
      <c r="I1646" s="205"/>
    </row>
    <row r="1647" spans="3:9">
      <c r="C1647" s="205"/>
      <c r="D1647" s="205"/>
      <c r="E1647" s="205"/>
      <c r="F1647" s="205"/>
      <c r="G1647" s="209"/>
      <c r="H1647" s="209"/>
      <c r="I1647" s="205"/>
    </row>
    <row r="1648" spans="3:9">
      <c r="C1648" s="205"/>
      <c r="D1648" s="205"/>
      <c r="E1648" s="205"/>
      <c r="F1648" s="205"/>
      <c r="G1648" s="209"/>
      <c r="H1648" s="209"/>
      <c r="I1648" s="205"/>
    </row>
    <row r="1649" spans="3:9">
      <c r="C1649" s="205"/>
      <c r="D1649" s="205"/>
      <c r="E1649" s="205"/>
      <c r="F1649" s="205"/>
      <c r="G1649" s="209"/>
      <c r="H1649" s="209"/>
      <c r="I1649" s="205"/>
    </row>
    <row r="1650" spans="3:9">
      <c r="C1650" s="205"/>
      <c r="D1650" s="205"/>
      <c r="E1650" s="205"/>
      <c r="F1650" s="205"/>
      <c r="G1650" s="209"/>
      <c r="H1650" s="209"/>
      <c r="I1650" s="205"/>
    </row>
    <row r="1651" spans="3:9">
      <c r="C1651" s="205"/>
      <c r="D1651" s="205"/>
      <c r="E1651" s="205"/>
      <c r="F1651" s="205"/>
      <c r="G1651" s="209"/>
      <c r="H1651" s="209"/>
      <c r="I1651" s="205"/>
    </row>
    <row r="1652" spans="3:9">
      <c r="C1652" s="205"/>
      <c r="D1652" s="205"/>
      <c r="E1652" s="205"/>
      <c r="F1652" s="205"/>
      <c r="G1652" s="209"/>
      <c r="H1652" s="209"/>
      <c r="I1652" s="205"/>
    </row>
    <row r="1653" spans="3:9">
      <c r="C1653" s="205"/>
      <c r="D1653" s="205"/>
      <c r="E1653" s="205"/>
      <c r="F1653" s="205"/>
      <c r="G1653" s="209"/>
      <c r="H1653" s="209"/>
      <c r="I1653" s="205"/>
    </row>
    <row r="1654" spans="3:9">
      <c r="C1654" s="205"/>
      <c r="D1654" s="205"/>
      <c r="E1654" s="205"/>
      <c r="F1654" s="205"/>
      <c r="G1654" s="209"/>
      <c r="H1654" s="209"/>
      <c r="I1654" s="205"/>
    </row>
    <row r="1655" spans="3:9">
      <c r="C1655" s="205"/>
      <c r="D1655" s="205"/>
      <c r="E1655" s="205"/>
      <c r="F1655" s="205"/>
      <c r="G1655" s="209"/>
      <c r="H1655" s="209"/>
      <c r="I1655" s="205"/>
    </row>
    <row r="1656" spans="3:9">
      <c r="C1656" s="205"/>
      <c r="D1656" s="205"/>
      <c r="E1656" s="205"/>
      <c r="F1656" s="205"/>
      <c r="G1656" s="209"/>
      <c r="H1656" s="209"/>
      <c r="I1656" s="205"/>
    </row>
    <row r="1657" spans="3:9">
      <c r="C1657" s="205"/>
      <c r="D1657" s="205"/>
      <c r="E1657" s="205"/>
      <c r="F1657" s="205"/>
      <c r="G1657" s="209"/>
      <c r="H1657" s="209"/>
      <c r="I1657" s="205"/>
    </row>
    <row r="1658" spans="3:9">
      <c r="C1658" s="205"/>
      <c r="D1658" s="205"/>
      <c r="E1658" s="205"/>
      <c r="F1658" s="205"/>
      <c r="G1658" s="209"/>
      <c r="H1658" s="209"/>
      <c r="I1658" s="205"/>
    </row>
    <row r="1659" spans="3:9">
      <c r="C1659" s="205"/>
      <c r="D1659" s="205"/>
      <c r="E1659" s="205"/>
      <c r="F1659" s="205"/>
      <c r="G1659" s="209"/>
      <c r="H1659" s="209"/>
      <c r="I1659" s="205"/>
    </row>
    <row r="1660" spans="3:9">
      <c r="C1660" s="205"/>
      <c r="D1660" s="205"/>
      <c r="E1660" s="205"/>
      <c r="F1660" s="205"/>
      <c r="G1660" s="209"/>
      <c r="H1660" s="209"/>
      <c r="I1660" s="205"/>
    </row>
    <row r="1661" spans="3:9">
      <c r="C1661" s="205"/>
      <c r="D1661" s="205"/>
      <c r="E1661" s="205"/>
      <c r="F1661" s="205"/>
      <c r="G1661" s="209"/>
      <c r="H1661" s="209"/>
      <c r="I1661" s="205"/>
    </row>
    <row r="1662" spans="3:9">
      <c r="C1662" s="205"/>
      <c r="D1662" s="205"/>
      <c r="E1662" s="205"/>
      <c r="F1662" s="205"/>
      <c r="G1662" s="209"/>
      <c r="H1662" s="209"/>
      <c r="I1662" s="205"/>
    </row>
    <row r="1663" spans="3:9">
      <c r="C1663" s="205"/>
      <c r="D1663" s="205"/>
      <c r="E1663" s="205"/>
      <c r="F1663" s="205"/>
      <c r="G1663" s="209"/>
      <c r="H1663" s="209"/>
      <c r="I1663" s="205"/>
    </row>
    <row r="1664" spans="3:9">
      <c r="C1664" s="205"/>
      <c r="D1664" s="205"/>
      <c r="E1664" s="205"/>
      <c r="F1664" s="205"/>
      <c r="G1664" s="209"/>
      <c r="H1664" s="209"/>
      <c r="I1664" s="205"/>
    </row>
    <row r="1665" spans="3:9">
      <c r="C1665" s="205"/>
      <c r="D1665" s="205"/>
      <c r="E1665" s="205"/>
      <c r="F1665" s="205"/>
      <c r="G1665" s="209"/>
      <c r="H1665" s="209"/>
      <c r="I1665" s="205"/>
    </row>
    <row r="1666" spans="3:9">
      <c r="C1666" s="205"/>
      <c r="D1666" s="205"/>
      <c r="E1666" s="205"/>
      <c r="F1666" s="205"/>
      <c r="G1666" s="209"/>
      <c r="H1666" s="209"/>
      <c r="I1666" s="205"/>
    </row>
    <row r="1667" spans="3:9">
      <c r="C1667" s="205"/>
      <c r="D1667" s="205"/>
      <c r="E1667" s="205"/>
      <c r="F1667" s="205"/>
      <c r="G1667" s="209"/>
      <c r="H1667" s="209"/>
      <c r="I1667" s="205"/>
    </row>
    <row r="1668" spans="3:9">
      <c r="C1668" s="205"/>
      <c r="D1668" s="205"/>
      <c r="E1668" s="205"/>
      <c r="F1668" s="205"/>
      <c r="G1668" s="209"/>
      <c r="H1668" s="209"/>
      <c r="I1668" s="205"/>
    </row>
    <row r="1669" spans="3:9">
      <c r="C1669" s="205"/>
      <c r="D1669" s="205"/>
      <c r="E1669" s="205"/>
      <c r="F1669" s="205"/>
      <c r="G1669" s="209"/>
      <c r="H1669" s="209"/>
      <c r="I1669" s="205"/>
    </row>
    <row r="1670" spans="3:9">
      <c r="C1670" s="205"/>
      <c r="D1670" s="205"/>
      <c r="E1670" s="205"/>
      <c r="F1670" s="205"/>
      <c r="G1670" s="209"/>
      <c r="H1670" s="209"/>
      <c r="I1670" s="205"/>
    </row>
    <row r="1671" spans="3:9">
      <c r="C1671" s="205"/>
      <c r="D1671" s="205"/>
      <c r="E1671" s="205"/>
      <c r="F1671" s="205"/>
      <c r="G1671" s="209"/>
      <c r="H1671" s="209"/>
      <c r="I1671" s="205"/>
    </row>
    <row r="1672" spans="3:9">
      <c r="C1672" s="205"/>
      <c r="D1672" s="205"/>
      <c r="E1672" s="205"/>
      <c r="F1672" s="205"/>
      <c r="G1672" s="209"/>
      <c r="H1672" s="209"/>
      <c r="I1672" s="205"/>
    </row>
    <row r="1673" spans="3:9">
      <c r="C1673" s="205"/>
      <c r="D1673" s="205"/>
      <c r="E1673" s="205"/>
      <c r="F1673" s="205"/>
      <c r="G1673" s="209"/>
      <c r="H1673" s="209"/>
      <c r="I1673" s="205"/>
    </row>
    <row r="1674" spans="3:9">
      <c r="C1674" s="205"/>
      <c r="D1674" s="205"/>
      <c r="E1674" s="205"/>
      <c r="F1674" s="205"/>
      <c r="G1674" s="209"/>
      <c r="H1674" s="209"/>
      <c r="I1674" s="205"/>
    </row>
    <row r="1675" spans="3:9">
      <c r="C1675" s="205"/>
      <c r="D1675" s="205"/>
      <c r="E1675" s="205"/>
      <c r="F1675" s="205"/>
      <c r="G1675" s="209"/>
      <c r="H1675" s="209"/>
      <c r="I1675" s="205"/>
    </row>
    <row r="1676" spans="3:9">
      <c r="C1676" s="205"/>
      <c r="D1676" s="205"/>
      <c r="E1676" s="205"/>
      <c r="F1676" s="205"/>
      <c r="G1676" s="209"/>
      <c r="H1676" s="209"/>
      <c r="I1676" s="205"/>
    </row>
    <row r="1677" spans="3:9">
      <c r="C1677" s="205"/>
      <c r="D1677" s="205"/>
      <c r="E1677" s="205"/>
      <c r="F1677" s="205"/>
      <c r="G1677" s="209"/>
      <c r="H1677" s="209"/>
      <c r="I1677" s="205"/>
    </row>
    <row r="1678" spans="3:9">
      <c r="C1678" s="205"/>
      <c r="D1678" s="205"/>
      <c r="E1678" s="205"/>
      <c r="F1678" s="205"/>
      <c r="G1678" s="209"/>
      <c r="H1678" s="209"/>
      <c r="I1678" s="205"/>
    </row>
    <row r="1679" spans="3:9">
      <c r="C1679" s="205"/>
      <c r="D1679" s="205"/>
      <c r="E1679" s="205"/>
      <c r="F1679" s="205"/>
      <c r="G1679" s="209"/>
      <c r="H1679" s="209"/>
      <c r="I1679" s="205"/>
    </row>
    <row r="1680" spans="3:9">
      <c r="C1680" s="205"/>
      <c r="D1680" s="205"/>
      <c r="E1680" s="205"/>
      <c r="F1680" s="205"/>
      <c r="G1680" s="209"/>
      <c r="H1680" s="209"/>
      <c r="I1680" s="205"/>
    </row>
    <row r="1681" spans="3:9">
      <c r="C1681" s="205"/>
      <c r="D1681" s="205"/>
      <c r="E1681" s="205"/>
      <c r="F1681" s="205"/>
      <c r="G1681" s="209"/>
      <c r="H1681" s="209"/>
      <c r="I1681" s="205"/>
    </row>
    <row r="1682" spans="3:9">
      <c r="C1682" s="205"/>
      <c r="D1682" s="205"/>
      <c r="E1682" s="205"/>
      <c r="F1682" s="205"/>
      <c r="G1682" s="209"/>
      <c r="H1682" s="209"/>
      <c r="I1682" s="205"/>
    </row>
    <row r="1683" spans="3:9">
      <c r="C1683" s="205"/>
      <c r="D1683" s="205"/>
      <c r="E1683" s="205"/>
      <c r="F1683" s="205"/>
      <c r="G1683" s="209"/>
      <c r="H1683" s="209"/>
      <c r="I1683" s="205"/>
    </row>
    <row r="1684" spans="3:9">
      <c r="C1684" s="205"/>
      <c r="D1684" s="205"/>
      <c r="E1684" s="205"/>
      <c r="F1684" s="205"/>
      <c r="G1684" s="209"/>
      <c r="H1684" s="209"/>
      <c r="I1684" s="205"/>
    </row>
    <row r="1685" spans="3:9">
      <c r="C1685" s="205"/>
      <c r="D1685" s="205"/>
      <c r="E1685" s="205"/>
      <c r="F1685" s="205"/>
      <c r="G1685" s="209"/>
      <c r="H1685" s="209"/>
      <c r="I1685" s="205"/>
    </row>
    <row r="1686" spans="3:9">
      <c r="C1686" s="205"/>
      <c r="D1686" s="205"/>
      <c r="E1686" s="205"/>
      <c r="F1686" s="205"/>
      <c r="G1686" s="209"/>
      <c r="H1686" s="209"/>
      <c r="I1686" s="205"/>
    </row>
    <row r="1687" spans="3:9">
      <c r="C1687" s="205"/>
      <c r="D1687" s="205"/>
      <c r="E1687" s="205"/>
      <c r="F1687" s="205"/>
      <c r="G1687" s="209"/>
      <c r="H1687" s="209"/>
      <c r="I1687" s="205"/>
    </row>
    <row r="1688" spans="3:9">
      <c r="C1688" s="205"/>
      <c r="D1688" s="205"/>
      <c r="E1688" s="205"/>
      <c r="F1688" s="205"/>
      <c r="G1688" s="209"/>
      <c r="H1688" s="209"/>
      <c r="I1688" s="205"/>
    </row>
    <row r="1689" spans="3:9">
      <c r="C1689" s="205"/>
      <c r="D1689" s="205"/>
      <c r="E1689" s="205"/>
      <c r="F1689" s="205"/>
      <c r="G1689" s="209"/>
      <c r="H1689" s="209"/>
      <c r="I1689" s="205"/>
    </row>
    <row r="1690" spans="3:9">
      <c r="C1690" s="205"/>
      <c r="D1690" s="205"/>
      <c r="E1690" s="205"/>
      <c r="F1690" s="205"/>
      <c r="G1690" s="209"/>
      <c r="H1690" s="209"/>
      <c r="I1690" s="205"/>
    </row>
    <row r="1691" spans="3:9">
      <c r="C1691" s="205"/>
      <c r="D1691" s="205"/>
      <c r="E1691" s="205"/>
      <c r="F1691" s="205"/>
      <c r="G1691" s="209"/>
      <c r="H1691" s="209"/>
      <c r="I1691" s="205"/>
    </row>
    <row r="1692" spans="3:9">
      <c r="C1692" s="205"/>
      <c r="D1692" s="205"/>
      <c r="E1692" s="205"/>
      <c r="F1692" s="205"/>
      <c r="G1692" s="209"/>
      <c r="H1692" s="209"/>
      <c r="I1692" s="205"/>
    </row>
    <row r="1693" spans="3:9">
      <c r="C1693" s="205"/>
      <c r="D1693" s="205"/>
      <c r="E1693" s="205"/>
      <c r="F1693" s="205"/>
      <c r="G1693" s="209"/>
      <c r="H1693" s="209"/>
      <c r="I1693" s="205"/>
    </row>
    <row r="1694" spans="3:9">
      <c r="C1694" s="205"/>
      <c r="D1694" s="205"/>
      <c r="E1694" s="205"/>
      <c r="F1694" s="205"/>
      <c r="G1694" s="209"/>
      <c r="H1694" s="209"/>
      <c r="I1694" s="205"/>
    </row>
    <row r="1695" spans="3:9">
      <c r="C1695" s="205"/>
      <c r="D1695" s="205"/>
      <c r="E1695" s="205"/>
      <c r="F1695" s="205"/>
      <c r="G1695" s="209"/>
      <c r="H1695" s="209"/>
      <c r="I1695" s="205"/>
    </row>
    <row r="1696" spans="3:9">
      <c r="C1696" s="205"/>
      <c r="D1696" s="205"/>
      <c r="E1696" s="205"/>
      <c r="F1696" s="205"/>
      <c r="G1696" s="209"/>
      <c r="H1696" s="209"/>
      <c r="I1696" s="205"/>
    </row>
    <row r="1697" spans="3:9">
      <c r="C1697" s="205"/>
      <c r="D1697" s="205"/>
      <c r="E1697" s="205"/>
      <c r="F1697" s="205"/>
      <c r="G1697" s="209"/>
      <c r="H1697" s="209"/>
      <c r="I1697" s="205"/>
    </row>
    <row r="1698" spans="3:9">
      <c r="C1698" s="205"/>
      <c r="D1698" s="205"/>
      <c r="E1698" s="205"/>
      <c r="F1698" s="205"/>
      <c r="G1698" s="209"/>
      <c r="H1698" s="209"/>
      <c r="I1698" s="205"/>
    </row>
    <row r="1699" spans="3:9">
      <c r="C1699" s="205"/>
      <c r="D1699" s="205"/>
      <c r="E1699" s="205"/>
      <c r="F1699" s="205"/>
      <c r="G1699" s="209"/>
      <c r="H1699" s="209"/>
      <c r="I1699" s="205"/>
    </row>
    <row r="1700" spans="3:9">
      <c r="C1700" s="205"/>
      <c r="D1700" s="205"/>
      <c r="E1700" s="205"/>
      <c r="F1700" s="205"/>
      <c r="G1700" s="209"/>
      <c r="H1700" s="209"/>
      <c r="I1700" s="205"/>
    </row>
    <row r="1701" spans="3:9">
      <c r="C1701" s="205"/>
      <c r="D1701" s="205"/>
      <c r="E1701" s="205"/>
      <c r="F1701" s="205"/>
      <c r="G1701" s="209"/>
      <c r="H1701" s="209"/>
      <c r="I1701" s="205"/>
    </row>
    <row r="1702" spans="3:9">
      <c r="C1702" s="205"/>
      <c r="D1702" s="205"/>
      <c r="E1702" s="205"/>
      <c r="F1702" s="205"/>
      <c r="G1702" s="209"/>
      <c r="H1702" s="209"/>
      <c r="I1702" s="205"/>
    </row>
    <row r="1703" spans="3:9">
      <c r="C1703" s="205"/>
      <c r="D1703" s="205"/>
      <c r="E1703" s="205"/>
      <c r="F1703" s="205"/>
      <c r="G1703" s="209"/>
      <c r="H1703" s="209"/>
      <c r="I1703" s="205"/>
    </row>
    <row r="1704" spans="3:9">
      <c r="C1704" s="205"/>
      <c r="D1704" s="205"/>
      <c r="E1704" s="205"/>
      <c r="F1704" s="205"/>
      <c r="G1704" s="209"/>
      <c r="H1704" s="209"/>
      <c r="I1704" s="205"/>
    </row>
    <row r="1705" spans="3:9">
      <c r="C1705" s="205"/>
      <c r="D1705" s="205"/>
      <c r="E1705" s="205"/>
      <c r="F1705" s="205"/>
      <c r="G1705" s="209"/>
      <c r="H1705" s="209"/>
      <c r="I1705" s="205"/>
    </row>
    <row r="1706" spans="3:9">
      <c r="C1706" s="205"/>
      <c r="D1706" s="205"/>
      <c r="E1706" s="205"/>
      <c r="F1706" s="205"/>
      <c r="G1706" s="209"/>
      <c r="H1706" s="209"/>
      <c r="I1706" s="205"/>
    </row>
    <row r="1707" spans="3:9">
      <c r="C1707" s="205"/>
      <c r="D1707" s="205"/>
      <c r="E1707" s="205"/>
      <c r="F1707" s="205"/>
      <c r="G1707" s="209"/>
      <c r="H1707" s="209"/>
      <c r="I1707" s="205"/>
    </row>
    <row r="1708" spans="3:9">
      <c r="C1708" s="205"/>
      <c r="D1708" s="205"/>
      <c r="E1708" s="205"/>
      <c r="F1708" s="205"/>
      <c r="G1708" s="209"/>
      <c r="H1708" s="209"/>
      <c r="I1708" s="205"/>
    </row>
    <row r="1709" spans="3:9">
      <c r="C1709" s="205"/>
      <c r="D1709" s="205"/>
      <c r="E1709" s="205"/>
      <c r="F1709" s="205"/>
      <c r="G1709" s="209"/>
      <c r="H1709" s="209"/>
      <c r="I1709" s="205"/>
    </row>
    <row r="1710" spans="3:9">
      <c r="C1710" s="205"/>
      <c r="D1710" s="205"/>
      <c r="E1710" s="205"/>
      <c r="F1710" s="205"/>
      <c r="G1710" s="209"/>
      <c r="H1710" s="209"/>
      <c r="I1710" s="205"/>
    </row>
    <row r="1711" spans="3:9">
      <c r="C1711" s="205"/>
      <c r="D1711" s="205"/>
      <c r="E1711" s="205"/>
      <c r="F1711" s="205"/>
      <c r="G1711" s="209"/>
      <c r="H1711" s="209"/>
      <c r="I1711" s="205"/>
    </row>
    <row r="1712" spans="3:9">
      <c r="C1712" s="205"/>
      <c r="D1712" s="205"/>
      <c r="E1712" s="205"/>
      <c r="F1712" s="205"/>
      <c r="G1712" s="209"/>
      <c r="H1712" s="209"/>
      <c r="I1712" s="205"/>
    </row>
    <row r="1713" spans="3:9">
      <c r="C1713" s="205"/>
      <c r="D1713" s="205"/>
      <c r="E1713" s="205"/>
      <c r="F1713" s="205"/>
      <c r="G1713" s="209"/>
      <c r="H1713" s="209"/>
      <c r="I1713" s="205"/>
    </row>
    <row r="1714" spans="3:9">
      <c r="C1714" s="205"/>
      <c r="D1714" s="205"/>
      <c r="E1714" s="205"/>
      <c r="F1714" s="205"/>
      <c r="G1714" s="209"/>
      <c r="H1714" s="209"/>
      <c r="I1714" s="205"/>
    </row>
    <row r="1715" spans="3:9">
      <c r="C1715" s="205"/>
      <c r="D1715" s="205"/>
      <c r="E1715" s="205"/>
      <c r="F1715" s="205"/>
      <c r="G1715" s="209"/>
      <c r="H1715" s="209"/>
      <c r="I1715" s="205"/>
    </row>
    <row r="1716" spans="3:9">
      <c r="C1716" s="205"/>
      <c r="D1716" s="205"/>
      <c r="E1716" s="205"/>
      <c r="F1716" s="205"/>
      <c r="G1716" s="209"/>
      <c r="H1716" s="209"/>
      <c r="I1716" s="205"/>
    </row>
    <row r="1717" spans="3:9">
      <c r="C1717" s="205"/>
      <c r="D1717" s="205"/>
      <c r="E1717" s="205"/>
      <c r="F1717" s="205"/>
      <c r="G1717" s="209"/>
      <c r="H1717" s="209"/>
      <c r="I1717" s="205"/>
    </row>
    <row r="1718" spans="3:9">
      <c r="C1718" s="205"/>
      <c r="D1718" s="205"/>
      <c r="E1718" s="205"/>
      <c r="F1718" s="205"/>
      <c r="G1718" s="209"/>
      <c r="H1718" s="209"/>
      <c r="I1718" s="205"/>
    </row>
    <row r="1719" spans="3:9">
      <c r="C1719" s="205"/>
      <c r="D1719" s="205"/>
      <c r="E1719" s="205"/>
      <c r="F1719" s="205"/>
      <c r="G1719" s="209"/>
      <c r="H1719" s="209"/>
      <c r="I1719" s="205"/>
    </row>
    <row r="1720" spans="3:9">
      <c r="C1720" s="205"/>
      <c r="D1720" s="205"/>
      <c r="E1720" s="205"/>
      <c r="F1720" s="205"/>
      <c r="G1720" s="209"/>
      <c r="H1720" s="209"/>
      <c r="I1720" s="205"/>
    </row>
    <row r="1721" spans="3:9">
      <c r="C1721" s="205"/>
      <c r="D1721" s="205"/>
      <c r="E1721" s="205"/>
      <c r="F1721" s="205"/>
      <c r="G1721" s="209"/>
      <c r="H1721" s="209"/>
      <c r="I1721" s="205"/>
    </row>
    <row r="1722" spans="3:9">
      <c r="C1722" s="205"/>
      <c r="D1722" s="205"/>
      <c r="E1722" s="205"/>
      <c r="F1722" s="205"/>
      <c r="G1722" s="209"/>
      <c r="H1722" s="209"/>
      <c r="I1722" s="205"/>
    </row>
    <row r="1723" spans="3:9">
      <c r="C1723" s="205"/>
      <c r="D1723" s="205"/>
      <c r="E1723" s="205"/>
      <c r="F1723" s="205"/>
      <c r="G1723" s="209"/>
      <c r="H1723" s="209"/>
      <c r="I1723" s="205"/>
    </row>
    <row r="1724" spans="3:9">
      <c r="C1724" s="205"/>
      <c r="D1724" s="205"/>
      <c r="E1724" s="205"/>
      <c r="F1724" s="205"/>
      <c r="G1724" s="209"/>
      <c r="H1724" s="209"/>
      <c r="I1724" s="205"/>
    </row>
    <row r="1725" spans="3:9">
      <c r="C1725" s="205"/>
      <c r="D1725" s="205"/>
      <c r="E1725" s="205"/>
      <c r="F1725" s="205"/>
      <c r="G1725" s="209"/>
      <c r="H1725" s="209"/>
      <c r="I1725" s="205"/>
    </row>
    <row r="1726" spans="3:9">
      <c r="C1726" s="205"/>
      <c r="D1726" s="205"/>
      <c r="E1726" s="205"/>
      <c r="F1726" s="205"/>
      <c r="G1726" s="209"/>
      <c r="H1726" s="209"/>
      <c r="I1726" s="205"/>
    </row>
    <row r="1727" spans="3:9">
      <c r="C1727" s="205"/>
      <c r="D1727" s="205"/>
      <c r="E1727" s="205"/>
      <c r="F1727" s="205"/>
      <c r="G1727" s="209"/>
      <c r="H1727" s="209"/>
      <c r="I1727" s="205"/>
    </row>
    <row r="1728" spans="3:9">
      <c r="C1728" s="205"/>
      <c r="D1728" s="205"/>
      <c r="E1728" s="205"/>
      <c r="F1728" s="205"/>
      <c r="G1728" s="209"/>
      <c r="H1728" s="209"/>
      <c r="I1728" s="205"/>
    </row>
    <row r="1729" spans="3:9">
      <c r="C1729" s="205"/>
      <c r="D1729" s="205"/>
      <c r="E1729" s="205"/>
      <c r="F1729" s="205"/>
      <c r="G1729" s="209"/>
      <c r="H1729" s="209"/>
      <c r="I1729" s="205"/>
    </row>
    <row r="1730" spans="3:9">
      <c r="C1730" s="205"/>
      <c r="D1730" s="205"/>
      <c r="E1730" s="205"/>
      <c r="F1730" s="205"/>
      <c r="G1730" s="209"/>
      <c r="H1730" s="209"/>
      <c r="I1730" s="205"/>
    </row>
    <row r="1731" spans="3:9">
      <c r="C1731" s="205"/>
      <c r="D1731" s="205"/>
      <c r="E1731" s="205"/>
      <c r="F1731" s="205"/>
      <c r="G1731" s="209"/>
      <c r="H1731" s="209"/>
      <c r="I1731" s="205"/>
    </row>
    <row r="1732" spans="3:9">
      <c r="C1732" s="205"/>
      <c r="D1732" s="205"/>
      <c r="E1732" s="205"/>
      <c r="F1732" s="205"/>
      <c r="G1732" s="209"/>
      <c r="H1732" s="209"/>
      <c r="I1732" s="205"/>
    </row>
    <row r="1733" spans="3:9">
      <c r="C1733" s="205"/>
      <c r="D1733" s="205"/>
      <c r="E1733" s="205"/>
      <c r="F1733" s="205"/>
      <c r="G1733" s="209"/>
      <c r="H1733" s="209"/>
      <c r="I1733" s="205"/>
    </row>
    <row r="1734" spans="3:9">
      <c r="C1734" s="205"/>
      <c r="D1734" s="205"/>
      <c r="E1734" s="205"/>
      <c r="F1734" s="205"/>
      <c r="G1734" s="209"/>
      <c r="H1734" s="209"/>
      <c r="I1734" s="205"/>
    </row>
    <row r="1735" spans="3:9">
      <c r="C1735" s="205"/>
      <c r="D1735" s="205"/>
      <c r="E1735" s="205"/>
      <c r="F1735" s="205"/>
      <c r="G1735" s="209"/>
      <c r="H1735" s="209"/>
      <c r="I1735" s="205"/>
    </row>
    <row r="1736" spans="3:9">
      <c r="C1736" s="205"/>
      <c r="D1736" s="205"/>
      <c r="E1736" s="205"/>
      <c r="F1736" s="205"/>
      <c r="G1736" s="209"/>
      <c r="H1736" s="209"/>
      <c r="I1736" s="205"/>
    </row>
    <row r="1737" spans="3:9">
      <c r="C1737" s="205"/>
      <c r="D1737" s="205"/>
      <c r="E1737" s="205"/>
      <c r="F1737" s="205"/>
      <c r="G1737" s="209"/>
      <c r="H1737" s="209"/>
      <c r="I1737" s="205"/>
    </row>
    <row r="1738" spans="3:9">
      <c r="C1738" s="205"/>
      <c r="D1738" s="205"/>
      <c r="E1738" s="205"/>
      <c r="F1738" s="205"/>
      <c r="G1738" s="209"/>
      <c r="H1738" s="209"/>
      <c r="I1738" s="205"/>
    </row>
    <row r="1739" spans="3:9">
      <c r="C1739" s="205"/>
      <c r="D1739" s="205"/>
      <c r="E1739" s="205"/>
      <c r="F1739" s="205"/>
      <c r="G1739" s="209"/>
      <c r="H1739" s="209"/>
      <c r="I1739" s="205"/>
    </row>
    <row r="1740" spans="3:9">
      <c r="C1740" s="205"/>
      <c r="D1740" s="205"/>
      <c r="E1740" s="205"/>
      <c r="F1740" s="205"/>
      <c r="G1740" s="209"/>
      <c r="H1740" s="209"/>
      <c r="I1740" s="205"/>
    </row>
    <row r="1741" spans="3:9">
      <c r="C1741" s="205"/>
      <c r="D1741" s="205"/>
      <c r="E1741" s="205"/>
      <c r="F1741" s="205"/>
      <c r="G1741" s="209"/>
      <c r="H1741" s="209"/>
      <c r="I1741" s="205"/>
    </row>
    <row r="1742" spans="3:9">
      <c r="C1742" s="205"/>
      <c r="D1742" s="205"/>
      <c r="E1742" s="205"/>
      <c r="F1742" s="205"/>
      <c r="G1742" s="209"/>
      <c r="H1742" s="209"/>
      <c r="I1742" s="205"/>
    </row>
    <row r="1743" spans="3:9">
      <c r="C1743" s="205"/>
      <c r="D1743" s="205"/>
      <c r="E1743" s="205"/>
      <c r="F1743" s="205"/>
      <c r="G1743" s="209"/>
      <c r="H1743" s="209"/>
      <c r="I1743" s="205"/>
    </row>
    <row r="1744" spans="3:9">
      <c r="C1744" s="205"/>
      <c r="D1744" s="205"/>
      <c r="E1744" s="205"/>
      <c r="F1744" s="205"/>
      <c r="G1744" s="209"/>
      <c r="H1744" s="209"/>
      <c r="I1744" s="205"/>
    </row>
    <row r="1745" spans="3:9">
      <c r="C1745" s="205"/>
      <c r="D1745" s="205"/>
      <c r="E1745" s="205"/>
      <c r="F1745" s="205"/>
      <c r="G1745" s="209"/>
      <c r="H1745" s="209"/>
      <c r="I1745" s="205"/>
    </row>
    <row r="1746" spans="3:9">
      <c r="C1746" s="205"/>
      <c r="D1746" s="205"/>
      <c r="E1746" s="205"/>
      <c r="F1746" s="205"/>
      <c r="G1746" s="209"/>
      <c r="H1746" s="209"/>
      <c r="I1746" s="205"/>
    </row>
    <row r="1747" spans="3:9">
      <c r="C1747" s="205"/>
      <c r="D1747" s="205"/>
      <c r="E1747" s="205"/>
      <c r="F1747" s="205"/>
      <c r="G1747" s="209"/>
      <c r="H1747" s="209"/>
      <c r="I1747" s="205"/>
    </row>
    <row r="1748" spans="3:9">
      <c r="C1748" s="205"/>
      <c r="D1748" s="205"/>
      <c r="E1748" s="205"/>
      <c r="F1748" s="205"/>
      <c r="G1748" s="209"/>
      <c r="H1748" s="209"/>
      <c r="I1748" s="205"/>
    </row>
    <row r="1749" spans="3:9">
      <c r="C1749" s="205"/>
      <c r="D1749" s="205"/>
      <c r="E1749" s="205"/>
      <c r="F1749" s="205"/>
      <c r="G1749" s="209"/>
      <c r="H1749" s="209"/>
      <c r="I1749" s="205"/>
    </row>
    <row r="1750" spans="3:9">
      <c r="C1750" s="205"/>
      <c r="D1750" s="205"/>
      <c r="E1750" s="205"/>
      <c r="F1750" s="205"/>
      <c r="G1750" s="209"/>
      <c r="H1750" s="209"/>
      <c r="I1750" s="205"/>
    </row>
    <row r="1751" spans="3:9">
      <c r="C1751" s="205"/>
      <c r="D1751" s="205"/>
      <c r="E1751" s="205"/>
      <c r="F1751" s="205"/>
      <c r="G1751" s="209"/>
      <c r="H1751" s="209"/>
      <c r="I1751" s="205"/>
    </row>
    <row r="1752" spans="3:9">
      <c r="C1752" s="205"/>
      <c r="D1752" s="205"/>
      <c r="E1752" s="205"/>
      <c r="F1752" s="205"/>
      <c r="G1752" s="209"/>
      <c r="H1752" s="209"/>
      <c r="I1752" s="205"/>
    </row>
    <row r="1753" spans="3:9">
      <c r="C1753" s="205"/>
      <c r="D1753" s="205"/>
      <c r="E1753" s="205"/>
      <c r="F1753" s="205"/>
      <c r="G1753" s="209"/>
      <c r="H1753" s="209"/>
      <c r="I1753" s="205"/>
    </row>
    <row r="1754" spans="3:9">
      <c r="C1754" s="205"/>
      <c r="D1754" s="205"/>
      <c r="E1754" s="205"/>
      <c r="F1754" s="205"/>
      <c r="G1754" s="209"/>
      <c r="H1754" s="209"/>
      <c r="I1754" s="205"/>
    </row>
    <row r="1755" spans="3:9">
      <c r="C1755" s="205"/>
      <c r="D1755" s="205"/>
      <c r="E1755" s="205"/>
      <c r="F1755" s="205"/>
      <c r="G1755" s="209"/>
      <c r="H1755" s="209"/>
      <c r="I1755" s="205"/>
    </row>
    <row r="1756" spans="3:9">
      <c r="C1756" s="205"/>
      <c r="D1756" s="205"/>
      <c r="E1756" s="205"/>
      <c r="F1756" s="205"/>
      <c r="G1756" s="209"/>
      <c r="H1756" s="209"/>
      <c r="I1756" s="205"/>
    </row>
    <row r="1757" spans="3:9">
      <c r="C1757" s="205"/>
      <c r="D1757" s="205"/>
      <c r="E1757" s="205"/>
      <c r="F1757" s="205"/>
      <c r="G1757" s="209"/>
      <c r="H1757" s="209"/>
      <c r="I1757" s="205"/>
    </row>
    <row r="1758" spans="3:9">
      <c r="C1758" s="205"/>
      <c r="D1758" s="205"/>
      <c r="E1758" s="205"/>
      <c r="F1758" s="205"/>
      <c r="G1758" s="209"/>
      <c r="H1758" s="209"/>
      <c r="I1758" s="205"/>
    </row>
    <row r="1759" spans="3:9">
      <c r="C1759" s="205"/>
      <c r="D1759" s="205"/>
      <c r="E1759" s="205"/>
      <c r="F1759" s="205"/>
      <c r="G1759" s="209"/>
      <c r="H1759" s="209"/>
      <c r="I1759" s="205"/>
    </row>
    <row r="1760" spans="3:9">
      <c r="C1760" s="205"/>
      <c r="D1760" s="205"/>
      <c r="E1760" s="205"/>
      <c r="F1760" s="205"/>
      <c r="G1760" s="209"/>
      <c r="H1760" s="209"/>
      <c r="I1760" s="205"/>
    </row>
    <row r="1761" spans="3:9">
      <c r="C1761" s="205"/>
      <c r="D1761" s="205"/>
      <c r="E1761" s="205"/>
      <c r="F1761" s="205"/>
      <c r="G1761" s="209"/>
      <c r="H1761" s="209"/>
      <c r="I1761" s="205"/>
    </row>
    <row r="1762" spans="3:9">
      <c r="C1762" s="205"/>
      <c r="D1762" s="205"/>
      <c r="E1762" s="205"/>
      <c r="F1762" s="205"/>
      <c r="G1762" s="209"/>
      <c r="H1762" s="209"/>
      <c r="I1762" s="205"/>
    </row>
    <row r="1763" spans="3:9">
      <c r="C1763" s="205"/>
      <c r="D1763" s="205"/>
      <c r="E1763" s="205"/>
      <c r="F1763" s="205"/>
      <c r="G1763" s="209"/>
      <c r="H1763" s="209"/>
      <c r="I1763" s="205"/>
    </row>
    <row r="1764" spans="3:9">
      <c r="C1764" s="205"/>
      <c r="D1764" s="205"/>
      <c r="E1764" s="205"/>
      <c r="F1764" s="205"/>
      <c r="G1764" s="209"/>
      <c r="H1764" s="209"/>
      <c r="I1764" s="205"/>
    </row>
    <row r="1765" spans="3:9">
      <c r="C1765" s="205"/>
      <c r="D1765" s="205"/>
      <c r="E1765" s="205"/>
      <c r="F1765" s="205"/>
      <c r="G1765" s="209"/>
      <c r="H1765" s="209"/>
      <c r="I1765" s="205"/>
    </row>
    <row r="1766" spans="3:9">
      <c r="C1766" s="205"/>
      <c r="D1766" s="205"/>
      <c r="E1766" s="205"/>
      <c r="F1766" s="205"/>
      <c r="G1766" s="209"/>
      <c r="H1766" s="209"/>
      <c r="I1766" s="205"/>
    </row>
    <row r="1767" spans="3:9">
      <c r="C1767" s="205"/>
      <c r="D1767" s="205"/>
      <c r="E1767" s="205"/>
      <c r="F1767" s="205"/>
      <c r="G1767" s="209"/>
      <c r="H1767" s="209"/>
      <c r="I1767" s="205"/>
    </row>
    <row r="1768" spans="3:9">
      <c r="C1768" s="205"/>
      <c r="D1768" s="205"/>
      <c r="E1768" s="205"/>
      <c r="F1768" s="205"/>
      <c r="G1768" s="209"/>
      <c r="H1768" s="209"/>
      <c r="I1768" s="205"/>
    </row>
    <row r="1769" spans="3:9">
      <c r="C1769" s="205"/>
      <c r="D1769" s="205"/>
      <c r="E1769" s="205"/>
      <c r="F1769" s="205"/>
      <c r="G1769" s="209"/>
      <c r="H1769" s="209"/>
      <c r="I1769" s="205"/>
    </row>
    <row r="1770" spans="3:9">
      <c r="C1770" s="205"/>
      <c r="D1770" s="205"/>
      <c r="E1770" s="205"/>
      <c r="F1770" s="205"/>
      <c r="G1770" s="209"/>
      <c r="H1770" s="209"/>
      <c r="I1770" s="205"/>
    </row>
    <row r="1771" spans="3:9">
      <c r="C1771" s="205"/>
      <c r="D1771" s="205"/>
      <c r="E1771" s="205"/>
      <c r="F1771" s="205"/>
      <c r="G1771" s="209"/>
      <c r="H1771" s="209"/>
      <c r="I1771" s="205"/>
    </row>
    <row r="1772" spans="3:9">
      <c r="C1772" s="205"/>
      <c r="D1772" s="205"/>
      <c r="E1772" s="205"/>
      <c r="F1772" s="205"/>
      <c r="G1772" s="209"/>
      <c r="H1772" s="209"/>
      <c r="I1772" s="205"/>
    </row>
    <row r="1773" spans="3:9">
      <c r="C1773" s="205"/>
      <c r="D1773" s="205"/>
      <c r="E1773" s="205"/>
      <c r="F1773" s="205"/>
      <c r="G1773" s="209"/>
      <c r="H1773" s="209"/>
      <c r="I1773" s="205"/>
    </row>
    <row r="1774" spans="3:9">
      <c r="C1774" s="205"/>
      <c r="D1774" s="205"/>
      <c r="E1774" s="205"/>
      <c r="F1774" s="205"/>
      <c r="G1774" s="209"/>
      <c r="H1774" s="209"/>
      <c r="I1774" s="205"/>
    </row>
    <row r="1775" spans="3:9">
      <c r="C1775" s="205"/>
      <c r="D1775" s="205"/>
      <c r="E1775" s="205"/>
      <c r="F1775" s="205"/>
      <c r="G1775" s="209"/>
      <c r="H1775" s="209"/>
      <c r="I1775" s="205"/>
    </row>
    <row r="1776" spans="3:9">
      <c r="C1776" s="205"/>
      <c r="D1776" s="205"/>
      <c r="E1776" s="205"/>
      <c r="F1776" s="205"/>
      <c r="G1776" s="209"/>
      <c r="H1776" s="209"/>
      <c r="I1776" s="205"/>
    </row>
    <row r="1777" spans="3:9">
      <c r="C1777" s="205"/>
      <c r="D1777" s="205"/>
      <c r="E1777" s="205"/>
      <c r="F1777" s="205"/>
      <c r="G1777" s="209"/>
      <c r="H1777" s="209"/>
      <c r="I1777" s="205"/>
    </row>
    <row r="1778" spans="3:9">
      <c r="C1778" s="205"/>
      <c r="D1778" s="205"/>
      <c r="E1778" s="205"/>
      <c r="F1778" s="205"/>
      <c r="G1778" s="209"/>
      <c r="H1778" s="209"/>
      <c r="I1778" s="205"/>
    </row>
    <row r="1779" spans="3:9">
      <c r="C1779" s="205"/>
      <c r="D1779" s="205"/>
      <c r="E1779" s="205"/>
      <c r="F1779" s="205"/>
      <c r="G1779" s="209"/>
      <c r="H1779" s="209"/>
      <c r="I1779" s="205"/>
    </row>
    <row r="1780" spans="3:9">
      <c r="C1780" s="205"/>
      <c r="D1780" s="205"/>
      <c r="E1780" s="205"/>
      <c r="F1780" s="205"/>
      <c r="G1780" s="209"/>
      <c r="H1780" s="209"/>
      <c r="I1780" s="205"/>
    </row>
    <row r="1781" spans="3:9">
      <c r="C1781" s="205"/>
      <c r="D1781" s="205"/>
      <c r="E1781" s="205"/>
      <c r="F1781" s="205"/>
      <c r="G1781" s="209"/>
      <c r="H1781" s="209"/>
      <c r="I1781" s="205"/>
    </row>
    <row r="1782" spans="3:9">
      <c r="C1782" s="205"/>
      <c r="D1782" s="205"/>
      <c r="E1782" s="205"/>
      <c r="F1782" s="205"/>
      <c r="G1782" s="209"/>
      <c r="H1782" s="209"/>
      <c r="I1782" s="205"/>
    </row>
    <row r="1783" spans="3:9">
      <c r="C1783" s="205"/>
      <c r="D1783" s="205"/>
      <c r="E1783" s="205"/>
      <c r="F1783" s="205"/>
      <c r="G1783" s="209"/>
      <c r="H1783" s="209"/>
      <c r="I1783" s="205"/>
    </row>
    <row r="1784" spans="3:9">
      <c r="C1784" s="205"/>
      <c r="D1784" s="205"/>
      <c r="E1784" s="205"/>
      <c r="F1784" s="205"/>
      <c r="G1784" s="209"/>
      <c r="H1784" s="209"/>
      <c r="I1784" s="205"/>
    </row>
    <row r="1785" spans="3:9">
      <c r="C1785" s="205"/>
      <c r="D1785" s="205"/>
      <c r="E1785" s="205"/>
      <c r="F1785" s="205"/>
      <c r="G1785" s="209"/>
      <c r="H1785" s="209"/>
      <c r="I1785" s="205"/>
    </row>
    <row r="1786" spans="3:9">
      <c r="C1786" s="205"/>
      <c r="D1786" s="205"/>
      <c r="E1786" s="205"/>
      <c r="F1786" s="205"/>
      <c r="G1786" s="209"/>
      <c r="H1786" s="209"/>
      <c r="I1786" s="205"/>
    </row>
    <row r="1787" spans="3:9">
      <c r="C1787" s="205"/>
      <c r="D1787" s="205"/>
      <c r="E1787" s="205"/>
      <c r="F1787" s="205"/>
      <c r="G1787" s="209"/>
      <c r="H1787" s="209"/>
      <c r="I1787" s="205"/>
    </row>
    <row r="1788" spans="3:9">
      <c r="C1788" s="205"/>
      <c r="D1788" s="205"/>
      <c r="E1788" s="205"/>
      <c r="F1788" s="205"/>
      <c r="G1788" s="209"/>
      <c r="H1788" s="209"/>
      <c r="I1788" s="205"/>
    </row>
    <row r="1789" spans="3:9">
      <c r="C1789" s="205"/>
      <c r="D1789" s="205"/>
      <c r="E1789" s="205"/>
      <c r="F1789" s="205"/>
      <c r="G1789" s="209"/>
      <c r="H1789" s="209"/>
      <c r="I1789" s="205"/>
    </row>
    <row r="1790" spans="3:9">
      <c r="C1790" s="205"/>
      <c r="D1790" s="205"/>
      <c r="E1790" s="205"/>
      <c r="F1790" s="205"/>
      <c r="G1790" s="209"/>
      <c r="H1790" s="209"/>
      <c r="I1790" s="205"/>
    </row>
    <row r="1791" spans="3:9">
      <c r="C1791" s="205"/>
      <c r="D1791" s="205"/>
      <c r="E1791" s="205"/>
      <c r="F1791" s="205"/>
      <c r="G1791" s="209"/>
      <c r="H1791" s="209"/>
      <c r="I1791" s="205"/>
    </row>
    <row r="1792" spans="3:9">
      <c r="C1792" s="205"/>
      <c r="D1792" s="205"/>
      <c r="E1792" s="205"/>
      <c r="F1792" s="205"/>
      <c r="G1792" s="209"/>
      <c r="H1792" s="209"/>
      <c r="I1792" s="205"/>
    </row>
    <row r="1793" spans="3:9">
      <c r="C1793" s="205"/>
      <c r="D1793" s="205"/>
      <c r="E1793" s="205"/>
      <c r="F1793" s="205"/>
      <c r="G1793" s="209"/>
      <c r="H1793" s="209"/>
      <c r="I1793" s="205"/>
    </row>
    <row r="1794" spans="3:9">
      <c r="C1794" s="205"/>
      <c r="D1794" s="205"/>
      <c r="E1794" s="205"/>
      <c r="F1794" s="205"/>
      <c r="G1794" s="209"/>
      <c r="H1794" s="209"/>
      <c r="I1794" s="205"/>
    </row>
    <row r="1795" spans="3:9">
      <c r="C1795" s="205"/>
      <c r="D1795" s="205"/>
      <c r="E1795" s="205"/>
      <c r="F1795" s="205"/>
      <c r="G1795" s="209"/>
      <c r="H1795" s="209"/>
      <c r="I1795" s="205"/>
    </row>
    <row r="1796" spans="3:9">
      <c r="C1796" s="205"/>
      <c r="D1796" s="205"/>
      <c r="E1796" s="205"/>
      <c r="F1796" s="205"/>
      <c r="G1796" s="209"/>
      <c r="H1796" s="209"/>
      <c r="I1796" s="205"/>
    </row>
    <row r="1797" spans="3:9">
      <c r="C1797" s="205"/>
      <c r="D1797" s="205"/>
      <c r="E1797" s="205"/>
      <c r="F1797" s="205"/>
      <c r="G1797" s="209"/>
      <c r="H1797" s="209"/>
      <c r="I1797" s="205"/>
    </row>
    <row r="1798" spans="3:9">
      <c r="C1798" s="205"/>
      <c r="D1798" s="205"/>
      <c r="E1798" s="205"/>
      <c r="F1798" s="205"/>
      <c r="G1798" s="209"/>
      <c r="H1798" s="209"/>
      <c r="I1798" s="205"/>
    </row>
    <row r="1799" spans="3:9">
      <c r="C1799" s="205"/>
      <c r="D1799" s="205"/>
      <c r="E1799" s="205"/>
      <c r="F1799" s="205"/>
      <c r="G1799" s="209"/>
      <c r="H1799" s="209"/>
      <c r="I1799" s="205"/>
    </row>
    <row r="1800" spans="3:9">
      <c r="C1800" s="205"/>
      <c r="D1800" s="205"/>
      <c r="E1800" s="205"/>
      <c r="F1800" s="205"/>
      <c r="G1800" s="209"/>
      <c r="H1800" s="209"/>
      <c r="I1800" s="205"/>
    </row>
    <row r="1801" spans="3:9">
      <c r="C1801" s="205"/>
      <c r="D1801" s="205"/>
      <c r="E1801" s="205"/>
      <c r="F1801" s="205"/>
      <c r="G1801" s="209"/>
      <c r="H1801" s="209"/>
      <c r="I1801" s="205"/>
    </row>
    <row r="1802" spans="3:9">
      <c r="C1802" s="205"/>
      <c r="D1802" s="205"/>
      <c r="E1802" s="205"/>
      <c r="F1802" s="205"/>
      <c r="G1802" s="209"/>
      <c r="H1802" s="209"/>
      <c r="I1802" s="205"/>
    </row>
    <row r="1803" spans="3:9">
      <c r="C1803" s="205"/>
      <c r="D1803" s="205"/>
      <c r="E1803" s="205"/>
      <c r="F1803" s="205"/>
      <c r="G1803" s="209"/>
      <c r="H1803" s="209"/>
      <c r="I1803" s="205"/>
    </row>
    <row r="1804" spans="3:9">
      <c r="C1804" s="205"/>
      <c r="D1804" s="205"/>
      <c r="E1804" s="205"/>
      <c r="F1804" s="205"/>
      <c r="G1804" s="209"/>
      <c r="H1804" s="209"/>
      <c r="I1804" s="205"/>
    </row>
    <row r="1805" spans="3:9">
      <c r="C1805" s="205"/>
      <c r="D1805" s="205"/>
      <c r="E1805" s="205"/>
      <c r="F1805" s="205"/>
      <c r="G1805" s="209"/>
      <c r="H1805" s="209"/>
      <c r="I1805" s="205"/>
    </row>
    <row r="1806" spans="3:9">
      <c r="C1806" s="205"/>
      <c r="D1806" s="205"/>
      <c r="E1806" s="205"/>
      <c r="F1806" s="205"/>
      <c r="G1806" s="209"/>
      <c r="H1806" s="209"/>
      <c r="I1806" s="205"/>
    </row>
    <row r="1807" spans="3:9">
      <c r="C1807" s="205"/>
      <c r="D1807" s="205"/>
      <c r="E1807" s="205"/>
      <c r="F1807" s="205"/>
      <c r="G1807" s="209"/>
      <c r="H1807" s="209"/>
      <c r="I1807" s="205"/>
    </row>
    <row r="1808" spans="3:9">
      <c r="C1808" s="205"/>
      <c r="D1808" s="205"/>
      <c r="E1808" s="205"/>
      <c r="F1808" s="205"/>
      <c r="G1808" s="209"/>
      <c r="H1808" s="209"/>
      <c r="I1808" s="205"/>
    </row>
    <row r="1809" spans="3:9">
      <c r="C1809" s="205"/>
      <c r="D1809" s="205"/>
      <c r="E1809" s="205"/>
      <c r="F1809" s="205"/>
      <c r="G1809" s="209"/>
      <c r="H1809" s="209"/>
      <c r="I1809" s="205"/>
    </row>
    <row r="1810" spans="3:9">
      <c r="C1810" s="205"/>
      <c r="D1810" s="205"/>
      <c r="E1810" s="205"/>
      <c r="F1810" s="205"/>
      <c r="G1810" s="209"/>
      <c r="H1810" s="209"/>
      <c r="I1810" s="205"/>
    </row>
    <row r="1811" spans="3:9">
      <c r="C1811" s="205"/>
      <c r="D1811" s="205"/>
      <c r="E1811" s="205"/>
      <c r="F1811" s="205"/>
      <c r="G1811" s="209"/>
      <c r="H1811" s="209"/>
      <c r="I1811" s="205"/>
    </row>
    <row r="1812" spans="3:9">
      <c r="C1812" s="205"/>
      <c r="D1812" s="205"/>
      <c r="E1812" s="205"/>
      <c r="F1812" s="205"/>
      <c r="G1812" s="209"/>
      <c r="H1812" s="209"/>
      <c r="I1812" s="205"/>
    </row>
    <row r="1813" spans="3:9">
      <c r="C1813" s="205"/>
      <c r="D1813" s="205"/>
      <c r="E1813" s="205"/>
      <c r="F1813" s="205"/>
      <c r="G1813" s="209"/>
      <c r="H1813" s="209"/>
      <c r="I1813" s="205"/>
    </row>
    <row r="1814" spans="3:9">
      <c r="C1814" s="205"/>
      <c r="D1814" s="205"/>
      <c r="E1814" s="205"/>
      <c r="F1814" s="205"/>
      <c r="G1814" s="209"/>
      <c r="H1814" s="209"/>
      <c r="I1814" s="205"/>
    </row>
    <row r="1815" spans="3:9">
      <c r="C1815" s="205"/>
      <c r="D1815" s="205"/>
      <c r="E1815" s="205"/>
      <c r="F1815" s="205"/>
      <c r="G1815" s="209"/>
      <c r="H1815" s="209"/>
      <c r="I1815" s="205"/>
    </row>
    <row r="1816" spans="3:9">
      <c r="C1816" s="205"/>
      <c r="D1816" s="205"/>
      <c r="E1816" s="205"/>
      <c r="F1816" s="205"/>
      <c r="G1816" s="209"/>
      <c r="H1816" s="209"/>
      <c r="I1816" s="205"/>
    </row>
    <row r="1817" spans="3:9">
      <c r="C1817" s="205"/>
      <c r="D1817" s="205"/>
      <c r="E1817" s="205"/>
      <c r="F1817" s="205"/>
      <c r="G1817" s="209"/>
      <c r="H1817" s="209"/>
      <c r="I1817" s="205"/>
    </row>
    <row r="1818" spans="3:9">
      <c r="C1818" s="205"/>
      <c r="D1818" s="205"/>
      <c r="E1818" s="205"/>
      <c r="F1818" s="205"/>
      <c r="G1818" s="209"/>
      <c r="H1818" s="209"/>
      <c r="I1818" s="205"/>
    </row>
    <row r="1819" spans="3:9">
      <c r="C1819" s="205"/>
      <c r="D1819" s="205"/>
      <c r="E1819" s="205"/>
      <c r="F1819" s="205"/>
      <c r="G1819" s="209"/>
      <c r="H1819" s="209"/>
      <c r="I1819" s="205"/>
    </row>
    <row r="1820" spans="3:9">
      <c r="C1820" s="205"/>
      <c r="D1820" s="205"/>
      <c r="E1820" s="205"/>
      <c r="F1820" s="205"/>
      <c r="G1820" s="209"/>
      <c r="H1820" s="209"/>
      <c r="I1820" s="205"/>
    </row>
    <row r="1821" spans="3:9">
      <c r="C1821" s="205"/>
      <c r="D1821" s="205"/>
      <c r="E1821" s="205"/>
      <c r="F1821" s="205"/>
      <c r="G1821" s="209"/>
      <c r="H1821" s="209"/>
      <c r="I1821" s="205"/>
    </row>
    <row r="1822" spans="3:9">
      <c r="C1822" s="205"/>
      <c r="D1822" s="205"/>
      <c r="E1822" s="205"/>
      <c r="F1822" s="205"/>
      <c r="G1822" s="209"/>
      <c r="H1822" s="209"/>
      <c r="I1822" s="205"/>
    </row>
    <row r="1823" spans="3:9">
      <c r="C1823" s="205"/>
      <c r="D1823" s="205"/>
      <c r="E1823" s="205"/>
      <c r="F1823" s="205"/>
      <c r="G1823" s="209"/>
      <c r="H1823" s="209"/>
      <c r="I1823" s="205"/>
    </row>
    <row r="1824" spans="3:9">
      <c r="C1824" s="205"/>
      <c r="D1824" s="205"/>
      <c r="E1824" s="205"/>
      <c r="F1824" s="205"/>
      <c r="G1824" s="209"/>
      <c r="H1824" s="209"/>
      <c r="I1824" s="205"/>
    </row>
    <row r="1825" spans="3:9">
      <c r="C1825" s="205"/>
      <c r="D1825" s="205"/>
      <c r="E1825" s="205"/>
      <c r="F1825" s="205"/>
      <c r="G1825" s="209"/>
      <c r="H1825" s="209"/>
      <c r="I1825" s="205"/>
    </row>
    <row r="1826" spans="3:9">
      <c r="C1826" s="205"/>
      <c r="D1826" s="205"/>
      <c r="E1826" s="205"/>
      <c r="F1826" s="205"/>
      <c r="G1826" s="209"/>
      <c r="H1826" s="209"/>
      <c r="I1826" s="205"/>
    </row>
    <row r="1827" spans="3:9">
      <c r="C1827" s="205"/>
      <c r="D1827" s="205"/>
      <c r="E1827" s="205"/>
      <c r="F1827" s="205"/>
      <c r="G1827" s="209"/>
      <c r="H1827" s="209"/>
      <c r="I1827" s="205"/>
    </row>
    <row r="1828" spans="3:9">
      <c r="C1828" s="205"/>
      <c r="D1828" s="205"/>
      <c r="E1828" s="205"/>
      <c r="F1828" s="205"/>
      <c r="G1828" s="209"/>
      <c r="H1828" s="209"/>
      <c r="I1828" s="205"/>
    </row>
    <row r="1829" spans="3:9">
      <c r="C1829" s="205"/>
      <c r="D1829" s="205"/>
      <c r="E1829" s="205"/>
      <c r="F1829" s="205"/>
      <c r="G1829" s="209"/>
      <c r="H1829" s="209"/>
      <c r="I1829" s="205"/>
    </row>
    <row r="1830" spans="3:9">
      <c r="C1830" s="205"/>
      <c r="D1830" s="205"/>
      <c r="E1830" s="205"/>
      <c r="F1830" s="205"/>
      <c r="G1830" s="209"/>
      <c r="H1830" s="209"/>
      <c r="I1830" s="205"/>
    </row>
    <row r="1831" spans="3:9">
      <c r="C1831" s="205"/>
      <c r="D1831" s="205"/>
      <c r="E1831" s="205"/>
      <c r="F1831" s="205"/>
      <c r="G1831" s="209"/>
      <c r="H1831" s="209"/>
      <c r="I1831" s="205"/>
    </row>
    <row r="1832" spans="3:9">
      <c r="C1832" s="205"/>
      <c r="D1832" s="205"/>
      <c r="E1832" s="205"/>
      <c r="F1832" s="205"/>
      <c r="G1832" s="209"/>
      <c r="H1832" s="209"/>
      <c r="I1832" s="205"/>
    </row>
    <row r="1833" spans="3:9">
      <c r="C1833" s="205"/>
      <c r="D1833" s="205"/>
      <c r="E1833" s="205"/>
      <c r="F1833" s="205"/>
      <c r="G1833" s="209"/>
      <c r="H1833" s="209"/>
      <c r="I1833" s="205"/>
    </row>
    <row r="1834" spans="3:9">
      <c r="C1834" s="205"/>
      <c r="D1834" s="205"/>
      <c r="E1834" s="205"/>
      <c r="F1834" s="205"/>
      <c r="G1834" s="209"/>
      <c r="H1834" s="209"/>
      <c r="I1834" s="205"/>
    </row>
    <row r="1835" spans="3:9">
      <c r="C1835" s="205"/>
      <c r="D1835" s="205"/>
      <c r="E1835" s="205"/>
      <c r="F1835" s="205"/>
      <c r="G1835" s="209"/>
      <c r="H1835" s="209"/>
      <c r="I1835" s="205"/>
    </row>
    <row r="1836" spans="3:9">
      <c r="C1836" s="205"/>
      <c r="D1836" s="205"/>
      <c r="E1836" s="205"/>
      <c r="F1836" s="205"/>
      <c r="G1836" s="209"/>
      <c r="H1836" s="209"/>
      <c r="I1836" s="205"/>
    </row>
    <row r="1837" spans="3:9">
      <c r="C1837" s="205"/>
      <c r="D1837" s="205"/>
      <c r="E1837" s="205"/>
      <c r="F1837" s="205"/>
      <c r="G1837" s="209"/>
      <c r="H1837" s="209"/>
      <c r="I1837" s="205"/>
    </row>
    <row r="1838" spans="3:9">
      <c r="C1838" s="205"/>
      <c r="D1838" s="205"/>
      <c r="E1838" s="205"/>
      <c r="F1838" s="205"/>
      <c r="G1838" s="209"/>
      <c r="H1838" s="209"/>
      <c r="I1838" s="205"/>
    </row>
    <row r="1839" spans="3:9">
      <c r="C1839" s="205"/>
      <c r="D1839" s="205"/>
      <c r="E1839" s="205"/>
      <c r="F1839" s="205"/>
      <c r="G1839" s="209"/>
      <c r="H1839" s="209"/>
      <c r="I1839" s="205"/>
    </row>
    <row r="1840" spans="3:9">
      <c r="C1840" s="205"/>
      <c r="D1840" s="205"/>
      <c r="E1840" s="205"/>
      <c r="F1840" s="205"/>
      <c r="G1840" s="209"/>
      <c r="H1840" s="209"/>
      <c r="I1840" s="205"/>
    </row>
    <row r="1841" spans="3:9">
      <c r="C1841" s="205"/>
      <c r="D1841" s="205"/>
      <c r="E1841" s="205"/>
      <c r="F1841" s="205"/>
      <c r="G1841" s="209"/>
      <c r="H1841" s="209"/>
      <c r="I1841" s="205"/>
    </row>
    <row r="1842" spans="3:9">
      <c r="C1842" s="205"/>
      <c r="D1842" s="205"/>
      <c r="E1842" s="205"/>
      <c r="F1842" s="205"/>
      <c r="G1842" s="209"/>
      <c r="H1842" s="209"/>
      <c r="I1842" s="205"/>
    </row>
    <row r="1843" spans="3:9">
      <c r="C1843" s="205"/>
      <c r="D1843" s="205"/>
      <c r="E1843" s="205"/>
      <c r="F1843" s="205"/>
      <c r="G1843" s="209"/>
      <c r="H1843" s="209"/>
      <c r="I1843" s="205"/>
    </row>
    <row r="1844" spans="3:9">
      <c r="C1844" s="205"/>
      <c r="D1844" s="205"/>
      <c r="E1844" s="205"/>
      <c r="F1844" s="205"/>
      <c r="G1844" s="209"/>
      <c r="H1844" s="209"/>
      <c r="I1844" s="205"/>
    </row>
    <row r="1845" spans="3:9">
      <c r="C1845" s="205"/>
      <c r="D1845" s="205"/>
      <c r="E1845" s="205"/>
      <c r="F1845" s="205"/>
      <c r="G1845" s="209"/>
      <c r="H1845" s="209"/>
      <c r="I1845" s="205"/>
    </row>
    <row r="1846" spans="3:9">
      <c r="C1846" s="205"/>
      <c r="D1846" s="205"/>
      <c r="E1846" s="205"/>
      <c r="F1846" s="205"/>
      <c r="G1846" s="209"/>
      <c r="H1846" s="209"/>
      <c r="I1846" s="205"/>
    </row>
    <row r="1847" spans="3:9">
      <c r="C1847" s="205"/>
      <c r="D1847" s="205"/>
      <c r="E1847" s="205"/>
      <c r="F1847" s="205"/>
      <c r="G1847" s="209"/>
      <c r="H1847" s="209"/>
      <c r="I1847" s="205"/>
    </row>
    <row r="1848" spans="3:9">
      <c r="C1848" s="205"/>
      <c r="D1848" s="205"/>
      <c r="E1848" s="205"/>
      <c r="F1848" s="205"/>
      <c r="G1848" s="209"/>
      <c r="H1848" s="209"/>
      <c r="I1848" s="205"/>
    </row>
    <row r="1849" spans="3:9">
      <c r="C1849" s="205"/>
      <c r="D1849" s="205"/>
      <c r="E1849" s="205"/>
      <c r="F1849" s="205"/>
      <c r="G1849" s="209"/>
      <c r="H1849" s="209"/>
      <c r="I1849" s="205"/>
    </row>
    <row r="1850" spans="3:9">
      <c r="C1850" s="205"/>
      <c r="D1850" s="205"/>
      <c r="E1850" s="205"/>
      <c r="F1850" s="205"/>
      <c r="G1850" s="209"/>
      <c r="H1850" s="209"/>
      <c r="I1850" s="205"/>
    </row>
    <row r="1851" spans="3:9">
      <c r="C1851" s="205"/>
      <c r="D1851" s="205"/>
      <c r="E1851" s="205"/>
      <c r="F1851" s="205"/>
      <c r="G1851" s="209"/>
      <c r="H1851" s="209"/>
      <c r="I1851" s="205"/>
    </row>
    <row r="1852" spans="3:9">
      <c r="C1852" s="205"/>
      <c r="D1852" s="205"/>
      <c r="E1852" s="205"/>
      <c r="F1852" s="205"/>
      <c r="G1852" s="209"/>
      <c r="H1852" s="209"/>
      <c r="I1852" s="205"/>
    </row>
    <row r="1853" spans="3:9">
      <c r="C1853" s="205"/>
      <c r="D1853" s="205"/>
      <c r="E1853" s="205"/>
      <c r="F1853" s="205"/>
      <c r="G1853" s="209"/>
      <c r="H1853" s="209"/>
      <c r="I1853" s="205"/>
    </row>
    <row r="1854" spans="3:9">
      <c r="C1854" s="205"/>
      <c r="D1854" s="205"/>
      <c r="E1854" s="205"/>
      <c r="F1854" s="205"/>
      <c r="G1854" s="209"/>
      <c r="H1854" s="209"/>
      <c r="I1854" s="205"/>
    </row>
    <row r="1855" spans="3:9">
      <c r="C1855" s="205"/>
      <c r="D1855" s="205"/>
      <c r="E1855" s="205"/>
      <c r="F1855" s="205"/>
      <c r="G1855" s="209"/>
      <c r="H1855" s="209"/>
      <c r="I1855" s="205"/>
    </row>
    <row r="1856" spans="3:9">
      <c r="C1856" s="205"/>
      <c r="D1856" s="205"/>
      <c r="E1856" s="205"/>
      <c r="F1856" s="205"/>
      <c r="G1856" s="209"/>
      <c r="H1856" s="209"/>
      <c r="I1856" s="205"/>
    </row>
    <row r="1857" spans="3:9">
      <c r="C1857" s="205"/>
      <c r="D1857" s="205"/>
      <c r="E1857" s="205"/>
      <c r="F1857" s="205"/>
      <c r="G1857" s="209"/>
      <c r="H1857" s="209"/>
      <c r="I1857" s="205"/>
    </row>
    <row r="1858" spans="3:9">
      <c r="C1858" s="205"/>
      <c r="D1858" s="205"/>
      <c r="E1858" s="205"/>
      <c r="F1858" s="205"/>
      <c r="G1858" s="209"/>
      <c r="H1858" s="209"/>
      <c r="I1858" s="205"/>
    </row>
    <row r="1859" spans="3:9">
      <c r="C1859" s="205"/>
      <c r="D1859" s="205"/>
      <c r="E1859" s="205"/>
      <c r="F1859" s="205"/>
      <c r="G1859" s="209"/>
      <c r="H1859" s="209"/>
      <c r="I1859" s="205"/>
    </row>
    <row r="1860" spans="3:9">
      <c r="C1860" s="205"/>
      <c r="D1860" s="205"/>
      <c r="E1860" s="205"/>
      <c r="F1860" s="205"/>
      <c r="G1860" s="209"/>
      <c r="H1860" s="209"/>
      <c r="I1860" s="205"/>
    </row>
    <row r="1861" spans="3:9">
      <c r="C1861" s="205"/>
      <c r="D1861" s="205"/>
      <c r="E1861" s="205"/>
      <c r="F1861" s="205"/>
      <c r="G1861" s="209"/>
      <c r="H1861" s="209"/>
      <c r="I1861" s="205"/>
    </row>
    <row r="1862" spans="3:9">
      <c r="C1862" s="205"/>
      <c r="D1862" s="205"/>
      <c r="E1862" s="205"/>
      <c r="F1862" s="205"/>
      <c r="G1862" s="209"/>
      <c r="H1862" s="209"/>
      <c r="I1862" s="205"/>
    </row>
    <row r="1863" spans="3:9">
      <c r="C1863" s="205"/>
      <c r="D1863" s="205"/>
      <c r="E1863" s="205"/>
      <c r="F1863" s="205"/>
      <c r="G1863" s="209"/>
      <c r="H1863" s="209"/>
      <c r="I1863" s="205"/>
    </row>
    <row r="1864" spans="3:9">
      <c r="C1864" s="205"/>
      <c r="D1864" s="205"/>
      <c r="E1864" s="205"/>
      <c r="F1864" s="205"/>
      <c r="G1864" s="209"/>
      <c r="H1864" s="209"/>
      <c r="I1864" s="205"/>
    </row>
    <row r="1865" spans="3:9">
      <c r="C1865" s="205"/>
      <c r="D1865" s="205"/>
      <c r="E1865" s="205"/>
      <c r="F1865" s="205"/>
      <c r="G1865" s="209"/>
      <c r="H1865" s="209"/>
      <c r="I1865" s="205"/>
    </row>
    <row r="1866" spans="3:9">
      <c r="C1866" s="205"/>
      <c r="D1866" s="205"/>
      <c r="E1866" s="205"/>
      <c r="F1866" s="205"/>
      <c r="G1866" s="209"/>
      <c r="H1866" s="209"/>
      <c r="I1866" s="205"/>
    </row>
    <row r="1867" spans="3:9">
      <c r="C1867" s="205"/>
      <c r="D1867" s="205"/>
      <c r="E1867" s="205"/>
      <c r="F1867" s="205"/>
      <c r="G1867" s="209"/>
      <c r="H1867" s="209"/>
      <c r="I1867" s="205"/>
    </row>
    <row r="1868" spans="3:9">
      <c r="C1868" s="205"/>
      <c r="D1868" s="205"/>
      <c r="E1868" s="205"/>
      <c r="F1868" s="205"/>
      <c r="G1868" s="209"/>
      <c r="H1868" s="209"/>
      <c r="I1868" s="205"/>
    </row>
    <row r="1869" spans="3:9">
      <c r="C1869" s="205"/>
      <c r="D1869" s="205"/>
      <c r="E1869" s="205"/>
      <c r="F1869" s="205"/>
      <c r="G1869" s="209"/>
      <c r="H1869" s="209"/>
      <c r="I1869" s="205"/>
    </row>
    <row r="1870" spans="3:9">
      <c r="C1870" s="205"/>
      <c r="D1870" s="205"/>
      <c r="E1870" s="205"/>
      <c r="F1870" s="205"/>
      <c r="G1870" s="209"/>
      <c r="H1870" s="209"/>
      <c r="I1870" s="205"/>
    </row>
    <row r="1871" spans="3:9">
      <c r="C1871" s="205"/>
      <c r="D1871" s="205"/>
      <c r="E1871" s="205"/>
      <c r="F1871" s="205"/>
      <c r="G1871" s="209"/>
      <c r="H1871" s="209"/>
      <c r="I1871" s="205"/>
    </row>
    <row r="1872" spans="3:9">
      <c r="C1872" s="205"/>
      <c r="D1872" s="205"/>
      <c r="E1872" s="205"/>
      <c r="F1872" s="205"/>
      <c r="G1872" s="209"/>
      <c r="H1872" s="209"/>
      <c r="I1872" s="205"/>
    </row>
    <row r="1873" spans="3:9">
      <c r="C1873" s="205"/>
      <c r="D1873" s="205"/>
      <c r="E1873" s="205"/>
      <c r="F1873" s="205"/>
      <c r="G1873" s="209"/>
      <c r="H1873" s="209"/>
      <c r="I1873" s="205"/>
    </row>
    <row r="1874" spans="3:9">
      <c r="C1874" s="205"/>
      <c r="D1874" s="205"/>
      <c r="E1874" s="205"/>
      <c r="F1874" s="205"/>
      <c r="G1874" s="209"/>
      <c r="H1874" s="209"/>
      <c r="I1874" s="205"/>
    </row>
    <row r="1875" spans="3:9">
      <c r="C1875" s="205"/>
      <c r="D1875" s="205"/>
      <c r="E1875" s="205"/>
      <c r="F1875" s="205"/>
      <c r="G1875" s="209"/>
      <c r="H1875" s="209"/>
      <c r="I1875" s="205"/>
    </row>
    <row r="1876" spans="3:9">
      <c r="C1876" s="205"/>
      <c r="D1876" s="205"/>
      <c r="E1876" s="205"/>
      <c r="F1876" s="205"/>
      <c r="G1876" s="209"/>
      <c r="H1876" s="209"/>
      <c r="I1876" s="205"/>
    </row>
    <row r="1877" spans="3:9">
      <c r="C1877" s="205"/>
      <c r="D1877" s="205"/>
      <c r="E1877" s="205"/>
      <c r="F1877" s="205"/>
      <c r="G1877" s="209"/>
      <c r="H1877" s="209"/>
      <c r="I1877" s="205"/>
    </row>
    <row r="1878" spans="3:9">
      <c r="C1878" s="205"/>
      <c r="D1878" s="205"/>
      <c r="E1878" s="205"/>
      <c r="F1878" s="205"/>
      <c r="G1878" s="209"/>
      <c r="H1878" s="209"/>
      <c r="I1878" s="205"/>
    </row>
    <row r="1879" spans="3:9">
      <c r="C1879" s="205"/>
      <c r="D1879" s="205"/>
      <c r="E1879" s="205"/>
      <c r="F1879" s="205"/>
      <c r="G1879" s="209"/>
      <c r="H1879" s="209"/>
      <c r="I1879" s="205"/>
    </row>
    <row r="1880" spans="3:9">
      <c r="C1880" s="205"/>
      <c r="D1880" s="205"/>
      <c r="E1880" s="205"/>
      <c r="F1880" s="205"/>
      <c r="G1880" s="209"/>
      <c r="H1880" s="209"/>
      <c r="I1880" s="205"/>
    </row>
    <row r="1881" spans="3:9">
      <c r="C1881" s="205"/>
      <c r="D1881" s="205"/>
      <c r="E1881" s="205"/>
      <c r="F1881" s="205"/>
      <c r="G1881" s="209"/>
      <c r="H1881" s="209"/>
      <c r="I1881" s="205"/>
    </row>
    <row r="1882" spans="3:9">
      <c r="C1882" s="205"/>
      <c r="D1882" s="205"/>
      <c r="E1882" s="205"/>
      <c r="F1882" s="205"/>
      <c r="G1882" s="209"/>
      <c r="H1882" s="209"/>
      <c r="I1882" s="205"/>
    </row>
    <row r="1883" spans="3:9">
      <c r="C1883" s="205"/>
      <c r="D1883" s="205"/>
      <c r="E1883" s="205"/>
      <c r="F1883" s="205"/>
      <c r="G1883" s="209"/>
      <c r="H1883" s="209"/>
      <c r="I1883" s="205"/>
    </row>
    <row r="1884" spans="3:9">
      <c r="C1884" s="205"/>
      <c r="D1884" s="205"/>
      <c r="E1884" s="205"/>
      <c r="F1884" s="205"/>
      <c r="G1884" s="209"/>
      <c r="H1884" s="209"/>
      <c r="I1884" s="205"/>
    </row>
    <row r="1885" spans="3:9">
      <c r="C1885" s="205"/>
      <c r="D1885" s="205"/>
      <c r="E1885" s="205"/>
      <c r="F1885" s="205"/>
      <c r="G1885" s="209"/>
      <c r="H1885" s="209"/>
      <c r="I1885" s="205"/>
    </row>
    <row r="1886" spans="3:9">
      <c r="C1886" s="205"/>
      <c r="D1886" s="205"/>
      <c r="E1886" s="205"/>
      <c r="F1886" s="205"/>
      <c r="G1886" s="209"/>
      <c r="H1886" s="209"/>
      <c r="I1886" s="205"/>
    </row>
    <row r="1887" spans="3:9">
      <c r="C1887" s="205"/>
      <c r="D1887" s="205"/>
      <c r="E1887" s="205"/>
      <c r="F1887" s="205"/>
      <c r="G1887" s="209"/>
      <c r="H1887" s="209"/>
      <c r="I1887" s="205"/>
    </row>
    <row r="1888" spans="3:9">
      <c r="C1888" s="205"/>
      <c r="D1888" s="205"/>
      <c r="E1888" s="205"/>
      <c r="F1888" s="205"/>
      <c r="G1888" s="209"/>
      <c r="H1888" s="209"/>
      <c r="I1888" s="205"/>
    </row>
    <row r="1889" spans="3:9">
      <c r="C1889" s="205"/>
      <c r="D1889" s="205"/>
      <c r="E1889" s="205"/>
      <c r="F1889" s="205"/>
      <c r="G1889" s="209"/>
      <c r="H1889" s="209"/>
      <c r="I1889" s="205"/>
    </row>
    <row r="1890" spans="3:9">
      <c r="C1890" s="205"/>
      <c r="D1890" s="205"/>
      <c r="E1890" s="205"/>
      <c r="F1890" s="205"/>
      <c r="G1890" s="209"/>
      <c r="H1890" s="209"/>
      <c r="I1890" s="205"/>
    </row>
    <row r="1891" spans="3:9">
      <c r="C1891" s="205"/>
      <c r="D1891" s="205"/>
      <c r="E1891" s="205"/>
      <c r="F1891" s="205"/>
      <c r="G1891" s="209"/>
      <c r="H1891" s="209"/>
      <c r="I1891" s="205"/>
    </row>
    <row r="1892" spans="3:9">
      <c r="C1892" s="205"/>
      <c r="D1892" s="205"/>
      <c r="E1892" s="205"/>
      <c r="F1892" s="205"/>
      <c r="G1892" s="209"/>
      <c r="H1892" s="209"/>
      <c r="I1892" s="205"/>
    </row>
    <row r="1893" spans="3:9">
      <c r="C1893" s="205"/>
      <c r="D1893" s="205"/>
      <c r="E1893" s="205"/>
      <c r="F1893" s="205"/>
      <c r="G1893" s="209"/>
      <c r="H1893" s="209"/>
      <c r="I1893" s="205"/>
    </row>
    <row r="1894" spans="3:9">
      <c r="C1894" s="205"/>
      <c r="D1894" s="205"/>
      <c r="E1894" s="205"/>
      <c r="F1894" s="205"/>
      <c r="G1894" s="209"/>
      <c r="H1894" s="209"/>
      <c r="I1894" s="205"/>
    </row>
    <row r="1895" spans="3:9">
      <c r="C1895" s="205"/>
      <c r="D1895" s="205"/>
      <c r="E1895" s="205"/>
      <c r="F1895" s="205"/>
      <c r="G1895" s="209"/>
      <c r="H1895" s="209"/>
      <c r="I1895" s="205"/>
    </row>
    <row r="1896" spans="3:9">
      <c r="C1896" s="205"/>
      <c r="D1896" s="205"/>
      <c r="E1896" s="205"/>
      <c r="F1896" s="205"/>
      <c r="G1896" s="209"/>
      <c r="H1896" s="209"/>
      <c r="I1896" s="205"/>
    </row>
    <row r="1897" spans="3:9">
      <c r="C1897" s="205"/>
      <c r="D1897" s="205"/>
      <c r="E1897" s="205"/>
      <c r="F1897" s="205"/>
      <c r="G1897" s="209"/>
      <c r="H1897" s="209"/>
      <c r="I1897" s="205"/>
    </row>
    <row r="1898" spans="3:9">
      <c r="C1898" s="205"/>
      <c r="D1898" s="205"/>
      <c r="E1898" s="205"/>
      <c r="F1898" s="205"/>
      <c r="G1898" s="209"/>
      <c r="H1898" s="209"/>
      <c r="I1898" s="205"/>
    </row>
    <row r="1899" spans="3:9">
      <c r="C1899" s="205"/>
      <c r="D1899" s="205"/>
      <c r="E1899" s="205"/>
      <c r="F1899" s="205"/>
      <c r="G1899" s="209"/>
      <c r="H1899" s="209"/>
      <c r="I1899" s="205"/>
    </row>
    <row r="1900" spans="3:9">
      <c r="C1900" s="205"/>
      <c r="D1900" s="205"/>
      <c r="E1900" s="205"/>
      <c r="F1900" s="205"/>
      <c r="G1900" s="209"/>
      <c r="H1900" s="209"/>
      <c r="I1900" s="205"/>
    </row>
    <row r="1901" spans="3:9">
      <c r="C1901" s="205"/>
      <c r="D1901" s="205"/>
      <c r="E1901" s="205"/>
      <c r="F1901" s="205"/>
      <c r="G1901" s="209"/>
      <c r="H1901" s="209"/>
      <c r="I1901" s="205"/>
    </row>
    <row r="1902" spans="3:9">
      <c r="C1902" s="205"/>
      <c r="D1902" s="205"/>
      <c r="E1902" s="205"/>
      <c r="F1902" s="205"/>
      <c r="G1902" s="209"/>
      <c r="H1902" s="209"/>
      <c r="I1902" s="205"/>
    </row>
    <row r="1903" spans="3:9">
      <c r="C1903" s="205"/>
      <c r="D1903" s="205"/>
      <c r="E1903" s="205"/>
      <c r="F1903" s="205"/>
      <c r="G1903" s="209"/>
      <c r="H1903" s="209"/>
      <c r="I1903" s="205"/>
    </row>
    <row r="1904" spans="3:9">
      <c r="C1904" s="205"/>
      <c r="D1904" s="205"/>
      <c r="E1904" s="205"/>
      <c r="F1904" s="205"/>
      <c r="G1904" s="209"/>
      <c r="H1904" s="209"/>
      <c r="I1904" s="205"/>
    </row>
    <row r="1905" spans="3:9">
      <c r="C1905" s="205"/>
      <c r="D1905" s="205"/>
      <c r="E1905" s="205"/>
      <c r="F1905" s="205"/>
      <c r="G1905" s="209"/>
      <c r="H1905" s="209"/>
      <c r="I1905" s="205"/>
    </row>
    <row r="1906" spans="3:9">
      <c r="C1906" s="205"/>
      <c r="D1906" s="205"/>
      <c r="E1906" s="205"/>
      <c r="F1906" s="205"/>
      <c r="G1906" s="209"/>
      <c r="H1906" s="209"/>
      <c r="I1906" s="205"/>
    </row>
    <row r="1907" spans="3:9">
      <c r="C1907" s="205"/>
      <c r="D1907" s="205"/>
      <c r="E1907" s="205"/>
      <c r="F1907" s="205"/>
      <c r="G1907" s="209"/>
      <c r="H1907" s="209"/>
      <c r="I1907" s="205"/>
    </row>
    <row r="1908" spans="3:9">
      <c r="C1908" s="205"/>
      <c r="D1908" s="205"/>
      <c r="E1908" s="205"/>
      <c r="F1908" s="205"/>
      <c r="G1908" s="209"/>
      <c r="H1908" s="209"/>
      <c r="I1908" s="205"/>
    </row>
    <row r="1909" spans="3:9">
      <c r="C1909" s="205"/>
      <c r="D1909" s="205"/>
      <c r="E1909" s="205"/>
      <c r="F1909" s="205"/>
      <c r="G1909" s="209"/>
      <c r="H1909" s="209"/>
      <c r="I1909" s="205"/>
    </row>
    <row r="1910" spans="3:9">
      <c r="C1910" s="205"/>
      <c r="D1910" s="205"/>
      <c r="E1910" s="205"/>
      <c r="F1910" s="205"/>
      <c r="G1910" s="209"/>
      <c r="H1910" s="209"/>
      <c r="I1910" s="205"/>
    </row>
    <row r="1911" spans="3:9">
      <c r="C1911" s="205"/>
      <c r="D1911" s="205"/>
      <c r="E1911" s="205"/>
      <c r="F1911" s="205"/>
      <c r="G1911" s="209"/>
      <c r="H1911" s="209"/>
      <c r="I1911" s="205"/>
    </row>
    <row r="1912" spans="3:9">
      <c r="C1912" s="205"/>
      <c r="D1912" s="205"/>
      <c r="E1912" s="205"/>
      <c r="F1912" s="205"/>
      <c r="G1912" s="209"/>
      <c r="H1912" s="209"/>
      <c r="I1912" s="205"/>
    </row>
    <row r="1913" spans="3:9">
      <c r="C1913" s="205"/>
      <c r="D1913" s="205"/>
      <c r="E1913" s="205"/>
      <c r="F1913" s="205"/>
      <c r="G1913" s="209"/>
      <c r="H1913" s="209"/>
      <c r="I1913" s="205"/>
    </row>
    <row r="1914" spans="3:9">
      <c r="C1914" s="205"/>
      <c r="D1914" s="205"/>
      <c r="E1914" s="205"/>
      <c r="F1914" s="205"/>
      <c r="G1914" s="209"/>
      <c r="H1914" s="209"/>
      <c r="I1914" s="205"/>
    </row>
    <row r="1915" spans="3:9">
      <c r="C1915" s="205"/>
      <c r="D1915" s="205"/>
      <c r="E1915" s="205"/>
      <c r="F1915" s="205"/>
      <c r="G1915" s="209"/>
      <c r="H1915" s="209"/>
      <c r="I1915" s="205"/>
    </row>
    <row r="1916" spans="3:9">
      <c r="C1916" s="205"/>
      <c r="D1916" s="205"/>
      <c r="E1916" s="205"/>
      <c r="F1916" s="205"/>
      <c r="G1916" s="209"/>
      <c r="H1916" s="209"/>
      <c r="I1916" s="205"/>
    </row>
    <row r="1917" spans="3:9">
      <c r="C1917" s="205"/>
      <c r="D1917" s="205"/>
      <c r="E1917" s="205"/>
      <c r="F1917" s="205"/>
      <c r="G1917" s="209"/>
      <c r="H1917" s="209"/>
      <c r="I1917" s="205"/>
    </row>
    <row r="1918" spans="3:9">
      <c r="C1918" s="205"/>
      <c r="D1918" s="205"/>
      <c r="E1918" s="205"/>
      <c r="F1918" s="205"/>
      <c r="G1918" s="209"/>
      <c r="H1918" s="209"/>
      <c r="I1918" s="205"/>
    </row>
    <row r="1919" spans="3:9">
      <c r="C1919" s="205"/>
      <c r="D1919" s="205"/>
      <c r="E1919" s="205"/>
      <c r="F1919" s="205"/>
      <c r="G1919" s="209"/>
      <c r="H1919" s="209"/>
      <c r="I1919" s="205"/>
    </row>
    <row r="1920" spans="3:9">
      <c r="C1920" s="205"/>
      <c r="D1920" s="205"/>
      <c r="E1920" s="205"/>
      <c r="F1920" s="205"/>
      <c r="G1920" s="209"/>
      <c r="H1920" s="209"/>
      <c r="I1920" s="205"/>
    </row>
    <row r="1921" spans="3:9">
      <c r="C1921" s="205"/>
      <c r="D1921" s="205"/>
      <c r="E1921" s="205"/>
      <c r="F1921" s="205"/>
      <c r="G1921" s="209"/>
      <c r="H1921" s="209"/>
      <c r="I1921" s="205"/>
    </row>
    <row r="1922" spans="3:9">
      <c r="C1922" s="205"/>
      <c r="D1922" s="205"/>
      <c r="E1922" s="205"/>
      <c r="F1922" s="205"/>
      <c r="G1922" s="209"/>
      <c r="H1922" s="209"/>
      <c r="I1922" s="205"/>
    </row>
    <row r="1923" spans="3:9">
      <c r="C1923" s="205"/>
      <c r="D1923" s="205"/>
      <c r="E1923" s="205"/>
      <c r="F1923" s="205"/>
      <c r="G1923" s="209"/>
      <c r="H1923" s="209"/>
      <c r="I1923" s="205"/>
    </row>
    <row r="1924" spans="3:9">
      <c r="C1924" s="205"/>
      <c r="D1924" s="205"/>
      <c r="E1924" s="205"/>
      <c r="F1924" s="205"/>
      <c r="G1924" s="209"/>
      <c r="H1924" s="209"/>
      <c r="I1924" s="205"/>
    </row>
    <row r="1925" spans="3:9">
      <c r="C1925" s="205"/>
      <c r="D1925" s="205"/>
      <c r="E1925" s="205"/>
      <c r="F1925" s="205"/>
      <c r="G1925" s="209"/>
      <c r="H1925" s="209"/>
      <c r="I1925" s="205"/>
    </row>
    <row r="1926" spans="3:9">
      <c r="C1926" s="205"/>
      <c r="D1926" s="205"/>
      <c r="E1926" s="205"/>
      <c r="F1926" s="205"/>
      <c r="G1926" s="209"/>
      <c r="H1926" s="209"/>
      <c r="I1926" s="205"/>
    </row>
    <row r="1927" spans="3:9">
      <c r="C1927" s="205"/>
      <c r="D1927" s="205"/>
      <c r="E1927" s="205"/>
      <c r="F1927" s="205"/>
      <c r="G1927" s="209"/>
      <c r="H1927" s="209"/>
      <c r="I1927" s="205"/>
    </row>
    <row r="1928" spans="3:9">
      <c r="C1928" s="205"/>
      <c r="D1928" s="205"/>
      <c r="E1928" s="205"/>
      <c r="F1928" s="205"/>
      <c r="G1928" s="209"/>
      <c r="H1928" s="209"/>
      <c r="I1928" s="205"/>
    </row>
    <row r="1929" spans="3:9">
      <c r="C1929" s="205"/>
      <c r="D1929" s="205"/>
      <c r="E1929" s="205"/>
      <c r="F1929" s="205"/>
      <c r="G1929" s="209"/>
      <c r="H1929" s="209"/>
      <c r="I1929" s="205"/>
    </row>
    <row r="1930" spans="3:9">
      <c r="C1930" s="205"/>
      <c r="D1930" s="205"/>
      <c r="E1930" s="205"/>
      <c r="F1930" s="205"/>
      <c r="G1930" s="209"/>
      <c r="H1930" s="209"/>
      <c r="I1930" s="205"/>
    </row>
    <row r="1931" spans="3:9">
      <c r="C1931" s="205"/>
      <c r="D1931" s="205"/>
      <c r="E1931" s="205"/>
      <c r="F1931" s="205"/>
      <c r="G1931" s="209"/>
      <c r="H1931" s="209"/>
      <c r="I1931" s="205"/>
    </row>
    <row r="1932" spans="3:9">
      <c r="C1932" s="205"/>
      <c r="D1932" s="205"/>
      <c r="E1932" s="205"/>
      <c r="F1932" s="205"/>
      <c r="G1932" s="209"/>
      <c r="H1932" s="209"/>
      <c r="I1932" s="205"/>
    </row>
    <row r="1933" spans="3:9">
      <c r="C1933" s="205"/>
      <c r="D1933" s="205"/>
      <c r="E1933" s="205"/>
      <c r="F1933" s="205"/>
      <c r="G1933" s="209"/>
      <c r="H1933" s="209"/>
      <c r="I1933" s="205"/>
    </row>
    <row r="1934" spans="3:9">
      <c r="C1934" s="205"/>
      <c r="D1934" s="205"/>
      <c r="E1934" s="205"/>
      <c r="F1934" s="205"/>
      <c r="G1934" s="209"/>
      <c r="H1934" s="209"/>
      <c r="I1934" s="205"/>
    </row>
    <row r="1935" spans="3:9">
      <c r="C1935" s="205"/>
      <c r="D1935" s="205"/>
      <c r="E1935" s="205"/>
      <c r="F1935" s="205"/>
      <c r="G1935" s="209"/>
      <c r="H1935" s="209"/>
      <c r="I1935" s="205"/>
    </row>
    <row r="1936" spans="3:9">
      <c r="C1936" s="205"/>
      <c r="D1936" s="205"/>
      <c r="E1936" s="205"/>
      <c r="F1936" s="205"/>
      <c r="G1936" s="209"/>
      <c r="H1936" s="209"/>
      <c r="I1936" s="205"/>
    </row>
    <row r="1937" spans="3:9">
      <c r="C1937" s="205"/>
      <c r="D1937" s="205"/>
      <c r="E1937" s="205"/>
      <c r="F1937" s="205"/>
      <c r="G1937" s="209"/>
      <c r="H1937" s="209"/>
      <c r="I1937" s="205"/>
    </row>
    <row r="1938" spans="3:9">
      <c r="C1938" s="205"/>
      <c r="D1938" s="205"/>
      <c r="E1938" s="205"/>
      <c r="F1938" s="205"/>
      <c r="G1938" s="209"/>
      <c r="H1938" s="209"/>
      <c r="I1938" s="205"/>
    </row>
    <row r="1939" spans="3:9">
      <c r="C1939" s="205"/>
      <c r="D1939" s="205"/>
      <c r="E1939" s="205"/>
      <c r="F1939" s="205"/>
      <c r="G1939" s="209"/>
      <c r="H1939" s="209"/>
      <c r="I1939" s="205"/>
    </row>
    <row r="1940" spans="3:9">
      <c r="C1940" s="205"/>
      <c r="D1940" s="205"/>
      <c r="E1940" s="205"/>
      <c r="F1940" s="205"/>
      <c r="G1940" s="209"/>
      <c r="H1940" s="209"/>
      <c r="I1940" s="205"/>
    </row>
    <row r="1941" spans="3:9">
      <c r="C1941" s="205"/>
      <c r="D1941" s="205"/>
      <c r="E1941" s="205"/>
      <c r="F1941" s="205"/>
      <c r="G1941" s="209"/>
      <c r="H1941" s="209"/>
      <c r="I1941" s="205"/>
    </row>
    <row r="1942" spans="3:9">
      <c r="C1942" s="205"/>
      <c r="D1942" s="205"/>
      <c r="E1942" s="205"/>
      <c r="F1942" s="205"/>
      <c r="G1942" s="209"/>
      <c r="H1942" s="209"/>
      <c r="I1942" s="205"/>
    </row>
    <row r="1943" spans="3:9">
      <c r="C1943" s="205"/>
      <c r="D1943" s="205"/>
      <c r="E1943" s="205"/>
      <c r="F1943" s="205"/>
      <c r="G1943" s="209"/>
      <c r="H1943" s="209"/>
      <c r="I1943" s="205"/>
    </row>
    <row r="1944" spans="3:9">
      <c r="C1944" s="205"/>
      <c r="D1944" s="205"/>
      <c r="E1944" s="205"/>
      <c r="F1944" s="205"/>
      <c r="G1944" s="209"/>
      <c r="H1944" s="209"/>
      <c r="I1944" s="205"/>
    </row>
    <row r="1945" spans="3:9">
      <c r="C1945" s="205"/>
      <c r="D1945" s="205"/>
      <c r="E1945" s="205"/>
      <c r="F1945" s="205"/>
      <c r="G1945" s="209"/>
      <c r="H1945" s="209"/>
      <c r="I1945" s="205"/>
    </row>
    <row r="1946" spans="3:9">
      <c r="C1946" s="205"/>
      <c r="D1946" s="205"/>
      <c r="E1946" s="205"/>
      <c r="F1946" s="205"/>
      <c r="G1946" s="209"/>
      <c r="H1946" s="209"/>
      <c r="I1946" s="205"/>
    </row>
    <row r="1947" spans="3:9">
      <c r="C1947" s="205"/>
      <c r="D1947" s="205"/>
      <c r="E1947" s="205"/>
      <c r="F1947" s="205"/>
      <c r="G1947" s="209"/>
      <c r="H1947" s="209"/>
      <c r="I1947" s="205"/>
    </row>
    <row r="1948" spans="3:9">
      <c r="C1948" s="205"/>
      <c r="D1948" s="205"/>
      <c r="E1948" s="205"/>
      <c r="F1948" s="205"/>
      <c r="G1948" s="209"/>
      <c r="H1948" s="209"/>
      <c r="I1948" s="205"/>
    </row>
    <row r="1949" spans="3:9">
      <c r="C1949" s="205"/>
      <c r="D1949" s="205"/>
      <c r="E1949" s="205"/>
      <c r="F1949" s="205"/>
      <c r="G1949" s="209"/>
      <c r="H1949" s="209"/>
      <c r="I1949" s="205"/>
    </row>
    <row r="1950" spans="3:9">
      <c r="C1950" s="205"/>
      <c r="D1950" s="205"/>
      <c r="E1950" s="205"/>
      <c r="F1950" s="205"/>
      <c r="G1950" s="209"/>
      <c r="H1950" s="209"/>
      <c r="I1950" s="205"/>
    </row>
    <row r="1951" spans="3:9">
      <c r="C1951" s="205"/>
      <c r="D1951" s="205"/>
      <c r="E1951" s="205"/>
      <c r="F1951" s="205"/>
      <c r="G1951" s="209"/>
      <c r="H1951" s="209"/>
      <c r="I1951" s="205"/>
    </row>
    <row r="1952" spans="3:9">
      <c r="C1952" s="205"/>
      <c r="D1952" s="205"/>
      <c r="E1952" s="205"/>
      <c r="F1952" s="205"/>
      <c r="G1952" s="209"/>
      <c r="H1952" s="209"/>
      <c r="I1952" s="205"/>
    </row>
    <row r="1953" spans="3:9">
      <c r="C1953" s="205"/>
      <c r="D1953" s="205"/>
      <c r="E1953" s="205"/>
      <c r="F1953" s="205"/>
      <c r="G1953" s="209"/>
      <c r="H1953" s="209"/>
      <c r="I1953" s="205"/>
    </row>
    <row r="1954" spans="3:9">
      <c r="C1954" s="205"/>
      <c r="D1954" s="205"/>
      <c r="E1954" s="205"/>
      <c r="F1954" s="205"/>
      <c r="G1954" s="209"/>
      <c r="H1954" s="209"/>
      <c r="I1954" s="205"/>
    </row>
    <row r="1955" spans="3:9">
      <c r="C1955" s="205"/>
      <c r="D1955" s="205"/>
      <c r="E1955" s="205"/>
      <c r="F1955" s="205"/>
      <c r="G1955" s="209"/>
      <c r="H1955" s="209"/>
      <c r="I1955" s="205"/>
    </row>
    <row r="1956" spans="3:9">
      <c r="C1956" s="205"/>
      <c r="D1956" s="205"/>
      <c r="E1956" s="205"/>
      <c r="F1956" s="205"/>
      <c r="G1956" s="209"/>
      <c r="H1956" s="209"/>
      <c r="I1956" s="205"/>
    </row>
    <row r="1957" spans="3:9">
      <c r="C1957" s="205"/>
      <c r="D1957" s="205"/>
      <c r="E1957" s="205"/>
      <c r="F1957" s="205"/>
      <c r="G1957" s="209"/>
      <c r="H1957" s="209"/>
      <c r="I1957" s="205"/>
    </row>
    <row r="1958" spans="3:9">
      <c r="C1958" s="205"/>
      <c r="D1958" s="205"/>
      <c r="E1958" s="205"/>
      <c r="F1958" s="205"/>
      <c r="G1958" s="209"/>
      <c r="H1958" s="209"/>
      <c r="I1958" s="205"/>
    </row>
    <row r="1959" spans="3:9">
      <c r="C1959" s="205"/>
      <c r="D1959" s="205"/>
      <c r="E1959" s="205"/>
      <c r="F1959" s="205"/>
      <c r="G1959" s="209"/>
      <c r="H1959" s="209"/>
      <c r="I1959" s="205"/>
    </row>
    <row r="1960" spans="3:9">
      <c r="C1960" s="205"/>
      <c r="D1960" s="205"/>
      <c r="E1960" s="205"/>
      <c r="F1960" s="205"/>
      <c r="G1960" s="209"/>
      <c r="H1960" s="209"/>
      <c r="I1960" s="205"/>
    </row>
    <row r="1961" spans="3:9">
      <c r="C1961" s="205"/>
      <c r="D1961" s="205"/>
      <c r="E1961" s="205"/>
      <c r="F1961" s="205"/>
      <c r="G1961" s="209"/>
      <c r="H1961" s="209"/>
      <c r="I1961" s="205"/>
    </row>
    <row r="1962" spans="3:9">
      <c r="C1962" s="205"/>
      <c r="D1962" s="205"/>
      <c r="E1962" s="205"/>
      <c r="F1962" s="205"/>
      <c r="G1962" s="209"/>
      <c r="H1962" s="209"/>
      <c r="I1962" s="205"/>
    </row>
    <row r="1963" spans="3:9">
      <c r="C1963" s="205"/>
      <c r="D1963" s="205"/>
      <c r="E1963" s="205"/>
      <c r="F1963" s="205"/>
      <c r="G1963" s="209"/>
      <c r="H1963" s="209"/>
      <c r="I1963" s="205"/>
    </row>
    <row r="1964" spans="3:9">
      <c r="C1964" s="205"/>
      <c r="D1964" s="205"/>
      <c r="E1964" s="205"/>
      <c r="F1964" s="205"/>
      <c r="G1964" s="209"/>
      <c r="H1964" s="209"/>
      <c r="I1964" s="205"/>
    </row>
    <row r="1965" spans="3:9">
      <c r="C1965" s="205"/>
      <c r="D1965" s="205"/>
      <c r="E1965" s="205"/>
      <c r="F1965" s="205"/>
      <c r="G1965" s="209"/>
      <c r="H1965" s="209"/>
      <c r="I1965" s="205"/>
    </row>
    <row r="1966" spans="3:9">
      <c r="C1966" s="205"/>
      <c r="D1966" s="205"/>
      <c r="E1966" s="205"/>
      <c r="F1966" s="205"/>
      <c r="G1966" s="209"/>
      <c r="H1966" s="209"/>
      <c r="I1966" s="205"/>
    </row>
    <row r="1967" spans="3:9">
      <c r="C1967" s="205"/>
      <c r="D1967" s="205"/>
      <c r="E1967" s="205"/>
      <c r="F1967" s="205"/>
      <c r="G1967" s="209"/>
      <c r="H1967" s="209"/>
      <c r="I1967" s="205"/>
    </row>
    <row r="1968" spans="3:9">
      <c r="C1968" s="205"/>
      <c r="D1968" s="205"/>
      <c r="E1968" s="205"/>
      <c r="F1968" s="205"/>
      <c r="G1968" s="209"/>
      <c r="H1968" s="209"/>
      <c r="I1968" s="205"/>
    </row>
    <row r="1969" spans="3:9">
      <c r="C1969" s="205"/>
      <c r="D1969" s="205"/>
      <c r="E1969" s="205"/>
      <c r="F1969" s="205"/>
      <c r="G1969" s="209"/>
      <c r="H1969" s="209"/>
      <c r="I1969" s="205"/>
    </row>
    <row r="1970" spans="3:9">
      <c r="C1970" s="205"/>
      <c r="D1970" s="205"/>
      <c r="E1970" s="205"/>
      <c r="F1970" s="205"/>
      <c r="G1970" s="209"/>
      <c r="H1970" s="209"/>
      <c r="I1970" s="205"/>
    </row>
    <row r="1971" spans="3:9">
      <c r="C1971" s="205"/>
      <c r="D1971" s="205"/>
      <c r="E1971" s="205"/>
      <c r="F1971" s="205"/>
      <c r="G1971" s="209"/>
      <c r="H1971" s="209"/>
      <c r="I1971" s="205"/>
    </row>
    <row r="1972" spans="3:9">
      <c r="C1972" s="205"/>
      <c r="D1972" s="205"/>
      <c r="E1972" s="205"/>
      <c r="F1972" s="205"/>
      <c r="G1972" s="209"/>
      <c r="H1972" s="209"/>
      <c r="I1972" s="205"/>
    </row>
    <row r="1973" spans="3:9">
      <c r="C1973" s="205"/>
      <c r="D1973" s="205"/>
      <c r="E1973" s="205"/>
      <c r="F1973" s="205"/>
      <c r="G1973" s="209"/>
      <c r="H1973" s="209"/>
      <c r="I1973" s="205"/>
    </row>
    <row r="1974" spans="3:9">
      <c r="C1974" s="205"/>
      <c r="D1974" s="205"/>
      <c r="E1974" s="205"/>
      <c r="F1974" s="205"/>
      <c r="G1974" s="209"/>
      <c r="H1974" s="209"/>
      <c r="I1974" s="205"/>
    </row>
    <row r="1975" spans="3:9">
      <c r="C1975" s="205"/>
      <c r="D1975" s="205"/>
      <c r="E1975" s="205"/>
      <c r="F1975" s="205"/>
      <c r="G1975" s="209"/>
      <c r="H1975" s="209"/>
      <c r="I1975" s="205"/>
    </row>
    <row r="1976" spans="3:9">
      <c r="C1976" s="205"/>
      <c r="D1976" s="205"/>
      <c r="E1976" s="205"/>
      <c r="F1976" s="205"/>
      <c r="G1976" s="209"/>
      <c r="H1976" s="209"/>
      <c r="I1976" s="205"/>
    </row>
    <row r="1977" spans="3:9">
      <c r="C1977" s="205"/>
      <c r="D1977" s="205"/>
      <c r="E1977" s="205"/>
      <c r="F1977" s="205"/>
      <c r="G1977" s="209"/>
      <c r="H1977" s="209"/>
      <c r="I1977" s="205"/>
    </row>
    <row r="1978" spans="3:9">
      <c r="C1978" s="205"/>
      <c r="D1978" s="205"/>
      <c r="E1978" s="205"/>
      <c r="F1978" s="205"/>
      <c r="G1978" s="209"/>
      <c r="H1978" s="209"/>
      <c r="I1978" s="205"/>
    </row>
    <row r="1979" spans="3:9">
      <c r="C1979" s="205"/>
      <c r="D1979" s="205"/>
      <c r="E1979" s="205"/>
      <c r="F1979" s="205"/>
      <c r="G1979" s="209"/>
      <c r="H1979" s="209"/>
      <c r="I1979" s="205"/>
    </row>
    <row r="1980" spans="3:9">
      <c r="C1980" s="205"/>
      <c r="D1980" s="205"/>
      <c r="E1980" s="205"/>
      <c r="F1980" s="205"/>
      <c r="G1980" s="209"/>
      <c r="H1980" s="209"/>
      <c r="I1980" s="205"/>
    </row>
    <row r="1981" spans="3:9">
      <c r="C1981" s="205"/>
      <c r="D1981" s="205"/>
      <c r="E1981" s="205"/>
      <c r="F1981" s="205"/>
      <c r="G1981" s="209"/>
      <c r="H1981" s="209"/>
      <c r="I1981" s="205"/>
    </row>
    <row r="1982" spans="3:9">
      <c r="C1982" s="205"/>
      <c r="D1982" s="205"/>
      <c r="E1982" s="205"/>
      <c r="F1982" s="205"/>
      <c r="G1982" s="209"/>
      <c r="H1982" s="209"/>
      <c r="I1982" s="205"/>
    </row>
    <row r="1983" spans="3:9">
      <c r="C1983" s="205"/>
      <c r="D1983" s="205"/>
      <c r="E1983" s="205"/>
      <c r="F1983" s="205"/>
      <c r="G1983" s="209"/>
      <c r="H1983" s="209"/>
      <c r="I1983" s="205"/>
    </row>
    <row r="1984" spans="3:9">
      <c r="C1984" s="205"/>
      <c r="D1984" s="205"/>
      <c r="E1984" s="205"/>
      <c r="F1984" s="205"/>
      <c r="G1984" s="209"/>
      <c r="H1984" s="209"/>
      <c r="I1984" s="205"/>
    </row>
    <row r="1985" spans="3:9">
      <c r="C1985" s="205"/>
      <c r="D1985" s="205"/>
      <c r="E1985" s="205"/>
      <c r="F1985" s="205"/>
      <c r="G1985" s="209"/>
      <c r="H1985" s="209"/>
      <c r="I1985" s="205"/>
    </row>
    <row r="1986" spans="3:9">
      <c r="C1986" s="205"/>
      <c r="D1986" s="205"/>
      <c r="E1986" s="205"/>
      <c r="F1986" s="205"/>
      <c r="G1986" s="209"/>
      <c r="H1986" s="209"/>
      <c r="I1986" s="205"/>
    </row>
    <row r="1987" spans="3:9">
      <c r="C1987" s="205"/>
      <c r="D1987" s="205"/>
      <c r="E1987" s="205"/>
      <c r="F1987" s="205"/>
      <c r="G1987" s="209"/>
      <c r="H1987" s="209"/>
      <c r="I1987" s="205"/>
    </row>
    <row r="1988" spans="3:9">
      <c r="C1988" s="205"/>
      <c r="D1988" s="205"/>
      <c r="E1988" s="205"/>
      <c r="F1988" s="205"/>
      <c r="G1988" s="209"/>
      <c r="H1988" s="209"/>
      <c r="I1988" s="205"/>
    </row>
    <row r="1989" spans="3:9">
      <c r="C1989" s="205"/>
      <c r="D1989" s="205"/>
      <c r="E1989" s="205"/>
      <c r="F1989" s="205"/>
      <c r="G1989" s="209"/>
      <c r="H1989" s="209"/>
      <c r="I1989" s="205"/>
    </row>
    <row r="1990" spans="3:9">
      <c r="C1990" s="205"/>
      <c r="D1990" s="205"/>
      <c r="E1990" s="205"/>
      <c r="F1990" s="205"/>
      <c r="G1990" s="209"/>
      <c r="H1990" s="209"/>
      <c r="I1990" s="205"/>
    </row>
    <row r="1991" spans="3:9">
      <c r="C1991" s="205"/>
      <c r="D1991" s="205"/>
      <c r="E1991" s="205"/>
      <c r="F1991" s="205"/>
      <c r="G1991" s="209"/>
      <c r="H1991" s="209"/>
      <c r="I1991" s="205"/>
    </row>
    <row r="1992" spans="3:9">
      <c r="C1992" s="205"/>
      <c r="D1992" s="205"/>
      <c r="E1992" s="205"/>
      <c r="F1992" s="205"/>
      <c r="G1992" s="209"/>
      <c r="H1992" s="209"/>
      <c r="I1992" s="205"/>
    </row>
    <row r="1993" spans="3:9">
      <c r="C1993" s="205"/>
      <c r="D1993" s="205"/>
      <c r="E1993" s="205"/>
      <c r="F1993" s="205"/>
      <c r="G1993" s="209"/>
      <c r="H1993" s="209"/>
      <c r="I1993" s="205"/>
    </row>
    <row r="1994" spans="3:9">
      <c r="C1994" s="205"/>
      <c r="D1994" s="205"/>
      <c r="E1994" s="205"/>
      <c r="F1994" s="205"/>
      <c r="G1994" s="209"/>
      <c r="H1994" s="209"/>
      <c r="I1994" s="205"/>
    </row>
    <row r="1995" spans="3:9">
      <c r="C1995" s="205"/>
      <c r="D1995" s="205"/>
      <c r="E1995" s="205"/>
      <c r="F1995" s="205"/>
      <c r="G1995" s="209"/>
      <c r="H1995" s="209"/>
      <c r="I1995" s="205"/>
    </row>
    <row r="1996" spans="3:9">
      <c r="C1996" s="205"/>
      <c r="D1996" s="205"/>
      <c r="E1996" s="205"/>
      <c r="F1996" s="205"/>
      <c r="G1996" s="209"/>
      <c r="H1996" s="209"/>
      <c r="I1996" s="205"/>
    </row>
    <row r="1997" spans="3:9">
      <c r="C1997" s="205"/>
      <c r="D1997" s="205"/>
      <c r="E1997" s="205"/>
      <c r="F1997" s="205"/>
      <c r="G1997" s="209"/>
      <c r="H1997" s="209"/>
      <c r="I1997" s="205"/>
    </row>
    <row r="1998" spans="3:9">
      <c r="C1998" s="205"/>
      <c r="D1998" s="205"/>
      <c r="E1998" s="205"/>
      <c r="F1998" s="205"/>
      <c r="G1998" s="209"/>
      <c r="H1998" s="209"/>
      <c r="I1998" s="205"/>
    </row>
    <row r="1999" spans="3:9">
      <c r="C1999" s="205"/>
      <c r="D1999" s="205"/>
      <c r="E1999" s="205"/>
      <c r="F1999" s="205"/>
      <c r="G1999" s="209"/>
      <c r="H1999" s="209"/>
      <c r="I1999" s="205"/>
    </row>
    <row r="2000" spans="3:9">
      <c r="C2000" s="205"/>
      <c r="D2000" s="205"/>
      <c r="E2000" s="205"/>
      <c r="F2000" s="205"/>
      <c r="G2000" s="209"/>
      <c r="H2000" s="209"/>
      <c r="I2000" s="205"/>
    </row>
    <row r="2001" spans="3:9">
      <c r="C2001" s="205"/>
      <c r="D2001" s="205"/>
      <c r="E2001" s="205"/>
      <c r="F2001" s="205"/>
      <c r="G2001" s="209"/>
      <c r="H2001" s="209"/>
      <c r="I2001" s="205"/>
    </row>
    <row r="2002" spans="3:9">
      <c r="C2002" s="205"/>
      <c r="D2002" s="205"/>
      <c r="E2002" s="205"/>
      <c r="F2002" s="205"/>
      <c r="G2002" s="209"/>
      <c r="H2002" s="209"/>
      <c r="I2002" s="205"/>
    </row>
    <row r="2003" spans="3:9">
      <c r="C2003" s="205"/>
      <c r="D2003" s="205"/>
      <c r="E2003" s="205"/>
      <c r="F2003" s="205"/>
      <c r="G2003" s="209"/>
      <c r="H2003" s="209"/>
      <c r="I2003" s="205"/>
    </row>
    <row r="2004" spans="3:9">
      <c r="C2004" s="205"/>
      <c r="D2004" s="205"/>
      <c r="E2004" s="205"/>
      <c r="F2004" s="205"/>
      <c r="G2004" s="209"/>
      <c r="H2004" s="209"/>
      <c r="I2004" s="205"/>
    </row>
    <row r="2005" spans="3:9">
      <c r="C2005" s="205"/>
      <c r="D2005" s="205"/>
      <c r="E2005" s="205"/>
      <c r="F2005" s="205"/>
      <c r="G2005" s="209"/>
      <c r="H2005" s="209"/>
      <c r="I2005" s="205"/>
    </row>
    <row r="2006" spans="3:9">
      <c r="C2006" s="205"/>
      <c r="D2006" s="205"/>
      <c r="E2006" s="205"/>
      <c r="F2006" s="205"/>
      <c r="G2006" s="209"/>
      <c r="H2006" s="209"/>
      <c r="I2006" s="205"/>
    </row>
    <row r="2007" spans="3:9">
      <c r="C2007" s="205"/>
      <c r="D2007" s="205"/>
      <c r="E2007" s="205"/>
      <c r="F2007" s="205"/>
      <c r="G2007" s="209"/>
      <c r="H2007" s="209"/>
      <c r="I2007" s="205"/>
    </row>
    <row r="2008" spans="3:9">
      <c r="C2008" s="205"/>
      <c r="D2008" s="205"/>
      <c r="E2008" s="205"/>
      <c r="F2008" s="205"/>
      <c r="G2008" s="209"/>
      <c r="H2008" s="209"/>
      <c r="I2008" s="205"/>
    </row>
    <row r="2009" spans="3:9">
      <c r="C2009" s="205"/>
      <c r="D2009" s="205"/>
      <c r="E2009" s="205"/>
      <c r="F2009" s="205"/>
      <c r="G2009" s="209"/>
      <c r="H2009" s="209"/>
      <c r="I2009" s="205"/>
    </row>
    <row r="2010" spans="3:9">
      <c r="C2010" s="205"/>
      <c r="D2010" s="205"/>
      <c r="E2010" s="205"/>
      <c r="F2010" s="205"/>
      <c r="G2010" s="209"/>
      <c r="H2010" s="209"/>
      <c r="I2010" s="205"/>
    </row>
    <row r="2011" spans="3:9">
      <c r="C2011" s="205"/>
      <c r="D2011" s="205"/>
      <c r="E2011" s="205"/>
      <c r="F2011" s="205"/>
      <c r="G2011" s="209"/>
      <c r="H2011" s="209"/>
      <c r="I2011" s="205"/>
    </row>
    <row r="2012" spans="3:9">
      <c r="C2012" s="205"/>
      <c r="D2012" s="205"/>
      <c r="E2012" s="205"/>
      <c r="F2012" s="205"/>
      <c r="G2012" s="209"/>
      <c r="H2012" s="209"/>
      <c r="I2012" s="205"/>
    </row>
    <row r="2013" spans="3:9">
      <c r="C2013" s="205"/>
      <c r="D2013" s="205"/>
      <c r="E2013" s="205"/>
      <c r="F2013" s="205"/>
      <c r="G2013" s="209"/>
      <c r="H2013" s="209"/>
      <c r="I2013" s="205"/>
    </row>
    <row r="2014" spans="3:9">
      <c r="C2014" s="205"/>
      <c r="D2014" s="205"/>
      <c r="E2014" s="205"/>
      <c r="F2014" s="205"/>
      <c r="G2014" s="209"/>
      <c r="H2014" s="209"/>
      <c r="I2014" s="205"/>
    </row>
    <row r="2015" spans="3:9">
      <c r="C2015" s="205"/>
      <c r="D2015" s="205"/>
      <c r="E2015" s="205"/>
      <c r="F2015" s="205"/>
      <c r="G2015" s="209"/>
      <c r="H2015" s="209"/>
      <c r="I2015" s="205"/>
    </row>
    <row r="2016" spans="3:9">
      <c r="C2016" s="205"/>
      <c r="D2016" s="205"/>
      <c r="E2016" s="205"/>
      <c r="F2016" s="205"/>
      <c r="G2016" s="209"/>
      <c r="H2016" s="209"/>
      <c r="I2016" s="205"/>
    </row>
    <row r="2017" spans="3:9">
      <c r="C2017" s="205"/>
      <c r="D2017" s="205"/>
      <c r="E2017" s="205"/>
      <c r="F2017" s="205"/>
      <c r="G2017" s="209"/>
      <c r="H2017" s="209"/>
      <c r="I2017" s="205"/>
    </row>
    <row r="2018" spans="3:9">
      <c r="C2018" s="205"/>
      <c r="D2018" s="205"/>
      <c r="E2018" s="205"/>
      <c r="F2018" s="205"/>
      <c r="G2018" s="209"/>
      <c r="H2018" s="209"/>
      <c r="I2018" s="205"/>
    </row>
    <row r="2019" spans="3:9">
      <c r="C2019" s="205"/>
      <c r="D2019" s="205"/>
      <c r="E2019" s="205"/>
      <c r="F2019" s="205"/>
      <c r="G2019" s="209"/>
      <c r="H2019" s="209"/>
      <c r="I2019" s="205"/>
    </row>
    <row r="2020" spans="3:9">
      <c r="C2020" s="205"/>
      <c r="D2020" s="205"/>
      <c r="E2020" s="205"/>
      <c r="F2020" s="205"/>
      <c r="G2020" s="209"/>
      <c r="H2020" s="209"/>
      <c r="I2020" s="205"/>
    </row>
    <row r="2021" spans="3:9">
      <c r="C2021" s="205"/>
      <c r="D2021" s="205"/>
      <c r="E2021" s="205"/>
      <c r="F2021" s="205"/>
      <c r="G2021" s="209"/>
      <c r="H2021" s="209"/>
      <c r="I2021" s="205"/>
    </row>
    <row r="2022" spans="3:9">
      <c r="C2022" s="205"/>
      <c r="D2022" s="205"/>
      <c r="E2022" s="205"/>
      <c r="F2022" s="205"/>
      <c r="G2022" s="209"/>
      <c r="H2022" s="209"/>
      <c r="I2022" s="205"/>
    </row>
    <row r="2023" spans="3:9">
      <c r="C2023" s="205"/>
      <c r="D2023" s="205"/>
      <c r="E2023" s="205"/>
      <c r="F2023" s="205"/>
      <c r="G2023" s="209"/>
      <c r="H2023" s="209"/>
      <c r="I2023" s="205"/>
    </row>
    <row r="2024" spans="3:9">
      <c r="C2024" s="205"/>
      <c r="D2024" s="205"/>
      <c r="E2024" s="205"/>
      <c r="F2024" s="205"/>
      <c r="G2024" s="209"/>
      <c r="H2024" s="209"/>
      <c r="I2024" s="205"/>
    </row>
    <row r="2025" spans="3:9">
      <c r="C2025" s="205"/>
      <c r="D2025" s="205"/>
      <c r="E2025" s="205"/>
      <c r="F2025" s="205"/>
      <c r="G2025" s="209"/>
      <c r="H2025" s="209"/>
      <c r="I2025" s="205"/>
    </row>
    <row r="2026" spans="3:9">
      <c r="C2026" s="205"/>
      <c r="D2026" s="205"/>
      <c r="E2026" s="205"/>
      <c r="F2026" s="205"/>
      <c r="G2026" s="209"/>
      <c r="H2026" s="209"/>
      <c r="I2026" s="205"/>
    </row>
    <row r="2027" spans="3:9">
      <c r="C2027" s="205"/>
      <c r="D2027" s="205"/>
      <c r="E2027" s="205"/>
      <c r="F2027" s="205"/>
      <c r="G2027" s="209"/>
      <c r="H2027" s="209"/>
      <c r="I2027" s="205"/>
    </row>
    <row r="2028" spans="3:9">
      <c r="C2028" s="205"/>
      <c r="D2028" s="205"/>
      <c r="E2028" s="205"/>
      <c r="F2028" s="205"/>
      <c r="G2028" s="209"/>
      <c r="H2028" s="209"/>
      <c r="I2028" s="205"/>
    </row>
    <row r="2029" spans="3:9">
      <c r="C2029" s="205"/>
      <c r="D2029" s="205"/>
      <c r="E2029" s="205"/>
      <c r="F2029" s="205"/>
      <c r="G2029" s="209"/>
      <c r="H2029" s="209"/>
      <c r="I2029" s="205"/>
    </row>
    <row r="2030" spans="3:9">
      <c r="C2030" s="205"/>
      <c r="D2030" s="205"/>
      <c r="E2030" s="205"/>
      <c r="F2030" s="205"/>
      <c r="G2030" s="209"/>
      <c r="H2030" s="209"/>
      <c r="I2030" s="205"/>
    </row>
    <row r="2031" spans="3:9">
      <c r="C2031" s="205"/>
      <c r="D2031" s="205"/>
      <c r="E2031" s="205"/>
      <c r="F2031" s="205"/>
      <c r="G2031" s="209"/>
      <c r="H2031" s="209"/>
      <c r="I2031" s="205"/>
    </row>
    <row r="2032" spans="3:9">
      <c r="C2032" s="205"/>
      <c r="D2032" s="205"/>
      <c r="E2032" s="205"/>
      <c r="F2032" s="205"/>
      <c r="G2032" s="209"/>
      <c r="H2032" s="209"/>
      <c r="I2032" s="205"/>
    </row>
    <row r="2033" spans="3:9">
      <c r="C2033" s="205"/>
      <c r="D2033" s="205"/>
      <c r="E2033" s="205"/>
      <c r="F2033" s="205"/>
      <c r="G2033" s="209"/>
      <c r="H2033" s="209"/>
      <c r="I2033" s="205"/>
    </row>
    <row r="2034" spans="3:9">
      <c r="C2034" s="205"/>
      <c r="D2034" s="205"/>
      <c r="E2034" s="205"/>
      <c r="F2034" s="205"/>
      <c r="G2034" s="209"/>
      <c r="H2034" s="209"/>
      <c r="I2034" s="205"/>
    </row>
    <row r="2035" spans="3:9">
      <c r="C2035" s="205"/>
      <c r="D2035" s="205"/>
      <c r="E2035" s="205"/>
      <c r="F2035" s="205"/>
      <c r="G2035" s="209"/>
      <c r="H2035" s="209"/>
      <c r="I2035" s="205"/>
    </row>
    <row r="2036" spans="3:9">
      <c r="C2036" s="205"/>
      <c r="D2036" s="205"/>
      <c r="E2036" s="205"/>
      <c r="F2036" s="205"/>
      <c r="G2036" s="209"/>
      <c r="H2036" s="209"/>
      <c r="I2036" s="205"/>
    </row>
    <row r="2037" spans="3:9">
      <c r="C2037" s="205"/>
      <c r="D2037" s="205"/>
      <c r="E2037" s="205"/>
      <c r="F2037" s="205"/>
      <c r="G2037" s="209"/>
      <c r="H2037" s="209"/>
      <c r="I2037" s="205"/>
    </row>
    <row r="2038" spans="3:9">
      <c r="C2038" s="205"/>
      <c r="D2038" s="205"/>
      <c r="E2038" s="205"/>
      <c r="F2038" s="205"/>
      <c r="G2038" s="209"/>
      <c r="H2038" s="209"/>
      <c r="I2038" s="205"/>
    </row>
    <row r="2039" spans="3:9">
      <c r="C2039" s="205"/>
      <c r="D2039" s="205"/>
      <c r="E2039" s="205"/>
      <c r="F2039" s="205"/>
      <c r="G2039" s="209"/>
      <c r="H2039" s="209"/>
      <c r="I2039" s="205"/>
    </row>
    <row r="2040" spans="3:9">
      <c r="C2040" s="205"/>
      <c r="D2040" s="205"/>
      <c r="E2040" s="205"/>
      <c r="F2040" s="205"/>
      <c r="G2040" s="209"/>
      <c r="H2040" s="209"/>
      <c r="I2040" s="205"/>
    </row>
    <row r="2041" spans="3:9">
      <c r="C2041" s="205"/>
      <c r="D2041" s="205"/>
      <c r="E2041" s="205"/>
      <c r="F2041" s="205"/>
      <c r="G2041" s="209"/>
      <c r="H2041" s="209"/>
      <c r="I2041" s="205"/>
    </row>
    <row r="2042" spans="3:9">
      <c r="C2042" s="205"/>
      <c r="D2042" s="205"/>
      <c r="E2042" s="205"/>
      <c r="F2042" s="205"/>
      <c r="G2042" s="209"/>
      <c r="H2042" s="209"/>
      <c r="I2042" s="205"/>
    </row>
    <row r="2043" spans="3:9">
      <c r="C2043" s="205"/>
      <c r="D2043" s="205"/>
      <c r="E2043" s="205"/>
      <c r="F2043" s="205"/>
      <c r="G2043" s="209"/>
      <c r="H2043" s="209"/>
      <c r="I2043" s="205"/>
    </row>
    <row r="2044" spans="3:9">
      <c r="C2044" s="205"/>
      <c r="D2044" s="205"/>
      <c r="E2044" s="205"/>
      <c r="F2044" s="205"/>
      <c r="G2044" s="209"/>
      <c r="H2044" s="209"/>
      <c r="I2044" s="205"/>
    </row>
    <row r="2045" spans="3:9">
      <c r="C2045" s="205"/>
      <c r="D2045" s="205"/>
      <c r="E2045" s="205"/>
      <c r="F2045" s="205"/>
      <c r="G2045" s="209"/>
      <c r="H2045" s="209"/>
      <c r="I2045" s="205"/>
    </row>
    <row r="2046" spans="3:9">
      <c r="C2046" s="205"/>
      <c r="D2046" s="205"/>
      <c r="E2046" s="205"/>
      <c r="F2046" s="205"/>
      <c r="G2046" s="209"/>
      <c r="H2046" s="209"/>
      <c r="I2046" s="205"/>
    </row>
    <row r="2047" spans="3:9">
      <c r="C2047" s="205"/>
      <c r="D2047" s="205"/>
      <c r="E2047" s="205"/>
      <c r="F2047" s="205"/>
      <c r="G2047" s="209"/>
      <c r="H2047" s="209"/>
      <c r="I2047" s="205"/>
    </row>
    <row r="2048" spans="3:9">
      <c r="C2048" s="205"/>
      <c r="D2048" s="205"/>
      <c r="E2048" s="205"/>
      <c r="F2048" s="205"/>
      <c r="G2048" s="209"/>
      <c r="H2048" s="209"/>
      <c r="I2048" s="205"/>
    </row>
    <row r="2049" spans="3:9">
      <c r="C2049" s="205"/>
      <c r="D2049" s="205"/>
      <c r="E2049" s="205"/>
      <c r="F2049" s="205"/>
      <c r="G2049" s="209"/>
      <c r="H2049" s="209"/>
      <c r="I2049" s="205"/>
    </row>
    <row r="2050" spans="3:9">
      <c r="C2050" s="205"/>
      <c r="D2050" s="205"/>
      <c r="E2050" s="205"/>
      <c r="F2050" s="205"/>
      <c r="G2050" s="209"/>
      <c r="H2050" s="209"/>
      <c r="I2050" s="205"/>
    </row>
    <row r="2051" spans="3:9">
      <c r="C2051" s="205"/>
      <c r="D2051" s="205"/>
      <c r="E2051" s="205"/>
      <c r="F2051" s="205"/>
      <c r="G2051" s="209"/>
      <c r="H2051" s="209"/>
      <c r="I2051" s="205"/>
    </row>
    <row r="2052" spans="3:9">
      <c r="C2052" s="205"/>
      <c r="D2052" s="205"/>
      <c r="E2052" s="205"/>
      <c r="F2052" s="205"/>
      <c r="G2052" s="209"/>
      <c r="H2052" s="209"/>
      <c r="I2052" s="205"/>
    </row>
    <row r="2053" spans="3:9">
      <c r="C2053" s="205"/>
      <c r="D2053" s="205"/>
      <c r="E2053" s="205"/>
      <c r="F2053" s="205"/>
      <c r="G2053" s="209"/>
      <c r="H2053" s="209"/>
      <c r="I2053" s="205"/>
    </row>
    <row r="2054" spans="3:9">
      <c r="C2054" s="205"/>
      <c r="D2054" s="205"/>
      <c r="E2054" s="205"/>
      <c r="F2054" s="205"/>
      <c r="G2054" s="209"/>
      <c r="H2054" s="209"/>
      <c r="I2054" s="205"/>
    </row>
    <row r="2055" spans="3:9">
      <c r="C2055" s="205"/>
      <c r="D2055" s="205"/>
      <c r="E2055" s="205"/>
      <c r="F2055" s="205"/>
      <c r="G2055" s="209"/>
      <c r="H2055" s="209"/>
      <c r="I2055" s="205"/>
    </row>
    <row r="2056" spans="3:9">
      <c r="C2056" s="205"/>
      <c r="D2056" s="205"/>
      <c r="E2056" s="205"/>
      <c r="F2056" s="205"/>
      <c r="G2056" s="209"/>
      <c r="H2056" s="209"/>
      <c r="I2056" s="205"/>
    </row>
    <row r="2057" spans="3:9">
      <c r="C2057" s="205"/>
      <c r="D2057" s="205"/>
      <c r="E2057" s="205"/>
      <c r="F2057" s="205"/>
      <c r="G2057" s="209"/>
      <c r="H2057" s="209"/>
      <c r="I2057" s="205"/>
    </row>
    <row r="2058" spans="3:9">
      <c r="C2058" s="205"/>
      <c r="D2058" s="205"/>
      <c r="E2058" s="205"/>
      <c r="F2058" s="205"/>
      <c r="G2058" s="209"/>
      <c r="H2058" s="209"/>
      <c r="I2058" s="205"/>
    </row>
    <row r="2059" spans="3:9">
      <c r="C2059" s="205"/>
      <c r="D2059" s="205"/>
      <c r="E2059" s="205"/>
      <c r="F2059" s="205"/>
      <c r="G2059" s="209"/>
      <c r="H2059" s="209"/>
      <c r="I2059" s="205"/>
    </row>
    <row r="2060" spans="3:9">
      <c r="C2060" s="205"/>
      <c r="D2060" s="205"/>
      <c r="E2060" s="205"/>
      <c r="F2060" s="205"/>
      <c r="G2060" s="209"/>
      <c r="H2060" s="209"/>
      <c r="I2060" s="205"/>
    </row>
    <row r="2061" spans="3:9">
      <c r="C2061" s="205"/>
      <c r="D2061" s="205"/>
      <c r="E2061" s="205"/>
      <c r="F2061" s="205"/>
      <c r="G2061" s="209"/>
      <c r="H2061" s="209"/>
      <c r="I2061" s="205"/>
    </row>
    <row r="2062" spans="3:9">
      <c r="C2062" s="205"/>
      <c r="D2062" s="205"/>
      <c r="E2062" s="205"/>
      <c r="F2062" s="205"/>
      <c r="G2062" s="209"/>
      <c r="H2062" s="209"/>
      <c r="I2062" s="205"/>
    </row>
    <row r="2063" spans="3:9">
      <c r="C2063" s="205"/>
      <c r="D2063" s="205"/>
      <c r="E2063" s="205"/>
      <c r="F2063" s="205"/>
      <c r="G2063" s="209"/>
      <c r="H2063" s="209"/>
      <c r="I2063" s="205"/>
    </row>
    <row r="2064" spans="3:9">
      <c r="C2064" s="205"/>
      <c r="D2064" s="205"/>
      <c r="E2064" s="205"/>
      <c r="F2064" s="205"/>
      <c r="G2064" s="209"/>
      <c r="H2064" s="209"/>
      <c r="I2064" s="205"/>
    </row>
    <row r="2065" spans="3:9">
      <c r="C2065" s="205"/>
      <c r="D2065" s="205"/>
      <c r="E2065" s="205"/>
      <c r="F2065" s="205"/>
      <c r="G2065" s="209"/>
      <c r="H2065" s="209"/>
      <c r="I2065" s="205"/>
    </row>
    <row r="2066" spans="3:9">
      <c r="C2066" s="205"/>
      <c r="D2066" s="205"/>
      <c r="E2066" s="205"/>
      <c r="F2066" s="205"/>
      <c r="G2066" s="209"/>
      <c r="H2066" s="209"/>
      <c r="I2066" s="205"/>
    </row>
    <row r="2067" spans="3:9">
      <c r="C2067" s="205"/>
      <c r="D2067" s="205"/>
      <c r="E2067" s="205"/>
      <c r="F2067" s="205"/>
      <c r="G2067" s="209"/>
      <c r="H2067" s="209"/>
      <c r="I2067" s="205"/>
    </row>
    <row r="2068" spans="3:9">
      <c r="C2068" s="205"/>
      <c r="D2068" s="205"/>
      <c r="E2068" s="205"/>
      <c r="F2068" s="205"/>
      <c r="G2068" s="209"/>
      <c r="H2068" s="209"/>
      <c r="I2068" s="205"/>
    </row>
    <row r="2069" spans="3:9">
      <c r="C2069" s="205"/>
      <c r="D2069" s="205"/>
      <c r="E2069" s="205"/>
      <c r="F2069" s="205"/>
      <c r="G2069" s="209"/>
      <c r="H2069" s="209"/>
      <c r="I2069" s="205"/>
    </row>
    <row r="2070" spans="3:9">
      <c r="C2070" s="205"/>
      <c r="D2070" s="205"/>
      <c r="E2070" s="205"/>
      <c r="F2070" s="205"/>
      <c r="G2070" s="209"/>
      <c r="H2070" s="209"/>
      <c r="I2070" s="205"/>
    </row>
    <row r="2071" spans="3:9">
      <c r="C2071" s="205"/>
      <c r="D2071" s="205"/>
      <c r="E2071" s="205"/>
      <c r="F2071" s="205"/>
      <c r="G2071" s="209"/>
      <c r="H2071" s="209"/>
      <c r="I2071" s="205"/>
    </row>
    <row r="2072" spans="3:9">
      <c r="C2072" s="205"/>
      <c r="D2072" s="205"/>
      <c r="E2072" s="205"/>
      <c r="F2072" s="205"/>
      <c r="G2072" s="209"/>
      <c r="H2072" s="209"/>
      <c r="I2072" s="205"/>
    </row>
    <row r="2073" spans="3:9">
      <c r="C2073" s="205"/>
      <c r="D2073" s="205"/>
      <c r="E2073" s="205"/>
      <c r="F2073" s="205"/>
      <c r="G2073" s="209"/>
      <c r="H2073" s="209"/>
      <c r="I2073" s="205"/>
    </row>
    <row r="2074" spans="3:9">
      <c r="C2074" s="205"/>
      <c r="D2074" s="205"/>
      <c r="E2074" s="205"/>
      <c r="F2074" s="205"/>
      <c r="G2074" s="209"/>
      <c r="H2074" s="209"/>
      <c r="I2074" s="205"/>
    </row>
    <row r="2075" spans="3:9">
      <c r="C2075" s="205"/>
      <c r="D2075" s="205"/>
      <c r="E2075" s="205"/>
      <c r="F2075" s="205"/>
      <c r="G2075" s="209"/>
      <c r="H2075" s="209"/>
      <c r="I2075" s="205"/>
    </row>
    <row r="2076" spans="3:9">
      <c r="C2076" s="205"/>
      <c r="D2076" s="205"/>
      <c r="E2076" s="205"/>
      <c r="F2076" s="205"/>
      <c r="G2076" s="209"/>
      <c r="H2076" s="209"/>
      <c r="I2076" s="205"/>
    </row>
    <row r="2077" spans="3:9">
      <c r="C2077" s="205"/>
      <c r="D2077" s="205"/>
      <c r="E2077" s="205"/>
      <c r="F2077" s="205"/>
      <c r="G2077" s="209"/>
      <c r="H2077" s="209"/>
      <c r="I2077" s="205"/>
    </row>
    <row r="2078" spans="3:9">
      <c r="C2078" s="205"/>
      <c r="D2078" s="205"/>
      <c r="E2078" s="205"/>
      <c r="F2078" s="205"/>
      <c r="G2078" s="209"/>
      <c r="H2078" s="209"/>
      <c r="I2078" s="205"/>
    </row>
    <row r="2079" spans="3:9">
      <c r="C2079" s="205"/>
      <c r="D2079" s="205"/>
      <c r="E2079" s="205"/>
      <c r="F2079" s="205"/>
      <c r="G2079" s="209"/>
      <c r="H2079" s="209"/>
      <c r="I2079" s="205"/>
    </row>
    <row r="2080" spans="3:9">
      <c r="C2080" s="205"/>
      <c r="D2080" s="205"/>
      <c r="E2080" s="205"/>
      <c r="F2080" s="205"/>
      <c r="G2080" s="209"/>
      <c r="H2080" s="209"/>
      <c r="I2080" s="205"/>
    </row>
    <row r="2081" spans="3:9">
      <c r="C2081" s="205"/>
      <c r="D2081" s="205"/>
      <c r="E2081" s="205"/>
      <c r="F2081" s="205"/>
      <c r="G2081" s="209"/>
      <c r="H2081" s="209"/>
      <c r="I2081" s="205"/>
    </row>
    <row r="2082" spans="3:9">
      <c r="C2082" s="205"/>
      <c r="D2082" s="205"/>
      <c r="E2082" s="205"/>
      <c r="F2082" s="205"/>
      <c r="G2082" s="209"/>
      <c r="H2082" s="209"/>
      <c r="I2082" s="205"/>
    </row>
    <row r="2083" spans="3:9">
      <c r="C2083" s="205"/>
      <c r="D2083" s="205"/>
      <c r="E2083" s="205"/>
      <c r="F2083" s="205"/>
      <c r="G2083" s="209"/>
      <c r="H2083" s="209"/>
      <c r="I2083" s="205"/>
    </row>
    <row r="2084" spans="3:9">
      <c r="C2084" s="205"/>
      <c r="D2084" s="205"/>
      <c r="E2084" s="205"/>
      <c r="F2084" s="205"/>
      <c r="G2084" s="209"/>
      <c r="H2084" s="209"/>
      <c r="I2084" s="205"/>
    </row>
    <row r="2085" spans="3:9">
      <c r="C2085" s="205"/>
      <c r="D2085" s="205"/>
      <c r="E2085" s="205"/>
      <c r="F2085" s="205"/>
      <c r="G2085" s="209"/>
      <c r="H2085" s="209"/>
      <c r="I2085" s="205"/>
    </row>
    <row r="2086" spans="3:9">
      <c r="C2086" s="205"/>
      <c r="D2086" s="205"/>
      <c r="E2086" s="205"/>
      <c r="F2086" s="205"/>
      <c r="G2086" s="209"/>
      <c r="H2086" s="209"/>
      <c r="I2086" s="205"/>
    </row>
    <row r="2087" spans="3:9">
      <c r="C2087" s="205"/>
      <c r="D2087" s="205"/>
      <c r="E2087" s="205"/>
      <c r="F2087" s="205"/>
      <c r="G2087" s="209"/>
      <c r="H2087" s="209"/>
      <c r="I2087" s="205"/>
    </row>
    <row r="2088" spans="3:9">
      <c r="C2088" s="205"/>
      <c r="D2088" s="205"/>
      <c r="E2088" s="205"/>
      <c r="F2088" s="205"/>
      <c r="G2088" s="209"/>
      <c r="H2088" s="209"/>
      <c r="I2088" s="205"/>
    </row>
    <row r="2089" spans="3:9">
      <c r="C2089" s="205"/>
      <c r="D2089" s="205"/>
      <c r="E2089" s="205"/>
      <c r="F2089" s="205"/>
      <c r="G2089" s="209"/>
      <c r="H2089" s="209"/>
      <c r="I2089" s="205"/>
    </row>
    <row r="2090" spans="3:9">
      <c r="C2090" s="205"/>
      <c r="D2090" s="205"/>
      <c r="E2090" s="205"/>
      <c r="F2090" s="205"/>
      <c r="G2090" s="209"/>
      <c r="H2090" s="209"/>
      <c r="I2090" s="205"/>
    </row>
    <row r="2091" spans="3:9">
      <c r="C2091" s="205"/>
      <c r="D2091" s="205"/>
      <c r="E2091" s="205"/>
      <c r="F2091" s="205"/>
      <c r="G2091" s="209"/>
      <c r="H2091" s="209"/>
      <c r="I2091" s="205"/>
    </row>
    <row r="2092" spans="3:9">
      <c r="C2092" s="205"/>
      <c r="D2092" s="205"/>
      <c r="E2092" s="205"/>
      <c r="F2092" s="205"/>
      <c r="G2092" s="209"/>
      <c r="H2092" s="209"/>
      <c r="I2092" s="205"/>
    </row>
    <row r="2093" spans="3:9">
      <c r="C2093" s="205"/>
      <c r="D2093" s="205"/>
      <c r="E2093" s="205"/>
      <c r="F2093" s="205"/>
      <c r="G2093" s="209"/>
      <c r="H2093" s="209"/>
      <c r="I2093" s="205"/>
    </row>
    <row r="2094" spans="3:9">
      <c r="C2094" s="205"/>
      <c r="D2094" s="205"/>
      <c r="E2094" s="205"/>
      <c r="F2094" s="205"/>
      <c r="G2094" s="209"/>
      <c r="H2094" s="209"/>
      <c r="I2094" s="205"/>
    </row>
    <row r="2095" spans="3:9">
      <c r="C2095" s="205"/>
      <c r="D2095" s="205"/>
      <c r="E2095" s="205"/>
      <c r="F2095" s="205"/>
      <c r="G2095" s="209"/>
      <c r="H2095" s="209"/>
      <c r="I2095" s="205"/>
    </row>
    <row r="2096" spans="3:9">
      <c r="C2096" s="205"/>
      <c r="D2096" s="205"/>
      <c r="E2096" s="205"/>
      <c r="F2096" s="205"/>
      <c r="G2096" s="209"/>
      <c r="H2096" s="209"/>
      <c r="I2096" s="205"/>
    </row>
    <row r="2097" spans="3:9">
      <c r="C2097" s="205"/>
      <c r="D2097" s="205"/>
      <c r="E2097" s="205"/>
      <c r="F2097" s="205"/>
      <c r="G2097" s="209"/>
      <c r="H2097" s="209"/>
      <c r="I2097" s="205"/>
    </row>
    <row r="2098" spans="3:9">
      <c r="C2098" s="205"/>
      <c r="D2098" s="205"/>
      <c r="E2098" s="205"/>
      <c r="F2098" s="205"/>
      <c r="G2098" s="209"/>
      <c r="H2098" s="209"/>
      <c r="I2098" s="205"/>
    </row>
    <row r="2099" spans="3:9">
      <c r="C2099" s="205"/>
      <c r="D2099" s="205"/>
      <c r="E2099" s="205"/>
      <c r="F2099" s="205"/>
      <c r="G2099" s="209"/>
      <c r="H2099" s="209"/>
      <c r="I2099" s="205"/>
    </row>
    <row r="2100" spans="3:9">
      <c r="C2100" s="205"/>
      <c r="D2100" s="205"/>
      <c r="E2100" s="205"/>
      <c r="F2100" s="205"/>
      <c r="G2100" s="209"/>
      <c r="H2100" s="209"/>
      <c r="I2100" s="205"/>
    </row>
    <row r="2101" spans="3:9">
      <c r="C2101" s="205"/>
      <c r="D2101" s="205"/>
      <c r="E2101" s="205"/>
      <c r="F2101" s="205"/>
      <c r="G2101" s="209"/>
      <c r="H2101" s="209"/>
      <c r="I2101" s="205"/>
    </row>
    <row r="2102" spans="3:9">
      <c r="C2102" s="205"/>
      <c r="D2102" s="205"/>
      <c r="E2102" s="205"/>
      <c r="F2102" s="205"/>
      <c r="G2102" s="209"/>
      <c r="H2102" s="209"/>
      <c r="I2102" s="205"/>
    </row>
    <row r="2103" spans="3:9">
      <c r="C2103" s="205"/>
      <c r="D2103" s="205"/>
      <c r="E2103" s="205"/>
      <c r="F2103" s="205"/>
      <c r="G2103" s="209"/>
      <c r="H2103" s="209"/>
      <c r="I2103" s="205"/>
    </row>
    <row r="2104" spans="3:9">
      <c r="C2104" s="205"/>
      <c r="D2104" s="205"/>
      <c r="E2104" s="205"/>
      <c r="F2104" s="205"/>
      <c r="G2104" s="209"/>
      <c r="H2104" s="209"/>
      <c r="I2104" s="205"/>
    </row>
    <row r="2105" spans="3:9">
      <c r="C2105" s="205"/>
      <c r="D2105" s="205"/>
      <c r="E2105" s="205"/>
      <c r="F2105" s="205"/>
      <c r="G2105" s="209"/>
      <c r="H2105" s="209"/>
      <c r="I2105" s="205"/>
    </row>
    <row r="2106" spans="3:9">
      <c r="C2106" s="205"/>
      <c r="D2106" s="205"/>
      <c r="E2106" s="205"/>
      <c r="F2106" s="205"/>
      <c r="G2106" s="209"/>
      <c r="H2106" s="209"/>
      <c r="I2106" s="205"/>
    </row>
    <row r="2107" spans="3:9">
      <c r="C2107" s="205"/>
      <c r="D2107" s="205"/>
      <c r="E2107" s="205"/>
      <c r="F2107" s="205"/>
      <c r="G2107" s="209"/>
      <c r="H2107" s="209"/>
      <c r="I2107" s="205"/>
    </row>
    <row r="2108" spans="3:9">
      <c r="C2108" s="205"/>
      <c r="D2108" s="205"/>
      <c r="E2108" s="205"/>
      <c r="F2108" s="205"/>
      <c r="G2108" s="209"/>
      <c r="H2108" s="209"/>
      <c r="I2108" s="205"/>
    </row>
    <row r="2109" spans="3:9">
      <c r="C2109" s="205"/>
      <c r="D2109" s="205"/>
      <c r="E2109" s="205"/>
      <c r="F2109" s="205"/>
      <c r="G2109" s="209"/>
      <c r="H2109" s="209"/>
      <c r="I2109" s="205"/>
    </row>
    <row r="2110" spans="3:9">
      <c r="C2110" s="205"/>
      <c r="D2110" s="205"/>
      <c r="E2110" s="205"/>
      <c r="F2110" s="205"/>
      <c r="G2110" s="209"/>
      <c r="H2110" s="209"/>
      <c r="I2110" s="205"/>
    </row>
    <row r="2111" spans="3:9">
      <c r="C2111" s="205"/>
      <c r="D2111" s="205"/>
      <c r="E2111" s="205"/>
      <c r="F2111" s="205"/>
      <c r="G2111" s="209"/>
      <c r="H2111" s="209"/>
      <c r="I2111" s="205"/>
    </row>
    <row r="2112" spans="3:9">
      <c r="C2112" s="205"/>
      <c r="D2112" s="205"/>
      <c r="E2112" s="205"/>
      <c r="F2112" s="205"/>
      <c r="G2112" s="209"/>
      <c r="H2112" s="209"/>
      <c r="I2112" s="205"/>
    </row>
    <row r="2113" spans="3:9">
      <c r="C2113" s="205"/>
      <c r="D2113" s="205"/>
      <c r="E2113" s="205"/>
      <c r="F2113" s="205"/>
      <c r="G2113" s="209"/>
      <c r="H2113" s="209"/>
      <c r="I2113" s="205"/>
    </row>
    <row r="2114" spans="3:9">
      <c r="C2114" s="205"/>
      <c r="D2114" s="205"/>
      <c r="E2114" s="205"/>
      <c r="F2114" s="205"/>
      <c r="G2114" s="209"/>
      <c r="H2114" s="209"/>
      <c r="I2114" s="205"/>
    </row>
    <row r="2115" spans="3:9">
      <c r="C2115" s="205"/>
      <c r="D2115" s="205"/>
      <c r="E2115" s="205"/>
      <c r="F2115" s="205"/>
      <c r="G2115" s="209"/>
      <c r="H2115" s="209"/>
      <c r="I2115" s="205"/>
    </row>
    <row r="2116" spans="3:9">
      <c r="C2116" s="205"/>
      <c r="D2116" s="205"/>
      <c r="E2116" s="205"/>
      <c r="F2116" s="205"/>
      <c r="G2116" s="209"/>
      <c r="H2116" s="209"/>
      <c r="I2116" s="205"/>
    </row>
    <row r="2117" spans="3:9">
      <c r="C2117" s="205"/>
      <c r="D2117" s="205"/>
      <c r="E2117" s="205"/>
      <c r="F2117" s="205"/>
      <c r="G2117" s="209"/>
      <c r="H2117" s="209"/>
      <c r="I2117" s="205"/>
    </row>
    <row r="2118" spans="3:9">
      <c r="C2118" s="205"/>
      <c r="D2118" s="205"/>
      <c r="E2118" s="205"/>
      <c r="F2118" s="205"/>
      <c r="G2118" s="209"/>
      <c r="H2118" s="209"/>
      <c r="I2118" s="205"/>
    </row>
    <row r="2119" spans="3:9">
      <c r="C2119" s="205"/>
      <c r="D2119" s="205"/>
      <c r="E2119" s="205"/>
      <c r="F2119" s="205"/>
      <c r="G2119" s="209"/>
      <c r="H2119" s="209"/>
      <c r="I2119" s="205"/>
    </row>
    <row r="2120" spans="3:9">
      <c r="C2120" s="205"/>
      <c r="D2120" s="205"/>
      <c r="E2120" s="205"/>
      <c r="F2120" s="205"/>
      <c r="G2120" s="209"/>
      <c r="H2120" s="209"/>
      <c r="I2120" s="205"/>
    </row>
    <row r="2121" spans="3:9">
      <c r="C2121" s="205"/>
      <c r="D2121" s="205"/>
      <c r="E2121" s="205"/>
      <c r="F2121" s="205"/>
      <c r="G2121" s="209"/>
      <c r="H2121" s="209"/>
      <c r="I2121" s="205"/>
    </row>
    <row r="2122" spans="3:9">
      <c r="C2122" s="205"/>
      <c r="D2122" s="205"/>
      <c r="E2122" s="205"/>
      <c r="F2122" s="205"/>
      <c r="G2122" s="209"/>
      <c r="H2122" s="209"/>
      <c r="I2122" s="205"/>
    </row>
    <row r="2123" spans="3:9">
      <c r="C2123" s="205"/>
      <c r="D2123" s="205"/>
      <c r="E2123" s="205"/>
      <c r="F2123" s="205"/>
      <c r="G2123" s="209"/>
      <c r="H2123" s="209"/>
      <c r="I2123" s="205"/>
    </row>
    <row r="2124" spans="3:9">
      <c r="C2124" s="205"/>
      <c r="D2124" s="205"/>
      <c r="E2124" s="205"/>
      <c r="F2124" s="205"/>
      <c r="G2124" s="209"/>
      <c r="H2124" s="209"/>
      <c r="I2124" s="205"/>
    </row>
    <row r="2125" spans="3:9">
      <c r="C2125" s="205"/>
      <c r="D2125" s="205"/>
      <c r="E2125" s="205"/>
      <c r="F2125" s="205"/>
      <c r="G2125" s="209"/>
      <c r="H2125" s="209"/>
      <c r="I2125" s="205"/>
    </row>
    <row r="2126" spans="3:9">
      <c r="C2126" s="205"/>
      <c r="D2126" s="205"/>
      <c r="E2126" s="205"/>
      <c r="F2126" s="205"/>
      <c r="G2126" s="209"/>
      <c r="H2126" s="209"/>
      <c r="I2126" s="205"/>
    </row>
    <row r="2127" spans="3:9">
      <c r="C2127" s="205"/>
      <c r="D2127" s="205"/>
      <c r="E2127" s="205"/>
      <c r="F2127" s="205"/>
      <c r="G2127" s="209"/>
      <c r="H2127" s="209"/>
      <c r="I2127" s="205"/>
    </row>
    <row r="2128" spans="3:9">
      <c r="C2128" s="205"/>
      <c r="D2128" s="205"/>
      <c r="E2128" s="205"/>
      <c r="F2128" s="205"/>
      <c r="G2128" s="209"/>
      <c r="H2128" s="209"/>
      <c r="I2128" s="205"/>
    </row>
    <row r="2129" spans="3:9">
      <c r="C2129" s="205"/>
      <c r="D2129" s="205"/>
      <c r="E2129" s="205"/>
      <c r="F2129" s="205"/>
      <c r="G2129" s="209"/>
      <c r="H2129" s="209"/>
      <c r="I2129" s="205"/>
    </row>
    <row r="2130" spans="3:9">
      <c r="C2130" s="205"/>
      <c r="D2130" s="205"/>
      <c r="E2130" s="205"/>
      <c r="F2130" s="205"/>
      <c r="G2130" s="209"/>
      <c r="H2130" s="209"/>
      <c r="I2130" s="205"/>
    </row>
    <row r="2131" spans="3:9">
      <c r="C2131" s="205"/>
      <c r="D2131" s="205"/>
      <c r="E2131" s="205"/>
      <c r="F2131" s="205"/>
      <c r="G2131" s="209"/>
      <c r="H2131" s="209"/>
      <c r="I2131" s="205"/>
    </row>
    <row r="2132" spans="3:9">
      <c r="C2132" s="205"/>
      <c r="D2132" s="205"/>
      <c r="E2132" s="205"/>
      <c r="F2132" s="205"/>
      <c r="G2132" s="209"/>
      <c r="H2132" s="209"/>
      <c r="I2132" s="205"/>
    </row>
    <row r="2133" spans="3:9">
      <c r="C2133" s="205"/>
      <c r="D2133" s="205"/>
      <c r="E2133" s="205"/>
      <c r="F2133" s="205"/>
      <c r="G2133" s="209"/>
      <c r="H2133" s="209"/>
      <c r="I2133" s="205"/>
    </row>
    <row r="2134" spans="3:9">
      <c r="C2134" s="205"/>
      <c r="D2134" s="205"/>
      <c r="E2134" s="205"/>
      <c r="F2134" s="205"/>
      <c r="G2134" s="209"/>
      <c r="H2134" s="209"/>
      <c r="I2134" s="205"/>
    </row>
    <row r="2135" spans="3:9">
      <c r="C2135" s="205"/>
      <c r="D2135" s="205"/>
      <c r="E2135" s="205"/>
      <c r="F2135" s="205"/>
      <c r="G2135" s="209"/>
      <c r="H2135" s="209"/>
      <c r="I2135" s="205"/>
    </row>
    <row r="2136" spans="3:9">
      <c r="C2136" s="205"/>
      <c r="D2136" s="205"/>
      <c r="E2136" s="205"/>
      <c r="F2136" s="205"/>
      <c r="G2136" s="209"/>
      <c r="H2136" s="209"/>
      <c r="I2136" s="205"/>
    </row>
    <row r="2137" spans="3:9">
      <c r="C2137" s="205"/>
      <c r="D2137" s="205"/>
      <c r="E2137" s="205"/>
      <c r="F2137" s="205"/>
      <c r="G2137" s="209"/>
      <c r="H2137" s="209"/>
      <c r="I2137" s="205"/>
    </row>
    <row r="2138" spans="3:9">
      <c r="C2138" s="205"/>
      <c r="D2138" s="205"/>
      <c r="E2138" s="205"/>
      <c r="F2138" s="205"/>
      <c r="G2138" s="209"/>
      <c r="H2138" s="209"/>
      <c r="I2138" s="205"/>
    </row>
    <row r="2139" spans="3:9">
      <c r="C2139" s="205"/>
      <c r="D2139" s="205"/>
      <c r="E2139" s="205"/>
      <c r="F2139" s="205"/>
      <c r="G2139" s="209"/>
      <c r="H2139" s="209"/>
      <c r="I2139" s="205"/>
    </row>
    <row r="2140" spans="3:9">
      <c r="C2140" s="205"/>
      <c r="D2140" s="205"/>
      <c r="E2140" s="205"/>
      <c r="F2140" s="205"/>
      <c r="G2140" s="209"/>
      <c r="H2140" s="209"/>
      <c r="I2140" s="205"/>
    </row>
    <row r="2141" spans="3:9">
      <c r="C2141" s="205"/>
      <c r="D2141" s="205"/>
      <c r="E2141" s="205"/>
      <c r="F2141" s="205"/>
      <c r="G2141" s="209"/>
      <c r="H2141" s="209"/>
      <c r="I2141" s="205"/>
    </row>
    <row r="2142" spans="3:9">
      <c r="C2142" s="205"/>
      <c r="D2142" s="205"/>
      <c r="E2142" s="205"/>
      <c r="F2142" s="205"/>
      <c r="G2142" s="209"/>
      <c r="H2142" s="209"/>
      <c r="I2142" s="205"/>
    </row>
    <row r="2143" spans="3:9">
      <c r="C2143" s="205"/>
      <c r="D2143" s="205"/>
      <c r="E2143" s="205"/>
      <c r="F2143" s="205"/>
      <c r="G2143" s="209"/>
      <c r="H2143" s="209"/>
      <c r="I2143" s="205"/>
    </row>
    <row r="2144" spans="3:9">
      <c r="C2144" s="205"/>
      <c r="D2144" s="205"/>
      <c r="E2144" s="205"/>
      <c r="F2144" s="205"/>
      <c r="G2144" s="209"/>
      <c r="H2144" s="209"/>
      <c r="I2144" s="205"/>
    </row>
    <row r="2145" spans="3:9">
      <c r="C2145" s="205"/>
      <c r="D2145" s="205"/>
      <c r="E2145" s="205"/>
      <c r="F2145" s="205"/>
      <c r="G2145" s="209"/>
      <c r="H2145" s="209"/>
      <c r="I2145" s="205"/>
    </row>
    <row r="2146" spans="3:9">
      <c r="C2146" s="205"/>
      <c r="D2146" s="205"/>
      <c r="E2146" s="205"/>
      <c r="F2146" s="205"/>
      <c r="G2146" s="209"/>
      <c r="H2146" s="209"/>
      <c r="I2146" s="205"/>
    </row>
    <row r="2147" spans="3:9">
      <c r="C2147" s="205"/>
      <c r="D2147" s="205"/>
      <c r="E2147" s="205"/>
      <c r="F2147" s="205"/>
      <c r="G2147" s="209"/>
      <c r="H2147" s="209"/>
      <c r="I2147" s="205"/>
    </row>
    <row r="2148" spans="3:9">
      <c r="C2148" s="205"/>
      <c r="D2148" s="205"/>
      <c r="E2148" s="205"/>
      <c r="F2148" s="205"/>
      <c r="G2148" s="209"/>
      <c r="H2148" s="209"/>
      <c r="I2148" s="205"/>
    </row>
    <row r="2149" spans="3:9">
      <c r="C2149" s="205"/>
      <c r="D2149" s="205"/>
      <c r="E2149" s="205"/>
      <c r="F2149" s="205"/>
      <c r="G2149" s="209"/>
      <c r="H2149" s="209"/>
      <c r="I2149" s="205"/>
    </row>
    <row r="2150" spans="3:9">
      <c r="C2150" s="205"/>
      <c r="D2150" s="205"/>
      <c r="E2150" s="205"/>
      <c r="F2150" s="205"/>
      <c r="G2150" s="209"/>
      <c r="H2150" s="209"/>
      <c r="I2150" s="205"/>
    </row>
    <row r="2151" spans="3:9">
      <c r="C2151" s="205"/>
      <c r="D2151" s="205"/>
      <c r="E2151" s="205"/>
      <c r="F2151" s="205"/>
      <c r="G2151" s="209"/>
      <c r="H2151" s="209"/>
      <c r="I2151" s="205"/>
    </row>
    <row r="2152" spans="3:9">
      <c r="C2152" s="205"/>
      <c r="D2152" s="205"/>
      <c r="E2152" s="205"/>
      <c r="F2152" s="205"/>
      <c r="G2152" s="209"/>
      <c r="H2152" s="209"/>
      <c r="I2152" s="205"/>
    </row>
    <row r="2153" spans="3:9">
      <c r="C2153" s="205"/>
      <c r="D2153" s="205"/>
      <c r="E2153" s="205"/>
      <c r="F2153" s="205"/>
      <c r="G2153" s="209"/>
      <c r="H2153" s="209"/>
      <c r="I2153" s="205"/>
    </row>
    <row r="2154" spans="3:9">
      <c r="C2154" s="205"/>
      <c r="D2154" s="205"/>
      <c r="E2154" s="205"/>
      <c r="F2154" s="205"/>
      <c r="G2154" s="209"/>
      <c r="H2154" s="209"/>
      <c r="I2154" s="205"/>
    </row>
    <row r="2155" spans="3:9">
      <c r="C2155" s="205"/>
      <c r="D2155" s="205"/>
      <c r="E2155" s="205"/>
      <c r="F2155" s="205"/>
      <c r="G2155" s="209"/>
      <c r="H2155" s="209"/>
      <c r="I2155" s="205"/>
    </row>
    <row r="2156" spans="3:9">
      <c r="C2156" s="205"/>
      <c r="D2156" s="205"/>
      <c r="E2156" s="205"/>
      <c r="F2156" s="205"/>
      <c r="G2156" s="209"/>
      <c r="H2156" s="209"/>
      <c r="I2156" s="205"/>
    </row>
    <row r="2157" spans="3:9">
      <c r="C2157" s="205"/>
      <c r="D2157" s="205"/>
      <c r="E2157" s="205"/>
      <c r="F2157" s="205"/>
      <c r="G2157" s="209"/>
      <c r="H2157" s="209"/>
      <c r="I2157" s="205"/>
    </row>
    <row r="2158" spans="3:9">
      <c r="C2158" s="205"/>
      <c r="D2158" s="205"/>
      <c r="E2158" s="205"/>
      <c r="F2158" s="205"/>
      <c r="G2158" s="209"/>
      <c r="H2158" s="209"/>
      <c r="I2158" s="205"/>
    </row>
    <row r="2159" spans="3:9">
      <c r="C2159" s="205"/>
      <c r="D2159" s="205"/>
      <c r="E2159" s="205"/>
      <c r="F2159" s="205"/>
      <c r="G2159" s="209"/>
      <c r="H2159" s="209"/>
      <c r="I2159" s="205"/>
    </row>
    <row r="2160" spans="3:9">
      <c r="C2160" s="205"/>
      <c r="D2160" s="205"/>
      <c r="E2160" s="205"/>
      <c r="F2160" s="205"/>
      <c r="G2160" s="209"/>
      <c r="H2160" s="209"/>
      <c r="I2160" s="205"/>
    </row>
    <row r="2161" spans="3:9">
      <c r="C2161" s="205"/>
      <c r="D2161" s="205"/>
      <c r="E2161" s="205"/>
      <c r="F2161" s="205"/>
      <c r="G2161" s="209"/>
      <c r="H2161" s="209"/>
      <c r="I2161" s="205"/>
    </row>
    <row r="2162" spans="3:9">
      <c r="C2162" s="205"/>
      <c r="D2162" s="205"/>
      <c r="E2162" s="205"/>
      <c r="F2162" s="205"/>
      <c r="G2162" s="209"/>
      <c r="H2162" s="209"/>
      <c r="I2162" s="205"/>
    </row>
    <row r="2163" spans="3:9">
      <c r="C2163" s="205"/>
      <c r="D2163" s="205"/>
      <c r="E2163" s="205"/>
      <c r="F2163" s="205"/>
      <c r="G2163" s="209"/>
      <c r="H2163" s="209"/>
      <c r="I2163" s="205"/>
    </row>
    <row r="2164" spans="3:9">
      <c r="C2164" s="205"/>
      <c r="D2164" s="205"/>
      <c r="E2164" s="205"/>
      <c r="F2164" s="205"/>
      <c r="G2164" s="209"/>
      <c r="H2164" s="209"/>
      <c r="I2164" s="205"/>
    </row>
    <row r="2165" spans="3:9">
      <c r="C2165" s="205"/>
      <c r="D2165" s="205"/>
      <c r="E2165" s="205"/>
      <c r="F2165" s="205"/>
      <c r="G2165" s="209"/>
      <c r="H2165" s="209"/>
      <c r="I2165" s="205"/>
    </row>
    <row r="2166" spans="3:9">
      <c r="C2166" s="205"/>
      <c r="D2166" s="205"/>
      <c r="E2166" s="205"/>
      <c r="F2166" s="205"/>
      <c r="G2166" s="209"/>
      <c r="H2166" s="209"/>
      <c r="I2166" s="205"/>
    </row>
    <row r="2167" spans="3:9">
      <c r="C2167" s="205"/>
      <c r="D2167" s="205"/>
      <c r="E2167" s="205"/>
      <c r="F2167" s="205"/>
      <c r="G2167" s="209"/>
      <c r="H2167" s="209"/>
      <c r="I2167" s="205"/>
    </row>
    <row r="2168" spans="3:9">
      <c r="C2168" s="205"/>
      <c r="D2168" s="205"/>
      <c r="E2168" s="205"/>
      <c r="F2168" s="205"/>
      <c r="G2168" s="209"/>
      <c r="H2168" s="209"/>
      <c r="I2168" s="205"/>
    </row>
    <row r="2169" spans="3:9">
      <c r="C2169" s="205"/>
      <c r="D2169" s="205"/>
      <c r="E2169" s="205"/>
      <c r="F2169" s="205"/>
      <c r="G2169" s="209"/>
      <c r="H2169" s="209"/>
      <c r="I2169" s="205"/>
    </row>
    <row r="2170" spans="3:9">
      <c r="C2170" s="205"/>
      <c r="D2170" s="205"/>
      <c r="E2170" s="205"/>
      <c r="F2170" s="205"/>
      <c r="G2170" s="209"/>
      <c r="H2170" s="209"/>
      <c r="I2170" s="205"/>
    </row>
    <row r="2171" spans="3:9">
      <c r="C2171" s="205"/>
      <c r="D2171" s="205"/>
      <c r="E2171" s="205"/>
      <c r="F2171" s="205"/>
      <c r="G2171" s="209"/>
      <c r="H2171" s="209"/>
      <c r="I2171" s="205"/>
    </row>
    <row r="2172" spans="3:9">
      <c r="C2172" s="205"/>
      <c r="D2172" s="205"/>
      <c r="E2172" s="205"/>
      <c r="F2172" s="205"/>
      <c r="G2172" s="209"/>
      <c r="H2172" s="209"/>
      <c r="I2172" s="205"/>
    </row>
    <row r="2173" spans="3:9">
      <c r="C2173" s="205"/>
      <c r="D2173" s="205"/>
      <c r="E2173" s="205"/>
      <c r="F2173" s="205"/>
      <c r="G2173" s="209"/>
      <c r="H2173" s="209"/>
      <c r="I2173" s="205"/>
    </row>
    <row r="2174" spans="3:9">
      <c r="C2174" s="205"/>
      <c r="D2174" s="205"/>
      <c r="E2174" s="205"/>
      <c r="F2174" s="205"/>
      <c r="G2174" s="209"/>
      <c r="H2174" s="209"/>
      <c r="I2174" s="205"/>
    </row>
    <row r="2175" spans="3:9">
      <c r="C2175" s="205"/>
      <c r="D2175" s="205"/>
      <c r="E2175" s="205"/>
      <c r="F2175" s="205"/>
      <c r="G2175" s="209"/>
      <c r="H2175" s="209"/>
      <c r="I2175" s="205"/>
    </row>
    <row r="2176" spans="3:9">
      <c r="C2176" s="205"/>
      <c r="D2176" s="205"/>
      <c r="E2176" s="205"/>
      <c r="F2176" s="205"/>
      <c r="G2176" s="209"/>
      <c r="H2176" s="209"/>
      <c r="I2176" s="205"/>
    </row>
    <row r="2177" spans="3:9">
      <c r="C2177" s="205"/>
      <c r="D2177" s="205"/>
      <c r="E2177" s="205"/>
      <c r="F2177" s="205"/>
      <c r="G2177" s="209"/>
      <c r="H2177" s="209"/>
      <c r="I2177" s="205"/>
    </row>
    <row r="2178" spans="3:9">
      <c r="C2178" s="205"/>
      <c r="D2178" s="205"/>
      <c r="E2178" s="205"/>
      <c r="F2178" s="205"/>
      <c r="G2178" s="209"/>
      <c r="H2178" s="209"/>
      <c r="I2178" s="205"/>
    </row>
    <row r="2179" spans="3:9">
      <c r="C2179" s="205"/>
      <c r="D2179" s="205"/>
      <c r="E2179" s="205"/>
      <c r="F2179" s="205"/>
      <c r="G2179" s="209"/>
      <c r="H2179" s="209"/>
      <c r="I2179" s="205"/>
    </row>
    <row r="2180" spans="3:9">
      <c r="C2180" s="205"/>
      <c r="D2180" s="205"/>
      <c r="E2180" s="205"/>
      <c r="F2180" s="205"/>
      <c r="G2180" s="209"/>
      <c r="H2180" s="209"/>
      <c r="I2180" s="205"/>
    </row>
    <row r="2181" spans="3:9">
      <c r="C2181" s="205"/>
      <c r="D2181" s="205"/>
      <c r="E2181" s="205"/>
      <c r="F2181" s="205"/>
      <c r="G2181" s="209"/>
      <c r="H2181" s="209"/>
      <c r="I2181" s="205"/>
    </row>
    <row r="2182" spans="3:9">
      <c r="C2182" s="205"/>
      <c r="D2182" s="205"/>
      <c r="E2182" s="205"/>
      <c r="F2182" s="205"/>
      <c r="G2182" s="209"/>
      <c r="H2182" s="209"/>
      <c r="I2182" s="205"/>
    </row>
    <row r="2183" spans="3:9">
      <c r="C2183" s="205"/>
      <c r="D2183" s="205"/>
      <c r="E2183" s="205"/>
      <c r="F2183" s="205"/>
      <c r="G2183" s="209"/>
      <c r="H2183" s="209"/>
      <c r="I2183" s="205"/>
    </row>
    <row r="2184" spans="3:9">
      <c r="C2184" s="205"/>
      <c r="D2184" s="205"/>
      <c r="E2184" s="205"/>
      <c r="F2184" s="205"/>
      <c r="G2184" s="209"/>
      <c r="H2184" s="209"/>
      <c r="I2184" s="205"/>
    </row>
    <row r="2185" spans="3:9">
      <c r="C2185" s="205"/>
      <c r="D2185" s="205"/>
      <c r="E2185" s="205"/>
      <c r="F2185" s="205"/>
      <c r="G2185" s="209"/>
      <c r="H2185" s="209"/>
      <c r="I2185" s="205"/>
    </row>
    <row r="2186" spans="3:9">
      <c r="C2186" s="205"/>
      <c r="D2186" s="205"/>
      <c r="E2186" s="205"/>
      <c r="F2186" s="205"/>
      <c r="G2186" s="209"/>
      <c r="H2186" s="209"/>
      <c r="I2186" s="205"/>
    </row>
    <row r="2187" spans="3:9">
      <c r="C2187" s="205"/>
      <c r="D2187" s="205"/>
      <c r="E2187" s="205"/>
      <c r="F2187" s="205"/>
      <c r="G2187" s="209"/>
      <c r="H2187" s="209"/>
      <c r="I2187" s="205"/>
    </row>
    <row r="2188" spans="3:9">
      <c r="C2188" s="205"/>
      <c r="D2188" s="205"/>
      <c r="E2188" s="205"/>
      <c r="F2188" s="205"/>
      <c r="G2188" s="209"/>
      <c r="H2188" s="209"/>
      <c r="I2188" s="205"/>
    </row>
    <row r="2189" spans="3:9">
      <c r="C2189" s="205"/>
      <c r="D2189" s="205"/>
      <c r="E2189" s="205"/>
      <c r="F2189" s="205"/>
      <c r="G2189" s="209"/>
      <c r="H2189" s="209"/>
      <c r="I2189" s="205"/>
    </row>
    <row r="2190" spans="3:9">
      <c r="C2190" s="205"/>
      <c r="D2190" s="205"/>
      <c r="E2190" s="205"/>
      <c r="F2190" s="205"/>
      <c r="G2190" s="209"/>
      <c r="H2190" s="209"/>
      <c r="I2190" s="205"/>
    </row>
    <row r="2191" spans="3:9">
      <c r="C2191" s="205"/>
      <c r="D2191" s="205"/>
      <c r="E2191" s="205"/>
      <c r="F2191" s="205"/>
      <c r="G2191" s="209"/>
      <c r="H2191" s="209"/>
      <c r="I2191" s="205"/>
    </row>
    <row r="2192" spans="3:9">
      <c r="C2192" s="205"/>
      <c r="D2192" s="205"/>
      <c r="E2192" s="205"/>
      <c r="F2192" s="205"/>
      <c r="G2192" s="209"/>
      <c r="H2192" s="209"/>
      <c r="I2192" s="205"/>
    </row>
    <row r="2193" spans="3:9">
      <c r="C2193" s="205"/>
      <c r="D2193" s="205"/>
      <c r="E2193" s="205"/>
      <c r="F2193" s="205"/>
      <c r="G2193" s="209"/>
      <c r="H2193" s="209"/>
      <c r="I2193" s="205"/>
    </row>
    <row r="2194" spans="3:9">
      <c r="C2194" s="205"/>
      <c r="D2194" s="205"/>
      <c r="E2194" s="205"/>
      <c r="F2194" s="205"/>
      <c r="G2194" s="209"/>
      <c r="H2194" s="209"/>
      <c r="I2194" s="205"/>
    </row>
    <row r="2195" spans="3:9">
      <c r="C2195" s="205"/>
      <c r="D2195" s="205"/>
      <c r="E2195" s="205"/>
      <c r="F2195" s="205"/>
      <c r="G2195" s="209"/>
      <c r="H2195" s="209"/>
      <c r="I2195" s="205"/>
    </row>
    <row r="2196" spans="3:9">
      <c r="C2196" s="205"/>
      <c r="D2196" s="205"/>
      <c r="E2196" s="205"/>
      <c r="F2196" s="205"/>
      <c r="G2196" s="209"/>
      <c r="H2196" s="209"/>
      <c r="I2196" s="205"/>
    </row>
    <row r="2197" spans="3:9">
      <c r="C2197" s="205"/>
      <c r="D2197" s="205"/>
      <c r="E2197" s="205"/>
      <c r="F2197" s="205"/>
      <c r="G2197" s="209"/>
      <c r="H2197" s="209"/>
      <c r="I2197" s="205"/>
    </row>
    <row r="2198" spans="3:9">
      <c r="C2198" s="205"/>
      <c r="D2198" s="205"/>
      <c r="E2198" s="205"/>
      <c r="F2198" s="205"/>
      <c r="G2198" s="209"/>
      <c r="H2198" s="209"/>
      <c r="I2198" s="205"/>
    </row>
    <row r="2199" spans="3:9">
      <c r="C2199" s="205"/>
      <c r="D2199" s="205"/>
      <c r="E2199" s="205"/>
      <c r="F2199" s="205"/>
      <c r="G2199" s="209"/>
      <c r="H2199" s="209"/>
      <c r="I2199" s="205"/>
    </row>
    <row r="2200" spans="3:9">
      <c r="C2200" s="205"/>
      <c r="D2200" s="205"/>
      <c r="E2200" s="205"/>
      <c r="F2200" s="205"/>
      <c r="G2200" s="209"/>
      <c r="H2200" s="209"/>
      <c r="I2200" s="205"/>
    </row>
    <row r="2201" spans="3:9">
      <c r="C2201" s="205"/>
      <c r="D2201" s="205"/>
      <c r="E2201" s="205"/>
      <c r="F2201" s="205"/>
      <c r="G2201" s="209"/>
      <c r="H2201" s="209"/>
      <c r="I2201" s="205"/>
    </row>
    <row r="2202" spans="3:9">
      <c r="C2202" s="205"/>
      <c r="D2202" s="205"/>
      <c r="E2202" s="205"/>
      <c r="F2202" s="205"/>
      <c r="G2202" s="209"/>
      <c r="H2202" s="209"/>
      <c r="I2202" s="205"/>
    </row>
    <row r="2203" spans="3:9">
      <c r="C2203" s="205"/>
      <c r="D2203" s="205"/>
      <c r="E2203" s="205"/>
      <c r="F2203" s="205"/>
      <c r="G2203" s="209"/>
      <c r="H2203" s="209"/>
      <c r="I2203" s="205"/>
    </row>
    <row r="2204" spans="3:9">
      <c r="C2204" s="205"/>
      <c r="D2204" s="205"/>
      <c r="E2204" s="205"/>
      <c r="F2204" s="205"/>
      <c r="G2204" s="209"/>
      <c r="H2204" s="209"/>
      <c r="I2204" s="205"/>
    </row>
    <row r="2205" spans="3:9">
      <c r="C2205" s="205"/>
      <c r="D2205" s="205"/>
      <c r="E2205" s="205"/>
      <c r="F2205" s="205"/>
      <c r="G2205" s="209"/>
      <c r="H2205" s="209"/>
      <c r="I2205" s="205"/>
    </row>
    <row r="2206" spans="3:9">
      <c r="C2206" s="205"/>
      <c r="D2206" s="205"/>
      <c r="E2206" s="205"/>
      <c r="F2206" s="205"/>
      <c r="G2206" s="209"/>
      <c r="H2206" s="209"/>
      <c r="I2206" s="205"/>
    </row>
    <row r="2207" spans="3:9">
      <c r="C2207" s="205"/>
      <c r="D2207" s="205"/>
      <c r="E2207" s="205"/>
      <c r="F2207" s="205"/>
      <c r="G2207" s="209"/>
      <c r="H2207" s="209"/>
      <c r="I2207" s="205"/>
    </row>
    <row r="2208" spans="3:9">
      <c r="C2208" s="205"/>
      <c r="D2208" s="205"/>
      <c r="E2208" s="205"/>
      <c r="F2208" s="205"/>
      <c r="G2208" s="209"/>
      <c r="H2208" s="209"/>
      <c r="I2208" s="205"/>
    </row>
    <row r="2209" spans="3:9">
      <c r="C2209" s="205"/>
      <c r="D2209" s="205"/>
      <c r="E2209" s="205"/>
      <c r="F2209" s="205"/>
      <c r="G2209" s="209"/>
      <c r="H2209" s="209"/>
      <c r="I2209" s="205"/>
    </row>
    <row r="2210" spans="3:9">
      <c r="C2210" s="205"/>
      <c r="D2210" s="205"/>
      <c r="E2210" s="205"/>
      <c r="F2210" s="205"/>
      <c r="G2210" s="209"/>
      <c r="H2210" s="209"/>
      <c r="I2210" s="205"/>
    </row>
    <row r="2211" spans="3:9">
      <c r="C2211" s="205"/>
      <c r="D2211" s="205"/>
      <c r="E2211" s="205"/>
      <c r="F2211" s="205"/>
      <c r="G2211" s="209"/>
      <c r="H2211" s="209"/>
      <c r="I2211" s="205"/>
    </row>
    <row r="2212" spans="3:9">
      <c r="C2212" s="205"/>
      <c r="D2212" s="205"/>
      <c r="E2212" s="205"/>
      <c r="F2212" s="205"/>
      <c r="G2212" s="209"/>
      <c r="H2212" s="209"/>
      <c r="I2212" s="205"/>
    </row>
    <row r="2213" spans="3:9">
      <c r="C2213" s="205"/>
      <c r="D2213" s="205"/>
      <c r="E2213" s="205"/>
      <c r="F2213" s="205"/>
      <c r="G2213" s="209"/>
      <c r="H2213" s="209"/>
      <c r="I2213" s="205"/>
    </row>
    <row r="2214" spans="3:9">
      <c r="C2214" s="205"/>
      <c r="D2214" s="205"/>
      <c r="E2214" s="205"/>
      <c r="F2214" s="205"/>
      <c r="G2214" s="209"/>
      <c r="H2214" s="209"/>
      <c r="I2214" s="205"/>
    </row>
    <row r="2215" spans="3:9">
      <c r="C2215" s="205"/>
      <c r="D2215" s="205"/>
      <c r="E2215" s="205"/>
      <c r="F2215" s="205"/>
      <c r="G2215" s="209"/>
      <c r="H2215" s="209"/>
      <c r="I2215" s="205"/>
    </row>
    <row r="2216" spans="3:9">
      <c r="C2216" s="205"/>
      <c r="D2216" s="205"/>
      <c r="E2216" s="205"/>
      <c r="F2216" s="205"/>
      <c r="G2216" s="209"/>
      <c r="H2216" s="209"/>
      <c r="I2216" s="205"/>
    </row>
    <row r="2217" spans="3:9">
      <c r="C2217" s="205"/>
      <c r="D2217" s="205"/>
      <c r="E2217" s="205"/>
      <c r="F2217" s="205"/>
      <c r="G2217" s="209"/>
      <c r="H2217" s="209"/>
      <c r="I2217" s="205"/>
    </row>
    <row r="2218" spans="3:9">
      <c r="C2218" s="205"/>
      <c r="D2218" s="205"/>
      <c r="E2218" s="205"/>
      <c r="F2218" s="205"/>
      <c r="G2218" s="209"/>
      <c r="H2218" s="209"/>
      <c r="I2218" s="205"/>
    </row>
    <row r="2219" spans="3:9">
      <c r="C2219" s="205"/>
      <c r="D2219" s="205"/>
      <c r="E2219" s="205"/>
      <c r="F2219" s="205"/>
      <c r="G2219" s="209"/>
      <c r="H2219" s="209"/>
      <c r="I2219" s="205"/>
    </row>
    <row r="2220" spans="3:9">
      <c r="C2220" s="205"/>
      <c r="D2220" s="205"/>
      <c r="E2220" s="205"/>
      <c r="F2220" s="205"/>
      <c r="G2220" s="209"/>
      <c r="H2220" s="209"/>
      <c r="I2220" s="205"/>
    </row>
    <row r="2221" spans="3:9">
      <c r="C2221" s="205"/>
      <c r="D2221" s="205"/>
      <c r="E2221" s="205"/>
      <c r="F2221" s="205"/>
      <c r="G2221" s="209"/>
      <c r="H2221" s="209"/>
      <c r="I2221" s="205"/>
    </row>
    <row r="2222" spans="3:9">
      <c r="C2222" s="205"/>
      <c r="D2222" s="205"/>
      <c r="E2222" s="205"/>
      <c r="F2222" s="205"/>
      <c r="G2222" s="209"/>
      <c r="H2222" s="209"/>
      <c r="I2222" s="205"/>
    </row>
    <row r="2223" spans="3:9">
      <c r="C2223" s="205"/>
      <c r="D2223" s="205"/>
      <c r="E2223" s="205"/>
      <c r="F2223" s="205"/>
      <c r="G2223" s="209"/>
      <c r="H2223" s="209"/>
      <c r="I2223" s="205"/>
    </row>
    <row r="2224" spans="3:9">
      <c r="C2224" s="205"/>
      <c r="D2224" s="205"/>
      <c r="E2224" s="205"/>
      <c r="F2224" s="205"/>
      <c r="G2224" s="209"/>
      <c r="H2224" s="209"/>
      <c r="I2224" s="205"/>
    </row>
    <row r="2225" spans="3:9">
      <c r="C2225" s="205"/>
      <c r="D2225" s="205"/>
      <c r="E2225" s="205"/>
      <c r="F2225" s="205"/>
      <c r="G2225" s="209"/>
      <c r="H2225" s="209"/>
      <c r="I2225" s="205"/>
    </row>
    <row r="2226" spans="3:9">
      <c r="C2226" s="205"/>
      <c r="D2226" s="205"/>
      <c r="E2226" s="205"/>
      <c r="F2226" s="205"/>
      <c r="G2226" s="209"/>
      <c r="H2226" s="209"/>
      <c r="I2226" s="205"/>
    </row>
    <row r="2227" spans="3:9">
      <c r="C2227" s="205"/>
      <c r="D2227" s="205"/>
      <c r="E2227" s="205"/>
      <c r="F2227" s="205"/>
      <c r="G2227" s="209"/>
      <c r="H2227" s="209"/>
      <c r="I2227" s="205"/>
    </row>
    <row r="2228" spans="3:9">
      <c r="C2228" s="205"/>
      <c r="D2228" s="205"/>
      <c r="E2228" s="205"/>
      <c r="F2228" s="205"/>
      <c r="G2228" s="209"/>
      <c r="H2228" s="209"/>
      <c r="I2228" s="205"/>
    </row>
    <row r="2229" spans="3:9">
      <c r="C2229" s="205"/>
      <c r="D2229" s="205"/>
      <c r="E2229" s="205"/>
      <c r="F2229" s="205"/>
      <c r="G2229" s="209"/>
      <c r="H2229" s="209"/>
      <c r="I2229" s="205"/>
    </row>
    <row r="2230" spans="3:9">
      <c r="C2230" s="205"/>
      <c r="D2230" s="205"/>
      <c r="E2230" s="205"/>
      <c r="F2230" s="205"/>
      <c r="G2230" s="209"/>
      <c r="H2230" s="209"/>
      <c r="I2230" s="205"/>
    </row>
    <row r="2231" spans="3:9">
      <c r="C2231" s="205"/>
      <c r="D2231" s="205"/>
      <c r="E2231" s="205"/>
      <c r="F2231" s="205"/>
      <c r="G2231" s="209"/>
      <c r="H2231" s="209"/>
      <c r="I2231" s="205"/>
    </row>
    <row r="2232" spans="3:9">
      <c r="C2232" s="205"/>
      <c r="D2232" s="205"/>
      <c r="E2232" s="205"/>
      <c r="F2232" s="205"/>
      <c r="G2232" s="209"/>
      <c r="H2232" s="209"/>
      <c r="I2232" s="205"/>
    </row>
    <row r="2233" spans="3:9">
      <c r="C2233" s="205"/>
      <c r="D2233" s="205"/>
      <c r="E2233" s="205"/>
      <c r="F2233" s="205"/>
      <c r="G2233" s="209"/>
      <c r="H2233" s="209"/>
      <c r="I2233" s="205"/>
    </row>
    <row r="2234" spans="3:9">
      <c r="C2234" s="205"/>
      <c r="D2234" s="205"/>
      <c r="E2234" s="205"/>
      <c r="F2234" s="205"/>
      <c r="G2234" s="209"/>
      <c r="H2234" s="209"/>
      <c r="I2234" s="205"/>
    </row>
    <row r="2235" spans="3:9">
      <c r="C2235" s="205"/>
      <c r="D2235" s="205"/>
      <c r="E2235" s="205"/>
      <c r="F2235" s="205"/>
      <c r="G2235" s="209"/>
      <c r="H2235" s="209"/>
      <c r="I2235" s="205"/>
    </row>
    <row r="2236" spans="3:9">
      <c r="C2236" s="205"/>
      <c r="D2236" s="205"/>
      <c r="E2236" s="205"/>
      <c r="F2236" s="205"/>
      <c r="G2236" s="209"/>
      <c r="H2236" s="209"/>
      <c r="I2236" s="205"/>
    </row>
    <row r="2237" spans="3:9">
      <c r="C2237" s="205"/>
      <c r="D2237" s="205"/>
      <c r="E2237" s="205"/>
      <c r="F2237" s="205"/>
      <c r="G2237" s="209"/>
      <c r="H2237" s="209"/>
      <c r="I2237" s="205"/>
    </row>
    <row r="2238" spans="3:9">
      <c r="C2238" s="205"/>
      <c r="D2238" s="205"/>
      <c r="E2238" s="205"/>
      <c r="F2238" s="205"/>
      <c r="G2238" s="209"/>
      <c r="H2238" s="209"/>
      <c r="I2238" s="205"/>
    </row>
    <row r="2239" spans="3:9">
      <c r="C2239" s="205"/>
      <c r="D2239" s="205"/>
      <c r="E2239" s="205"/>
      <c r="F2239" s="205"/>
      <c r="G2239" s="209"/>
      <c r="H2239" s="209"/>
      <c r="I2239" s="205"/>
    </row>
    <row r="2240" spans="3:9">
      <c r="C2240" s="205"/>
      <c r="D2240" s="205"/>
      <c r="E2240" s="205"/>
      <c r="F2240" s="205"/>
      <c r="G2240" s="209"/>
      <c r="H2240" s="209"/>
      <c r="I2240" s="205"/>
    </row>
    <row r="2241" spans="3:9">
      <c r="C2241" s="205"/>
      <c r="D2241" s="205"/>
      <c r="E2241" s="205"/>
      <c r="F2241" s="205"/>
      <c r="G2241" s="209"/>
      <c r="H2241" s="209"/>
      <c r="I2241" s="205"/>
    </row>
    <row r="2242" spans="3:9">
      <c r="C2242" s="205"/>
      <c r="D2242" s="205"/>
      <c r="E2242" s="205"/>
      <c r="F2242" s="205"/>
      <c r="G2242" s="209"/>
      <c r="H2242" s="209"/>
      <c r="I2242" s="205"/>
    </row>
    <row r="2243" spans="3:9">
      <c r="C2243" s="205"/>
      <c r="D2243" s="205"/>
      <c r="E2243" s="205"/>
      <c r="F2243" s="205"/>
      <c r="G2243" s="209"/>
      <c r="H2243" s="209"/>
      <c r="I2243" s="205"/>
    </row>
    <row r="2244" spans="3:9">
      <c r="C2244" s="205"/>
      <c r="D2244" s="205"/>
      <c r="E2244" s="205"/>
      <c r="F2244" s="205"/>
      <c r="G2244" s="209"/>
      <c r="H2244" s="209"/>
      <c r="I2244" s="205"/>
    </row>
    <row r="2245" spans="3:9">
      <c r="C2245" s="205"/>
      <c r="D2245" s="205"/>
      <c r="E2245" s="205"/>
      <c r="F2245" s="205"/>
      <c r="G2245" s="209"/>
      <c r="H2245" s="209"/>
      <c r="I2245" s="205"/>
    </row>
    <row r="2246" spans="3:9">
      <c r="C2246" s="205"/>
      <c r="D2246" s="205"/>
      <c r="E2246" s="205"/>
      <c r="F2246" s="205"/>
      <c r="G2246" s="209"/>
      <c r="H2246" s="209"/>
      <c r="I2246" s="205"/>
    </row>
    <row r="2247" spans="3:9">
      <c r="C2247" s="205"/>
      <c r="D2247" s="205"/>
      <c r="E2247" s="205"/>
      <c r="F2247" s="205"/>
      <c r="G2247" s="209"/>
      <c r="H2247" s="209"/>
      <c r="I2247" s="205"/>
    </row>
    <row r="2248" spans="3:9">
      <c r="C2248" s="205"/>
      <c r="D2248" s="205"/>
      <c r="E2248" s="205"/>
      <c r="F2248" s="205"/>
      <c r="G2248" s="209"/>
      <c r="H2248" s="209"/>
      <c r="I2248" s="205"/>
    </row>
    <row r="2249" spans="3:9">
      <c r="C2249" s="205"/>
      <c r="D2249" s="205"/>
      <c r="E2249" s="205"/>
      <c r="F2249" s="205"/>
      <c r="G2249" s="209"/>
      <c r="H2249" s="209"/>
      <c r="I2249" s="205"/>
    </row>
    <row r="2250" spans="3:9">
      <c r="C2250" s="205"/>
      <c r="D2250" s="205"/>
      <c r="E2250" s="205"/>
      <c r="F2250" s="205"/>
      <c r="G2250" s="209"/>
      <c r="H2250" s="209"/>
      <c r="I2250" s="205"/>
    </row>
    <row r="2251" spans="3:9">
      <c r="C2251" s="205"/>
      <c r="D2251" s="205"/>
      <c r="E2251" s="205"/>
      <c r="F2251" s="205"/>
      <c r="G2251" s="209"/>
      <c r="H2251" s="209"/>
      <c r="I2251" s="205"/>
    </row>
    <row r="2252" spans="3:9">
      <c r="C2252" s="205"/>
      <c r="D2252" s="205"/>
      <c r="E2252" s="205"/>
      <c r="F2252" s="205"/>
      <c r="G2252" s="209"/>
      <c r="H2252" s="209"/>
      <c r="I2252" s="205"/>
    </row>
    <row r="2253" spans="3:9">
      <c r="C2253" s="205"/>
      <c r="D2253" s="205"/>
      <c r="E2253" s="205"/>
      <c r="F2253" s="205"/>
      <c r="G2253" s="209"/>
      <c r="H2253" s="209"/>
      <c r="I2253" s="205"/>
    </row>
    <row r="2254" spans="3:9">
      <c r="C2254" s="205"/>
      <c r="D2254" s="205"/>
      <c r="E2254" s="205"/>
      <c r="F2254" s="205"/>
      <c r="G2254" s="209"/>
      <c r="H2254" s="209"/>
      <c r="I2254" s="205"/>
    </row>
    <row r="2255" spans="3:9">
      <c r="C2255" s="205"/>
      <c r="D2255" s="205"/>
      <c r="E2255" s="205"/>
      <c r="F2255" s="205"/>
      <c r="G2255" s="209"/>
      <c r="H2255" s="209"/>
      <c r="I2255" s="205"/>
    </row>
    <row r="2256" spans="3:9">
      <c r="C2256" s="205"/>
      <c r="D2256" s="205"/>
      <c r="E2256" s="205"/>
      <c r="F2256" s="205"/>
      <c r="G2256" s="209"/>
      <c r="H2256" s="209"/>
      <c r="I2256" s="205"/>
    </row>
    <row r="2257" spans="3:9">
      <c r="C2257" s="205"/>
      <c r="D2257" s="205"/>
      <c r="E2257" s="205"/>
      <c r="F2257" s="205"/>
      <c r="G2257" s="209"/>
      <c r="H2257" s="209"/>
      <c r="I2257" s="205"/>
    </row>
    <row r="2258" spans="3:9">
      <c r="C2258" s="205"/>
      <c r="D2258" s="205"/>
      <c r="E2258" s="205"/>
      <c r="F2258" s="205"/>
      <c r="G2258" s="209"/>
      <c r="H2258" s="209"/>
      <c r="I2258" s="205"/>
    </row>
    <row r="2259" spans="3:9">
      <c r="C2259" s="205"/>
      <c r="D2259" s="205"/>
      <c r="E2259" s="205"/>
      <c r="F2259" s="205"/>
      <c r="G2259" s="209"/>
      <c r="H2259" s="209"/>
      <c r="I2259" s="205"/>
    </row>
  </sheetData>
  <sheetProtection formatCells="0"/>
  <mergeCells count="2">
    <mergeCell ref="A1:I1"/>
    <mergeCell ref="A2:I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14.xml><?xml version="1.0" encoding="utf-8"?>
<worksheet xmlns="http://schemas.openxmlformats.org/spreadsheetml/2006/main" xmlns:r="http://schemas.openxmlformats.org/officeDocument/2006/relationships">
  <sheetPr codeName="Sheet14"/>
  <dimension ref="A1:G84"/>
  <sheetViews>
    <sheetView zoomScaleNormal="100" zoomScaleSheetLayoutView="100" workbookViewId="0">
      <selection activeCell="A18" sqref="A18"/>
    </sheetView>
  </sheetViews>
  <sheetFormatPr defaultRowHeight="12.75"/>
  <cols>
    <col min="1" max="1" width="31.42578125" style="317" customWidth="1"/>
    <col min="2" max="2" width="10.28515625" style="321" customWidth="1"/>
    <col min="3" max="3" width="8.85546875" style="317" bestFit="1" customWidth="1"/>
    <col min="4" max="4" width="8.42578125" style="317" customWidth="1"/>
    <col min="5" max="5" width="12.28515625" style="626" bestFit="1" customWidth="1"/>
    <col min="6" max="6" width="14.140625" style="626" bestFit="1" customWidth="1"/>
    <col min="7" max="7" width="14.5703125" style="626" customWidth="1"/>
    <col min="8" max="16384" width="9.140625" style="317"/>
  </cols>
  <sheetData>
    <row r="1" spans="1:7">
      <c r="A1" s="672" t="s">
        <v>190</v>
      </c>
      <c r="B1" s="672"/>
      <c r="C1" s="672"/>
      <c r="D1" s="672"/>
      <c r="E1" s="672"/>
      <c r="F1" s="672"/>
      <c r="G1" s="672"/>
    </row>
    <row r="2" spans="1:7">
      <c r="A2" s="668" t="s">
        <v>739</v>
      </c>
      <c r="B2" s="668"/>
      <c r="C2" s="668"/>
      <c r="D2" s="668"/>
      <c r="E2" s="668"/>
      <c r="F2" s="668"/>
      <c r="G2" s="668"/>
    </row>
    <row r="3" spans="1:7">
      <c r="A3" s="672" t="s">
        <v>746</v>
      </c>
      <c r="B3" s="672"/>
      <c r="C3" s="672"/>
      <c r="D3" s="672"/>
      <c r="E3" s="672"/>
      <c r="F3" s="672"/>
      <c r="G3" s="672"/>
    </row>
    <row r="4" spans="1:7">
      <c r="A4" s="672" t="s">
        <v>742</v>
      </c>
      <c r="B4" s="672"/>
      <c r="C4" s="672"/>
      <c r="D4" s="672"/>
      <c r="E4" s="672"/>
      <c r="F4" s="672"/>
      <c r="G4" s="672"/>
    </row>
    <row r="5" spans="1:7">
      <c r="A5" s="668"/>
      <c r="B5" s="668"/>
      <c r="C5" s="668"/>
      <c r="D5" s="668"/>
      <c r="E5" s="668"/>
      <c r="F5" s="668"/>
      <c r="G5" s="668"/>
    </row>
    <row r="6" spans="1:7">
      <c r="A6" s="490"/>
      <c r="B6" s="490"/>
      <c r="C6" s="490"/>
      <c r="D6" s="490"/>
      <c r="E6" s="618"/>
      <c r="F6" s="618"/>
      <c r="G6" s="618"/>
    </row>
    <row r="7" spans="1:7" ht="42" customHeight="1" thickBot="1">
      <c r="A7" s="500" t="s">
        <v>191</v>
      </c>
      <c r="B7" s="619" t="s">
        <v>111</v>
      </c>
      <c r="C7" s="500" t="s">
        <v>161</v>
      </c>
      <c r="D7" s="500" t="s">
        <v>162</v>
      </c>
      <c r="E7" s="620" t="s">
        <v>580</v>
      </c>
      <c r="F7" s="621" t="s">
        <v>163</v>
      </c>
      <c r="G7" s="622" t="s">
        <v>209</v>
      </c>
    </row>
    <row r="8" spans="1:7">
      <c r="A8" s="216" t="str">
        <f>'Schedule 7 Workpaper'!B9</f>
        <v>American Falls Power Plant</v>
      </c>
      <c r="B8" s="329">
        <f>'Schedule 7 Workpaper'!C9</f>
        <v>353</v>
      </c>
      <c r="C8" s="329">
        <f>'Schedule 7 Workpaper'!D9</f>
        <v>1978</v>
      </c>
      <c r="D8" s="623">
        <f>'Schedule 7 Workpaper'!G9 + 'Schedule 7 Workpaper'!J9+'Schedule 7 Workpaper'!M9</f>
        <v>35</v>
      </c>
      <c r="E8" s="624">
        <f>'Schedule 7 Workpaper'!E9</f>
        <v>647894.37</v>
      </c>
      <c r="F8" s="624">
        <f>'Schedule 7 Workpaper'!O9</f>
        <v>478418.17</v>
      </c>
      <c r="G8" s="625">
        <f>'Schedule 7 Workpaper'!Q9</f>
        <v>12309.99</v>
      </c>
    </row>
    <row r="9" spans="1:7">
      <c r="A9" s="216" t="str">
        <f>'Schedule 7 Workpaper'!B10</f>
        <v>Brownlee Power Plant Adams</v>
      </c>
      <c r="B9" s="329">
        <f>'Schedule 7 Workpaper'!C10</f>
        <v>353</v>
      </c>
      <c r="C9" s="329">
        <f>'Schedule 7 Workpaper'!D10</f>
        <v>1959</v>
      </c>
      <c r="D9" s="623">
        <f>'Schedule 7 Workpaper'!G10 + 'Schedule 7 Workpaper'!J10+'Schedule 7 Workpaper'!M10</f>
        <v>54</v>
      </c>
      <c r="E9" s="624">
        <f>'Schedule 7 Workpaper'!E10</f>
        <v>747897.47</v>
      </c>
      <c r="F9" s="624">
        <f>'Schedule 7 Workpaper'!O10</f>
        <v>853515.55</v>
      </c>
      <c r="G9" s="625">
        <f>'Schedule 7 Workpaper'!Q10</f>
        <v>14210.05</v>
      </c>
    </row>
    <row r="10" spans="1:7">
      <c r="A10" s="216" t="str">
        <f>'Schedule 7 Workpaper'!B11</f>
        <v>Brownlee Power Plant Adams</v>
      </c>
      <c r="B10" s="329">
        <f>'Schedule 7 Workpaper'!C11</f>
        <v>353</v>
      </c>
      <c r="C10" s="329">
        <f>'Schedule 7 Workpaper'!D11</f>
        <v>1980</v>
      </c>
      <c r="D10" s="623">
        <f>'Schedule 7 Workpaper'!G11 + 'Schedule 7 Workpaper'!J11+'Schedule 7 Workpaper'!M11</f>
        <v>33</v>
      </c>
      <c r="E10" s="624">
        <f>'Schedule 7 Workpaper'!E11</f>
        <v>1541721.69</v>
      </c>
      <c r="F10" s="624">
        <f>'Schedule 7 Workpaper'!O11</f>
        <v>1073069.1300000001</v>
      </c>
      <c r="G10" s="625">
        <f>'Schedule 7 Workpaper'!Q11</f>
        <v>29292.71</v>
      </c>
    </row>
    <row r="11" spans="1:7">
      <c r="A11" s="216" t="str">
        <f>'Schedule 7 Workpaper'!B12</f>
        <v>Brownlee Power Plant Adams</v>
      </c>
      <c r="B11" s="329">
        <f>'Schedule 7 Workpaper'!C12</f>
        <v>353</v>
      </c>
      <c r="C11" s="329">
        <f>'Schedule 7 Workpaper'!D12</f>
        <v>2000</v>
      </c>
      <c r="D11" s="623">
        <f>'Schedule 7 Workpaper'!G12 + 'Schedule 7 Workpaper'!J12+'Schedule 7 Workpaper'!M12</f>
        <v>13</v>
      </c>
      <c r="E11" s="624">
        <f>'Schedule 7 Workpaper'!E12</f>
        <v>11284.55</v>
      </c>
      <c r="F11" s="624">
        <f>'Schedule 7 Workpaper'!O12</f>
        <v>3069.6200000000003</v>
      </c>
      <c r="G11" s="625">
        <f>'Schedule 7 Workpaper'!Q12</f>
        <v>214.41</v>
      </c>
    </row>
    <row r="12" spans="1:7">
      <c r="A12" s="216" t="str">
        <f>'Schedule 7 Workpaper'!B13</f>
        <v>Brownlee Power Plant Adams</v>
      </c>
      <c r="B12" s="329">
        <f>'Schedule 7 Workpaper'!C13</f>
        <v>353</v>
      </c>
      <c r="C12" s="329">
        <f>'Schedule 7 Workpaper'!D13</f>
        <v>2003</v>
      </c>
      <c r="D12" s="623">
        <f>'Schedule 7 Workpaper'!G13 + 'Schedule 7 Workpaper'!J13+'Schedule 7 Workpaper'!M13</f>
        <v>10</v>
      </c>
      <c r="E12" s="624">
        <f>'Schedule 7 Workpaper'!E13</f>
        <v>15167.15</v>
      </c>
      <c r="F12" s="624">
        <f>'Schedule 7 Workpaper'!O13</f>
        <v>3161.1299999999997</v>
      </c>
      <c r="G12" s="625">
        <f>'Schedule 7 Workpaper'!Q13</f>
        <v>288.18</v>
      </c>
    </row>
    <row r="13" spans="1:7">
      <c r="A13" s="216" t="str">
        <f>'Schedule 7 Workpaper'!B14</f>
        <v>Brownlee Power Plant Adams</v>
      </c>
      <c r="B13" s="329">
        <f>'Schedule 7 Workpaper'!C14</f>
        <v>353</v>
      </c>
      <c r="C13" s="329">
        <f>'Schedule 7 Workpaper'!D14</f>
        <v>2012</v>
      </c>
      <c r="D13" s="623">
        <f>'Schedule 7 Workpaper'!G14 + 'Schedule 7 Workpaper'!J14+'Schedule 7 Workpaper'!M14</f>
        <v>1</v>
      </c>
      <c r="E13" s="624">
        <f>'Schedule 7 Workpaper'!E14</f>
        <v>1855783.59</v>
      </c>
      <c r="F13" s="624">
        <f>'Schedule 7 Workpaper'!O14</f>
        <v>36506.980000000003</v>
      </c>
      <c r="G13" s="625">
        <f>'Schedule 7 Workpaper'!Q14</f>
        <v>35259.89</v>
      </c>
    </row>
    <row r="14" spans="1:7">
      <c r="A14" s="216" t="str">
        <f>'Schedule 7 Workpaper'!B15</f>
        <v>Bliss Power Plant Gooding</v>
      </c>
      <c r="B14" s="329">
        <f>'Schedule 7 Workpaper'!C15</f>
        <v>353</v>
      </c>
      <c r="C14" s="329">
        <f>'Schedule 7 Workpaper'!D15</f>
        <v>1950</v>
      </c>
      <c r="D14" s="623">
        <f>'Schedule 7 Workpaper'!G15 + 'Schedule 7 Workpaper'!J15+'Schedule 7 Workpaper'!M15</f>
        <v>63</v>
      </c>
      <c r="E14" s="624">
        <f>'Schedule 7 Workpaper'!E15</f>
        <v>316403.89</v>
      </c>
      <c r="F14" s="624">
        <f>'Schedule 7 Workpaper'!O15</f>
        <v>421456.31</v>
      </c>
      <c r="G14" s="625">
        <f>'Schedule 7 Workpaper'!Q15</f>
        <v>6011.67</v>
      </c>
    </row>
    <row r="15" spans="1:7">
      <c r="A15" s="216" t="str">
        <f>'Schedule 7 Workpaper'!B16</f>
        <v>Bliss Power Plant Gooding</v>
      </c>
      <c r="B15" s="329">
        <f>'Schedule 7 Workpaper'!C16</f>
        <v>353</v>
      </c>
      <c r="C15" s="329">
        <f>'Schedule 7 Workpaper'!D16</f>
        <v>1964</v>
      </c>
      <c r="D15" s="623">
        <f>'Schedule 7 Workpaper'!G16 + 'Schedule 7 Workpaper'!J16+'Schedule 7 Workpaper'!M16</f>
        <v>49</v>
      </c>
      <c r="E15" s="624">
        <f>'Schedule 7 Workpaper'!E16</f>
        <v>1416.21</v>
      </c>
      <c r="F15" s="624">
        <f>'Schedule 7 Workpaper'!O16</f>
        <v>1466.09</v>
      </c>
      <c r="G15" s="625">
        <f>'Schedule 7 Workpaper'!Q16</f>
        <v>26.91</v>
      </c>
    </row>
    <row r="16" spans="1:7">
      <c r="A16" s="216" t="str">
        <f>'Schedule 7 Workpaper'!B17</f>
        <v>Cascade Power Plant</v>
      </c>
      <c r="B16" s="329">
        <f>'Schedule 7 Workpaper'!C17</f>
        <v>353</v>
      </c>
      <c r="C16" s="329">
        <f>'Schedule 7 Workpaper'!D17</f>
        <v>1983</v>
      </c>
      <c r="D16" s="623">
        <f>'Schedule 7 Workpaper'!G17 + 'Schedule 7 Workpaper'!J17+'Schedule 7 Workpaper'!M17</f>
        <v>30</v>
      </c>
      <c r="E16" s="624">
        <f>'Schedule 7 Workpaper'!E17</f>
        <v>257772.45</v>
      </c>
      <c r="F16" s="624">
        <f>'Schedule 7 Workpaper'!O17</f>
        <v>163020.44999999998</v>
      </c>
      <c r="G16" s="625">
        <f>'Schedule 7 Workpaper'!Q17</f>
        <v>4897.68</v>
      </c>
    </row>
    <row r="17" spans="1:7">
      <c r="A17" s="216" t="str">
        <f>'Schedule 7 Workpaper'!B18</f>
        <v>Clear Lake Power Plant</v>
      </c>
      <c r="B17" s="329">
        <f>'Schedule 7 Workpaper'!C18</f>
        <v>353</v>
      </c>
      <c r="C17" s="329">
        <f>'Schedule 7 Workpaper'!D18</f>
        <v>1965</v>
      </c>
      <c r="D17" s="623">
        <f>'Schedule 7 Workpaper'!G18 + 'Schedule 7 Workpaper'!J18+'Schedule 7 Workpaper'!M18</f>
        <v>48</v>
      </c>
      <c r="E17" s="624">
        <f>'Schedule 7 Workpaper'!E18</f>
        <v>19807.669999999998</v>
      </c>
      <c r="F17" s="624">
        <f>'Schedule 7 Workpaper'!O18</f>
        <v>20085.379999999997</v>
      </c>
      <c r="G17" s="625">
        <f>'Schedule 7 Workpaper'!Q18</f>
        <v>376.35</v>
      </c>
    </row>
    <row r="18" spans="1:7">
      <c r="A18" s="216" t="str">
        <f>'Schedule 7 Workpaper'!B19</f>
        <v>Danskin Power Plant</v>
      </c>
      <c r="B18" s="329">
        <f>'Schedule 7 Workpaper'!C19</f>
        <v>353</v>
      </c>
      <c r="C18" s="329">
        <f>'Schedule 7 Workpaper'!D19</f>
        <v>2001</v>
      </c>
      <c r="D18" s="623">
        <f>'Schedule 7 Workpaper'!G19 + 'Schedule 7 Workpaper'!J19+'Schedule 7 Workpaper'!M19</f>
        <v>12</v>
      </c>
      <c r="E18" s="624">
        <f>'Schedule 7 Workpaper'!E19</f>
        <v>259219.44</v>
      </c>
      <c r="F18" s="624">
        <f>'Schedule 7 Workpaper'!O19</f>
        <v>65017.42</v>
      </c>
      <c r="G18" s="625">
        <f>'Schedule 7 Workpaper'!Q19</f>
        <v>4925.17</v>
      </c>
    </row>
    <row r="19" spans="1:7">
      <c r="A19" s="216" t="str">
        <f>'Schedule 7 Workpaper'!B20</f>
        <v>Danskin Power Plant</v>
      </c>
      <c r="B19" s="329">
        <f>'Schedule 7 Workpaper'!C20</f>
        <v>353</v>
      </c>
      <c r="C19" s="329">
        <f>'Schedule 7 Workpaper'!D20</f>
        <v>2008</v>
      </c>
      <c r="D19" s="623">
        <f>'Schedule 7 Workpaper'!G20 + 'Schedule 7 Workpaper'!J20+'Schedule 7 Workpaper'!M20</f>
        <v>5</v>
      </c>
      <c r="E19" s="624">
        <f>'Schedule 7 Workpaper'!E20</f>
        <v>7041.17</v>
      </c>
      <c r="F19" s="624">
        <f>'Schedule 7 Workpaper'!O20</f>
        <v>721.15000000000009</v>
      </c>
      <c r="G19" s="625">
        <f>'Schedule 7 Workpaper'!Q20</f>
        <v>133.78</v>
      </c>
    </row>
    <row r="20" spans="1:7">
      <c r="A20" s="216" t="str">
        <f>'Schedule 7 Workpaper'!B21</f>
        <v>Danskin Power Plant</v>
      </c>
      <c r="B20" s="329">
        <f>'Schedule 7 Workpaper'!C21</f>
        <v>353</v>
      </c>
      <c r="C20" s="329">
        <f>'Schedule 7 Workpaper'!D21</f>
        <v>2009</v>
      </c>
      <c r="D20" s="623">
        <f>'Schedule 7 Workpaper'!G21 + 'Schedule 7 Workpaper'!J21+'Schedule 7 Workpaper'!M21</f>
        <v>4</v>
      </c>
      <c r="E20" s="624">
        <f>'Schedule 7 Workpaper'!E21</f>
        <v>3878240.38</v>
      </c>
      <c r="F20" s="624">
        <f>'Schedule 7 Workpaper'!O21</f>
        <v>315968</v>
      </c>
      <c r="G20" s="625">
        <f>'Schedule 7 Workpaper'!Q21</f>
        <v>73686.570000000007</v>
      </c>
    </row>
    <row r="21" spans="1:7">
      <c r="A21" s="216" t="str">
        <f>'Schedule 7 Workpaper'!B22</f>
        <v>Hells Canyon Power Plant Wallo</v>
      </c>
      <c r="B21" s="329">
        <f>'Schedule 7 Workpaper'!C22</f>
        <v>353</v>
      </c>
      <c r="C21" s="329">
        <f>'Schedule 7 Workpaper'!D22</f>
        <v>1967</v>
      </c>
      <c r="D21" s="623">
        <f>'Schedule 7 Workpaper'!G22 + 'Schedule 7 Workpaper'!J22+'Schedule 7 Workpaper'!M22</f>
        <v>46</v>
      </c>
      <c r="E21" s="624">
        <f>'Schedule 7 Workpaper'!E22</f>
        <v>945897.18</v>
      </c>
      <c r="F21" s="624">
        <f>'Schedule 7 Workpaper'!O22</f>
        <v>919052.62</v>
      </c>
      <c r="G21" s="625">
        <f>'Schedule 7 Workpaper'!Q22</f>
        <v>17972.05</v>
      </c>
    </row>
    <row r="22" spans="1:7">
      <c r="A22" s="216" t="str">
        <f>'Schedule 7 Workpaper'!B23</f>
        <v>Hells Canyon Power Plant Wallo</v>
      </c>
      <c r="B22" s="329">
        <f>'Schedule 7 Workpaper'!C23</f>
        <v>353</v>
      </c>
      <c r="C22" s="329">
        <f>'Schedule 7 Workpaper'!D23</f>
        <v>2000</v>
      </c>
      <c r="D22" s="623">
        <f>'Schedule 7 Workpaper'!G23 + 'Schedule 7 Workpaper'!J23+'Schedule 7 Workpaper'!M23</f>
        <v>13</v>
      </c>
      <c r="E22" s="624">
        <f>'Schedule 7 Workpaper'!E23</f>
        <v>2680.97</v>
      </c>
      <c r="F22" s="624">
        <f>'Schedule 7 Workpaper'!O23</f>
        <v>729.28</v>
      </c>
      <c r="G22" s="625">
        <f>'Schedule 7 Workpaper'!Q23</f>
        <v>50.94</v>
      </c>
    </row>
    <row r="23" spans="1:7">
      <c r="A23" s="216" t="str">
        <f>'Schedule 7 Workpaper'!B24</f>
        <v>Lower Malad Power Plant</v>
      </c>
      <c r="B23" s="329">
        <f>'Schedule 7 Workpaper'!C24</f>
        <v>353</v>
      </c>
      <c r="C23" s="329">
        <f>'Schedule 7 Workpaper'!D24</f>
        <v>1948</v>
      </c>
      <c r="D23" s="623">
        <f>'Schedule 7 Workpaper'!G24 + 'Schedule 7 Workpaper'!J24+'Schedule 7 Workpaper'!M24</f>
        <v>65</v>
      </c>
      <c r="E23" s="624">
        <f>'Schedule 7 Workpaper'!E24</f>
        <v>81118.75</v>
      </c>
      <c r="F23" s="624">
        <f>'Schedule 7 Workpaper'!O24</f>
        <v>111491.23999999999</v>
      </c>
      <c r="G23" s="625">
        <f>'Schedule 7 Workpaper'!Q24</f>
        <v>1541.26</v>
      </c>
    </row>
    <row r="24" spans="1:7">
      <c r="A24" s="216" t="str">
        <f>'Schedule 7 Workpaper'!B25</f>
        <v>Lower Malad Power Plant</v>
      </c>
      <c r="B24" s="329">
        <f>'Schedule 7 Workpaper'!C25</f>
        <v>353</v>
      </c>
      <c r="C24" s="329">
        <f>'Schedule 7 Workpaper'!D25</f>
        <v>1958</v>
      </c>
      <c r="D24" s="623">
        <f>'Schedule 7 Workpaper'!G25 + 'Schedule 7 Workpaper'!J25+'Schedule 7 Workpaper'!M25</f>
        <v>55</v>
      </c>
      <c r="E24" s="624">
        <f>'Schedule 7 Workpaper'!E25</f>
        <v>1551.05</v>
      </c>
      <c r="F24" s="624">
        <f>'Schedule 7 Workpaper'!O25</f>
        <v>1802.96</v>
      </c>
      <c r="G24" s="625">
        <f>'Schedule 7 Workpaper'!Q25</f>
        <v>29.47</v>
      </c>
    </row>
    <row r="25" spans="1:7">
      <c r="A25" s="216" t="str">
        <f>'Schedule 7 Workpaper'!B26</f>
        <v>Lower Salmon Power Plant Goodi</v>
      </c>
      <c r="B25" s="329">
        <f>'Schedule 7 Workpaper'!C26</f>
        <v>353</v>
      </c>
      <c r="C25" s="329">
        <f>'Schedule 7 Workpaper'!D26</f>
        <v>1949</v>
      </c>
      <c r="D25" s="623">
        <f>'Schedule 7 Workpaper'!G26 + 'Schedule 7 Workpaper'!J26+'Schedule 7 Workpaper'!M26</f>
        <v>64</v>
      </c>
      <c r="E25" s="624">
        <f>'Schedule 7 Workpaper'!E26</f>
        <v>303512.28999999998</v>
      </c>
      <c r="F25" s="624">
        <f>'Schedule 7 Workpaper'!O26</f>
        <v>410718.91</v>
      </c>
      <c r="G25" s="625">
        <f>'Schedule 7 Workpaper'!Q26</f>
        <v>5766.73</v>
      </c>
    </row>
    <row r="26" spans="1:7">
      <c r="A26" s="216" t="str">
        <f>'Schedule 7 Workpaper'!B27</f>
        <v>Milner Power Plant</v>
      </c>
      <c r="B26" s="329">
        <f>'Schedule 7 Workpaper'!C27</f>
        <v>353</v>
      </c>
      <c r="C26" s="329">
        <f>'Schedule 7 Workpaper'!D27</f>
        <v>1992</v>
      </c>
      <c r="D26" s="623">
        <f>'Schedule 7 Workpaper'!G27 + 'Schedule 7 Workpaper'!J27+'Schedule 7 Workpaper'!M27</f>
        <v>21</v>
      </c>
      <c r="E26" s="624">
        <f>'Schedule 7 Workpaper'!E27</f>
        <v>664293.88</v>
      </c>
      <c r="F26" s="624">
        <f>'Schedule 7 Workpaper'!O27</f>
        <v>293365.46000000002</v>
      </c>
      <c r="G26" s="625">
        <f>'Schedule 7 Workpaper'!Q27</f>
        <v>12621.58</v>
      </c>
    </row>
    <row r="27" spans="1:7">
      <c r="A27" s="216" t="str">
        <f>'Schedule 7 Workpaper'!B28</f>
        <v>Oxbow Power Plant Baker</v>
      </c>
      <c r="B27" s="329">
        <f>'Schedule 7 Workpaper'!C28</f>
        <v>353</v>
      </c>
      <c r="C27" s="329">
        <f>'Schedule 7 Workpaper'!D28</f>
        <v>1949</v>
      </c>
      <c r="D27" s="623">
        <f>'Schedule 7 Workpaper'!G28 + 'Schedule 7 Workpaper'!J28+'Schedule 7 Workpaper'!M28</f>
        <v>64</v>
      </c>
      <c r="E27" s="624">
        <f>'Schedule 7 Workpaper'!E28</f>
        <v>100827.22</v>
      </c>
      <c r="F27" s="624">
        <f>'Schedule 7 Workpaper'!O28</f>
        <v>136441.42000000001</v>
      </c>
      <c r="G27" s="625">
        <f>'Schedule 7 Workpaper'!Q28</f>
        <v>1915.72</v>
      </c>
    </row>
    <row r="28" spans="1:7">
      <c r="A28" s="216" t="str">
        <f>'Schedule 7 Workpaper'!B29</f>
        <v>Oxbow Power Plant Baker</v>
      </c>
      <c r="B28" s="329">
        <f>'Schedule 7 Workpaper'!C29</f>
        <v>353</v>
      </c>
      <c r="C28" s="329">
        <f>'Schedule 7 Workpaper'!D29</f>
        <v>1951</v>
      </c>
      <c r="D28" s="623">
        <f>'Schedule 7 Workpaper'!G29 + 'Schedule 7 Workpaper'!J29+'Schedule 7 Workpaper'!M29</f>
        <v>62</v>
      </c>
      <c r="E28" s="624">
        <f>'Schedule 7 Workpaper'!E29</f>
        <v>43216.23</v>
      </c>
      <c r="F28" s="624">
        <f>'Schedule 7 Workpaper'!O29</f>
        <v>56648.7</v>
      </c>
      <c r="G28" s="625">
        <f>'Schedule 7 Workpaper'!Q29</f>
        <v>821.11</v>
      </c>
    </row>
    <row r="29" spans="1:7">
      <c r="A29" s="216" t="str">
        <f>'Schedule 7 Workpaper'!B30</f>
        <v>Oxbow Power Plant Baker</v>
      </c>
      <c r="B29" s="329">
        <f>'Schedule 7 Workpaper'!C30</f>
        <v>353</v>
      </c>
      <c r="C29" s="329">
        <f>'Schedule 7 Workpaper'!D30</f>
        <v>1957</v>
      </c>
      <c r="D29" s="623">
        <f>'Schedule 7 Workpaper'!G30 + 'Schedule 7 Workpaper'!J30+'Schedule 7 Workpaper'!M30</f>
        <v>56</v>
      </c>
      <c r="E29" s="624">
        <f>'Schedule 7 Workpaper'!E30</f>
        <v>208866.2</v>
      </c>
      <c r="F29" s="624">
        <f>'Schedule 7 Workpaper'!O30</f>
        <v>247218.21</v>
      </c>
      <c r="G29" s="625">
        <f>'Schedule 7 Workpaper'!Q30</f>
        <v>3968.46</v>
      </c>
    </row>
    <row r="30" spans="1:7">
      <c r="A30" s="216" t="str">
        <f>'Schedule 7 Workpaper'!B31</f>
        <v>Oxbow Power Plant Baker</v>
      </c>
      <c r="B30" s="329">
        <f>'Schedule 7 Workpaper'!C31</f>
        <v>353</v>
      </c>
      <c r="C30" s="329">
        <f>'Schedule 7 Workpaper'!D31</f>
        <v>1961</v>
      </c>
      <c r="D30" s="623">
        <f>'Schedule 7 Workpaper'!G31 + 'Schedule 7 Workpaper'!J31+'Schedule 7 Workpaper'!M31</f>
        <v>52</v>
      </c>
      <c r="E30" s="624">
        <f>'Schedule 7 Workpaper'!E31</f>
        <v>423845.86</v>
      </c>
      <c r="F30" s="624">
        <f>'Schedule 7 Workpaper'!O31</f>
        <v>465730.30000000005</v>
      </c>
      <c r="G30" s="625">
        <f>'Schedule 7 Workpaper'!Q31</f>
        <v>8053.07</v>
      </c>
    </row>
    <row r="31" spans="1:7">
      <c r="A31" s="216" t="str">
        <f>'Schedule 7 Workpaper'!B32</f>
        <v>Oxbow Power Plant Baker</v>
      </c>
      <c r="B31" s="329">
        <f>'Schedule 7 Workpaper'!C32</f>
        <v>353</v>
      </c>
      <c r="C31" s="329">
        <f>'Schedule 7 Workpaper'!D32</f>
        <v>1979</v>
      </c>
      <c r="D31" s="623">
        <f>'Schedule 7 Workpaper'!G32 + 'Schedule 7 Workpaper'!J32+'Schedule 7 Workpaper'!M32</f>
        <v>34</v>
      </c>
      <c r="E31" s="624">
        <f>'Schedule 7 Workpaper'!E32</f>
        <v>2963.82</v>
      </c>
      <c r="F31" s="624">
        <f>'Schedule 7 Workpaper'!O32</f>
        <v>2125.7099999999996</v>
      </c>
      <c r="G31" s="625">
        <f>'Schedule 7 Workpaper'!Q32</f>
        <v>56.31</v>
      </c>
    </row>
    <row r="32" spans="1:7">
      <c r="A32" s="216" t="str">
        <f>'Schedule 7 Workpaper'!B33</f>
        <v>Oxbow Power Plant Baker</v>
      </c>
      <c r="B32" s="329">
        <f>'Schedule 7 Workpaper'!C33</f>
        <v>353</v>
      </c>
      <c r="C32" s="329">
        <f>'Schedule 7 Workpaper'!D33</f>
        <v>1980</v>
      </c>
      <c r="D32" s="623">
        <f>'Schedule 7 Workpaper'!G33 + 'Schedule 7 Workpaper'!J33+'Schedule 7 Workpaper'!M33</f>
        <v>33</v>
      </c>
      <c r="E32" s="624">
        <f>'Schedule 7 Workpaper'!E33</f>
        <v>6099.17</v>
      </c>
      <c r="F32" s="624">
        <f>'Schedule 7 Workpaper'!O33</f>
        <v>4245.1400000000003</v>
      </c>
      <c r="G32" s="625">
        <f>'Schedule 7 Workpaper'!Q33</f>
        <v>115.88</v>
      </c>
    </row>
    <row r="33" spans="1:7">
      <c r="A33" s="216" t="str">
        <f>'Schedule 7 Workpaper'!B34</f>
        <v>Oxbow Power Plant Baker</v>
      </c>
      <c r="B33" s="329">
        <f>'Schedule 7 Workpaper'!C34</f>
        <v>353</v>
      </c>
      <c r="C33" s="329">
        <f>'Schedule 7 Workpaper'!D34</f>
        <v>2000</v>
      </c>
      <c r="D33" s="623">
        <f>'Schedule 7 Workpaper'!G34 + 'Schedule 7 Workpaper'!J34+'Schedule 7 Workpaper'!M34</f>
        <v>13</v>
      </c>
      <c r="E33" s="624">
        <f>'Schedule 7 Workpaper'!E34</f>
        <v>132897.45000000001</v>
      </c>
      <c r="F33" s="624">
        <f>'Schedule 7 Workpaper'!O34</f>
        <v>36150.759999999995</v>
      </c>
      <c r="G33" s="625">
        <f>'Schedule 7 Workpaper'!Q34</f>
        <v>2525.0500000000002</v>
      </c>
    </row>
    <row r="34" spans="1:7">
      <c r="A34" s="216" t="str">
        <f>'Schedule 7 Workpaper'!B35</f>
        <v>Oxbow Power Plant Baker</v>
      </c>
      <c r="B34" s="329">
        <f>'Schedule 7 Workpaper'!C35</f>
        <v>353</v>
      </c>
      <c r="C34" s="329">
        <f>'Schedule 7 Workpaper'!D35</f>
        <v>2000</v>
      </c>
      <c r="D34" s="623">
        <f>'Schedule 7 Workpaper'!G35 + 'Schedule 7 Workpaper'!J35+'Schedule 7 Workpaper'!M35</f>
        <v>13</v>
      </c>
      <c r="E34" s="624">
        <f>'Schedule 7 Workpaper'!E35</f>
        <v>3395.4</v>
      </c>
      <c r="F34" s="624">
        <f>'Schedule 7 Workpaper'!O35</f>
        <v>923.62</v>
      </c>
      <c r="G34" s="625">
        <f>'Schedule 7 Workpaper'!Q35</f>
        <v>64.510000000000005</v>
      </c>
    </row>
    <row r="35" spans="1:7">
      <c r="A35" s="216" t="str">
        <f>'Schedule 7 Workpaper'!B36</f>
        <v>Shoshone Falls Power Plant Jer</v>
      </c>
      <c r="B35" s="329">
        <f>'Schedule 7 Workpaper'!C36</f>
        <v>353</v>
      </c>
      <c r="C35" s="329">
        <f>'Schedule 7 Workpaper'!D36</f>
        <v>1992</v>
      </c>
      <c r="D35" s="623">
        <f>'Schedule 7 Workpaper'!G36 + 'Schedule 7 Workpaper'!J36+'Schedule 7 Workpaper'!M36</f>
        <v>21</v>
      </c>
      <c r="E35" s="624">
        <f>'Schedule 7 Workpaper'!E36</f>
        <v>306659.17</v>
      </c>
      <c r="F35" s="624">
        <f>'Schedule 7 Workpaper'!O36</f>
        <v>135426.82</v>
      </c>
      <c r="G35" s="625">
        <f>'Schedule 7 Workpaper'!Q36</f>
        <v>5826.52</v>
      </c>
    </row>
    <row r="36" spans="1:7">
      <c r="A36" s="216" t="str">
        <f>'Schedule 7 Workpaper'!B37</f>
        <v>Strike C J Power Plant Owyhee</v>
      </c>
      <c r="B36" s="329">
        <f>'Schedule 7 Workpaper'!C37</f>
        <v>353</v>
      </c>
      <c r="C36" s="329">
        <f>'Schedule 7 Workpaper'!D37</f>
        <v>1952</v>
      </c>
      <c r="D36" s="623">
        <f>'Schedule 7 Workpaper'!G37 + 'Schedule 7 Workpaper'!J37+'Schedule 7 Workpaper'!M37</f>
        <v>61</v>
      </c>
      <c r="E36" s="624">
        <f>'Schedule 7 Workpaper'!E37</f>
        <v>344946.87</v>
      </c>
      <c r="F36" s="624">
        <f>'Schedule 7 Workpaper'!O37</f>
        <v>444850.38</v>
      </c>
      <c r="G36" s="625">
        <f>'Schedule 7 Workpaper'!Q37</f>
        <v>6553.99</v>
      </c>
    </row>
    <row r="37" spans="1:7">
      <c r="A37" s="216" t="str">
        <f>'Schedule 7 Workpaper'!B38</f>
        <v>Strike C J Power Plant Owyhee</v>
      </c>
      <c r="B37" s="329">
        <f>'Schedule 7 Workpaper'!C38</f>
        <v>353</v>
      </c>
      <c r="C37" s="329">
        <f>'Schedule 7 Workpaper'!D38</f>
        <v>1965</v>
      </c>
      <c r="D37" s="623">
        <f>'Schedule 7 Workpaper'!G38 + 'Schedule 7 Workpaper'!J38+'Schedule 7 Workpaper'!M38</f>
        <v>48</v>
      </c>
      <c r="E37" s="624">
        <f>'Schedule 7 Workpaper'!E38</f>
        <v>1480.23</v>
      </c>
      <c r="F37" s="624">
        <f>'Schedule 7 Workpaper'!O38</f>
        <v>1500.9799999999998</v>
      </c>
      <c r="G37" s="625">
        <f>'Schedule 7 Workpaper'!Q38</f>
        <v>28.12</v>
      </c>
    </row>
    <row r="38" spans="1:7">
      <c r="A38" s="216" t="str">
        <f>'Schedule 7 Workpaper'!B39</f>
        <v>Strike C J Power Plant Owyhee</v>
      </c>
      <c r="B38" s="329">
        <f>'Schedule 7 Workpaper'!C39</f>
        <v>353</v>
      </c>
      <c r="C38" s="329">
        <f>'Schedule 7 Workpaper'!D39</f>
        <v>1972</v>
      </c>
      <c r="D38" s="623">
        <f>'Schedule 7 Workpaper'!G39 + 'Schedule 7 Workpaper'!J39+'Schedule 7 Workpaper'!M39</f>
        <v>41</v>
      </c>
      <c r="E38" s="624">
        <f>'Schedule 7 Workpaper'!E39</f>
        <v>609.84</v>
      </c>
      <c r="F38" s="624">
        <f>'Schedule 7 Workpaper'!O39</f>
        <v>527.89</v>
      </c>
      <c r="G38" s="625">
        <f>'Schedule 7 Workpaper'!Q39</f>
        <v>11.59</v>
      </c>
    </row>
    <row r="39" spans="1:7">
      <c r="A39" s="216" t="str">
        <f>'Schedule 7 Workpaper'!B40</f>
        <v>Strike C J Power Plant Owyhee</v>
      </c>
      <c r="B39" s="329">
        <f>'Schedule 7 Workpaper'!C40</f>
        <v>353</v>
      </c>
      <c r="C39" s="329">
        <f>'Schedule 7 Workpaper'!D40</f>
        <v>1973</v>
      </c>
      <c r="D39" s="623">
        <f>'Schedule 7 Workpaper'!G40 + 'Schedule 7 Workpaper'!J40+'Schedule 7 Workpaper'!M40</f>
        <v>40</v>
      </c>
      <c r="E39" s="624">
        <f>'Schedule 7 Workpaper'!E40</f>
        <v>316.68</v>
      </c>
      <c r="F39" s="624">
        <f>'Schedule 7 Workpaper'!O40</f>
        <v>267.41000000000003</v>
      </c>
      <c r="G39" s="625">
        <f>'Schedule 7 Workpaper'!Q40</f>
        <v>6.02</v>
      </c>
    </row>
    <row r="40" spans="1:7">
      <c r="A40" s="216" t="str">
        <f>'Schedule 7 Workpaper'!B41</f>
        <v>Strike C J Power Plant Owyhee</v>
      </c>
      <c r="B40" s="329">
        <f>'Schedule 7 Workpaper'!C41</f>
        <v>353</v>
      </c>
      <c r="C40" s="329">
        <f>'Schedule 7 Workpaper'!D41</f>
        <v>1982</v>
      </c>
      <c r="D40" s="623">
        <f>'Schedule 7 Workpaper'!G41 + 'Schedule 7 Workpaper'!J41+'Schedule 7 Workpaper'!M41</f>
        <v>31</v>
      </c>
      <c r="E40" s="624">
        <f>'Schedule 7 Workpaper'!E41</f>
        <v>32437.37</v>
      </c>
      <c r="F40" s="624">
        <f>'Schedule 7 Workpaper'!O41</f>
        <v>21201.72</v>
      </c>
      <c r="G40" s="625">
        <f>'Schedule 7 Workpaper'!Q41</f>
        <v>616.30999999999995</v>
      </c>
    </row>
    <row r="41" spans="1:7">
      <c r="A41" s="216" t="str">
        <f>'Schedule 7 Workpaper'!B42</f>
        <v>Swan Falls Power Plant Ada</v>
      </c>
      <c r="B41" s="329">
        <f>'Schedule 7 Workpaper'!C42</f>
        <v>353</v>
      </c>
      <c r="C41" s="329">
        <f>'Schedule 7 Workpaper'!D42</f>
        <v>1994</v>
      </c>
      <c r="D41" s="623">
        <f>'Schedule 7 Workpaper'!G42 + 'Schedule 7 Workpaper'!J42+'Schedule 7 Workpaper'!M42</f>
        <v>19</v>
      </c>
      <c r="E41" s="624">
        <f>'Schedule 7 Workpaper'!E42</f>
        <v>432054.7</v>
      </c>
      <c r="F41" s="624">
        <f>'Schedule 7 Workpaper'!O42</f>
        <v>172484.87</v>
      </c>
      <c r="G41" s="625">
        <f>'Schedule 7 Workpaper'!Q42</f>
        <v>8209.0400000000009</v>
      </c>
    </row>
    <row r="42" spans="1:7">
      <c r="A42" s="216" t="str">
        <f>'Schedule 7 Workpaper'!B43</f>
        <v>Swan Falls Power Plant Ada</v>
      </c>
      <c r="B42" s="329">
        <f>'Schedule 7 Workpaper'!C43</f>
        <v>353</v>
      </c>
      <c r="C42" s="329">
        <f>'Schedule 7 Workpaper'!D43</f>
        <v>1999</v>
      </c>
      <c r="D42" s="623">
        <f>'Schedule 7 Workpaper'!G43 + 'Schedule 7 Workpaper'!J43+'Schedule 7 Workpaper'!M43</f>
        <v>14</v>
      </c>
      <c r="E42" s="624">
        <f>'Schedule 7 Workpaper'!E43</f>
        <v>3.04</v>
      </c>
      <c r="F42" s="624">
        <f>'Schedule 7 Workpaper'!O43</f>
        <v>0.89</v>
      </c>
      <c r="G42" s="625">
        <f>'Schedule 7 Workpaper'!Q43</f>
        <v>0.06</v>
      </c>
    </row>
    <row r="43" spans="1:7">
      <c r="A43" s="216" t="str">
        <f>'Schedule 7 Workpaper'!B44</f>
        <v>Twin Falls Power Plant Twin Fa</v>
      </c>
      <c r="B43" s="329">
        <f>'Schedule 7 Workpaper'!C44</f>
        <v>353</v>
      </c>
      <c r="C43" s="329">
        <f>'Schedule 7 Workpaper'!D44</f>
        <v>1949</v>
      </c>
      <c r="D43" s="623">
        <f>'Schedule 7 Workpaper'!G44 + 'Schedule 7 Workpaper'!J44+'Schedule 7 Workpaper'!M44</f>
        <v>64</v>
      </c>
      <c r="E43" s="624">
        <f>'Schedule 7 Workpaper'!E44</f>
        <v>39458.78</v>
      </c>
      <c r="F43" s="624">
        <f>'Schedule 7 Workpaper'!O44</f>
        <v>53396.42</v>
      </c>
      <c r="G43" s="625">
        <f>'Schedule 7 Workpaper'!Q44</f>
        <v>749.72</v>
      </c>
    </row>
    <row r="44" spans="1:7">
      <c r="A44" s="216" t="str">
        <f>'Schedule 7 Workpaper'!B45</f>
        <v>Twin Falls Power Plant (New)</v>
      </c>
      <c r="B44" s="329">
        <f>'Schedule 7 Workpaper'!C45</f>
        <v>353</v>
      </c>
      <c r="C44" s="329">
        <f>'Schedule 7 Workpaper'!D45</f>
        <v>1995</v>
      </c>
      <c r="D44" s="623">
        <f>'Schedule 7 Workpaper'!G45 + 'Schedule 7 Workpaper'!J45+'Schedule 7 Workpaper'!M45</f>
        <v>18</v>
      </c>
      <c r="E44" s="624">
        <f>'Schedule 7 Workpaper'!E45</f>
        <v>430708.27</v>
      </c>
      <c r="F44" s="624">
        <f>'Schedule 7 Workpaper'!O45</f>
        <v>162816.35</v>
      </c>
      <c r="G44" s="625">
        <f>'Schedule 7 Workpaper'!Q45</f>
        <v>8183.46</v>
      </c>
    </row>
    <row r="45" spans="1:7">
      <c r="A45" s="216" t="str">
        <f>'Schedule 7 Workpaper'!B46</f>
        <v>Thousand Springs Power Plant</v>
      </c>
      <c r="B45" s="329">
        <f>'Schedule 7 Workpaper'!C46</f>
        <v>353</v>
      </c>
      <c r="C45" s="329">
        <f>'Schedule 7 Workpaper'!D46</f>
        <v>1956</v>
      </c>
      <c r="D45" s="623">
        <f>'Schedule 7 Workpaper'!G46 + 'Schedule 7 Workpaper'!J46+'Schedule 7 Workpaper'!M46</f>
        <v>57</v>
      </c>
      <c r="E45" s="624">
        <f>'Schedule 7 Workpaper'!E46</f>
        <v>36470.01</v>
      </c>
      <c r="F45" s="624">
        <f>'Schedule 7 Workpaper'!O46</f>
        <v>43939.79</v>
      </c>
      <c r="G45" s="625">
        <f>'Schedule 7 Workpaper'!Q46</f>
        <v>692.93</v>
      </c>
    </row>
    <row r="46" spans="1:7">
      <c r="A46" s="216" t="str">
        <f>'Schedule 7 Workpaper'!B47</f>
        <v>Upper Malad Power Plant</v>
      </c>
      <c r="B46" s="329">
        <f>'Schedule 7 Workpaper'!C47</f>
        <v>353</v>
      </c>
      <c r="C46" s="329">
        <f>'Schedule 7 Workpaper'!D47</f>
        <v>1948</v>
      </c>
      <c r="D46" s="623">
        <f>'Schedule 7 Workpaper'!G47 + 'Schedule 7 Workpaper'!J47+'Schedule 7 Workpaper'!M47</f>
        <v>65</v>
      </c>
      <c r="E46" s="624">
        <f>'Schedule 7 Workpaper'!E47</f>
        <v>31129.21</v>
      </c>
      <c r="F46" s="624">
        <f>'Schedule 7 Workpaper'!O47</f>
        <v>42784.61</v>
      </c>
      <c r="G46" s="625">
        <f>'Schedule 7 Workpaper'!Q47</f>
        <v>591.45000000000005</v>
      </c>
    </row>
    <row r="47" spans="1:7">
      <c r="A47" s="216" t="str">
        <f>'Schedule 7 Workpaper'!B48</f>
        <v>Upper Malad Power Plant</v>
      </c>
      <c r="B47" s="329">
        <f>'Schedule 7 Workpaper'!C48</f>
        <v>353</v>
      </c>
      <c r="C47" s="329">
        <f>'Schedule 7 Workpaper'!D48</f>
        <v>1987</v>
      </c>
      <c r="D47" s="623">
        <f>'Schedule 7 Workpaper'!G48 + 'Schedule 7 Workpaper'!J48+'Schedule 7 Workpaper'!M48</f>
        <v>26</v>
      </c>
      <c r="E47" s="624">
        <f>'Schedule 7 Workpaper'!E48</f>
        <v>2109.16</v>
      </c>
      <c r="F47" s="624">
        <f>'Schedule 7 Workpaper'!O48</f>
        <v>1155.01</v>
      </c>
      <c r="G47" s="625">
        <f>'Schedule 7 Workpaper'!Q48</f>
        <v>40.07</v>
      </c>
    </row>
    <row r="48" spans="1:7">
      <c r="A48" s="216" t="str">
        <f>'Schedule 7 Workpaper'!B49</f>
        <v>Upper Malad Power Plant</v>
      </c>
      <c r="B48" s="329">
        <f>'Schedule 7 Workpaper'!C49</f>
        <v>353</v>
      </c>
      <c r="C48" s="329">
        <f>'Schedule 7 Workpaper'!D49</f>
        <v>1988</v>
      </c>
      <c r="D48" s="623">
        <f>'Schedule 7 Workpaper'!G49 + 'Schedule 7 Workpaper'!J49+'Schedule 7 Workpaper'!M49</f>
        <v>25</v>
      </c>
      <c r="E48" s="624">
        <f>'Schedule 7 Workpaper'!E49</f>
        <v>278.93</v>
      </c>
      <c r="F48" s="624">
        <f>'Schedule 7 Workpaper'!O49</f>
        <v>146.82999999999998</v>
      </c>
      <c r="G48" s="625">
        <f>'Schedule 7 Workpaper'!Q49</f>
        <v>5.3</v>
      </c>
    </row>
    <row r="49" spans="1:7">
      <c r="A49" s="216" t="str">
        <f>'Schedule 7 Workpaper'!B50</f>
        <v>Upper Salmon A Power Plant</v>
      </c>
      <c r="B49" s="329">
        <f>'Schedule 7 Workpaper'!C50</f>
        <v>353</v>
      </c>
      <c r="C49" s="329">
        <f>'Schedule 7 Workpaper'!D50</f>
        <v>1937</v>
      </c>
      <c r="D49" s="623">
        <f>'Schedule 7 Workpaper'!G50 + 'Schedule 7 Workpaper'!J50+'Schedule 7 Workpaper'!M50</f>
        <v>76</v>
      </c>
      <c r="E49" s="624">
        <f>'Schedule 7 Workpaper'!E50</f>
        <v>72167.73</v>
      </c>
      <c r="F49" s="624">
        <f>'Schedule 7 Workpaper'!O50</f>
        <v>116018.29</v>
      </c>
      <c r="G49" s="625">
        <f>'Schedule 7 Workpaper'!Q50</f>
        <v>1371.19</v>
      </c>
    </row>
    <row r="50" spans="1:7">
      <c r="A50" s="216" t="str">
        <f>'Schedule 7 Workpaper'!B51</f>
        <v>Upper Salmon A Power Plant</v>
      </c>
      <c r="B50" s="329">
        <f>'Schedule 7 Workpaper'!C51</f>
        <v>353</v>
      </c>
      <c r="C50" s="329">
        <f>'Schedule 7 Workpaper'!D51</f>
        <v>1954</v>
      </c>
      <c r="D50" s="623">
        <f>'Schedule 7 Workpaper'!G51 + 'Schedule 7 Workpaper'!J51+'Schedule 7 Workpaper'!M51</f>
        <v>59</v>
      </c>
      <c r="E50" s="624">
        <f>'Schedule 7 Workpaper'!E51</f>
        <v>418.06</v>
      </c>
      <c r="F50" s="624">
        <f>'Schedule 7 Workpaper'!O51</f>
        <v>521.42000000000007</v>
      </c>
      <c r="G50" s="625">
        <f>'Schedule 7 Workpaper'!Q51</f>
        <v>7.94</v>
      </c>
    </row>
    <row r="51" spans="1:7">
      <c r="A51" s="216" t="str">
        <f>'Schedule 7 Workpaper'!B52</f>
        <v>Upper Salmon B Power Plant</v>
      </c>
      <c r="B51" s="329">
        <f>'Schedule 7 Workpaper'!C52</f>
        <v>353</v>
      </c>
      <c r="C51" s="329">
        <f>'Schedule 7 Workpaper'!D52</f>
        <v>1947</v>
      </c>
      <c r="D51" s="623">
        <f>'Schedule 7 Workpaper'!G52 + 'Schedule 7 Workpaper'!J52+'Schedule 7 Workpaper'!M52</f>
        <v>66</v>
      </c>
      <c r="E51" s="624">
        <f>'Schedule 7 Workpaper'!E52</f>
        <v>70392.59</v>
      </c>
      <c r="F51" s="624">
        <f>'Schedule 7 Workpaper'!O52</f>
        <v>98241.31</v>
      </c>
      <c r="G51" s="625">
        <f>'Schedule 7 Workpaper'!Q52</f>
        <v>1337.46</v>
      </c>
    </row>
    <row r="52" spans="1:7">
      <c r="A52" s="216" t="str">
        <f>'Schedule 7 Workpaper'!B53</f>
        <v>Boardman</v>
      </c>
      <c r="B52" s="329">
        <f>'Schedule 7 Workpaper'!C53</f>
        <v>353</v>
      </c>
      <c r="C52" s="329">
        <f>'Schedule 7 Workpaper'!D53</f>
        <v>1980</v>
      </c>
      <c r="D52" s="623">
        <f>'Schedule 7 Workpaper'!G53 + 'Schedule 7 Workpaper'!J53+'Schedule 7 Workpaper'!M53</f>
        <v>33</v>
      </c>
      <c r="E52" s="624">
        <f>'Schedule 7 Workpaper'!E53</f>
        <v>373215.24</v>
      </c>
      <c r="F52" s="624">
        <f>'Schedule 7 Workpaper'!O53</f>
        <v>259765.27</v>
      </c>
      <c r="G52" s="625">
        <f>'Schedule 7 Workpaper'!Q53</f>
        <v>7091.09</v>
      </c>
    </row>
    <row r="53" spans="1:7">
      <c r="A53" s="216" t="str">
        <f>'Schedule 7 Workpaper'!B54</f>
        <v>Boardman</v>
      </c>
      <c r="B53" s="329">
        <f>'Schedule 7 Workpaper'!C54</f>
        <v>353</v>
      </c>
      <c r="C53" s="329">
        <f>'Schedule 7 Workpaper'!D54</f>
        <v>1992</v>
      </c>
      <c r="D53" s="623">
        <f>'Schedule 7 Workpaper'!G54 + 'Schedule 7 Workpaper'!J54+'Schedule 7 Workpaper'!M54</f>
        <v>21</v>
      </c>
      <c r="E53" s="624">
        <f>'Schedule 7 Workpaper'!E54</f>
        <v>2010.51</v>
      </c>
      <c r="F53" s="624">
        <f>'Schedule 7 Workpaper'!O54</f>
        <v>887.89</v>
      </c>
      <c r="G53" s="625">
        <f>'Schedule 7 Workpaper'!Q54</f>
        <v>38.200000000000003</v>
      </c>
    </row>
    <row r="54" spans="1:7">
      <c r="A54" s="216" t="str">
        <f>'Schedule 7 Workpaper'!B55</f>
        <v>Boardman</v>
      </c>
      <c r="B54" s="329">
        <f>'Schedule 7 Workpaper'!C55</f>
        <v>353</v>
      </c>
      <c r="C54" s="329">
        <f>'Schedule 7 Workpaper'!D55</f>
        <v>2003</v>
      </c>
      <c r="D54" s="623">
        <f>'Schedule 7 Workpaper'!G55 + 'Schedule 7 Workpaper'!J55+'Schedule 7 Workpaper'!M55</f>
        <v>10</v>
      </c>
      <c r="E54" s="624">
        <f>'Schedule 7 Workpaper'!E55</f>
        <v>64212.69</v>
      </c>
      <c r="F54" s="624">
        <f>'Schedule 7 Workpaper'!O55</f>
        <v>13383.2</v>
      </c>
      <c r="G54" s="625">
        <f>'Schedule 7 Workpaper'!Q55</f>
        <v>1220.04</v>
      </c>
    </row>
    <row r="55" spans="1:7">
      <c r="A55" s="216" t="str">
        <f>'Schedule 7 Workpaper'!B56</f>
        <v>Boardman</v>
      </c>
      <c r="B55" s="329">
        <f>'Schedule 7 Workpaper'!C56</f>
        <v>353</v>
      </c>
      <c r="C55" s="329">
        <f>'Schedule 7 Workpaper'!D56</f>
        <v>2007</v>
      </c>
      <c r="D55" s="623">
        <f>'Schedule 7 Workpaper'!G56 + 'Schedule 7 Workpaper'!J56+'Schedule 7 Workpaper'!M56</f>
        <v>6</v>
      </c>
      <c r="E55" s="624">
        <f>'Schedule 7 Workpaper'!E56</f>
        <v>3243.66</v>
      </c>
      <c r="F55" s="624">
        <f>'Schedule 7 Workpaper'!O56</f>
        <v>400.99</v>
      </c>
      <c r="G55" s="625">
        <f>'Schedule 7 Workpaper'!Q56</f>
        <v>61.63</v>
      </c>
    </row>
    <row r="56" spans="1:7">
      <c r="A56" s="216" t="str">
        <f>'Schedule 7 Workpaper'!B57</f>
        <v>Boardman</v>
      </c>
      <c r="B56" s="329">
        <f>'Schedule 7 Workpaper'!C57</f>
        <v>353</v>
      </c>
      <c r="C56" s="329">
        <f>'Schedule 7 Workpaper'!D57</f>
        <v>2009</v>
      </c>
      <c r="D56" s="623">
        <f>'Schedule 7 Workpaper'!G57 + 'Schedule 7 Workpaper'!J57+'Schedule 7 Workpaper'!M57</f>
        <v>4</v>
      </c>
      <c r="E56" s="624">
        <f>'Schedule 7 Workpaper'!E57</f>
        <v>6429.87</v>
      </c>
      <c r="F56" s="624">
        <f>'Schedule 7 Workpaper'!O57</f>
        <v>523.86</v>
      </c>
      <c r="G56" s="625">
        <f>'Schedule 7 Workpaper'!Q57</f>
        <v>122.17</v>
      </c>
    </row>
    <row r="57" spans="1:7">
      <c r="A57" s="216" t="str">
        <f>'Schedule 7 Workpaper'!B58</f>
        <v>Boardman</v>
      </c>
      <c r="B57" s="329">
        <f>'Schedule 7 Workpaper'!C58</f>
        <v>353</v>
      </c>
      <c r="C57" s="329">
        <f>'Schedule 7 Workpaper'!D58</f>
        <v>2010</v>
      </c>
      <c r="D57" s="623">
        <f>'Schedule 7 Workpaper'!G58 + 'Schedule 7 Workpaper'!J58+'Schedule 7 Workpaper'!M58</f>
        <v>3</v>
      </c>
      <c r="E57" s="624">
        <f>'Schedule 7 Workpaper'!E58</f>
        <v>4030.25</v>
      </c>
      <c r="F57" s="624">
        <f>'Schedule 7 Workpaper'!O58</f>
        <v>245.32999999999998</v>
      </c>
      <c r="G57" s="625">
        <f>'Schedule 7 Workpaper'!Q58</f>
        <v>76.569999999999993</v>
      </c>
    </row>
    <row r="58" spans="1:7">
      <c r="A58" s="216" t="str">
        <f>'Schedule 7 Workpaper'!B59</f>
        <v>Jim Bridger</v>
      </c>
      <c r="B58" s="329">
        <f>'Schedule 7 Workpaper'!C59</f>
        <v>353</v>
      </c>
      <c r="C58" s="329">
        <f>'Schedule 7 Workpaper'!D59</f>
        <v>1975</v>
      </c>
      <c r="D58" s="623">
        <f>'Schedule 7 Workpaper'!G59 + 'Schedule 7 Workpaper'!J59+'Schedule 7 Workpaper'!M59</f>
        <v>38</v>
      </c>
      <c r="E58" s="624">
        <f>'Schedule 7 Workpaper'!E59</f>
        <v>262266</v>
      </c>
      <c r="F58" s="624">
        <f>'Schedule 7 Workpaper'!O59</f>
        <v>210342.58000000002</v>
      </c>
      <c r="G58" s="625">
        <f>'Schedule 7 Workpaper'!Q59</f>
        <v>4983.05</v>
      </c>
    </row>
    <row r="59" spans="1:7">
      <c r="A59" s="216" t="str">
        <f>'Schedule 7 Workpaper'!B60</f>
        <v>Jim Bridger</v>
      </c>
      <c r="B59" s="329">
        <f>'Schedule 7 Workpaper'!C60</f>
        <v>353</v>
      </c>
      <c r="C59" s="329">
        <f>'Schedule 7 Workpaper'!D60</f>
        <v>1976</v>
      </c>
      <c r="D59" s="623">
        <f>'Schedule 7 Workpaper'!G60 + 'Schedule 7 Workpaper'!J60+'Schedule 7 Workpaper'!M60</f>
        <v>37</v>
      </c>
      <c r="E59" s="624">
        <f>'Schedule 7 Workpaper'!E60</f>
        <v>271108.63</v>
      </c>
      <c r="F59" s="624">
        <f>'Schedule 7 Workpaper'!O60</f>
        <v>211687.05</v>
      </c>
      <c r="G59" s="625">
        <f>'Schedule 7 Workpaper'!Q60</f>
        <v>5151.0600000000004</v>
      </c>
    </row>
    <row r="60" spans="1:7">
      <c r="A60" s="216" t="str">
        <f>'Schedule 7 Workpaper'!B61</f>
        <v>Jim Bridger</v>
      </c>
      <c r="B60" s="329">
        <f>'Schedule 7 Workpaper'!C61</f>
        <v>353</v>
      </c>
      <c r="C60" s="329">
        <f>'Schedule 7 Workpaper'!D61</f>
        <v>1990</v>
      </c>
      <c r="D60" s="623">
        <f>'Schedule 7 Workpaper'!G61 + 'Schedule 7 Workpaper'!J61+'Schedule 7 Workpaper'!M61</f>
        <v>23</v>
      </c>
      <c r="E60" s="624">
        <f>'Schedule 7 Workpaper'!E61</f>
        <v>914509.49</v>
      </c>
      <c r="F60" s="624">
        <f>'Schedule 7 Workpaper'!O61</f>
        <v>442640.88</v>
      </c>
      <c r="G60" s="625">
        <f>'Schedule 7 Workpaper'!Q61</f>
        <v>17375.68</v>
      </c>
    </row>
    <row r="61" spans="1:7">
      <c r="A61" s="216" t="str">
        <f>'Schedule 7 Workpaper'!B62</f>
        <v>Jim Bridger</v>
      </c>
      <c r="B61" s="329">
        <f>'Schedule 7 Workpaper'!C62</f>
        <v>353</v>
      </c>
      <c r="C61" s="329">
        <f>'Schedule 7 Workpaper'!D62</f>
        <v>1994</v>
      </c>
      <c r="D61" s="623">
        <f>'Schedule 7 Workpaper'!G62 + 'Schedule 7 Workpaper'!J62+'Schedule 7 Workpaper'!M62</f>
        <v>19</v>
      </c>
      <c r="E61" s="624">
        <f>'Schedule 7 Workpaper'!E62</f>
        <v>42236</v>
      </c>
      <c r="F61" s="624">
        <f>'Schedule 7 Workpaper'!O62</f>
        <v>16861.46</v>
      </c>
      <c r="G61" s="625">
        <f>'Schedule 7 Workpaper'!Q62</f>
        <v>802.48</v>
      </c>
    </row>
    <row r="62" spans="1:7">
      <c r="A62" s="216" t="str">
        <f>'Schedule 7 Workpaper'!B63</f>
        <v>Jim Bridger</v>
      </c>
      <c r="B62" s="329">
        <f>'Schedule 7 Workpaper'!C63</f>
        <v>353</v>
      </c>
      <c r="C62" s="329">
        <f>'Schedule 7 Workpaper'!D63</f>
        <v>1995</v>
      </c>
      <c r="D62" s="623">
        <f>'Schedule 7 Workpaper'!G63 + 'Schedule 7 Workpaper'!J63+'Schedule 7 Workpaper'!M63</f>
        <v>18</v>
      </c>
      <c r="E62" s="624">
        <f>'Schedule 7 Workpaper'!E63</f>
        <v>27259</v>
      </c>
      <c r="F62" s="624">
        <f>'Schedule 7 Workpaper'!O63</f>
        <v>10304.450000000001</v>
      </c>
      <c r="G62" s="625">
        <f>'Schedule 7 Workpaper'!Q63</f>
        <v>517.91999999999996</v>
      </c>
    </row>
    <row r="63" spans="1:7">
      <c r="A63" s="216" t="str">
        <f>'Schedule 7 Workpaper'!B64</f>
        <v>Jim Bridger</v>
      </c>
      <c r="B63" s="329">
        <f>'Schedule 7 Workpaper'!C64</f>
        <v>353</v>
      </c>
      <c r="C63" s="329">
        <f>'Schedule 7 Workpaper'!D64</f>
        <v>1996</v>
      </c>
      <c r="D63" s="623">
        <f>'Schedule 7 Workpaper'!G64 + 'Schedule 7 Workpaper'!J64+'Schedule 7 Workpaper'!M64</f>
        <v>17</v>
      </c>
      <c r="E63" s="624">
        <f>'Schedule 7 Workpaper'!E64</f>
        <v>45684</v>
      </c>
      <c r="F63" s="624">
        <f>'Schedule 7 Workpaper'!O64</f>
        <v>16300.97</v>
      </c>
      <c r="G63" s="625">
        <f>'Schedule 7 Workpaper'!Q64</f>
        <v>868</v>
      </c>
    </row>
    <row r="64" spans="1:7">
      <c r="A64" s="216" t="str">
        <f>'Schedule 7 Workpaper'!B65</f>
        <v>Jim Bridger</v>
      </c>
      <c r="B64" s="329">
        <f>'Schedule 7 Workpaper'!C65</f>
        <v>353</v>
      </c>
      <c r="C64" s="329">
        <f>'Schedule 7 Workpaper'!D65</f>
        <v>2000</v>
      </c>
      <c r="D64" s="623">
        <f>'Schedule 7 Workpaper'!G65 + 'Schedule 7 Workpaper'!J65+'Schedule 7 Workpaper'!M65</f>
        <v>13</v>
      </c>
      <c r="E64" s="624">
        <f>'Schedule 7 Workpaper'!E65</f>
        <v>972906</v>
      </c>
      <c r="F64" s="624">
        <f>'Schedule 7 Workpaper'!O65</f>
        <v>264649.88999999996</v>
      </c>
      <c r="G64" s="625">
        <f>'Schedule 7 Workpaper'!Q65</f>
        <v>18485.21</v>
      </c>
    </row>
    <row r="65" spans="1:7">
      <c r="A65" s="216" t="str">
        <f>'Schedule 7 Workpaper'!B66</f>
        <v>Jim Bridger</v>
      </c>
      <c r="B65" s="329">
        <f>'Schedule 7 Workpaper'!C66</f>
        <v>353</v>
      </c>
      <c r="C65" s="329">
        <f>'Schedule 7 Workpaper'!D66</f>
        <v>2008</v>
      </c>
      <c r="D65" s="623">
        <f>'Schedule 7 Workpaper'!G66 + 'Schedule 7 Workpaper'!J66+'Schedule 7 Workpaper'!M66</f>
        <v>5</v>
      </c>
      <c r="E65" s="624">
        <f>'Schedule 7 Workpaper'!E66</f>
        <v>102767.67999999999</v>
      </c>
      <c r="F65" s="624">
        <f>'Schedule 7 Workpaper'!O66</f>
        <v>10525.46</v>
      </c>
      <c r="G65" s="625">
        <f>'Schedule 7 Workpaper'!Q66</f>
        <v>1952.59</v>
      </c>
    </row>
    <row r="66" spans="1:7">
      <c r="A66" s="216" t="str">
        <f>'Schedule 7 Workpaper'!B67</f>
        <v>Jim Bridger</v>
      </c>
      <c r="B66" s="329">
        <f>'Schedule 7 Workpaper'!C67</f>
        <v>353</v>
      </c>
      <c r="C66" s="329">
        <f>'Schedule 7 Workpaper'!D67</f>
        <v>2011</v>
      </c>
      <c r="D66" s="623">
        <f>'Schedule 7 Workpaper'!G67 + 'Schedule 7 Workpaper'!J67+'Schedule 7 Workpaper'!M67</f>
        <v>2</v>
      </c>
      <c r="E66" s="624">
        <f>'Schedule 7 Workpaper'!E67</f>
        <v>404249.54000000004</v>
      </c>
      <c r="F66" s="624">
        <f>'Schedule 7 Workpaper'!O67</f>
        <v>16279.94</v>
      </c>
      <c r="G66" s="625">
        <f>'Schedule 7 Workpaper'!Q67</f>
        <v>7680.74</v>
      </c>
    </row>
    <row r="67" spans="1:7">
      <c r="A67" s="216" t="str">
        <f>'Schedule 7 Workpaper'!B68</f>
        <v>Valmy #1 &amp; Common Non-Steam</v>
      </c>
      <c r="B67" s="329">
        <f>'Schedule 7 Workpaper'!C68</f>
        <v>353</v>
      </c>
      <c r="C67" s="329">
        <f>'Schedule 7 Workpaper'!D68</f>
        <v>2008</v>
      </c>
      <c r="D67" s="623">
        <f>'Schedule 7 Workpaper'!G68 + 'Schedule 7 Workpaper'!J68+'Schedule 7 Workpaper'!M68</f>
        <v>5</v>
      </c>
      <c r="E67" s="624">
        <f>'Schedule 7 Workpaper'!E68</f>
        <v>2223479.04</v>
      </c>
      <c r="F67" s="624">
        <f>'Schedule 7 Workpaper'!O68</f>
        <v>227728.72999999998</v>
      </c>
      <c r="G67" s="625">
        <f>'Schedule 7 Workpaper'!Q68</f>
        <v>42246.1</v>
      </c>
    </row>
    <row r="68" spans="1:7">
      <c r="A68" s="216" t="str">
        <f>'Schedule 7 Workpaper'!B69</f>
        <v>Valmy #1 &amp; Common Non-Steam</v>
      </c>
      <c r="B68" s="329">
        <f>'Schedule 7 Workpaper'!C69</f>
        <v>353</v>
      </c>
      <c r="C68" s="329">
        <f>'Schedule 7 Workpaper'!D69</f>
        <v>2011</v>
      </c>
      <c r="D68" s="623">
        <f>'Schedule 7 Workpaper'!G69 + 'Schedule 7 Workpaper'!J69+'Schedule 7 Workpaper'!M69</f>
        <v>2</v>
      </c>
      <c r="E68" s="624">
        <f>'Schedule 7 Workpaper'!E69</f>
        <v>63402.18</v>
      </c>
      <c r="F68" s="624">
        <f>'Schedule 7 Workpaper'!O69</f>
        <v>2553.33</v>
      </c>
      <c r="G68" s="625">
        <f>'Schedule 7 Workpaper'!Q69</f>
        <v>1204.6400000000001</v>
      </c>
    </row>
    <row r="69" spans="1:7">
      <c r="A69" s="216" t="str">
        <f>'Schedule 7 Workpaper'!B70</f>
        <v>Valmy #2 Substation</v>
      </c>
      <c r="B69" s="329">
        <f>'Schedule 7 Workpaper'!C70</f>
        <v>352</v>
      </c>
      <c r="C69" s="329">
        <f>'Schedule 7 Workpaper'!D70</f>
        <v>1982</v>
      </c>
      <c r="D69" s="623">
        <f>'Schedule 7 Workpaper'!G70 + 'Schedule 7 Workpaper'!J70+'Schedule 7 Workpaper'!M70</f>
        <v>31</v>
      </c>
      <c r="E69" s="624">
        <f>'Schedule 7 Workpaper'!E70</f>
        <v>55381.11</v>
      </c>
      <c r="F69" s="624">
        <f>'Schedule 7 Workpaper'!O70</f>
        <v>23152.969999999998</v>
      </c>
      <c r="G69" s="625">
        <f>'Schedule 7 Workpaper'!Q70</f>
        <v>1019.01</v>
      </c>
    </row>
    <row r="70" spans="1:7">
      <c r="A70" s="216" t="str">
        <f>'Schedule 7 Workpaper'!B71</f>
        <v>Valmy Unit #1 and Common</v>
      </c>
      <c r="B70" s="329">
        <f>'Schedule 7 Workpaper'!C71</f>
        <v>353</v>
      </c>
      <c r="C70" s="329">
        <f>'Schedule 7 Workpaper'!D71</f>
        <v>1981</v>
      </c>
      <c r="D70" s="623">
        <f>'Schedule 7 Workpaper'!G71 + 'Schedule 7 Workpaper'!J71+'Schedule 7 Workpaper'!M71</f>
        <v>32</v>
      </c>
      <c r="E70" s="624">
        <f>'Schedule 7 Workpaper'!E71</f>
        <v>1367294.6</v>
      </c>
      <c r="F70" s="624">
        <f>'Schedule 7 Workpaper'!O71</f>
        <v>922677.74</v>
      </c>
      <c r="G70" s="625">
        <f>'Schedule 7 Workpaper'!Q71</f>
        <v>25978.6</v>
      </c>
    </row>
    <row r="71" spans="1:7">
      <c r="A71" s="216" t="str">
        <f>'Schedule 7 Workpaper'!B72</f>
        <v>Valmy Unit #1 and Common</v>
      </c>
      <c r="B71" s="329">
        <f>'Schedule 7 Workpaper'!C72</f>
        <v>353</v>
      </c>
      <c r="C71" s="329">
        <f>'Schedule 7 Workpaper'!D72</f>
        <v>1982</v>
      </c>
      <c r="D71" s="623">
        <f>'Schedule 7 Workpaper'!G72 + 'Schedule 7 Workpaper'!J72+'Schedule 7 Workpaper'!M72</f>
        <v>31</v>
      </c>
      <c r="E71" s="624">
        <f>'Schedule 7 Workpaper'!E72</f>
        <v>107606.74</v>
      </c>
      <c r="F71" s="624">
        <f>'Schedule 7 Workpaper'!O72</f>
        <v>70333.919999999998</v>
      </c>
      <c r="G71" s="625">
        <f>'Schedule 7 Workpaper'!Q72</f>
        <v>2044.53</v>
      </c>
    </row>
    <row r="72" spans="1:7">
      <c r="A72" s="216" t="str">
        <f>'Schedule 7 Workpaper'!B73</f>
        <v>Valmy Unit #1 and Common</v>
      </c>
      <c r="B72" s="329">
        <f>'Schedule 7 Workpaper'!C73</f>
        <v>353</v>
      </c>
      <c r="C72" s="329">
        <f>'Schedule 7 Workpaper'!D73</f>
        <v>2005</v>
      </c>
      <c r="D72" s="623">
        <f>'Schedule 7 Workpaper'!G73 + 'Schedule 7 Workpaper'!J73+'Schedule 7 Workpaper'!M73</f>
        <v>8</v>
      </c>
      <c r="E72" s="624">
        <f>'Schedule 7 Workpaper'!E73</f>
        <v>38513.699999999997</v>
      </c>
      <c r="F72" s="624">
        <f>'Schedule 7 Workpaper'!O73</f>
        <v>6394.05</v>
      </c>
      <c r="G72" s="625">
        <f>'Schedule 7 Workpaper'!Q73</f>
        <v>731.76</v>
      </c>
    </row>
    <row r="73" spans="1:7">
      <c r="A73" s="216" t="str">
        <f>'Schedule 7 Workpaper'!B74</f>
        <v>Valmy Unit #1 and Common</v>
      </c>
      <c r="B73" s="329">
        <f>'Schedule 7 Workpaper'!C74</f>
        <v>352</v>
      </c>
      <c r="C73" s="329">
        <f>'Schedule 7 Workpaper'!D74</f>
        <v>1977</v>
      </c>
      <c r="D73" s="623">
        <f>'Schedule 7 Workpaper'!G74 + 'Schedule 7 Workpaper'!J74+'Schedule 7 Workpaper'!M74</f>
        <v>36</v>
      </c>
      <c r="E73" s="624">
        <f>'Schedule 7 Workpaper'!E74</f>
        <v>225984.98</v>
      </c>
      <c r="F73" s="624">
        <f>'Schedule 7 Workpaper'!O74</f>
        <v>109052.66000000002</v>
      </c>
      <c r="G73" s="625">
        <f>'Schedule 7 Workpaper'!Q74</f>
        <v>4158.12</v>
      </c>
    </row>
    <row r="74" spans="1:7">
      <c r="A74" s="216" t="str">
        <f>'Schedule 7 Workpaper'!B75</f>
        <v>Valmy Unit #1 and Common</v>
      </c>
      <c r="B74" s="329">
        <f>'Schedule 7 Workpaper'!C75</f>
        <v>352</v>
      </c>
      <c r="C74" s="329">
        <f>'Schedule 7 Workpaper'!D75</f>
        <v>1982</v>
      </c>
      <c r="D74" s="623">
        <f>'Schedule 7 Workpaper'!G75 + 'Schedule 7 Workpaper'!J75+'Schedule 7 Workpaper'!M75</f>
        <v>31</v>
      </c>
      <c r="E74" s="624">
        <f>'Schedule 7 Workpaper'!E75</f>
        <v>130830.17</v>
      </c>
      <c r="F74" s="624">
        <f>'Schedule 7 Workpaper'!O75</f>
        <v>54695.65</v>
      </c>
      <c r="G74" s="625">
        <f>'Schedule 7 Workpaper'!Q75</f>
        <v>2407.2800000000002</v>
      </c>
    </row>
    <row r="75" spans="1:7">
      <c r="A75" s="216" t="str">
        <f>'Schedule 7 Workpaper'!B76</f>
        <v>Valmy #2 Substation</v>
      </c>
      <c r="B75" s="329">
        <f>'Schedule 7 Workpaper'!C76</f>
        <v>353</v>
      </c>
      <c r="C75" s="329">
        <f>'Schedule 7 Workpaper'!D76</f>
        <v>1985</v>
      </c>
      <c r="D75" s="623">
        <f>'Schedule 7 Workpaper'!G76 + 'Schedule 7 Workpaper'!J76+'Schedule 7 Workpaper'!M76</f>
        <v>28</v>
      </c>
      <c r="E75" s="624">
        <f>'Schedule 7 Workpaper'!E76</f>
        <v>518465.7</v>
      </c>
      <c r="F75" s="624">
        <f>'Schedule 7 Workpaper'!O76</f>
        <v>305905.13</v>
      </c>
      <c r="G75" s="625">
        <f>'Schedule 7 Workpaper'!Q76</f>
        <v>9850.85</v>
      </c>
    </row>
    <row r="76" spans="1:7">
      <c r="A76" s="216" t="str">
        <f>'Schedule 7 Workpaper'!B77</f>
        <v>Valmy #2 Substation</v>
      </c>
      <c r="B76" s="329">
        <f>'Schedule 7 Workpaper'!C77</f>
        <v>353</v>
      </c>
      <c r="C76" s="329">
        <f>'Schedule 7 Workpaper'!D77</f>
        <v>1986</v>
      </c>
      <c r="D76" s="623">
        <f>'Schedule 7 Workpaper'!G77 + 'Schedule 7 Workpaper'!J77+'Schedule 7 Workpaper'!M77</f>
        <v>27</v>
      </c>
      <c r="E76" s="624">
        <f>'Schedule 7 Workpaper'!E77</f>
        <v>4161.2299999999996</v>
      </c>
      <c r="F76" s="624">
        <f>'Schedule 7 Workpaper'!O77</f>
        <v>2366.9900000000002</v>
      </c>
      <c r="G76" s="625">
        <f>'Schedule 7 Workpaper'!Q77</f>
        <v>79.06</v>
      </c>
    </row>
    <row r="77" spans="1:7">
      <c r="A77" s="216" t="str">
        <f>'Schedule 7 Workpaper'!B78</f>
        <v>Valmy #2 Substation</v>
      </c>
      <c r="B77" s="329">
        <f>'Schedule 7 Workpaper'!C78</f>
        <v>353</v>
      </c>
      <c r="C77" s="329">
        <f>'Schedule 7 Workpaper'!D78</f>
        <v>1987</v>
      </c>
      <c r="D77" s="623">
        <f>'Schedule 7 Workpaper'!G78 + 'Schedule 7 Workpaper'!J78+'Schedule 7 Workpaper'!M78</f>
        <v>26</v>
      </c>
      <c r="E77" s="624">
        <f>'Schedule 7 Workpaper'!E78</f>
        <v>70.08</v>
      </c>
      <c r="F77" s="624">
        <f>'Schedule 7 Workpaper'!O78</f>
        <v>38.370000000000005</v>
      </c>
      <c r="G77" s="625">
        <f>'Schedule 7 Workpaper'!Q78</f>
        <v>1.33</v>
      </c>
    </row>
    <row r="78" spans="1:7">
      <c r="A78" s="216" t="str">
        <f>'Schedule 7 Workpaper'!B79</f>
        <v>Valmy #2 Substation</v>
      </c>
      <c r="B78" s="329">
        <f>'Schedule 7 Workpaper'!C79</f>
        <v>353</v>
      </c>
      <c r="C78" s="329">
        <f>'Schedule 7 Workpaper'!D79</f>
        <v>2011</v>
      </c>
      <c r="D78" s="623">
        <f>'Schedule 7 Workpaper'!G79 + 'Schedule 7 Workpaper'!J79+'Schedule 7 Workpaper'!M79</f>
        <v>2</v>
      </c>
      <c r="E78" s="624">
        <f>'Schedule 7 Workpaper'!E79</f>
        <v>22115.47</v>
      </c>
      <c r="F78" s="624">
        <f>'Schedule 7 Workpaper'!O79</f>
        <v>890.63</v>
      </c>
      <c r="G78" s="625">
        <f>'Schedule 7 Workpaper'!Q79</f>
        <v>420.19</v>
      </c>
    </row>
    <row r="79" spans="1:7">
      <c r="A79" s="179"/>
      <c r="B79" s="273"/>
      <c r="C79" s="488"/>
      <c r="D79" s="488"/>
      <c r="E79" s="370"/>
      <c r="F79" s="370"/>
    </row>
    <row r="80" spans="1:7">
      <c r="A80" s="179" t="s">
        <v>561</v>
      </c>
      <c r="B80" s="273"/>
      <c r="C80" s="488"/>
      <c r="D80" s="488"/>
      <c r="E80" s="627">
        <f>SUM(E8:E79)</f>
        <v>22535889.699999992</v>
      </c>
      <c r="F80" s="627">
        <f>SUM(F8:F79)</f>
        <v>10617990.090000005</v>
      </c>
      <c r="G80" s="627">
        <f>SUM(G8:G79)</f>
        <v>427934.57000000007</v>
      </c>
    </row>
    <row r="82" spans="5:7">
      <c r="E82" s="628">
        <f>'Schedule 7 Workpaper'!E81</f>
        <v>22535889.699999992</v>
      </c>
      <c r="F82" s="628">
        <f>'Schedule 7 Workpaper'!O81</f>
        <v>10617990.090000005</v>
      </c>
      <c r="G82" s="628">
        <f>'Schedule 7 Workpaper'!Q81</f>
        <v>427934.57000000007</v>
      </c>
    </row>
    <row r="83" spans="5:7">
      <c r="E83" s="628">
        <f>E82-E80</f>
        <v>0</v>
      </c>
      <c r="F83" s="628">
        <f t="shared" ref="F83:G83" si="0">F82-F80</f>
        <v>0</v>
      </c>
      <c r="G83" s="628">
        <f t="shared" si="0"/>
        <v>0</v>
      </c>
    </row>
    <row r="84" spans="5:7">
      <c r="E84" s="626" t="str">
        <f>IF(E83=0,"","Error")</f>
        <v/>
      </c>
      <c r="F84" s="626" t="str">
        <f t="shared" ref="F84:G84" si="1">IF(F83=0,"","Error")</f>
        <v/>
      </c>
      <c r="G84" s="626" t="str">
        <f t="shared" si="1"/>
        <v/>
      </c>
    </row>
  </sheetData>
  <mergeCells count="5">
    <mergeCell ref="A5:G5"/>
    <mergeCell ref="A1:G1"/>
    <mergeCell ref="A3:G3"/>
    <mergeCell ref="A4:G4"/>
    <mergeCell ref="A2:G2"/>
  </mergeCells>
  <phoneticPr fontId="16"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15.xml><?xml version="1.0" encoding="utf-8"?>
<worksheet xmlns="http://schemas.openxmlformats.org/spreadsheetml/2006/main" xmlns:r="http://schemas.openxmlformats.org/officeDocument/2006/relationships">
  <sheetPr codeName="Sheet15"/>
  <dimension ref="A1:G56"/>
  <sheetViews>
    <sheetView zoomScaleNormal="100" zoomScaleSheetLayoutView="100" workbookViewId="0">
      <selection activeCell="D6" sqref="D6"/>
    </sheetView>
  </sheetViews>
  <sheetFormatPr defaultRowHeight="12.75"/>
  <cols>
    <col min="1" max="1" width="4.140625" style="47" customWidth="1"/>
    <col min="2" max="2" width="31.28515625" style="46" customWidth="1"/>
    <col min="3" max="3" width="10.28515625" style="48" customWidth="1"/>
    <col min="4" max="4" width="8.85546875" style="46" bestFit="1" customWidth="1"/>
    <col min="5" max="5" width="14" style="46" customWidth="1"/>
    <col min="6" max="6" width="13.5703125" style="46" bestFit="1" customWidth="1"/>
    <col min="7" max="7" width="17.85546875" style="46" customWidth="1"/>
    <col min="8" max="9" width="28.28515625" style="46" customWidth="1"/>
    <col min="10" max="16384" width="9.140625" style="46"/>
  </cols>
  <sheetData>
    <row r="1" spans="1:7">
      <c r="A1" s="673" t="s">
        <v>594</v>
      </c>
      <c r="B1" s="673"/>
      <c r="C1" s="673"/>
      <c r="D1" s="673"/>
      <c r="E1" s="673"/>
      <c r="F1" s="673"/>
      <c r="G1" s="673"/>
    </row>
    <row r="2" spans="1:7">
      <c r="A2" s="673" t="s">
        <v>595</v>
      </c>
      <c r="B2" s="673"/>
      <c r="C2" s="673"/>
      <c r="D2" s="673"/>
      <c r="E2" s="673"/>
      <c r="F2" s="673"/>
      <c r="G2" s="673"/>
    </row>
    <row r="3" spans="1:7">
      <c r="A3" s="673" t="s">
        <v>596</v>
      </c>
      <c r="B3" s="673"/>
      <c r="C3" s="673"/>
      <c r="D3" s="673"/>
      <c r="E3" s="673"/>
      <c r="F3" s="673"/>
      <c r="G3" s="673"/>
    </row>
    <row r="4" spans="1:7">
      <c r="A4" s="673" t="s">
        <v>210</v>
      </c>
      <c r="B4" s="673"/>
      <c r="C4" s="673"/>
      <c r="D4" s="673"/>
      <c r="E4" s="673"/>
      <c r="F4" s="673"/>
      <c r="G4" s="673"/>
    </row>
    <row r="5" spans="1:7">
      <c r="B5" s="81"/>
      <c r="C5" s="81"/>
      <c r="D5" s="81"/>
      <c r="E5" s="81"/>
      <c r="F5" s="81"/>
    </row>
    <row r="6" spans="1:7">
      <c r="B6" s="81"/>
      <c r="C6" s="81"/>
      <c r="D6" s="81"/>
      <c r="E6" s="81"/>
      <c r="F6" s="81"/>
    </row>
    <row r="7" spans="1:7" ht="42" customHeight="1" thickBot="1">
      <c r="B7" s="131" t="s">
        <v>41</v>
      </c>
      <c r="C7" s="142" t="s">
        <v>42</v>
      </c>
      <c r="D7" s="131" t="s">
        <v>43</v>
      </c>
      <c r="E7" s="131" t="s">
        <v>896</v>
      </c>
      <c r="F7" s="131" t="s">
        <v>11</v>
      </c>
      <c r="G7" s="143" t="s">
        <v>209</v>
      </c>
    </row>
    <row r="8" spans="1:7">
      <c r="A8" s="47">
        <v>1</v>
      </c>
      <c r="B8" s="49" t="s">
        <v>597</v>
      </c>
      <c r="C8" s="50">
        <v>352</v>
      </c>
      <c r="D8" s="51">
        <v>2005</v>
      </c>
      <c r="E8" s="44">
        <f>'Schedule 8 Workpaper'!D10</f>
        <v>59325</v>
      </c>
      <c r="F8" s="54">
        <f>'Schedule 8 Workpaper'!N10</f>
        <v>7200.04</v>
      </c>
      <c r="G8" s="26">
        <f>'Schedule 8 Workpaper'!P10</f>
        <v>1091.58</v>
      </c>
    </row>
    <row r="9" spans="1:7">
      <c r="A9" s="47">
        <f>A8+1</f>
        <v>2</v>
      </c>
      <c r="B9" s="49" t="s">
        <v>597</v>
      </c>
      <c r="C9" s="50">
        <v>353</v>
      </c>
      <c r="D9" s="51">
        <v>2005</v>
      </c>
      <c r="E9" s="44">
        <f>'Schedule 8 Workpaper'!D11</f>
        <v>49372</v>
      </c>
      <c r="F9" s="54">
        <f>'Schedule 8 Workpaper'!N11</f>
        <v>8196.74</v>
      </c>
      <c r="G9" s="26">
        <f>'Schedule 8 Workpaper'!P11</f>
        <v>938.07</v>
      </c>
    </row>
    <row r="10" spans="1:7">
      <c r="A10" s="47">
        <f t="shared" ref="A10:A17" si="0">A9+1</f>
        <v>3</v>
      </c>
      <c r="B10" s="49" t="s">
        <v>170</v>
      </c>
      <c r="C10" s="50">
        <v>352</v>
      </c>
      <c r="D10" s="51">
        <v>2001</v>
      </c>
      <c r="E10" s="44">
        <f>'Schedule 8 Workpaper'!D12</f>
        <v>89955.44</v>
      </c>
      <c r="F10" s="54">
        <f>'Schedule 8 Workpaper'!N12</f>
        <v>15559.23</v>
      </c>
      <c r="G10" s="26">
        <f>'Schedule 8 Workpaper'!P12</f>
        <v>1655.18</v>
      </c>
    </row>
    <row r="11" spans="1:7">
      <c r="A11" s="47">
        <f t="shared" si="0"/>
        <v>4</v>
      </c>
      <c r="B11" s="49" t="s">
        <v>170</v>
      </c>
      <c r="C11" s="50">
        <v>353</v>
      </c>
      <c r="D11" s="51">
        <v>2001</v>
      </c>
      <c r="E11" s="44">
        <f>'Schedule 8 Workpaper'!D13</f>
        <v>433103.7</v>
      </c>
      <c r="F11" s="54">
        <f>'Schedule 8 Workpaper'!N13</f>
        <v>108631.06999999999</v>
      </c>
      <c r="G11" s="26">
        <f>'Schedule 8 Workpaper'!P13</f>
        <v>8228.9699999999993</v>
      </c>
    </row>
    <row r="12" spans="1:7">
      <c r="A12" s="47">
        <f t="shared" si="0"/>
        <v>5</v>
      </c>
      <c r="B12" s="49" t="s">
        <v>170</v>
      </c>
      <c r="C12" s="50">
        <v>352</v>
      </c>
      <c r="D12" s="156">
        <v>2008</v>
      </c>
      <c r="E12" s="44">
        <f>'Schedule 8 Workpaper'!D14</f>
        <v>63308</v>
      </c>
      <c r="F12" s="54">
        <f>'Schedule 8 Workpaper'!N14</f>
        <v>5233.42</v>
      </c>
      <c r="G12" s="26">
        <f>'Schedule 8 Workpaper'!P14</f>
        <v>1164.8699999999999</v>
      </c>
    </row>
    <row r="13" spans="1:7">
      <c r="A13" s="47">
        <f t="shared" si="0"/>
        <v>6</v>
      </c>
      <c r="B13" s="49" t="s">
        <v>170</v>
      </c>
      <c r="C13" s="50">
        <v>353</v>
      </c>
      <c r="D13" s="156">
        <v>2008</v>
      </c>
      <c r="E13" s="44">
        <f>'Schedule 8 Workpaper'!D15</f>
        <v>126618</v>
      </c>
      <c r="F13" s="54">
        <f>'Schedule 8 Workpaper'!N15</f>
        <v>12968.21</v>
      </c>
      <c r="G13" s="26">
        <f>'Schedule 8 Workpaper'!P15</f>
        <v>2405.7399999999998</v>
      </c>
    </row>
    <row r="14" spans="1:7">
      <c r="A14" s="47">
        <f t="shared" si="0"/>
        <v>7</v>
      </c>
      <c r="B14" s="49" t="s">
        <v>1198</v>
      </c>
      <c r="C14" s="50">
        <v>352</v>
      </c>
      <c r="D14" s="486">
        <v>2012</v>
      </c>
      <c r="E14" s="44">
        <f>'Schedule 8 Workpaper'!D16</f>
        <v>150491.68</v>
      </c>
      <c r="F14" s="54">
        <f>'Schedule 8 Workpaper'!N16</f>
        <v>2667.92</v>
      </c>
      <c r="G14" s="26">
        <f>'Schedule 8 Workpaper'!P16</f>
        <v>2769.05</v>
      </c>
    </row>
    <row r="15" spans="1:7">
      <c r="A15" s="47">
        <f t="shared" si="0"/>
        <v>8</v>
      </c>
      <c r="B15" s="49" t="s">
        <v>1198</v>
      </c>
      <c r="C15" s="50">
        <v>353</v>
      </c>
      <c r="D15" s="486">
        <v>2012</v>
      </c>
      <c r="E15" s="44">
        <f>'Schedule 8 Workpaper'!D17</f>
        <v>68973.52</v>
      </c>
      <c r="F15" s="54">
        <f>'Schedule 8 Workpaper'!N17</f>
        <v>1356.85</v>
      </c>
      <c r="G15" s="26">
        <f>'Schedule 8 Workpaper'!P17</f>
        <v>1310.5</v>
      </c>
    </row>
    <row r="16" spans="1:7">
      <c r="A16" s="47">
        <f t="shared" si="0"/>
        <v>9</v>
      </c>
      <c r="B16" s="232"/>
      <c r="C16" s="50"/>
      <c r="D16" s="486"/>
      <c r="E16" s="52"/>
      <c r="F16" s="52"/>
    </row>
    <row r="17" spans="1:7">
      <c r="A17" s="47">
        <f t="shared" si="0"/>
        <v>10</v>
      </c>
      <c r="B17" s="144" t="s">
        <v>462</v>
      </c>
      <c r="C17" s="50"/>
      <c r="D17" s="51"/>
      <c r="E17" s="136">
        <f>SUM(E8:E15)</f>
        <v>1041147.3400000001</v>
      </c>
      <c r="F17" s="136">
        <f>SUM(F8:F15)</f>
        <v>161813.48000000001</v>
      </c>
      <c r="G17" s="136">
        <f>SUM(G8:G15)</f>
        <v>19563.96</v>
      </c>
    </row>
    <row r="18" spans="1:7">
      <c r="B18" s="49"/>
      <c r="C18" s="50"/>
      <c r="D18" s="51"/>
      <c r="E18" s="51"/>
      <c r="F18" s="53"/>
    </row>
    <row r="19" spans="1:7">
      <c r="B19" s="49"/>
      <c r="C19" s="50"/>
      <c r="D19" s="51"/>
      <c r="E19" s="51"/>
      <c r="F19" s="53"/>
    </row>
    <row r="20" spans="1:7">
      <c r="B20" s="49"/>
      <c r="C20" s="50"/>
      <c r="D20" s="51"/>
      <c r="E20" s="51"/>
      <c r="F20" s="53"/>
    </row>
    <row r="21" spans="1:7">
      <c r="B21" s="49"/>
      <c r="C21" s="50"/>
      <c r="D21" s="51"/>
      <c r="E21" s="53"/>
      <c r="F21" s="25"/>
    </row>
    <row r="22" spans="1:7">
      <c r="B22" s="157" t="s">
        <v>27</v>
      </c>
      <c r="C22" s="50"/>
      <c r="D22" s="156"/>
      <c r="E22" s="53"/>
      <c r="F22" s="25"/>
    </row>
    <row r="23" spans="1:7">
      <c r="B23" s="49"/>
      <c r="C23" s="50"/>
      <c r="D23" s="51"/>
      <c r="E23" s="53"/>
      <c r="F23" s="25"/>
    </row>
    <row r="24" spans="1:7">
      <c r="B24" s="49"/>
      <c r="C24" s="50"/>
      <c r="D24" s="51"/>
      <c r="E24" s="53"/>
      <c r="F24" s="25"/>
    </row>
    <row r="25" spans="1:7">
      <c r="B25" s="49"/>
      <c r="C25" s="50"/>
      <c r="D25" s="51"/>
      <c r="E25" s="53"/>
      <c r="F25" s="25"/>
    </row>
    <row r="26" spans="1:7">
      <c r="B26" s="49"/>
      <c r="C26" s="51"/>
      <c r="D26" s="51"/>
      <c r="E26" s="53"/>
      <c r="F26" s="25"/>
    </row>
    <row r="27" spans="1:7">
      <c r="B27" s="49"/>
      <c r="C27" s="51"/>
      <c r="D27" s="51"/>
      <c r="E27" s="53"/>
      <c r="F27" s="25"/>
    </row>
    <row r="28" spans="1:7">
      <c r="B28" s="49"/>
      <c r="C28" s="51"/>
      <c r="D28" s="51"/>
      <c r="E28" s="53"/>
      <c r="F28" s="25"/>
    </row>
    <row r="29" spans="1:7">
      <c r="B29" s="49"/>
      <c r="C29" s="51"/>
      <c r="D29" s="51"/>
      <c r="E29" s="53"/>
      <c r="F29" s="25"/>
    </row>
    <row r="30" spans="1:7">
      <c r="B30" s="49"/>
      <c r="C30" s="51"/>
      <c r="D30" s="51"/>
      <c r="E30" s="53"/>
      <c r="F30" s="25"/>
    </row>
    <row r="31" spans="1:7">
      <c r="B31" s="49"/>
      <c r="C31" s="51"/>
      <c r="D31" s="51"/>
      <c r="E31" s="53"/>
      <c r="F31" s="25"/>
    </row>
    <row r="32" spans="1:7">
      <c r="B32" s="49"/>
      <c r="C32" s="51"/>
      <c r="D32" s="51"/>
      <c r="E32" s="53"/>
      <c r="F32" s="25"/>
    </row>
    <row r="33" spans="2:6">
      <c r="B33" s="49"/>
      <c r="C33" s="51"/>
      <c r="D33" s="51"/>
      <c r="E33" s="53"/>
      <c r="F33" s="25"/>
    </row>
    <row r="34" spans="2:6">
      <c r="B34" s="49"/>
      <c r="C34" s="51"/>
      <c r="D34" s="51"/>
      <c r="E34" s="53"/>
      <c r="F34" s="25"/>
    </row>
    <row r="35" spans="2:6">
      <c r="B35" s="49"/>
      <c r="C35" s="51"/>
      <c r="D35" s="51"/>
      <c r="E35" s="53"/>
      <c r="F35" s="25"/>
    </row>
    <row r="36" spans="2:6">
      <c r="B36" s="49"/>
      <c r="C36" s="51"/>
      <c r="D36" s="51"/>
      <c r="E36" s="53"/>
      <c r="F36" s="25"/>
    </row>
    <row r="37" spans="2:6">
      <c r="B37" s="49"/>
      <c r="C37" s="51"/>
      <c r="D37" s="51"/>
      <c r="E37" s="53"/>
      <c r="F37" s="25"/>
    </row>
    <row r="38" spans="2:6">
      <c r="B38" s="49"/>
      <c r="C38" s="51"/>
      <c r="D38" s="51"/>
      <c r="E38" s="53"/>
      <c r="F38" s="25"/>
    </row>
    <row r="39" spans="2:6">
      <c r="B39" s="49"/>
      <c r="C39" s="51"/>
      <c r="D39" s="51"/>
      <c r="E39" s="53"/>
      <c r="F39" s="25"/>
    </row>
    <row r="40" spans="2:6">
      <c r="B40" s="49"/>
      <c r="C40" s="51"/>
      <c r="D40" s="51"/>
      <c r="E40" s="53"/>
      <c r="F40" s="25"/>
    </row>
    <row r="41" spans="2:6">
      <c r="B41" s="49"/>
      <c r="C41" s="51"/>
      <c r="D41" s="51"/>
      <c r="E41" s="53"/>
      <c r="F41" s="25"/>
    </row>
    <row r="42" spans="2:6">
      <c r="B42" s="49"/>
      <c r="C42" s="51"/>
      <c r="D42" s="51"/>
      <c r="E42" s="53"/>
      <c r="F42" s="25"/>
    </row>
    <row r="43" spans="2:6">
      <c r="B43" s="49"/>
      <c r="C43" s="50"/>
      <c r="D43" s="51"/>
      <c r="E43" s="53"/>
      <c r="F43" s="25"/>
    </row>
    <row r="44" spans="2:6">
      <c r="B44" s="49"/>
      <c r="C44" s="50"/>
      <c r="D44" s="51"/>
      <c r="E44" s="53"/>
      <c r="F44" s="25"/>
    </row>
    <row r="45" spans="2:6">
      <c r="B45" s="49"/>
      <c r="C45" s="50"/>
      <c r="D45" s="51"/>
      <c r="E45" s="53"/>
      <c r="F45" s="25"/>
    </row>
    <row r="46" spans="2:6">
      <c r="B46" s="49"/>
      <c r="C46" s="50"/>
      <c r="D46" s="51"/>
      <c r="E46" s="53"/>
      <c r="F46" s="25"/>
    </row>
    <row r="47" spans="2:6">
      <c r="B47" s="49"/>
      <c r="C47" s="50"/>
      <c r="D47" s="51"/>
      <c r="E47" s="53"/>
      <c r="F47" s="25"/>
    </row>
    <row r="48" spans="2:6">
      <c r="B48" s="49"/>
      <c r="C48" s="50"/>
      <c r="D48" s="51"/>
      <c r="E48" s="53"/>
      <c r="F48" s="25"/>
    </row>
    <row r="49" spans="2:6">
      <c r="B49" s="49"/>
      <c r="C49" s="50"/>
      <c r="D49" s="51"/>
      <c r="E49" s="53"/>
      <c r="F49" s="25"/>
    </row>
    <row r="50" spans="2:6">
      <c r="B50" s="49"/>
      <c r="C50" s="50"/>
      <c r="D50" s="51"/>
      <c r="E50" s="53"/>
      <c r="F50" s="25"/>
    </row>
    <row r="51" spans="2:6">
      <c r="B51" s="49"/>
      <c r="C51" s="50"/>
      <c r="D51" s="51"/>
      <c r="E51" s="53"/>
      <c r="F51" s="25"/>
    </row>
    <row r="52" spans="2:6">
      <c r="B52" s="49"/>
      <c r="C52" s="50"/>
      <c r="D52" s="51"/>
      <c r="E52" s="53"/>
      <c r="F52" s="25"/>
    </row>
    <row r="53" spans="2:6">
      <c r="B53" s="49"/>
      <c r="C53" s="50"/>
      <c r="D53" s="51"/>
      <c r="E53" s="53"/>
      <c r="F53" s="25"/>
    </row>
    <row r="54" spans="2:6">
      <c r="B54" s="1"/>
      <c r="C54" s="50"/>
      <c r="D54" s="78"/>
      <c r="E54" s="53"/>
      <c r="F54" s="25"/>
    </row>
    <row r="55" spans="2:6">
      <c r="B55" s="1"/>
      <c r="C55" s="50"/>
      <c r="D55" s="78"/>
      <c r="E55" s="53"/>
      <c r="F55" s="25"/>
    </row>
    <row r="56" spans="2:6">
      <c r="B56" s="1"/>
      <c r="C56" s="50"/>
      <c r="D56" s="78"/>
      <c r="E56" s="53"/>
      <c r="F56" s="25"/>
    </row>
  </sheetData>
  <mergeCells count="4">
    <mergeCell ref="A1:G1"/>
    <mergeCell ref="A2:G2"/>
    <mergeCell ref="A3:G3"/>
    <mergeCell ref="A4:G4"/>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M109"/>
  <sheetViews>
    <sheetView zoomScaleNormal="100" zoomScaleSheetLayoutView="100" workbookViewId="0">
      <selection activeCell="F28" sqref="F28"/>
    </sheetView>
  </sheetViews>
  <sheetFormatPr defaultRowHeight="12.75"/>
  <cols>
    <col min="1" max="1" width="5.42578125" style="318" customWidth="1"/>
    <col min="2" max="2" width="4.5703125" style="317" customWidth="1"/>
    <col min="3" max="3" width="38.42578125" style="317" customWidth="1"/>
    <col min="4" max="4" width="8.42578125" style="321" customWidth="1"/>
    <col min="5" max="5" width="10.42578125" style="317" customWidth="1"/>
    <col min="6" max="6" width="13.7109375" style="317" customWidth="1"/>
    <col min="7" max="7" width="12.85546875" style="317" bestFit="1" customWidth="1"/>
    <col min="8" max="8" width="16.42578125" style="317" bestFit="1" customWidth="1"/>
    <col min="9" max="9" width="14" style="317" bestFit="1" customWidth="1"/>
    <col min="10" max="10" width="13.28515625" style="317" bestFit="1" customWidth="1"/>
    <col min="11" max="11" width="14" style="317" bestFit="1" customWidth="1"/>
    <col min="12" max="12" width="14.85546875" style="317" bestFit="1" customWidth="1"/>
    <col min="13" max="13" width="15.28515625" style="317" customWidth="1"/>
    <col min="14" max="16384" width="9.140625" style="317"/>
  </cols>
  <sheetData>
    <row r="1" spans="1:13">
      <c r="A1" s="674"/>
      <c r="B1" s="674"/>
      <c r="C1" s="674"/>
      <c r="D1" s="674"/>
      <c r="E1" s="674"/>
      <c r="F1" s="674"/>
      <c r="G1" s="674"/>
    </row>
    <row r="2" spans="1:13">
      <c r="A2" s="672" t="s">
        <v>40</v>
      </c>
      <c r="B2" s="672"/>
      <c r="C2" s="672"/>
      <c r="D2" s="672"/>
      <c r="E2" s="672"/>
      <c r="F2" s="672"/>
      <c r="G2" s="672"/>
      <c r="H2" s="672"/>
      <c r="I2" s="672"/>
      <c r="J2" s="672"/>
      <c r="K2" s="672"/>
      <c r="L2" s="672"/>
      <c r="M2" s="672"/>
    </row>
    <row r="3" spans="1:13">
      <c r="A3" s="672" t="s">
        <v>382</v>
      </c>
      <c r="B3" s="672"/>
      <c r="C3" s="672"/>
      <c r="D3" s="672"/>
      <c r="E3" s="672"/>
      <c r="F3" s="672"/>
      <c r="G3" s="672"/>
      <c r="H3" s="672"/>
      <c r="I3" s="672"/>
      <c r="J3" s="672"/>
      <c r="K3" s="672"/>
      <c r="L3" s="672"/>
      <c r="M3" s="672"/>
    </row>
    <row r="4" spans="1:13">
      <c r="C4" s="319"/>
      <c r="D4" s="319"/>
      <c r="E4" s="319"/>
      <c r="F4" s="319"/>
      <c r="G4" s="319"/>
      <c r="H4" s="319"/>
    </row>
    <row r="5" spans="1:13">
      <c r="C5" s="672"/>
      <c r="D5" s="672"/>
      <c r="E5" s="672"/>
      <c r="F5" s="672"/>
      <c r="G5" s="672"/>
      <c r="H5" s="319"/>
    </row>
    <row r="6" spans="1:13">
      <c r="C6" s="672"/>
      <c r="D6" s="672"/>
      <c r="E6" s="672"/>
      <c r="F6" s="672"/>
      <c r="G6" s="672"/>
      <c r="H6" s="319"/>
    </row>
    <row r="7" spans="1:13">
      <c r="A7" s="318">
        <v>1</v>
      </c>
      <c r="B7" s="320" t="s">
        <v>897</v>
      </c>
      <c r="C7" s="320"/>
      <c r="H7" s="319"/>
      <c r="I7" s="319"/>
      <c r="J7" s="319"/>
      <c r="K7" s="457"/>
      <c r="L7" s="457"/>
      <c r="M7" s="319"/>
    </row>
    <row r="8" spans="1:13">
      <c r="A8" s="318">
        <f t="shared" ref="A8:A56" si="0">A7+1</f>
        <v>2</v>
      </c>
      <c r="C8" s="319"/>
      <c r="D8" s="322"/>
      <c r="E8" s="319"/>
      <c r="F8" s="319"/>
      <c r="G8" s="319">
        <v>2007</v>
      </c>
      <c r="H8" s="319">
        <v>2008</v>
      </c>
      <c r="I8" s="323">
        <v>2008</v>
      </c>
      <c r="J8" s="323" t="s">
        <v>1113</v>
      </c>
      <c r="K8" s="323">
        <v>2012</v>
      </c>
      <c r="L8" s="323">
        <v>2012</v>
      </c>
      <c r="M8" s="323" t="s">
        <v>1329</v>
      </c>
    </row>
    <row r="9" spans="1:13" ht="45" customHeight="1">
      <c r="A9" s="318">
        <f t="shared" si="0"/>
        <v>3</v>
      </c>
      <c r="C9" s="324" t="s">
        <v>41</v>
      </c>
      <c r="D9" s="325" t="s">
        <v>42</v>
      </c>
      <c r="E9" s="324" t="s">
        <v>43</v>
      </c>
      <c r="F9" s="326" t="s">
        <v>896</v>
      </c>
      <c r="G9" s="327" t="s">
        <v>895</v>
      </c>
      <c r="H9" s="328" t="s">
        <v>894</v>
      </c>
      <c r="I9" s="328" t="s">
        <v>893</v>
      </c>
      <c r="J9" s="328" t="s">
        <v>955</v>
      </c>
      <c r="K9" s="328" t="s">
        <v>1160</v>
      </c>
      <c r="L9" s="328" t="s">
        <v>1161</v>
      </c>
      <c r="M9" s="328" t="s">
        <v>163</v>
      </c>
    </row>
    <row r="10" spans="1:13" ht="12.75" customHeight="1">
      <c r="A10" s="463">
        <f t="shared" si="0"/>
        <v>4</v>
      </c>
      <c r="C10" s="461" t="s">
        <v>964</v>
      </c>
      <c r="D10" s="464">
        <v>350.12</v>
      </c>
      <c r="E10" s="469">
        <v>2007</v>
      </c>
      <c r="F10" s="471">
        <v>75000</v>
      </c>
      <c r="G10" s="471">
        <f>(F10 * (G8-E10+1) * 0)/12</f>
        <v>0</v>
      </c>
      <c r="H10" s="471">
        <f>(F10 * (I8-E10+1) * 0)* 0.58</f>
        <v>0</v>
      </c>
      <c r="I10" s="471">
        <f>(F10 * (I8-E10+1) * 0) * 0.42</f>
        <v>0</v>
      </c>
      <c r="J10" s="471">
        <v>0</v>
      </c>
      <c r="K10" s="471">
        <v>0</v>
      </c>
      <c r="L10" s="471">
        <v>0</v>
      </c>
      <c r="M10" s="472">
        <f>SUM(G10:L10)</f>
        <v>0</v>
      </c>
    </row>
    <row r="11" spans="1:13" ht="12.75" customHeight="1">
      <c r="A11" s="463">
        <f t="shared" si="0"/>
        <v>5</v>
      </c>
      <c r="C11" s="461" t="s">
        <v>381</v>
      </c>
      <c r="D11" s="465">
        <v>397.2</v>
      </c>
      <c r="E11" s="469">
        <v>2007</v>
      </c>
      <c r="F11" s="471">
        <v>175000</v>
      </c>
      <c r="G11" s="471">
        <f>$F11 * 0.0999</f>
        <v>17482.5</v>
      </c>
      <c r="H11" s="471">
        <f>$F11 * 7 *( 0.0999/12)</f>
        <v>10198.125000000002</v>
      </c>
      <c r="I11" s="471">
        <f>$F11 *5*( 0.0699/12)</f>
        <v>5096.875</v>
      </c>
      <c r="J11" s="471">
        <f>($F11 *0.0699)*3</f>
        <v>36697.5</v>
      </c>
      <c r="K11" s="471">
        <f>($F11 *0.0699)*5/12</f>
        <v>5096.875</v>
      </c>
      <c r="L11" s="471">
        <f>($F11 *0.0538)*7/12</f>
        <v>5492.083333333333</v>
      </c>
      <c r="M11" s="472">
        <f t="shared" ref="M11:M21" si="1">SUM(G11:L11)</f>
        <v>80063.958333333328</v>
      </c>
    </row>
    <row r="12" spans="1:13" ht="12.75" customHeight="1">
      <c r="A12" s="463">
        <f t="shared" si="0"/>
        <v>6</v>
      </c>
      <c r="C12" s="461" t="s">
        <v>381</v>
      </c>
      <c r="D12" s="466">
        <v>352</v>
      </c>
      <c r="E12" s="469">
        <v>2007</v>
      </c>
      <c r="F12" s="471">
        <v>1545957</v>
      </c>
      <c r="G12" s="471">
        <f>$F12 * 0.0129</f>
        <v>19942.845300000001</v>
      </c>
      <c r="H12" s="471">
        <f>$F12 *7 *( 0.0129/12)</f>
        <v>11633.326424999999</v>
      </c>
      <c r="I12" s="471">
        <f>$F12 *5*( 0.0168/12)</f>
        <v>10821.699000000001</v>
      </c>
      <c r="J12" s="471">
        <f>($F12 *0.0168)*3</f>
        <v>77916.232799999998</v>
      </c>
      <c r="K12" s="471">
        <f>($F12 *0.0168)*5/12</f>
        <v>10821.698999999999</v>
      </c>
      <c r="L12" s="471">
        <f>($F12 *0.0184)*7/12</f>
        <v>16593.271799999999</v>
      </c>
      <c r="M12" s="472">
        <f t="shared" si="1"/>
        <v>147729.07432499999</v>
      </c>
    </row>
    <row r="13" spans="1:13" ht="12.75" customHeight="1">
      <c r="A13" s="463">
        <f t="shared" si="0"/>
        <v>7</v>
      </c>
      <c r="C13" s="461" t="s">
        <v>381</v>
      </c>
      <c r="D13" s="466">
        <v>353</v>
      </c>
      <c r="E13" s="469">
        <v>2007</v>
      </c>
      <c r="F13" s="471">
        <v>1634043</v>
      </c>
      <c r="G13" s="471">
        <f>$F13 *  0.0212</f>
        <v>34641.711600000002</v>
      </c>
      <c r="H13" s="471">
        <f>$F13 * 7 *( 0.0212/12)</f>
        <v>20207.665099999998</v>
      </c>
      <c r="I13" s="471">
        <f>$F13 *5*( 0.0206/12)</f>
        <v>14025.535750000001</v>
      </c>
      <c r="J13" s="471">
        <f>($F13 *0.0206)*3</f>
        <v>100983.85739999999</v>
      </c>
      <c r="K13" s="471">
        <f>($F13 *0.0206)*5/12</f>
        <v>14025.535750000001</v>
      </c>
      <c r="L13" s="471">
        <f>($F13 *0.019)*7/12</f>
        <v>18110.643249999997</v>
      </c>
      <c r="M13" s="472">
        <f t="shared" si="1"/>
        <v>201994.94884999999</v>
      </c>
    </row>
    <row r="14" spans="1:13" ht="12.75" customHeight="1">
      <c r="A14" s="463">
        <f t="shared" si="0"/>
        <v>8</v>
      </c>
      <c r="C14" s="462" t="s">
        <v>889</v>
      </c>
      <c r="D14" s="467">
        <v>355</v>
      </c>
      <c r="E14" s="470">
        <v>2008</v>
      </c>
      <c r="F14" s="473">
        <v>71712</v>
      </c>
      <c r="G14" s="471"/>
      <c r="H14" s="471">
        <f>$F14 *7 *( 0.0294/12)</f>
        <v>1229.8607999999999</v>
      </c>
      <c r="I14" s="471">
        <f>$F14 *5*( 0.0281/12)</f>
        <v>839.62800000000004</v>
      </c>
      <c r="J14" s="471">
        <f>($F14 *0.0281)*3</f>
        <v>6045.3215999999993</v>
      </c>
      <c r="K14" s="471">
        <f>($F14 *0.0281)*5/12</f>
        <v>839.62800000000004</v>
      </c>
      <c r="L14" s="471">
        <f>($F14 *0.0277)*7/12</f>
        <v>1158.7464</v>
      </c>
      <c r="M14" s="472">
        <f t="shared" si="1"/>
        <v>10113.184799999999</v>
      </c>
    </row>
    <row r="15" spans="1:13" ht="12.75" customHeight="1">
      <c r="A15" s="463">
        <f t="shared" si="0"/>
        <v>9</v>
      </c>
      <c r="C15" s="462" t="s">
        <v>889</v>
      </c>
      <c r="D15" s="467">
        <v>356</v>
      </c>
      <c r="E15" s="470">
        <v>2008</v>
      </c>
      <c r="F15" s="473">
        <v>319769</v>
      </c>
      <c r="G15" s="474"/>
      <c r="H15" s="471">
        <f>$F15 *7 *( 0.0196/12)</f>
        <v>3656.0255666666662</v>
      </c>
      <c r="I15" s="471">
        <f>$F15 *5*( 0.0192/12)</f>
        <v>2558.1519999999996</v>
      </c>
      <c r="J15" s="471">
        <f>($F15 *0.0192)*3</f>
        <v>18418.694399999997</v>
      </c>
      <c r="K15" s="471">
        <f>($F15 *0.0192)*5/12</f>
        <v>2558.1519999999996</v>
      </c>
      <c r="L15" s="471">
        <f>($F15 *0.0225)*7/12</f>
        <v>4196.9681250000003</v>
      </c>
      <c r="M15" s="472">
        <f t="shared" si="1"/>
        <v>31387.99209166666</v>
      </c>
    </row>
    <row r="16" spans="1:13" ht="12.75" customHeight="1">
      <c r="A16" s="463">
        <f t="shared" si="0"/>
        <v>10</v>
      </c>
      <c r="C16" s="462" t="s">
        <v>1114</v>
      </c>
      <c r="D16" s="467">
        <v>352</v>
      </c>
      <c r="E16" s="470">
        <v>2012</v>
      </c>
      <c r="F16" s="473">
        <v>131945.35999999999</v>
      </c>
      <c r="G16" s="474"/>
      <c r="H16" s="471"/>
      <c r="I16" s="471"/>
      <c r="J16" s="471"/>
      <c r="K16" s="471">
        <f>($F16 *0.0168)*5/12</f>
        <v>923.61751999999979</v>
      </c>
      <c r="L16" s="471">
        <f>($F16 *0.0184)*7/12</f>
        <v>1416.2135306666667</v>
      </c>
      <c r="M16" s="472">
        <f t="shared" si="1"/>
        <v>2339.8310506666667</v>
      </c>
    </row>
    <row r="17" spans="1:13" ht="12.75" customHeight="1">
      <c r="A17" s="463">
        <f t="shared" si="0"/>
        <v>11</v>
      </c>
      <c r="C17" s="462" t="s">
        <v>1114</v>
      </c>
      <c r="D17" s="467">
        <v>353</v>
      </c>
      <c r="E17" s="470">
        <v>2012</v>
      </c>
      <c r="F17" s="473">
        <v>455518.99</v>
      </c>
      <c r="G17" s="474"/>
      <c r="H17" s="471"/>
      <c r="I17" s="471"/>
      <c r="J17" s="471"/>
      <c r="K17" s="471">
        <f>($F17 *0.0206)*5/12</f>
        <v>3909.8713308333331</v>
      </c>
      <c r="L17" s="471">
        <f>($F17 *0.019)*7/12</f>
        <v>5048.6688058333339</v>
      </c>
      <c r="M17" s="472">
        <f t="shared" si="1"/>
        <v>8958.5401366666665</v>
      </c>
    </row>
    <row r="18" spans="1:13" ht="12.75" customHeight="1">
      <c r="A18" s="463">
        <f t="shared" si="0"/>
        <v>12</v>
      </c>
      <c r="C18" s="462" t="s">
        <v>1114</v>
      </c>
      <c r="D18" s="467">
        <v>355</v>
      </c>
      <c r="E18" s="470">
        <v>2012</v>
      </c>
      <c r="F18" s="473">
        <v>262537.17</v>
      </c>
      <c r="G18" s="474"/>
      <c r="H18" s="471"/>
      <c r="I18" s="471"/>
      <c r="J18" s="471"/>
      <c r="K18" s="471">
        <f>($F18 *0.0281)*5/12</f>
        <v>3073.8726987499999</v>
      </c>
      <c r="L18" s="471">
        <f>($F18 *0.0277)*7/12</f>
        <v>4242.1631052499997</v>
      </c>
      <c r="M18" s="472">
        <f t="shared" si="1"/>
        <v>7316.0358039999992</v>
      </c>
    </row>
    <row r="19" spans="1:13" ht="12.75" customHeight="1">
      <c r="A19" s="463">
        <f t="shared" si="0"/>
        <v>13</v>
      </c>
      <c r="C19" s="462" t="s">
        <v>1114</v>
      </c>
      <c r="D19" s="467">
        <v>356</v>
      </c>
      <c r="E19" s="470">
        <v>2012</v>
      </c>
      <c r="F19" s="471">
        <v>425636.95</v>
      </c>
      <c r="G19" s="475"/>
      <c r="H19" s="471"/>
      <c r="I19" s="471"/>
      <c r="J19" s="471"/>
      <c r="K19" s="471">
        <f t="shared" ref="K19" si="2">($F19 *0.0192)*5/12</f>
        <v>3405.0955999999992</v>
      </c>
      <c r="L19" s="471">
        <f t="shared" ref="L19" si="3">($F19 *0.0225)*7/12</f>
        <v>5586.48496875</v>
      </c>
      <c r="M19" s="472">
        <f t="shared" si="1"/>
        <v>8991.5805687499997</v>
      </c>
    </row>
    <row r="20" spans="1:13" ht="12.75" customHeight="1">
      <c r="A20" s="463">
        <f t="shared" si="0"/>
        <v>14</v>
      </c>
      <c r="C20" s="462" t="s">
        <v>1159</v>
      </c>
      <c r="D20" s="467">
        <v>352</v>
      </c>
      <c r="E20" s="470">
        <v>2012</v>
      </c>
      <c r="F20" s="471">
        <v>-145.44999999999999</v>
      </c>
      <c r="G20" s="475"/>
      <c r="H20" s="471"/>
      <c r="I20" s="471"/>
      <c r="J20" s="471"/>
      <c r="K20" s="471">
        <f>($F20 *0.0168)*5/12</f>
        <v>-1.0181499999999999</v>
      </c>
      <c r="L20" s="471">
        <f>($F20 *0.0184)*7/12</f>
        <v>-1.5611633333333332</v>
      </c>
      <c r="M20" s="472">
        <f t="shared" si="1"/>
        <v>-2.5793133333333333</v>
      </c>
    </row>
    <row r="21" spans="1:13" ht="12.75" customHeight="1">
      <c r="A21" s="463">
        <f t="shared" si="0"/>
        <v>15</v>
      </c>
      <c r="C21" s="462" t="s">
        <v>1159</v>
      </c>
      <c r="D21" s="467">
        <v>353</v>
      </c>
      <c r="E21" s="470">
        <v>2012</v>
      </c>
      <c r="F21" s="476">
        <v>632276.36</v>
      </c>
      <c r="G21" s="477"/>
      <c r="H21" s="476"/>
      <c r="I21" s="476"/>
      <c r="J21" s="476"/>
      <c r="K21" s="476">
        <f>($F21 *0.0206)*5/12</f>
        <v>5427.0387566666668</v>
      </c>
      <c r="L21" s="476">
        <f>($F21 *0.019)*7/12</f>
        <v>7007.7296566666664</v>
      </c>
      <c r="M21" s="485">
        <f t="shared" si="1"/>
        <v>12434.768413333333</v>
      </c>
    </row>
    <row r="22" spans="1:13">
      <c r="A22" s="463">
        <f t="shared" si="0"/>
        <v>16</v>
      </c>
      <c r="C22" s="331" t="s">
        <v>561</v>
      </c>
      <c r="D22" s="329"/>
      <c r="E22" s="330"/>
      <c r="F22" s="478">
        <f t="shared" ref="F22:M22" si="4">SUM(F10:F21)</f>
        <v>5729250.3799999999</v>
      </c>
      <c r="G22" s="478">
        <f t="shared" si="4"/>
        <v>72067.056899999996</v>
      </c>
      <c r="H22" s="478">
        <f t="shared" si="4"/>
        <v>46925.002891666663</v>
      </c>
      <c r="I22" s="478">
        <f t="shared" si="4"/>
        <v>33341.889750000002</v>
      </c>
      <c r="J22" s="478">
        <f t="shared" si="4"/>
        <v>240061.60619999998</v>
      </c>
      <c r="K22" s="478">
        <f t="shared" si="4"/>
        <v>50080.367506249997</v>
      </c>
      <c r="L22" s="478">
        <f t="shared" si="4"/>
        <v>68851.411812166669</v>
      </c>
      <c r="M22" s="478">
        <f t="shared" si="4"/>
        <v>511327.33506008331</v>
      </c>
    </row>
    <row r="23" spans="1:13">
      <c r="A23" s="463">
        <f t="shared" si="0"/>
        <v>17</v>
      </c>
      <c r="C23" s="216"/>
      <c r="D23" s="329"/>
      <c r="E23" s="330"/>
      <c r="F23" s="332"/>
      <c r="G23" s="333"/>
      <c r="H23" s="333"/>
      <c r="I23" s="333"/>
    </row>
    <row r="24" spans="1:13">
      <c r="A24" s="463">
        <f t="shared" si="0"/>
        <v>18</v>
      </c>
      <c r="C24" s="216"/>
      <c r="D24" s="329"/>
      <c r="E24" s="330"/>
      <c r="F24" s="332"/>
      <c r="G24" s="333"/>
      <c r="H24" s="333"/>
      <c r="I24" s="333"/>
    </row>
    <row r="25" spans="1:13">
      <c r="A25" s="463">
        <f t="shared" si="0"/>
        <v>19</v>
      </c>
      <c r="B25" s="320" t="s">
        <v>892</v>
      </c>
      <c r="C25" s="216"/>
      <c r="D25" s="329"/>
      <c r="E25" s="330"/>
      <c r="F25" s="332"/>
      <c r="G25" s="333"/>
      <c r="H25" s="333"/>
      <c r="I25" s="333"/>
    </row>
    <row r="26" spans="1:13">
      <c r="A26" s="463">
        <f t="shared" si="0"/>
        <v>20</v>
      </c>
      <c r="C26" s="216"/>
      <c r="D26" s="329"/>
      <c r="E26" s="330"/>
      <c r="F26" s="332"/>
      <c r="G26" s="333"/>
      <c r="H26" s="333"/>
      <c r="I26" s="333"/>
      <c r="J26" s="334"/>
      <c r="K26" s="334"/>
      <c r="L26" s="334"/>
    </row>
    <row r="27" spans="1:13" ht="38.25">
      <c r="A27" s="463">
        <f t="shared" si="0"/>
        <v>21</v>
      </c>
      <c r="C27" s="216"/>
      <c r="D27" s="329"/>
      <c r="E27" s="335" t="s">
        <v>44</v>
      </c>
      <c r="F27" s="336" t="s">
        <v>891</v>
      </c>
      <c r="G27" s="336" t="s">
        <v>163</v>
      </c>
      <c r="H27" s="336" t="s">
        <v>890</v>
      </c>
      <c r="I27" s="333"/>
      <c r="J27" s="334"/>
      <c r="K27" s="334"/>
      <c r="L27" s="334"/>
    </row>
    <row r="28" spans="1:13">
      <c r="A28" s="463">
        <f t="shared" si="0"/>
        <v>22</v>
      </c>
      <c r="C28" s="216" t="s">
        <v>1124</v>
      </c>
      <c r="D28" s="329"/>
      <c r="E28" s="332">
        <v>2012</v>
      </c>
      <c r="F28" s="642">
        <v>871962.93</v>
      </c>
      <c r="G28" s="337">
        <f>SUM(M16:M19)</f>
        <v>27605.987560083333</v>
      </c>
      <c r="H28" s="337">
        <f>F28-G28</f>
        <v>844356.94243991678</v>
      </c>
      <c r="I28" s="333"/>
      <c r="J28" s="334"/>
      <c r="K28" s="334"/>
      <c r="L28" s="334"/>
    </row>
    <row r="29" spans="1:13">
      <c r="A29" s="463">
        <f t="shared" si="0"/>
        <v>23</v>
      </c>
      <c r="C29" s="216" t="s">
        <v>1159</v>
      </c>
      <c r="D29" s="329"/>
      <c r="E29" s="332">
        <v>2012</v>
      </c>
      <c r="F29" s="338">
        <v>500480.54</v>
      </c>
      <c r="G29" s="338">
        <f>SUM(M20:M21)</f>
        <v>12432.1891</v>
      </c>
      <c r="H29" s="338">
        <f>F29-G29</f>
        <v>488048.35089999996</v>
      </c>
      <c r="I29" s="333"/>
      <c r="J29" s="334"/>
      <c r="K29" s="334"/>
      <c r="L29" s="334"/>
    </row>
    <row r="30" spans="1:13">
      <c r="A30" s="463">
        <f t="shared" si="0"/>
        <v>24</v>
      </c>
      <c r="C30" s="216" t="s">
        <v>561</v>
      </c>
      <c r="D30" s="329"/>
      <c r="E30" s="330"/>
      <c r="F30" s="339">
        <f>SUM(F28:F29)</f>
        <v>1372443.47</v>
      </c>
      <c r="G30" s="339">
        <f>SUM(G28:G29)</f>
        <v>40038.176660083336</v>
      </c>
      <c r="H30" s="340">
        <f>SUM(H28:H29)</f>
        <v>1332405.2933399167</v>
      </c>
      <c r="I30" s="333"/>
      <c r="J30" s="334"/>
      <c r="K30" s="334"/>
      <c r="L30" s="334"/>
    </row>
    <row r="31" spans="1:13">
      <c r="A31" s="463">
        <f t="shared" si="0"/>
        <v>25</v>
      </c>
      <c r="C31" s="216"/>
      <c r="D31" s="329"/>
      <c r="E31" s="330"/>
      <c r="F31" s="341"/>
      <c r="G31" s="341"/>
      <c r="H31" s="342"/>
      <c r="I31" s="333"/>
      <c r="J31" s="334"/>
      <c r="K31" s="334"/>
      <c r="L31" s="334"/>
    </row>
    <row r="32" spans="1:13">
      <c r="A32" s="463">
        <f t="shared" si="0"/>
        <v>26</v>
      </c>
      <c r="C32" s="216"/>
      <c r="D32" s="329"/>
      <c r="E32" s="330"/>
      <c r="F32" s="341"/>
      <c r="G32" s="341"/>
      <c r="H32" s="342"/>
      <c r="I32" s="333"/>
      <c r="J32" s="334"/>
      <c r="K32" s="334"/>
      <c r="L32" s="334"/>
    </row>
    <row r="33" spans="1:13">
      <c r="A33" s="463">
        <f t="shared" si="0"/>
        <v>27</v>
      </c>
      <c r="C33" s="216"/>
      <c r="D33" s="329"/>
      <c r="E33" s="330"/>
      <c r="F33" s="332"/>
      <c r="G33" s="333"/>
      <c r="H33" s="333"/>
      <c r="I33" s="333"/>
      <c r="J33" s="334"/>
      <c r="K33" s="334"/>
      <c r="L33" s="334"/>
    </row>
    <row r="34" spans="1:13">
      <c r="A34" s="463">
        <f t="shared" si="0"/>
        <v>28</v>
      </c>
      <c r="B34" s="320" t="s">
        <v>534</v>
      </c>
      <c r="C34" s="216"/>
      <c r="D34" s="329"/>
      <c r="E34" s="330"/>
      <c r="F34" s="332"/>
      <c r="G34" s="333"/>
      <c r="H34" s="333"/>
      <c r="I34" s="333"/>
      <c r="J34" s="334"/>
      <c r="K34" s="334"/>
      <c r="L34" s="334"/>
    </row>
    <row r="35" spans="1:13">
      <c r="A35" s="463">
        <f t="shared" si="0"/>
        <v>29</v>
      </c>
      <c r="C35" s="216"/>
      <c r="D35" s="329"/>
      <c r="E35" s="330"/>
      <c r="F35" s="332"/>
      <c r="G35" s="333"/>
      <c r="H35" s="333"/>
      <c r="I35" s="333"/>
      <c r="J35" s="334"/>
      <c r="K35" s="334"/>
      <c r="L35" s="334"/>
    </row>
    <row r="36" spans="1:13" ht="13.5" thickBot="1">
      <c r="A36" s="463">
        <f t="shared" si="0"/>
        <v>30</v>
      </c>
      <c r="C36" s="343" t="s">
        <v>41</v>
      </c>
      <c r="D36" s="343" t="s">
        <v>44</v>
      </c>
      <c r="E36" s="344" t="s">
        <v>234</v>
      </c>
      <c r="F36" s="332"/>
      <c r="G36" s="333"/>
      <c r="H36" s="333"/>
      <c r="I36" s="333"/>
      <c r="J36" s="334"/>
      <c r="K36" s="334"/>
      <c r="L36" s="334"/>
    </row>
    <row r="37" spans="1:13">
      <c r="A37" s="463">
        <f t="shared" si="0"/>
        <v>31</v>
      </c>
      <c r="C37" s="216"/>
      <c r="D37" s="329"/>
      <c r="E37" s="468">
        <v>0</v>
      </c>
      <c r="F37" s="332"/>
      <c r="G37" s="333"/>
      <c r="H37" s="333"/>
      <c r="I37" s="333"/>
      <c r="J37" s="334"/>
      <c r="K37" s="334"/>
      <c r="L37" s="334"/>
    </row>
    <row r="38" spans="1:13">
      <c r="A38" s="463">
        <f t="shared" si="0"/>
        <v>32</v>
      </c>
      <c r="C38" s="216"/>
      <c r="D38" s="329"/>
      <c r="E38" s="330"/>
      <c r="F38" s="332"/>
      <c r="G38" s="333"/>
      <c r="H38" s="333"/>
      <c r="I38" s="333"/>
      <c r="J38" s="334"/>
      <c r="K38" s="334"/>
      <c r="L38" s="334"/>
    </row>
    <row r="39" spans="1:13">
      <c r="A39" s="463">
        <f t="shared" si="0"/>
        <v>33</v>
      </c>
      <c r="C39" s="345" t="s">
        <v>561</v>
      </c>
      <c r="D39" s="329"/>
      <c r="E39" s="346">
        <f>SUM(E37:E37)</f>
        <v>0</v>
      </c>
      <c r="F39" s="332"/>
      <c r="G39" s="333"/>
      <c r="H39" s="333"/>
      <c r="I39" s="333"/>
      <c r="J39" s="334"/>
      <c r="K39" s="334"/>
      <c r="L39" s="334"/>
    </row>
    <row r="40" spans="1:13">
      <c r="A40" s="463">
        <f t="shared" si="0"/>
        <v>34</v>
      </c>
      <c r="C40" s="345"/>
      <c r="D40" s="329"/>
      <c r="E40" s="347"/>
      <c r="F40" s="332"/>
      <c r="G40" s="333"/>
      <c r="H40" s="333"/>
      <c r="I40" s="333"/>
      <c r="J40" s="334"/>
      <c r="K40" s="334"/>
      <c r="L40" s="334"/>
    </row>
    <row r="41" spans="1:13">
      <c r="A41" s="463">
        <f t="shared" si="0"/>
        <v>35</v>
      </c>
      <c r="C41" s="345"/>
      <c r="D41" s="329"/>
      <c r="E41" s="347"/>
      <c r="F41" s="332"/>
      <c r="G41" s="333"/>
      <c r="H41" s="333"/>
      <c r="I41" s="333"/>
      <c r="J41" s="334"/>
      <c r="K41" s="334"/>
      <c r="L41" s="334"/>
    </row>
    <row r="42" spans="1:13">
      <c r="A42" s="463">
        <f t="shared" si="0"/>
        <v>36</v>
      </c>
      <c r="B42" s="320" t="s">
        <v>888</v>
      </c>
      <c r="C42" s="345"/>
      <c r="D42" s="329"/>
      <c r="E42" s="347"/>
      <c r="F42" s="332"/>
      <c r="G42" s="333"/>
      <c r="H42" s="333"/>
      <c r="I42" s="333"/>
      <c r="M42" s="348">
        <f>H30+E39</f>
        <v>1332405.2933399167</v>
      </c>
    </row>
    <row r="43" spans="1:13">
      <c r="A43" s="463">
        <f t="shared" si="0"/>
        <v>37</v>
      </c>
      <c r="B43" s="320"/>
      <c r="C43" s="345"/>
      <c r="D43" s="329"/>
      <c r="E43" s="347"/>
      <c r="F43" s="332"/>
      <c r="G43" s="333"/>
      <c r="H43" s="333"/>
      <c r="I43" s="333"/>
      <c r="J43" s="334"/>
      <c r="K43" s="334"/>
      <c r="L43" s="334"/>
      <c r="M43" s="349" t="s">
        <v>28</v>
      </c>
    </row>
    <row r="44" spans="1:13">
      <c r="A44" s="463">
        <f t="shared" si="0"/>
        <v>38</v>
      </c>
      <c r="C44" s="345"/>
      <c r="D44" s="329"/>
      <c r="E44" s="347"/>
      <c r="F44" s="332"/>
      <c r="G44" s="333"/>
      <c r="H44" s="333"/>
      <c r="I44" s="333"/>
      <c r="J44" s="334"/>
      <c r="K44" s="334"/>
      <c r="L44" s="334"/>
    </row>
    <row r="45" spans="1:13">
      <c r="A45" s="463">
        <f t="shared" si="0"/>
        <v>39</v>
      </c>
      <c r="B45" s="320" t="s">
        <v>887</v>
      </c>
      <c r="C45" s="216"/>
      <c r="D45" s="329"/>
      <c r="E45" s="330"/>
      <c r="F45" s="332"/>
      <c r="G45" s="347"/>
      <c r="H45" s="333"/>
      <c r="I45" s="333"/>
      <c r="J45" s="334"/>
      <c r="K45" s="334"/>
      <c r="L45" s="334"/>
    </row>
    <row r="46" spans="1:13">
      <c r="A46" s="463">
        <f t="shared" si="0"/>
        <v>40</v>
      </c>
      <c r="C46" s="216"/>
      <c r="D46" s="329"/>
      <c r="E46" s="330"/>
      <c r="F46" s="332"/>
      <c r="G46" s="333"/>
      <c r="H46" s="333"/>
      <c r="I46" s="333"/>
      <c r="J46" s="334"/>
      <c r="K46" s="334"/>
      <c r="L46" s="334"/>
    </row>
    <row r="47" spans="1:13" ht="13.5" thickBot="1">
      <c r="A47" s="463">
        <f t="shared" si="0"/>
        <v>41</v>
      </c>
      <c r="C47" s="343" t="s">
        <v>41</v>
      </c>
      <c r="D47" s="343" t="s">
        <v>44</v>
      </c>
      <c r="E47" s="344" t="s">
        <v>234</v>
      </c>
      <c r="F47" s="332"/>
      <c r="G47" s="333"/>
      <c r="H47" s="333"/>
      <c r="I47" s="333"/>
      <c r="J47" s="334"/>
      <c r="K47" s="334"/>
      <c r="L47" s="334"/>
    </row>
    <row r="48" spans="1:13">
      <c r="A48" s="463">
        <f t="shared" si="0"/>
        <v>42</v>
      </c>
      <c r="C48" s="216" t="s">
        <v>1114</v>
      </c>
      <c r="D48" s="329">
        <v>2012</v>
      </c>
      <c r="E48" s="516">
        <v>57948.69</v>
      </c>
      <c r="F48" s="332"/>
      <c r="G48" s="333"/>
      <c r="H48" s="333"/>
      <c r="I48" s="333"/>
      <c r="J48" s="334"/>
      <c r="K48" s="334"/>
      <c r="L48" s="334"/>
    </row>
    <row r="49" spans="1:12">
      <c r="A49" s="463">
        <f t="shared" si="0"/>
        <v>43</v>
      </c>
      <c r="C49" s="216" t="s">
        <v>1159</v>
      </c>
      <c r="D49" s="329">
        <v>2012</v>
      </c>
      <c r="E49" s="516">
        <v>24074.69</v>
      </c>
      <c r="F49" s="332"/>
      <c r="G49" s="333"/>
      <c r="H49" s="333"/>
      <c r="I49" s="333"/>
      <c r="J49" s="334"/>
      <c r="K49" s="334"/>
      <c r="L49" s="334"/>
    </row>
    <row r="50" spans="1:12">
      <c r="A50" s="463">
        <f t="shared" si="0"/>
        <v>44</v>
      </c>
      <c r="C50" s="216"/>
      <c r="D50" s="329"/>
      <c r="E50" s="185"/>
      <c r="F50" s="332"/>
      <c r="G50" s="333"/>
      <c r="H50" s="333"/>
      <c r="I50" s="333"/>
      <c r="J50" s="334"/>
      <c r="K50" s="334"/>
      <c r="L50" s="334"/>
    </row>
    <row r="51" spans="1:12">
      <c r="A51" s="463">
        <f t="shared" si="0"/>
        <v>45</v>
      </c>
      <c r="C51" s="345" t="s">
        <v>561</v>
      </c>
      <c r="D51" s="329"/>
      <c r="E51" s="350">
        <f>SUM(E48:E49)</f>
        <v>82023.38</v>
      </c>
      <c r="F51" s="332"/>
      <c r="G51" s="333"/>
      <c r="H51" s="333"/>
      <c r="I51" s="333"/>
      <c r="J51" s="334"/>
      <c r="K51" s="334"/>
      <c r="L51" s="334"/>
    </row>
    <row r="52" spans="1:12">
      <c r="A52" s="463">
        <f t="shared" si="0"/>
        <v>46</v>
      </c>
      <c r="C52" s="216"/>
      <c r="D52" s="329"/>
      <c r="E52" s="330"/>
      <c r="F52" s="332"/>
      <c r="G52" s="333"/>
      <c r="H52" s="333"/>
      <c r="I52" s="333"/>
      <c r="J52" s="334"/>
      <c r="K52" s="334"/>
      <c r="L52" s="334"/>
    </row>
    <row r="53" spans="1:12">
      <c r="A53" s="463">
        <f t="shared" si="0"/>
        <v>47</v>
      </c>
      <c r="C53" s="345" t="s">
        <v>561</v>
      </c>
      <c r="D53" s="329"/>
      <c r="E53" s="350">
        <f>SUM(E39,E51)</f>
        <v>82023.38</v>
      </c>
      <c r="F53" s="351" t="s">
        <v>29</v>
      </c>
      <c r="G53" s="333"/>
      <c r="H53" s="333"/>
      <c r="I53" s="333"/>
      <c r="J53" s="334"/>
      <c r="K53" s="334"/>
      <c r="L53" s="334"/>
    </row>
    <row r="54" spans="1:12">
      <c r="A54" s="463">
        <f t="shared" si="0"/>
        <v>48</v>
      </c>
      <c r="C54" s="345"/>
      <c r="D54" s="329"/>
      <c r="E54" s="352"/>
      <c r="F54" s="332"/>
      <c r="G54" s="333"/>
      <c r="H54" s="333"/>
      <c r="I54" s="333"/>
      <c r="J54" s="334"/>
      <c r="K54" s="334"/>
      <c r="L54" s="334"/>
    </row>
    <row r="55" spans="1:12">
      <c r="A55" s="463">
        <f t="shared" si="0"/>
        <v>49</v>
      </c>
      <c r="C55" s="345"/>
      <c r="D55" s="329"/>
      <c r="E55" s="352"/>
      <c r="F55" s="332"/>
      <c r="G55" s="333"/>
      <c r="H55" s="333"/>
      <c r="I55" s="333"/>
      <c r="J55" s="334"/>
      <c r="K55" s="334"/>
      <c r="L55" s="334"/>
    </row>
    <row r="56" spans="1:12">
      <c r="A56" s="463">
        <f t="shared" si="0"/>
        <v>50</v>
      </c>
      <c r="C56" s="353" t="s">
        <v>1125</v>
      </c>
      <c r="D56" s="329"/>
      <c r="E56" s="352"/>
      <c r="F56" s="332"/>
      <c r="G56" s="333"/>
      <c r="H56" s="333"/>
      <c r="I56" s="333"/>
      <c r="J56" s="334"/>
      <c r="K56" s="334"/>
      <c r="L56" s="334"/>
    </row>
    <row r="57" spans="1:12">
      <c r="C57" s="345"/>
      <c r="D57" s="329"/>
      <c r="E57" s="352"/>
      <c r="F57" s="332"/>
      <c r="G57" s="333"/>
      <c r="H57" s="333"/>
      <c r="I57" s="333"/>
      <c r="J57" s="334"/>
      <c r="K57" s="334"/>
      <c r="L57" s="334"/>
    </row>
    <row r="58" spans="1:12">
      <c r="C58" s="216"/>
      <c r="D58" s="329"/>
      <c r="E58" s="330"/>
      <c r="F58" s="332"/>
      <c r="G58" s="333"/>
      <c r="H58" s="333"/>
      <c r="I58" s="333"/>
      <c r="J58" s="334"/>
      <c r="K58" s="334"/>
      <c r="L58" s="334"/>
    </row>
    <row r="59" spans="1:12">
      <c r="C59" s="216"/>
      <c r="D59" s="330"/>
      <c r="E59" s="330"/>
      <c r="F59" s="332"/>
      <c r="G59" s="333"/>
      <c r="H59" s="333"/>
      <c r="I59" s="333"/>
      <c r="J59" s="334"/>
      <c r="K59" s="334"/>
      <c r="L59" s="334"/>
    </row>
    <row r="60" spans="1:12">
      <c r="C60" s="354"/>
      <c r="D60" s="330"/>
      <c r="E60" s="330"/>
      <c r="F60" s="332"/>
      <c r="G60" s="333"/>
      <c r="H60" s="333"/>
      <c r="I60" s="333"/>
      <c r="J60" s="334"/>
      <c r="K60" s="334"/>
      <c r="L60" s="334"/>
    </row>
    <row r="61" spans="1:12">
      <c r="C61" s="216"/>
      <c r="D61" s="330"/>
      <c r="E61" s="330"/>
      <c r="F61" s="332"/>
      <c r="G61" s="333"/>
      <c r="H61" s="333"/>
      <c r="I61" s="333"/>
      <c r="J61" s="334"/>
      <c r="K61" s="334"/>
      <c r="L61" s="334"/>
    </row>
    <row r="62" spans="1:12">
      <c r="C62" s="216"/>
      <c r="D62" s="330"/>
      <c r="E62" s="330"/>
      <c r="F62" s="332"/>
      <c r="G62" s="333"/>
      <c r="H62" s="333"/>
      <c r="I62" s="333"/>
      <c r="J62" s="334"/>
      <c r="K62" s="334"/>
      <c r="L62" s="334"/>
    </row>
    <row r="63" spans="1:12">
      <c r="C63" s="216"/>
      <c r="D63" s="330"/>
      <c r="E63" s="330"/>
      <c r="F63" s="332"/>
      <c r="G63" s="333"/>
      <c r="H63" s="333"/>
      <c r="I63" s="333"/>
      <c r="J63" s="334"/>
      <c r="K63" s="334"/>
      <c r="L63" s="334"/>
    </row>
    <row r="64" spans="1:12">
      <c r="C64" s="216"/>
      <c r="D64" s="330"/>
      <c r="E64" s="330"/>
      <c r="F64" s="332"/>
      <c r="G64" s="333"/>
      <c r="H64" s="333"/>
      <c r="I64" s="333"/>
      <c r="J64" s="334"/>
      <c r="K64" s="334"/>
      <c r="L64" s="334"/>
    </row>
    <row r="65" spans="1:12">
      <c r="C65" s="216"/>
      <c r="D65" s="330"/>
      <c r="E65" s="330"/>
      <c r="F65" s="332"/>
      <c r="G65" s="333"/>
      <c r="H65" s="333"/>
      <c r="I65" s="333"/>
      <c r="J65" s="334"/>
      <c r="K65" s="334"/>
      <c r="L65" s="334"/>
    </row>
    <row r="66" spans="1:12">
      <c r="C66" s="216"/>
      <c r="D66" s="330"/>
      <c r="E66" s="330"/>
      <c r="F66" s="332"/>
      <c r="G66" s="333"/>
      <c r="H66" s="333"/>
      <c r="I66" s="333"/>
      <c r="J66" s="334"/>
      <c r="K66" s="334"/>
      <c r="L66" s="334"/>
    </row>
    <row r="67" spans="1:12">
      <c r="C67" s="216"/>
      <c r="D67" s="330"/>
      <c r="E67" s="330"/>
      <c r="F67" s="332"/>
      <c r="G67" s="333"/>
      <c r="H67" s="333"/>
      <c r="I67" s="333"/>
      <c r="J67" s="334"/>
      <c r="K67" s="334"/>
      <c r="L67" s="334"/>
    </row>
    <row r="68" spans="1:12">
      <c r="C68" s="216"/>
      <c r="D68" s="330"/>
      <c r="E68" s="330"/>
      <c r="F68" s="332"/>
      <c r="G68" s="333"/>
      <c r="H68" s="333"/>
      <c r="I68" s="333"/>
      <c r="J68" s="334"/>
      <c r="K68" s="334"/>
      <c r="L68" s="334"/>
    </row>
    <row r="69" spans="1:12">
      <c r="C69" s="216"/>
      <c r="D69" s="330"/>
      <c r="E69" s="330"/>
      <c r="F69" s="332"/>
      <c r="G69" s="333"/>
      <c r="H69" s="333"/>
      <c r="I69" s="333"/>
      <c r="J69" s="334"/>
      <c r="K69" s="334"/>
      <c r="L69" s="334"/>
    </row>
    <row r="70" spans="1:12">
      <c r="C70" s="216"/>
      <c r="D70" s="330"/>
      <c r="E70" s="330"/>
      <c r="F70" s="332"/>
      <c r="G70" s="333"/>
      <c r="H70" s="333"/>
      <c r="I70" s="333"/>
      <c r="J70" s="334"/>
      <c r="K70" s="334"/>
      <c r="L70" s="334"/>
    </row>
    <row r="71" spans="1:12">
      <c r="C71" s="216"/>
      <c r="D71" s="330"/>
      <c r="E71" s="330"/>
      <c r="F71" s="332"/>
      <c r="G71" s="333"/>
      <c r="H71" s="333"/>
      <c r="I71" s="333"/>
      <c r="J71" s="334"/>
      <c r="K71" s="334"/>
      <c r="L71" s="334"/>
    </row>
    <row r="72" spans="1:12">
      <c r="C72" s="216"/>
      <c r="D72" s="330"/>
      <c r="E72" s="330"/>
      <c r="F72" s="332"/>
      <c r="G72" s="333"/>
      <c r="H72" s="333"/>
      <c r="I72" s="333"/>
      <c r="J72" s="334"/>
      <c r="K72" s="334"/>
      <c r="L72" s="334"/>
    </row>
    <row r="73" spans="1:12">
      <c r="D73" s="330"/>
      <c r="E73" s="330"/>
      <c r="F73" s="332"/>
      <c r="G73" s="333"/>
      <c r="H73" s="333"/>
      <c r="I73" s="333"/>
      <c r="J73" s="334"/>
      <c r="K73" s="334"/>
      <c r="L73" s="334"/>
    </row>
    <row r="74" spans="1:12">
      <c r="C74" s="216"/>
      <c r="D74" s="330"/>
      <c r="E74" s="330"/>
      <c r="F74" s="332"/>
      <c r="G74" s="333"/>
      <c r="H74" s="333"/>
      <c r="I74" s="333"/>
      <c r="J74" s="334"/>
      <c r="K74" s="334"/>
      <c r="L74" s="334"/>
    </row>
    <row r="75" spans="1:12">
      <c r="C75" s="216"/>
      <c r="D75" s="330"/>
      <c r="E75" s="330"/>
      <c r="F75" s="332"/>
      <c r="G75" s="333"/>
      <c r="H75" s="333"/>
      <c r="I75" s="333"/>
      <c r="J75" s="334"/>
      <c r="K75" s="334"/>
      <c r="L75" s="334"/>
    </row>
    <row r="76" spans="1:12">
      <c r="A76" s="317"/>
      <c r="C76" s="216"/>
      <c r="D76" s="330"/>
      <c r="E76" s="330"/>
      <c r="F76" s="332"/>
      <c r="G76" s="333"/>
      <c r="H76" s="333"/>
      <c r="I76" s="333"/>
      <c r="J76" s="334"/>
      <c r="K76" s="334"/>
      <c r="L76" s="334"/>
    </row>
    <row r="77" spans="1:12">
      <c r="A77" s="317"/>
      <c r="C77" s="216"/>
      <c r="D77" s="330"/>
      <c r="E77" s="330"/>
      <c r="F77" s="332"/>
      <c r="G77" s="333"/>
      <c r="H77" s="333"/>
      <c r="I77" s="333"/>
      <c r="J77" s="334"/>
      <c r="K77" s="334"/>
      <c r="L77" s="334"/>
    </row>
    <row r="78" spans="1:12">
      <c r="A78" s="317"/>
      <c r="C78" s="216"/>
      <c r="D78" s="330"/>
      <c r="E78" s="330"/>
      <c r="F78" s="332"/>
      <c r="G78" s="333"/>
      <c r="H78" s="333"/>
      <c r="I78" s="333"/>
      <c r="J78" s="334"/>
      <c r="K78" s="334"/>
      <c r="L78" s="334"/>
    </row>
    <row r="79" spans="1:12">
      <c r="A79" s="317"/>
      <c r="C79" s="216"/>
      <c r="D79" s="330"/>
      <c r="E79" s="330"/>
      <c r="F79" s="332"/>
      <c r="G79" s="333"/>
      <c r="H79" s="333"/>
      <c r="I79" s="333"/>
      <c r="J79" s="334"/>
      <c r="K79" s="334"/>
      <c r="L79" s="334"/>
    </row>
    <row r="80" spans="1:12">
      <c r="A80" s="317"/>
      <c r="C80" s="216"/>
      <c r="D80" s="330"/>
      <c r="E80" s="330"/>
      <c r="F80" s="332"/>
      <c r="G80" s="333"/>
      <c r="H80" s="333"/>
      <c r="I80" s="333"/>
      <c r="J80" s="334"/>
      <c r="K80" s="334"/>
      <c r="L80" s="334"/>
    </row>
    <row r="81" spans="1:12">
      <c r="A81" s="317"/>
      <c r="C81" s="216"/>
      <c r="D81" s="330"/>
      <c r="E81" s="330"/>
      <c r="F81" s="332"/>
      <c r="G81" s="333"/>
      <c r="H81" s="333"/>
      <c r="I81" s="333"/>
      <c r="J81" s="334"/>
      <c r="K81" s="334"/>
      <c r="L81" s="334"/>
    </row>
    <row r="82" spans="1:12">
      <c r="A82" s="317"/>
      <c r="C82" s="216"/>
      <c r="D82" s="330"/>
      <c r="E82" s="330"/>
      <c r="F82" s="332"/>
      <c r="G82" s="333"/>
      <c r="H82" s="333"/>
      <c r="I82" s="333"/>
      <c r="J82" s="334"/>
      <c r="K82" s="334"/>
      <c r="L82" s="334"/>
    </row>
    <row r="83" spans="1:12">
      <c r="A83" s="317"/>
      <c r="C83" s="216"/>
      <c r="D83" s="330"/>
      <c r="E83" s="330"/>
      <c r="F83" s="332"/>
      <c r="G83" s="333"/>
      <c r="H83" s="333"/>
      <c r="I83" s="333"/>
      <c r="J83" s="334"/>
      <c r="K83" s="334"/>
      <c r="L83" s="334"/>
    </row>
    <row r="84" spans="1:12">
      <c r="A84" s="317"/>
      <c r="C84" s="216"/>
      <c r="D84" s="330"/>
      <c r="E84" s="330"/>
      <c r="F84" s="332"/>
      <c r="G84" s="333"/>
      <c r="H84" s="333"/>
      <c r="I84" s="333"/>
      <c r="J84" s="334"/>
      <c r="K84" s="334"/>
      <c r="L84" s="334"/>
    </row>
    <row r="85" spans="1:12">
      <c r="A85" s="317"/>
      <c r="C85" s="216"/>
      <c r="D85" s="329"/>
      <c r="E85" s="330"/>
      <c r="F85" s="332"/>
      <c r="G85" s="333"/>
      <c r="H85" s="333"/>
      <c r="I85" s="333"/>
      <c r="J85" s="334"/>
      <c r="K85" s="334"/>
      <c r="L85" s="334"/>
    </row>
    <row r="86" spans="1:12">
      <c r="A86" s="317"/>
      <c r="C86" s="216"/>
      <c r="D86" s="329"/>
      <c r="E86" s="330"/>
      <c r="F86" s="332"/>
      <c r="G86" s="333"/>
      <c r="H86" s="333"/>
      <c r="I86" s="333"/>
      <c r="J86" s="334"/>
      <c r="K86" s="334"/>
      <c r="L86" s="334"/>
    </row>
    <row r="87" spans="1:12">
      <c r="A87" s="317"/>
      <c r="C87" s="216"/>
      <c r="D87" s="329"/>
      <c r="E87" s="330"/>
      <c r="F87" s="332"/>
      <c r="G87" s="333"/>
      <c r="H87" s="333"/>
      <c r="I87" s="333"/>
      <c r="J87" s="334"/>
      <c r="K87" s="334"/>
      <c r="L87" s="334"/>
    </row>
    <row r="88" spans="1:12">
      <c r="A88" s="317"/>
      <c r="C88" s="216"/>
      <c r="D88" s="329"/>
      <c r="E88" s="330"/>
      <c r="F88" s="332"/>
      <c r="G88" s="333"/>
      <c r="H88" s="333"/>
      <c r="I88" s="333"/>
      <c r="J88" s="334"/>
      <c r="K88" s="334"/>
      <c r="L88" s="334"/>
    </row>
    <row r="89" spans="1:12">
      <c r="A89" s="317"/>
      <c r="C89" s="216"/>
      <c r="D89" s="329"/>
      <c r="E89" s="330"/>
      <c r="F89" s="332"/>
      <c r="G89" s="333"/>
      <c r="H89" s="333"/>
      <c r="I89" s="333"/>
      <c r="J89" s="334"/>
      <c r="K89" s="334"/>
      <c r="L89" s="334"/>
    </row>
    <row r="90" spans="1:12">
      <c r="A90" s="317"/>
      <c r="C90" s="216"/>
      <c r="D90" s="329"/>
      <c r="E90" s="330"/>
      <c r="F90" s="332"/>
      <c r="G90" s="333"/>
      <c r="H90" s="333"/>
      <c r="I90" s="333"/>
      <c r="J90" s="334"/>
      <c r="K90" s="334"/>
      <c r="L90" s="334"/>
    </row>
    <row r="91" spans="1:12">
      <c r="A91" s="317"/>
      <c r="C91" s="216"/>
      <c r="D91" s="329"/>
      <c r="E91" s="330"/>
      <c r="F91" s="332"/>
      <c r="G91" s="333"/>
      <c r="H91" s="333"/>
      <c r="I91" s="333"/>
      <c r="J91" s="334"/>
      <c r="K91" s="334"/>
      <c r="L91" s="334"/>
    </row>
    <row r="92" spans="1:12">
      <c r="A92" s="317"/>
      <c r="C92" s="216"/>
      <c r="D92" s="329"/>
      <c r="E92" s="330"/>
      <c r="F92" s="332"/>
      <c r="G92" s="333"/>
      <c r="H92" s="333"/>
      <c r="I92" s="333"/>
      <c r="J92" s="334"/>
      <c r="K92" s="334"/>
      <c r="L92" s="334"/>
    </row>
    <row r="93" spans="1:12">
      <c r="A93" s="317"/>
      <c r="C93" s="216"/>
      <c r="D93" s="329"/>
      <c r="E93" s="330"/>
      <c r="F93" s="332"/>
      <c r="G93" s="333"/>
      <c r="H93" s="333"/>
      <c r="I93" s="333"/>
      <c r="J93" s="334"/>
      <c r="K93" s="334"/>
      <c r="L93" s="334"/>
    </row>
    <row r="94" spans="1:12">
      <c r="A94" s="317"/>
      <c r="C94" s="216"/>
      <c r="D94" s="329"/>
      <c r="E94" s="330"/>
      <c r="F94" s="332"/>
      <c r="G94" s="333"/>
      <c r="H94" s="333"/>
      <c r="I94" s="333"/>
      <c r="J94" s="334"/>
      <c r="K94" s="334"/>
      <c r="L94" s="334"/>
    </row>
    <row r="95" spans="1:12">
      <c r="A95" s="317"/>
      <c r="C95" s="216"/>
      <c r="D95" s="329"/>
      <c r="E95" s="330"/>
      <c r="F95" s="332"/>
      <c r="G95" s="333"/>
      <c r="H95" s="333"/>
      <c r="I95" s="333"/>
      <c r="J95" s="334"/>
      <c r="K95" s="334"/>
      <c r="L95" s="334"/>
    </row>
    <row r="96" spans="1:12">
      <c r="A96" s="317"/>
      <c r="C96" s="355"/>
      <c r="D96" s="329"/>
      <c r="E96" s="356"/>
      <c r="F96" s="332"/>
      <c r="G96" s="333"/>
      <c r="H96" s="333"/>
      <c r="I96" s="333"/>
      <c r="J96" s="334"/>
      <c r="K96" s="334"/>
      <c r="L96" s="334"/>
    </row>
    <row r="97" spans="1:12">
      <c r="A97" s="317"/>
      <c r="C97" s="355"/>
      <c r="D97" s="329"/>
      <c r="E97" s="356"/>
      <c r="F97" s="332"/>
      <c r="G97" s="333"/>
      <c r="H97" s="333"/>
      <c r="I97" s="333"/>
      <c r="J97" s="334"/>
      <c r="K97" s="334"/>
      <c r="L97" s="334"/>
    </row>
    <row r="98" spans="1:12">
      <c r="A98" s="317"/>
      <c r="C98" s="355"/>
      <c r="D98" s="329"/>
      <c r="E98" s="356"/>
      <c r="F98" s="332"/>
      <c r="G98" s="333"/>
      <c r="H98" s="333"/>
      <c r="I98" s="333"/>
      <c r="J98" s="334"/>
      <c r="K98" s="334"/>
      <c r="L98" s="334"/>
    </row>
    <row r="99" spans="1:12">
      <c r="A99" s="317"/>
      <c r="C99" s="355"/>
      <c r="D99" s="329"/>
      <c r="E99" s="356"/>
      <c r="F99" s="332"/>
      <c r="G99" s="333"/>
      <c r="H99" s="333"/>
      <c r="I99" s="333"/>
      <c r="J99" s="334"/>
      <c r="K99" s="334"/>
      <c r="L99" s="334"/>
    </row>
    <row r="100" spans="1:12">
      <c r="A100" s="317"/>
      <c r="C100" s="355"/>
      <c r="D100" s="329"/>
      <c r="E100" s="356"/>
      <c r="F100" s="332"/>
      <c r="G100" s="333"/>
      <c r="H100" s="333"/>
      <c r="I100" s="333"/>
      <c r="J100" s="334"/>
      <c r="K100" s="334"/>
      <c r="L100" s="334"/>
    </row>
    <row r="101" spans="1:12">
      <c r="A101" s="317"/>
      <c r="C101" s="355"/>
      <c r="D101" s="329"/>
      <c r="E101" s="356"/>
      <c r="F101" s="332"/>
      <c r="G101" s="333"/>
      <c r="H101" s="333"/>
      <c r="I101" s="333"/>
      <c r="J101" s="334"/>
      <c r="K101" s="334"/>
      <c r="L101" s="334"/>
    </row>
    <row r="102" spans="1:12">
      <c r="A102" s="317"/>
      <c r="C102" s="355"/>
      <c r="D102" s="329"/>
      <c r="E102" s="356"/>
      <c r="F102" s="332"/>
      <c r="G102" s="333"/>
      <c r="H102" s="333"/>
      <c r="I102" s="333"/>
      <c r="J102" s="334"/>
      <c r="K102" s="334"/>
      <c r="L102" s="334"/>
    </row>
    <row r="103" spans="1:12">
      <c r="A103" s="317"/>
      <c r="C103" s="355"/>
      <c r="D103" s="329"/>
      <c r="E103" s="356"/>
      <c r="F103" s="332"/>
      <c r="G103" s="333"/>
      <c r="H103" s="333"/>
      <c r="I103" s="333"/>
      <c r="J103" s="334"/>
      <c r="K103" s="334"/>
      <c r="L103" s="334"/>
    </row>
    <row r="104" spans="1:12">
      <c r="A104" s="317"/>
      <c r="C104" s="355"/>
      <c r="D104" s="329"/>
      <c r="E104" s="356"/>
      <c r="F104" s="332"/>
      <c r="G104" s="333"/>
      <c r="H104" s="333"/>
      <c r="I104" s="333"/>
      <c r="J104" s="334"/>
      <c r="K104" s="334"/>
      <c r="L104" s="334"/>
    </row>
    <row r="105" spans="1:12">
      <c r="C105" s="355"/>
      <c r="D105" s="329"/>
      <c r="E105" s="356"/>
      <c r="F105" s="332"/>
      <c r="G105" s="333"/>
      <c r="H105" s="333"/>
      <c r="I105" s="333"/>
      <c r="J105" s="334"/>
      <c r="K105" s="334"/>
      <c r="L105" s="334"/>
    </row>
    <row r="106" spans="1:12">
      <c r="C106" s="355"/>
      <c r="D106" s="329"/>
      <c r="E106" s="356"/>
      <c r="F106" s="332"/>
      <c r="G106" s="333"/>
      <c r="H106" s="333"/>
      <c r="I106" s="333"/>
      <c r="J106" s="334"/>
      <c r="K106" s="334"/>
      <c r="L106" s="334"/>
    </row>
    <row r="107" spans="1:12">
      <c r="C107" s="355"/>
      <c r="D107" s="329"/>
      <c r="E107" s="356"/>
      <c r="F107" s="332"/>
      <c r="G107" s="333"/>
      <c r="H107" s="333"/>
      <c r="I107" s="333"/>
      <c r="J107" s="334"/>
      <c r="K107" s="334"/>
      <c r="L107" s="334"/>
    </row>
    <row r="108" spans="1:12">
      <c r="C108" s="355"/>
      <c r="D108" s="357"/>
      <c r="E108" s="356"/>
      <c r="F108" s="356"/>
      <c r="G108" s="358"/>
      <c r="H108" s="358"/>
    </row>
    <row r="109" spans="1:12">
      <c r="C109" s="355"/>
      <c r="D109" s="357"/>
      <c r="E109" s="356"/>
      <c r="F109" s="356"/>
      <c r="G109" s="359"/>
      <c r="H109" s="359"/>
    </row>
  </sheetData>
  <sheetProtection formatCells="0"/>
  <mergeCells count="5">
    <mergeCell ref="C6:G6"/>
    <mergeCell ref="A1:G1"/>
    <mergeCell ref="C5:G5"/>
    <mergeCell ref="A2:M2"/>
    <mergeCell ref="A3:M3"/>
  </mergeCells>
  <phoneticPr fontId="0" type="noConversion"/>
  <printOptions horizontalCentered="1"/>
  <pageMargins left="0.75" right="0.75" top="1" bottom="1" header="0.5" footer="0.5"/>
  <pageSetup scale="61" orientation="landscape" r:id="rId1"/>
  <headerFooter alignWithMargins="0">
    <oddHeader>&amp;CIDAHO POWER COMPANY
Transmission Cost of Service Rate Development
12 Months Ended 12/31/2012</oddHeader>
    <oddFooter>&amp;L&amp;F, &amp;A</oddFooter>
  </headerFooter>
  <ignoredErrors>
    <ignoredError sqref="K16:L16 K20:L20" formula="1"/>
  </ignoredErrors>
</worksheet>
</file>

<file path=xl/worksheets/sheet17.xml><?xml version="1.0" encoding="utf-8"?>
<worksheet xmlns="http://schemas.openxmlformats.org/spreadsheetml/2006/main" xmlns:r="http://schemas.openxmlformats.org/officeDocument/2006/relationships">
  <sheetPr codeName="Sheet17"/>
  <dimension ref="A1:F44"/>
  <sheetViews>
    <sheetView zoomScaleNormal="100" zoomScaleSheetLayoutView="100" workbookViewId="0">
      <selection activeCell="F13" sqref="F13:F30"/>
    </sheetView>
  </sheetViews>
  <sheetFormatPr defaultRowHeight="12.75"/>
  <cols>
    <col min="1" max="1" width="3.85546875" style="164" customWidth="1"/>
    <col min="2" max="2" width="87.7109375" style="164" customWidth="1"/>
    <col min="3" max="3" width="2.28515625" style="157" customWidth="1"/>
    <col min="4" max="4" width="16.5703125" style="157" bestFit="1" customWidth="1"/>
    <col min="5" max="5" width="1.85546875" style="157" customWidth="1"/>
    <col min="6" max="6" width="13.7109375" style="157" customWidth="1"/>
    <col min="7" max="16384" width="9.140625" style="157"/>
  </cols>
  <sheetData>
    <row r="1" spans="1:6">
      <c r="A1" s="660" t="s">
        <v>601</v>
      </c>
      <c r="B1" s="660"/>
      <c r="C1" s="660"/>
      <c r="D1" s="660"/>
      <c r="E1" s="660"/>
      <c r="F1" s="660"/>
    </row>
    <row r="2" spans="1:6">
      <c r="A2" s="660" t="s">
        <v>602</v>
      </c>
      <c r="B2" s="660"/>
      <c r="C2" s="660"/>
      <c r="D2" s="660"/>
      <c r="E2" s="660"/>
      <c r="F2" s="660"/>
    </row>
    <row r="3" spans="1:6">
      <c r="A3" s="165"/>
      <c r="B3" s="165"/>
      <c r="C3" s="165"/>
      <c r="D3" s="165"/>
      <c r="E3" s="165"/>
      <c r="F3" s="165"/>
    </row>
    <row r="4" spans="1:6">
      <c r="A4" s="165"/>
      <c r="B4" s="165"/>
      <c r="C4" s="165"/>
      <c r="D4" s="165"/>
      <c r="E4" s="165"/>
      <c r="F4" s="165"/>
    </row>
    <row r="6" spans="1:6" s="72" customFormat="1" ht="38.25">
      <c r="A6" s="118"/>
      <c r="B6" s="33" t="s">
        <v>497</v>
      </c>
      <c r="D6" s="33" t="s">
        <v>498</v>
      </c>
      <c r="E6" s="118"/>
      <c r="F6" s="33" t="s">
        <v>499</v>
      </c>
    </row>
    <row r="7" spans="1:6" ht="15">
      <c r="A7" s="452">
        <v>1</v>
      </c>
      <c r="B7" s="230" t="s">
        <v>1166</v>
      </c>
      <c r="C7" s="172"/>
      <c r="D7" s="228">
        <v>6161334.0800000001</v>
      </c>
      <c r="E7" s="173"/>
      <c r="F7" s="226">
        <v>27368380</v>
      </c>
    </row>
    <row r="8" spans="1:6" ht="15">
      <c r="A8" s="452">
        <f>A7+1</f>
        <v>2</v>
      </c>
      <c r="B8" s="230" t="s">
        <v>1167</v>
      </c>
      <c r="C8" s="172"/>
      <c r="D8" s="229">
        <v>422070.55</v>
      </c>
      <c r="E8" s="173"/>
      <c r="F8" s="454">
        <v>27275931</v>
      </c>
    </row>
    <row r="9" spans="1:6" ht="15">
      <c r="A9" s="452">
        <f t="shared" ref="A9:A40" si="0">A8+1</f>
        <v>3</v>
      </c>
      <c r="B9" s="230" t="s">
        <v>1168</v>
      </c>
      <c r="C9" s="172"/>
      <c r="D9" s="229">
        <v>4924688.63</v>
      </c>
      <c r="E9" s="173"/>
      <c r="F9" s="454">
        <v>27289100</v>
      </c>
    </row>
    <row r="10" spans="1:6" ht="15">
      <c r="A10" s="452">
        <f t="shared" si="0"/>
        <v>4</v>
      </c>
      <c r="B10" s="230" t="s">
        <v>1169</v>
      </c>
      <c r="C10" s="172"/>
      <c r="D10" s="229">
        <v>413899.24</v>
      </c>
      <c r="E10" s="173"/>
      <c r="F10" s="454">
        <v>27292773</v>
      </c>
    </row>
    <row r="11" spans="1:6" ht="15">
      <c r="A11" s="452">
        <f t="shared" si="0"/>
        <v>5</v>
      </c>
      <c r="B11" s="230" t="s">
        <v>1170</v>
      </c>
      <c r="C11" s="172"/>
      <c r="D11" s="229">
        <v>377296.31</v>
      </c>
      <c r="E11" s="173"/>
      <c r="F11" s="454">
        <v>27297915</v>
      </c>
    </row>
    <row r="12" spans="1:6" ht="15">
      <c r="A12" s="452">
        <f t="shared" si="0"/>
        <v>6</v>
      </c>
      <c r="B12" s="230" t="s">
        <v>1171</v>
      </c>
      <c r="C12" s="172"/>
      <c r="D12" s="229">
        <v>1367858.64</v>
      </c>
      <c r="E12" s="173"/>
      <c r="F12" s="454">
        <v>27308488</v>
      </c>
    </row>
    <row r="13" spans="1:6" ht="15">
      <c r="A13" s="452">
        <f t="shared" si="0"/>
        <v>7</v>
      </c>
      <c r="B13" s="230" t="s">
        <v>1172</v>
      </c>
      <c r="C13" s="172"/>
      <c r="D13" s="229">
        <v>8378844.8499999996</v>
      </c>
      <c r="E13" s="173"/>
      <c r="F13" s="652">
        <v>27312527</v>
      </c>
    </row>
    <row r="14" spans="1:6" ht="15">
      <c r="A14" s="452">
        <f t="shared" si="0"/>
        <v>8</v>
      </c>
      <c r="B14" s="230" t="s">
        <v>1173</v>
      </c>
      <c r="C14" s="172"/>
      <c r="D14" s="229">
        <v>1679459.65</v>
      </c>
      <c r="E14" s="173"/>
      <c r="F14" s="652">
        <v>27313180</v>
      </c>
    </row>
    <row r="15" spans="1:6" ht="15">
      <c r="A15" s="452">
        <f t="shared" si="0"/>
        <v>9</v>
      </c>
      <c r="B15" s="230" t="s">
        <v>1174</v>
      </c>
      <c r="C15" s="172"/>
      <c r="D15" s="229">
        <v>2931034.65</v>
      </c>
      <c r="E15" s="173"/>
      <c r="F15" s="652">
        <v>27317118</v>
      </c>
    </row>
    <row r="16" spans="1:6" ht="15">
      <c r="A16" s="452">
        <f t="shared" si="0"/>
        <v>10</v>
      </c>
      <c r="B16" s="230" t="s">
        <v>1175</v>
      </c>
      <c r="C16" s="172"/>
      <c r="D16" s="229">
        <v>9078826.5800000001</v>
      </c>
      <c r="E16" s="173"/>
      <c r="F16" s="652">
        <v>27319211</v>
      </c>
    </row>
    <row r="17" spans="1:6" ht="15">
      <c r="A17" s="452">
        <f t="shared" si="0"/>
        <v>11</v>
      </c>
      <c r="B17" s="230" t="s">
        <v>1176</v>
      </c>
      <c r="C17" s="172"/>
      <c r="D17" s="229">
        <v>383152.47</v>
      </c>
      <c r="E17" s="173"/>
      <c r="F17" s="652">
        <v>27320195</v>
      </c>
    </row>
    <row r="18" spans="1:6" ht="15">
      <c r="A18" s="452">
        <f t="shared" si="0"/>
        <v>12</v>
      </c>
      <c r="B18" s="230" t="s">
        <v>1177</v>
      </c>
      <c r="C18" s="172"/>
      <c r="D18" s="229">
        <v>1172619.33</v>
      </c>
      <c r="E18" s="173"/>
      <c r="F18" s="652">
        <v>27324024</v>
      </c>
    </row>
    <row r="19" spans="1:6" ht="15">
      <c r="A19" s="452">
        <f t="shared" si="0"/>
        <v>13</v>
      </c>
      <c r="B19" s="230" t="s">
        <v>1178</v>
      </c>
      <c r="C19" s="172"/>
      <c r="D19" s="229">
        <v>857158.11</v>
      </c>
      <c r="E19" s="173"/>
      <c r="F19" s="652">
        <v>27329133</v>
      </c>
    </row>
    <row r="20" spans="1:6" ht="15">
      <c r="A20" s="452">
        <f t="shared" si="0"/>
        <v>14</v>
      </c>
      <c r="B20" s="230" t="s">
        <v>1179</v>
      </c>
      <c r="C20" s="172"/>
      <c r="D20" s="229">
        <v>257238.71</v>
      </c>
      <c r="E20" s="173"/>
      <c r="F20" s="652">
        <v>27331739</v>
      </c>
    </row>
    <row r="21" spans="1:6" ht="15">
      <c r="A21" s="452">
        <f t="shared" si="0"/>
        <v>15</v>
      </c>
      <c r="B21" s="230" t="s">
        <v>1180</v>
      </c>
      <c r="C21" s="172"/>
      <c r="D21" s="229">
        <v>279547.26</v>
      </c>
      <c r="E21" s="173"/>
      <c r="F21" s="652">
        <v>27332776</v>
      </c>
    </row>
    <row r="22" spans="1:6" ht="15">
      <c r="A22" s="452">
        <f t="shared" si="0"/>
        <v>16</v>
      </c>
      <c r="B22" s="230" t="s">
        <v>1181</v>
      </c>
      <c r="C22" s="172"/>
      <c r="D22" s="229">
        <v>969789.71</v>
      </c>
      <c r="E22" s="173"/>
      <c r="F22" s="652">
        <v>27334176</v>
      </c>
    </row>
    <row r="23" spans="1:6" ht="15">
      <c r="A23" s="452">
        <f t="shared" si="0"/>
        <v>17</v>
      </c>
      <c r="B23" s="230" t="s">
        <v>1182</v>
      </c>
      <c r="C23" s="172"/>
      <c r="D23" s="229">
        <v>301806.25</v>
      </c>
      <c r="E23" s="173"/>
      <c r="F23" s="652">
        <v>27337765</v>
      </c>
    </row>
    <row r="24" spans="1:6" ht="15">
      <c r="A24" s="452">
        <f t="shared" si="0"/>
        <v>18</v>
      </c>
      <c r="B24" s="230" t="s">
        <v>1187</v>
      </c>
      <c r="C24" s="172"/>
      <c r="D24" s="229">
        <v>297670.23</v>
      </c>
      <c r="E24" s="173"/>
      <c r="F24" s="652">
        <v>27337912</v>
      </c>
    </row>
    <row r="25" spans="1:6" ht="15">
      <c r="A25" s="452">
        <f t="shared" si="0"/>
        <v>19</v>
      </c>
      <c r="B25" s="230" t="s">
        <v>1188</v>
      </c>
      <c r="C25" s="172"/>
      <c r="D25" s="229">
        <v>316930.98</v>
      </c>
      <c r="E25" s="173"/>
      <c r="F25" s="652">
        <v>27340300</v>
      </c>
    </row>
    <row r="26" spans="1:6" ht="15">
      <c r="A26" s="452">
        <f t="shared" si="0"/>
        <v>20</v>
      </c>
      <c r="B26" s="230" t="s">
        <v>1189</v>
      </c>
      <c r="C26" s="172"/>
      <c r="D26" s="229">
        <v>436311.36</v>
      </c>
      <c r="E26" s="173"/>
      <c r="F26" s="652">
        <v>27351876</v>
      </c>
    </row>
    <row r="27" spans="1:6" ht="15">
      <c r="A27" s="452">
        <f t="shared" si="0"/>
        <v>21</v>
      </c>
      <c r="B27" s="230" t="s">
        <v>1190</v>
      </c>
      <c r="C27" s="172"/>
      <c r="D27" s="229">
        <v>362598.63</v>
      </c>
      <c r="E27" s="173"/>
      <c r="F27" s="652">
        <v>27352649</v>
      </c>
    </row>
    <row r="28" spans="1:6" ht="15">
      <c r="A28" s="452">
        <f t="shared" si="0"/>
        <v>22</v>
      </c>
      <c r="B28" s="230" t="s">
        <v>1191</v>
      </c>
      <c r="C28" s="172"/>
      <c r="D28" s="229">
        <v>614597.12</v>
      </c>
      <c r="E28" s="173"/>
      <c r="F28" s="652">
        <v>27352671</v>
      </c>
    </row>
    <row r="29" spans="1:6" ht="15">
      <c r="A29" s="452">
        <f t="shared" si="0"/>
        <v>23</v>
      </c>
      <c r="B29" s="230" t="s">
        <v>1183</v>
      </c>
      <c r="C29" s="172"/>
      <c r="D29" s="229">
        <v>261052.42</v>
      </c>
      <c r="E29" s="173"/>
      <c r="F29" s="652">
        <v>27353045</v>
      </c>
    </row>
    <row r="30" spans="1:6" ht="15">
      <c r="A30" s="452">
        <f t="shared" si="0"/>
        <v>24</v>
      </c>
      <c r="B30" s="230" t="s">
        <v>1184</v>
      </c>
      <c r="C30" s="172"/>
      <c r="D30" s="229">
        <v>484584.85</v>
      </c>
      <c r="E30" s="173"/>
      <c r="F30" s="652">
        <v>27353056</v>
      </c>
    </row>
    <row r="31" spans="1:6" ht="15">
      <c r="A31" s="452">
        <f t="shared" si="0"/>
        <v>25</v>
      </c>
      <c r="B31" s="230" t="s">
        <v>1185</v>
      </c>
      <c r="C31" s="172"/>
      <c r="D31" s="229">
        <v>1855783.59</v>
      </c>
      <c r="E31" s="173"/>
      <c r="F31" s="454">
        <v>27353670</v>
      </c>
    </row>
    <row r="32" spans="1:6" ht="15">
      <c r="A32" s="452">
        <f t="shared" si="0"/>
        <v>26</v>
      </c>
      <c r="B32" s="230" t="s">
        <v>1321</v>
      </c>
      <c r="C32" s="172"/>
      <c r="D32" s="453">
        <v>970131.34</v>
      </c>
      <c r="E32" s="173"/>
      <c r="F32" s="454">
        <v>27355554</v>
      </c>
    </row>
    <row r="33" spans="1:6" ht="15">
      <c r="A33" s="452">
        <f t="shared" si="0"/>
        <v>27</v>
      </c>
      <c r="B33" s="230" t="s">
        <v>1192</v>
      </c>
      <c r="C33" s="139"/>
      <c r="D33" s="453">
        <v>409264.08</v>
      </c>
      <c r="E33" s="83"/>
      <c r="F33" s="455">
        <v>27356711</v>
      </c>
    </row>
    <row r="34" spans="1:6" ht="15">
      <c r="A34" s="452">
        <f t="shared" si="0"/>
        <v>28</v>
      </c>
      <c r="B34" s="230" t="s">
        <v>1186</v>
      </c>
      <c r="C34" s="139"/>
      <c r="D34" s="453">
        <v>379514.57</v>
      </c>
      <c r="E34" s="140"/>
      <c r="F34" s="455">
        <v>27359674</v>
      </c>
    </row>
    <row r="35" spans="1:6" ht="15">
      <c r="A35" s="452">
        <f t="shared" si="0"/>
        <v>29</v>
      </c>
      <c r="B35" s="230" t="s">
        <v>1193</v>
      </c>
      <c r="C35" s="139"/>
      <c r="D35" s="453">
        <v>644578</v>
      </c>
      <c r="E35" s="83"/>
      <c r="F35" s="455">
        <v>27360372</v>
      </c>
    </row>
    <row r="36" spans="1:6" ht="15">
      <c r="A36" s="452">
        <f t="shared" si="0"/>
        <v>30</v>
      </c>
      <c r="B36" s="230" t="s">
        <v>1194</v>
      </c>
      <c r="C36" s="141"/>
      <c r="D36" s="453">
        <v>1004896.9</v>
      </c>
      <c r="E36" s="141"/>
      <c r="F36" s="455">
        <v>27360792</v>
      </c>
    </row>
    <row r="37" spans="1:6" ht="15">
      <c r="A37" s="452">
        <f t="shared" si="0"/>
        <v>31</v>
      </c>
      <c r="B37" s="230" t="s">
        <v>1195</v>
      </c>
      <c r="D37" s="453">
        <v>2679447.48</v>
      </c>
      <c r="F37" s="455">
        <v>27360873</v>
      </c>
    </row>
    <row r="38" spans="1:6" ht="15">
      <c r="A38" s="452">
        <f t="shared" si="0"/>
        <v>32</v>
      </c>
      <c r="B38" s="230" t="s">
        <v>1196</v>
      </c>
      <c r="D38" s="453">
        <v>1414783.76</v>
      </c>
      <c r="F38" s="455">
        <v>27360876</v>
      </c>
    </row>
    <row r="39" spans="1:6" ht="15">
      <c r="A39" s="452">
        <f t="shared" si="0"/>
        <v>33</v>
      </c>
      <c r="B39" s="230" t="s">
        <v>1197</v>
      </c>
      <c r="D39" s="453">
        <v>573102.73</v>
      </c>
      <c r="F39" s="455">
        <v>27360877</v>
      </c>
    </row>
    <row r="40" spans="1:6" ht="15">
      <c r="A40" s="452">
        <f t="shared" si="0"/>
        <v>34</v>
      </c>
      <c r="B40" s="230" t="s">
        <v>1196</v>
      </c>
      <c r="D40" s="227">
        <v>1087850.47</v>
      </c>
      <c r="F40" s="455">
        <v>27369494</v>
      </c>
    </row>
    <row r="41" spans="1:6">
      <c r="D41" s="96">
        <f>SUM(D7:D40)</f>
        <v>53749723.529999986</v>
      </c>
    </row>
    <row r="43" spans="1:6">
      <c r="D43" s="83"/>
    </row>
    <row r="44" spans="1:6">
      <c r="D44" s="141"/>
    </row>
  </sheetData>
  <mergeCells count="2">
    <mergeCell ref="A1:F1"/>
    <mergeCell ref="A2:F2"/>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18.xml><?xml version="1.0" encoding="utf-8"?>
<worksheet xmlns="http://schemas.openxmlformats.org/spreadsheetml/2006/main" xmlns:r="http://schemas.openxmlformats.org/officeDocument/2006/relationships">
  <sheetPr codeName="Sheet18"/>
  <dimension ref="A1:I8"/>
  <sheetViews>
    <sheetView zoomScaleNormal="100" zoomScaleSheetLayoutView="100" workbookViewId="0">
      <selection activeCell="B6" sqref="B6:H6"/>
    </sheetView>
  </sheetViews>
  <sheetFormatPr defaultRowHeight="12.75"/>
  <cols>
    <col min="1" max="9" width="9.85546875" style="1" customWidth="1"/>
    <col min="10" max="16384" width="9.140625" style="1"/>
  </cols>
  <sheetData>
    <row r="1" spans="1:9">
      <c r="A1" s="660" t="s">
        <v>598</v>
      </c>
      <c r="B1" s="660"/>
      <c r="C1" s="660"/>
      <c r="D1" s="660"/>
      <c r="E1" s="660"/>
      <c r="F1" s="660"/>
      <c r="G1" s="660"/>
      <c r="H1" s="660"/>
      <c r="I1" s="660"/>
    </row>
    <row r="2" spans="1:9">
      <c r="A2" s="660" t="s">
        <v>599</v>
      </c>
      <c r="B2" s="660"/>
      <c r="C2" s="660"/>
      <c r="D2" s="660"/>
      <c r="E2" s="660"/>
      <c r="F2" s="660"/>
      <c r="G2" s="660"/>
      <c r="H2" s="660"/>
      <c r="I2" s="660"/>
    </row>
    <row r="3" spans="1:9">
      <c r="A3" s="660" t="s">
        <v>600</v>
      </c>
      <c r="B3" s="660"/>
      <c r="C3" s="660"/>
      <c r="D3" s="660"/>
      <c r="E3" s="660"/>
      <c r="F3" s="660"/>
      <c r="G3" s="660"/>
      <c r="H3" s="660"/>
      <c r="I3" s="660"/>
    </row>
    <row r="6" spans="1:9" ht="35.25" customHeight="1">
      <c r="B6" s="677" t="s">
        <v>1079</v>
      </c>
      <c r="C6" s="677"/>
      <c r="D6" s="677"/>
      <c r="E6" s="677"/>
      <c r="F6" s="677"/>
      <c r="G6" s="677"/>
      <c r="H6" s="677"/>
    </row>
    <row r="7" spans="1:9">
      <c r="B7" s="676"/>
      <c r="C7" s="676"/>
      <c r="D7" s="676"/>
      <c r="E7" s="676"/>
      <c r="F7" s="676"/>
      <c r="G7" s="676"/>
      <c r="H7" s="676"/>
    </row>
    <row r="8" spans="1:9">
      <c r="B8" s="675"/>
      <c r="C8" s="675"/>
      <c r="D8" s="675"/>
      <c r="E8" s="675"/>
      <c r="F8" s="675"/>
      <c r="G8" s="675"/>
      <c r="H8" s="675"/>
    </row>
  </sheetData>
  <mergeCells count="6">
    <mergeCell ref="B8:H8"/>
    <mergeCell ref="B7:H7"/>
    <mergeCell ref="A1:I1"/>
    <mergeCell ref="A2:I2"/>
    <mergeCell ref="A3:I3"/>
    <mergeCell ref="B6:H6"/>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19.xml><?xml version="1.0" encoding="utf-8"?>
<worksheet xmlns="http://schemas.openxmlformats.org/spreadsheetml/2006/main" xmlns:r="http://schemas.openxmlformats.org/officeDocument/2006/relationships">
  <sheetPr codeName="Sheet19"/>
  <dimension ref="A1:G113"/>
  <sheetViews>
    <sheetView zoomScaleNormal="100" zoomScaleSheetLayoutView="100" workbookViewId="0">
      <selection activeCell="F12" sqref="F12"/>
    </sheetView>
  </sheetViews>
  <sheetFormatPr defaultRowHeight="12.75"/>
  <cols>
    <col min="1" max="1" width="5.140625" style="488" customWidth="1"/>
    <col min="2" max="2" width="4.140625" style="179" customWidth="1"/>
    <col min="3" max="3" width="4" style="179" customWidth="1"/>
    <col min="4" max="4" width="57.85546875" style="179" bestFit="1" customWidth="1"/>
    <col min="5" max="5" width="19.7109375" style="179" bestFit="1" customWidth="1"/>
    <col min="6" max="6" width="16.7109375" style="186" customWidth="1"/>
    <col min="7" max="7" width="10.85546875" style="179" bestFit="1" customWidth="1"/>
    <col min="8" max="16384" width="9.140625" style="179"/>
  </cols>
  <sheetData>
    <row r="1" spans="1:7" ht="15" customHeight="1">
      <c r="A1" s="668" t="s">
        <v>383</v>
      </c>
      <c r="B1" s="668"/>
      <c r="C1" s="668"/>
      <c r="D1" s="668"/>
      <c r="E1" s="668"/>
      <c r="F1" s="668"/>
    </row>
    <row r="2" spans="1:7" ht="15.75" customHeight="1">
      <c r="A2" s="668" t="s">
        <v>249</v>
      </c>
      <c r="B2" s="668"/>
      <c r="C2" s="668"/>
      <c r="D2" s="668"/>
      <c r="E2" s="668"/>
      <c r="F2" s="668"/>
    </row>
    <row r="4" spans="1:7">
      <c r="A4" s="179" t="s">
        <v>250</v>
      </c>
    </row>
    <row r="5" spans="1:7">
      <c r="A5" s="179"/>
      <c r="B5" s="360" t="s">
        <v>1322</v>
      </c>
    </row>
    <row r="6" spans="1:7">
      <c r="B6" s="360" t="s">
        <v>1323</v>
      </c>
    </row>
    <row r="7" spans="1:7">
      <c r="B7" s="360" t="s">
        <v>251</v>
      </c>
    </row>
    <row r="8" spans="1:7">
      <c r="F8" s="182"/>
    </row>
    <row r="9" spans="1:7">
      <c r="A9" s="488">
        <v>1</v>
      </c>
      <c r="B9" s="184" t="s">
        <v>249</v>
      </c>
      <c r="F9" s="182"/>
    </row>
    <row r="10" spans="1:7">
      <c r="A10" s="488">
        <f t="shared" ref="A10:A41" si="0">A9+1</f>
        <v>2</v>
      </c>
      <c r="F10" s="182"/>
    </row>
    <row r="11" spans="1:7">
      <c r="A11" s="488">
        <f t="shared" si="0"/>
        <v>3</v>
      </c>
      <c r="D11" s="179" t="s">
        <v>1324</v>
      </c>
      <c r="F11" s="361">
        <v>4194655.96</v>
      </c>
    </row>
    <row r="12" spans="1:7">
      <c r="A12" s="488">
        <f t="shared" si="0"/>
        <v>4</v>
      </c>
      <c r="D12" s="179" t="s">
        <v>1325</v>
      </c>
      <c r="F12" s="643">
        <v>-4311775</v>
      </c>
      <c r="G12" s="190"/>
    </row>
    <row r="13" spans="1:7">
      <c r="A13" s="488">
        <f t="shared" si="0"/>
        <v>5</v>
      </c>
      <c r="D13" s="179" t="s">
        <v>252</v>
      </c>
      <c r="F13" s="361">
        <f>F11+F12</f>
        <v>-117119.04000000004</v>
      </c>
    </row>
    <row r="14" spans="1:7">
      <c r="A14" s="488">
        <f t="shared" si="0"/>
        <v>6</v>
      </c>
      <c r="F14" s="362"/>
    </row>
    <row r="15" spans="1:7">
      <c r="A15" s="488">
        <f t="shared" si="0"/>
        <v>7</v>
      </c>
      <c r="C15" s="363" t="s">
        <v>253</v>
      </c>
      <c r="F15" s="362"/>
    </row>
    <row r="16" spans="1:7" ht="15">
      <c r="A16" s="488">
        <f t="shared" si="0"/>
        <v>8</v>
      </c>
      <c r="D16" s="179" t="s">
        <v>539</v>
      </c>
      <c r="E16" s="185" t="s">
        <v>319</v>
      </c>
      <c r="F16" s="364">
        <f>'Schedule 3'!F27</f>
        <v>0.12985026</v>
      </c>
    </row>
    <row r="17" spans="1:6" ht="15" customHeight="1">
      <c r="A17" s="488">
        <f t="shared" si="0"/>
        <v>9</v>
      </c>
      <c r="D17" s="179" t="s">
        <v>254</v>
      </c>
      <c r="E17" s="185" t="s">
        <v>255</v>
      </c>
      <c r="F17" s="361">
        <f>F13*F16</f>
        <v>-15207.937794950405</v>
      </c>
    </row>
    <row r="18" spans="1:6">
      <c r="A18" s="488">
        <f t="shared" si="0"/>
        <v>10</v>
      </c>
      <c r="E18" s="186"/>
    </row>
    <row r="19" spans="1:6">
      <c r="A19" s="488">
        <f t="shared" si="0"/>
        <v>11</v>
      </c>
      <c r="C19" s="363" t="s">
        <v>256</v>
      </c>
      <c r="E19" s="186"/>
      <c r="F19" s="362"/>
    </row>
    <row r="20" spans="1:6" ht="15">
      <c r="A20" s="488">
        <f t="shared" si="0"/>
        <v>12</v>
      </c>
      <c r="D20" s="179" t="s">
        <v>403</v>
      </c>
      <c r="E20" s="185" t="s">
        <v>237</v>
      </c>
      <c r="F20" s="365">
        <v>0.125</v>
      </c>
    </row>
    <row r="21" spans="1:6">
      <c r="A21" s="488">
        <f t="shared" si="0"/>
        <v>13</v>
      </c>
      <c r="D21" s="179" t="s">
        <v>257</v>
      </c>
      <c r="E21" s="185" t="s">
        <v>258</v>
      </c>
      <c r="F21" s="361">
        <f>F17*F20</f>
        <v>-1900.9922243688006</v>
      </c>
    </row>
    <row r="22" spans="1:6">
      <c r="A22" s="488">
        <f t="shared" si="0"/>
        <v>14</v>
      </c>
      <c r="E22" s="186"/>
      <c r="F22" s="361"/>
    </row>
    <row r="23" spans="1:6">
      <c r="A23" s="488">
        <f t="shared" si="0"/>
        <v>15</v>
      </c>
      <c r="C23" s="363" t="s">
        <v>259</v>
      </c>
      <c r="E23" s="186"/>
      <c r="F23" s="362"/>
    </row>
    <row r="24" spans="1:6">
      <c r="A24" s="488">
        <f t="shared" si="0"/>
        <v>16</v>
      </c>
      <c r="D24" s="179" t="s">
        <v>240</v>
      </c>
      <c r="E24" s="185" t="s">
        <v>243</v>
      </c>
      <c r="F24" s="366">
        <f>'Schedule 6'!I20</f>
        <v>8.1129052088955572E-2</v>
      </c>
    </row>
    <row r="25" spans="1:6" ht="15">
      <c r="A25" s="488">
        <f t="shared" si="0"/>
        <v>17</v>
      </c>
      <c r="D25" s="179" t="s">
        <v>493</v>
      </c>
      <c r="E25" s="185" t="s">
        <v>243</v>
      </c>
      <c r="F25" s="367">
        <f>'Schedule 6'!I34</f>
        <v>3.4959999999999998E-2</v>
      </c>
    </row>
    <row r="26" spans="1:6">
      <c r="A26" s="488">
        <f t="shared" si="0"/>
        <v>18</v>
      </c>
      <c r="D26" s="179" t="s">
        <v>260</v>
      </c>
      <c r="E26" s="185" t="s">
        <v>261</v>
      </c>
      <c r="F26" s="368">
        <f>SUM(F24:F25)</f>
        <v>0.11608905208895556</v>
      </c>
    </row>
    <row r="27" spans="1:6">
      <c r="A27" s="488">
        <f t="shared" si="0"/>
        <v>19</v>
      </c>
      <c r="E27" s="186"/>
      <c r="F27" s="368"/>
    </row>
    <row r="28" spans="1:6">
      <c r="A28" s="488">
        <f t="shared" si="0"/>
        <v>20</v>
      </c>
      <c r="D28" s="179" t="s">
        <v>262</v>
      </c>
      <c r="E28" s="185" t="s">
        <v>263</v>
      </c>
      <c r="F28" s="361">
        <f>F21*(F26)</f>
        <v>-220.68438535544919</v>
      </c>
    </row>
    <row r="29" spans="1:6">
      <c r="A29" s="488">
        <f t="shared" si="0"/>
        <v>21</v>
      </c>
      <c r="E29" s="186"/>
    </row>
    <row r="30" spans="1:6">
      <c r="A30" s="488">
        <f t="shared" si="0"/>
        <v>22</v>
      </c>
      <c r="C30" s="179" t="s">
        <v>264</v>
      </c>
      <c r="E30" s="185" t="s">
        <v>265</v>
      </c>
      <c r="F30" s="369">
        <f>F28+F17</f>
        <v>-15428.622180305854</v>
      </c>
    </row>
    <row r="31" spans="1:6">
      <c r="A31" s="488">
        <f t="shared" si="0"/>
        <v>23</v>
      </c>
      <c r="F31" s="188"/>
    </row>
    <row r="32" spans="1:6">
      <c r="A32" s="488">
        <f t="shared" si="0"/>
        <v>24</v>
      </c>
      <c r="F32" s="188"/>
    </row>
    <row r="33" spans="1:6">
      <c r="A33" s="488">
        <f t="shared" si="0"/>
        <v>25</v>
      </c>
      <c r="F33" s="188"/>
    </row>
    <row r="34" spans="1:6">
      <c r="A34" s="488">
        <f t="shared" si="0"/>
        <v>26</v>
      </c>
      <c r="F34" s="188"/>
    </row>
    <row r="35" spans="1:6">
      <c r="A35" s="488">
        <f t="shared" si="0"/>
        <v>27</v>
      </c>
      <c r="F35" s="188"/>
    </row>
    <row r="36" spans="1:6">
      <c r="A36" s="488">
        <f t="shared" si="0"/>
        <v>28</v>
      </c>
      <c r="F36" s="489"/>
    </row>
    <row r="37" spans="1:6">
      <c r="A37" s="488">
        <f t="shared" si="0"/>
        <v>29</v>
      </c>
      <c r="B37" s="184" t="s">
        <v>266</v>
      </c>
      <c r="F37" s="362"/>
    </row>
    <row r="38" spans="1:6">
      <c r="A38" s="488">
        <f t="shared" si="0"/>
        <v>30</v>
      </c>
      <c r="B38" s="184"/>
      <c r="F38" s="362"/>
    </row>
    <row r="39" spans="1:6">
      <c r="A39" s="488">
        <f t="shared" si="0"/>
        <v>31</v>
      </c>
      <c r="C39" s="363" t="s">
        <v>1326</v>
      </c>
      <c r="F39" s="362"/>
    </row>
    <row r="40" spans="1:6">
      <c r="A40" s="488">
        <f t="shared" si="0"/>
        <v>32</v>
      </c>
      <c r="B40" s="184"/>
      <c r="D40" s="205" t="s">
        <v>275</v>
      </c>
      <c r="E40" s="206" t="s">
        <v>115</v>
      </c>
      <c r="F40" s="370">
        <f>'Rate Calculation'!E51</f>
        <v>118240215.69479159</v>
      </c>
    </row>
    <row r="41" spans="1:6">
      <c r="A41" s="488">
        <f t="shared" si="0"/>
        <v>33</v>
      </c>
      <c r="E41" s="186"/>
      <c r="F41" s="362"/>
    </row>
    <row r="42" spans="1:6">
      <c r="A42" s="488">
        <f t="shared" ref="A42:A58" si="1">A41+1</f>
        <v>34</v>
      </c>
      <c r="D42" s="205" t="s">
        <v>540</v>
      </c>
      <c r="E42" s="206" t="s">
        <v>308</v>
      </c>
      <c r="F42" s="370">
        <f>'Schedule 5'!H24</f>
        <v>5186.3333333333339</v>
      </c>
    </row>
    <row r="43" spans="1:6">
      <c r="A43" s="488">
        <f t="shared" si="1"/>
        <v>35</v>
      </c>
      <c r="E43" s="186"/>
      <c r="F43" s="371"/>
    </row>
    <row r="44" spans="1:6">
      <c r="A44" s="488">
        <f t="shared" si="1"/>
        <v>36</v>
      </c>
      <c r="D44" s="205" t="s">
        <v>309</v>
      </c>
      <c r="E44" s="185" t="s">
        <v>267</v>
      </c>
      <c r="F44" s="372">
        <f>ROUND(F40/(F42*1000), 2)</f>
        <v>22.8</v>
      </c>
    </row>
    <row r="45" spans="1:6">
      <c r="A45" s="488">
        <f t="shared" si="1"/>
        <v>37</v>
      </c>
      <c r="D45" s="205" t="s">
        <v>310</v>
      </c>
      <c r="E45" s="206" t="s">
        <v>268</v>
      </c>
      <c r="F45" s="362">
        <f>ROUND(F44/12, 4)</f>
        <v>1.9</v>
      </c>
    </row>
    <row r="46" spans="1:6">
      <c r="A46" s="488">
        <f t="shared" si="1"/>
        <v>38</v>
      </c>
      <c r="E46" s="186"/>
    </row>
    <row r="47" spans="1:6">
      <c r="A47" s="488">
        <f t="shared" si="1"/>
        <v>39</v>
      </c>
      <c r="E47" s="186"/>
    </row>
    <row r="48" spans="1:6">
      <c r="A48" s="488">
        <f t="shared" si="1"/>
        <v>40</v>
      </c>
      <c r="C48" s="363" t="s">
        <v>1078</v>
      </c>
      <c r="E48" s="186"/>
      <c r="F48" s="362"/>
    </row>
    <row r="49" spans="1:6">
      <c r="A49" s="488">
        <f t="shared" si="1"/>
        <v>41</v>
      </c>
      <c r="B49" s="184"/>
      <c r="D49" s="205" t="s">
        <v>275</v>
      </c>
      <c r="E49" s="206" t="s">
        <v>269</v>
      </c>
      <c r="F49" s="370">
        <f>F40-F30</f>
        <v>118255644.3169719</v>
      </c>
    </row>
    <row r="50" spans="1:6">
      <c r="A50" s="488">
        <f t="shared" si="1"/>
        <v>42</v>
      </c>
      <c r="E50" s="186"/>
      <c r="F50" s="362"/>
    </row>
    <row r="51" spans="1:6">
      <c r="A51" s="488">
        <f t="shared" si="1"/>
        <v>43</v>
      </c>
      <c r="D51" s="205" t="s">
        <v>540</v>
      </c>
      <c r="E51" s="206" t="s">
        <v>308</v>
      </c>
      <c r="F51" s="370">
        <f>'Schedule 5'!H24</f>
        <v>5186.3333333333339</v>
      </c>
    </row>
    <row r="52" spans="1:6">
      <c r="A52" s="488">
        <f t="shared" si="1"/>
        <v>44</v>
      </c>
      <c r="E52" s="186"/>
      <c r="F52" s="371"/>
    </row>
    <row r="53" spans="1:6">
      <c r="A53" s="488">
        <f t="shared" si="1"/>
        <v>45</v>
      </c>
      <c r="D53" s="205" t="s">
        <v>309</v>
      </c>
      <c r="E53" s="185" t="s">
        <v>270</v>
      </c>
      <c r="F53" s="372">
        <f>ROUND(F49/(F51*1000), 2)</f>
        <v>22.8</v>
      </c>
    </row>
    <row r="54" spans="1:6">
      <c r="A54" s="488">
        <f t="shared" si="1"/>
        <v>46</v>
      </c>
      <c r="D54" s="205" t="s">
        <v>310</v>
      </c>
      <c r="E54" s="206" t="s">
        <v>271</v>
      </c>
      <c r="F54" s="373">
        <f>ROUND(F53/12, 4)</f>
        <v>1.9</v>
      </c>
    </row>
    <row r="55" spans="1:6">
      <c r="A55" s="488">
        <f t="shared" si="1"/>
        <v>47</v>
      </c>
      <c r="B55" s="184"/>
    </row>
    <row r="56" spans="1:6">
      <c r="A56" s="488">
        <f t="shared" si="1"/>
        <v>48</v>
      </c>
      <c r="B56" s="184"/>
    </row>
    <row r="57" spans="1:6">
      <c r="A57" s="488">
        <f t="shared" si="1"/>
        <v>49</v>
      </c>
      <c r="D57" s="184" t="s">
        <v>1327</v>
      </c>
      <c r="E57" s="206" t="s">
        <v>535</v>
      </c>
      <c r="F57" s="182">
        <f>F45-F54</f>
        <v>0</v>
      </c>
    </row>
    <row r="58" spans="1:6">
      <c r="A58" s="488">
        <f t="shared" si="1"/>
        <v>50</v>
      </c>
      <c r="D58" s="184" t="s">
        <v>272</v>
      </c>
      <c r="E58" s="184"/>
      <c r="F58" s="182" t="str">
        <f>IF(F57&gt;0.049999999, "YES", "NO")</f>
        <v>NO</v>
      </c>
    </row>
    <row r="62" spans="1:6">
      <c r="B62" s="184"/>
    </row>
    <row r="69" spans="2:6">
      <c r="F69" s="188"/>
    </row>
    <row r="70" spans="2:6">
      <c r="F70" s="188"/>
    </row>
    <row r="72" spans="2:6">
      <c r="F72" s="179"/>
    </row>
    <row r="73" spans="2:6">
      <c r="B73" s="184"/>
      <c r="F73" s="179"/>
    </row>
    <row r="76" spans="2:6">
      <c r="F76" s="188"/>
    </row>
    <row r="77" spans="2:6">
      <c r="F77" s="188"/>
    </row>
    <row r="80" spans="2:6">
      <c r="B80" s="184"/>
    </row>
    <row r="86" spans="2:2">
      <c r="B86" s="184"/>
    </row>
    <row r="87" spans="2:2">
      <c r="B87" s="184"/>
    </row>
    <row r="102" spans="2:2">
      <c r="B102" s="184"/>
    </row>
    <row r="108" spans="2:2">
      <c r="B108" s="184"/>
    </row>
    <row r="113" spans="2:2">
      <c r="B113" s="184"/>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xml><?xml version="1.0" encoding="utf-8"?>
<worksheet xmlns="http://schemas.openxmlformats.org/spreadsheetml/2006/main" xmlns:r="http://schemas.openxmlformats.org/officeDocument/2006/relationships">
  <sheetPr codeName="Sheet2"/>
  <dimension ref="A1:G47"/>
  <sheetViews>
    <sheetView zoomScaleNormal="100" zoomScaleSheetLayoutView="100" workbookViewId="0">
      <selection activeCell="D9" sqref="D9"/>
    </sheetView>
  </sheetViews>
  <sheetFormatPr defaultRowHeight="12.75"/>
  <cols>
    <col min="1" max="1" width="1.7109375" style="1" customWidth="1"/>
    <col min="2" max="2" width="27.42578125" style="1" customWidth="1"/>
    <col min="3" max="3" width="3.140625" style="1" customWidth="1"/>
    <col min="4" max="4" width="73.5703125" style="1" bestFit="1" customWidth="1"/>
    <col min="5" max="5" width="2.28515625" style="1" customWidth="1"/>
    <col min="6" max="6" width="6.5703125" style="1" customWidth="1"/>
    <col min="7" max="7" width="12" style="1" customWidth="1"/>
    <col min="8" max="16384" width="9.140625" style="1"/>
  </cols>
  <sheetData>
    <row r="1" spans="1:7">
      <c r="D1" s="30"/>
    </row>
    <row r="2" spans="1:7">
      <c r="D2" s="161"/>
    </row>
    <row r="3" spans="1:7">
      <c r="A3" s="78"/>
      <c r="B3" s="157"/>
      <c r="C3" s="157"/>
      <c r="D3" s="160" t="s">
        <v>48</v>
      </c>
      <c r="E3" s="157"/>
      <c r="F3" s="157"/>
      <c r="G3" s="157"/>
    </row>
    <row r="4" spans="1:7">
      <c r="A4" s="78"/>
      <c r="B4" s="78"/>
      <c r="C4" s="78"/>
      <c r="D4" s="161"/>
    </row>
    <row r="5" spans="1:7">
      <c r="A5" s="78"/>
      <c r="B5" s="78"/>
      <c r="C5" s="78"/>
      <c r="D5" s="31"/>
    </row>
    <row r="6" spans="1:7">
      <c r="D6" s="30"/>
      <c r="F6" s="659" t="s">
        <v>772</v>
      </c>
      <c r="G6" s="659"/>
    </row>
    <row r="7" spans="1:7" s="78" customFormat="1">
      <c r="B7" s="59" t="s">
        <v>770</v>
      </c>
      <c r="D7" s="59" t="s">
        <v>771</v>
      </c>
      <c r="F7" s="658" t="s">
        <v>326</v>
      </c>
      <c r="G7" s="658"/>
    </row>
    <row r="8" spans="1:7" ht="25.5">
      <c r="A8" s="78"/>
      <c r="B8" s="84" t="s">
        <v>47</v>
      </c>
      <c r="D8" s="176" t="s">
        <v>1320</v>
      </c>
    </row>
    <row r="9" spans="1:7">
      <c r="A9" s="78"/>
      <c r="B9" s="1" t="s">
        <v>48</v>
      </c>
      <c r="D9" s="1" t="s">
        <v>48</v>
      </c>
    </row>
    <row r="10" spans="1:7">
      <c r="A10" s="78"/>
      <c r="B10" s="1" t="s">
        <v>49</v>
      </c>
      <c r="D10" s="1" t="s">
        <v>766</v>
      </c>
      <c r="F10" s="1" t="s">
        <v>783</v>
      </c>
      <c r="G10" s="1" t="s">
        <v>769</v>
      </c>
    </row>
    <row r="11" spans="1:7">
      <c r="A11" s="78"/>
      <c r="B11" s="1" t="s">
        <v>764</v>
      </c>
      <c r="D11" s="1" t="s">
        <v>747</v>
      </c>
      <c r="F11" s="1" t="s">
        <v>783</v>
      </c>
      <c r="G11" s="1" t="s">
        <v>769</v>
      </c>
    </row>
    <row r="12" spans="1:7">
      <c r="A12" s="78"/>
      <c r="B12" s="1" t="s">
        <v>765</v>
      </c>
      <c r="D12" s="1" t="s">
        <v>767</v>
      </c>
      <c r="F12" s="1" t="s">
        <v>783</v>
      </c>
      <c r="G12" s="1" t="s">
        <v>769</v>
      </c>
    </row>
    <row r="13" spans="1:7">
      <c r="A13" s="78"/>
      <c r="B13" s="1" t="s">
        <v>756</v>
      </c>
      <c r="D13" s="1" t="s">
        <v>306</v>
      </c>
      <c r="F13" s="1" t="s">
        <v>783</v>
      </c>
      <c r="G13" s="1" t="s">
        <v>769</v>
      </c>
    </row>
    <row r="14" spans="1:7">
      <c r="A14" s="78"/>
      <c r="B14" s="1" t="s">
        <v>115</v>
      </c>
      <c r="D14" s="1" t="s">
        <v>327</v>
      </c>
      <c r="G14" s="1" t="s">
        <v>769</v>
      </c>
    </row>
    <row r="15" spans="1:7">
      <c r="A15" s="78"/>
      <c r="B15" s="1" t="s">
        <v>237</v>
      </c>
      <c r="D15" s="1" t="s">
        <v>316</v>
      </c>
      <c r="G15" s="1" t="s">
        <v>769</v>
      </c>
    </row>
    <row r="16" spans="1:7">
      <c r="A16" s="78"/>
      <c r="B16" s="1" t="s">
        <v>247</v>
      </c>
      <c r="D16" s="1" t="s">
        <v>404</v>
      </c>
      <c r="G16" s="1" t="s">
        <v>769</v>
      </c>
    </row>
    <row r="17" spans="1:7">
      <c r="A17" s="78"/>
      <c r="B17" s="1" t="s">
        <v>319</v>
      </c>
      <c r="D17" s="1" t="s">
        <v>413</v>
      </c>
      <c r="G17" s="1" t="s">
        <v>769</v>
      </c>
    </row>
    <row r="18" spans="1:7">
      <c r="A18" s="78"/>
      <c r="B18" s="1" t="s">
        <v>307</v>
      </c>
      <c r="D18" s="1" t="s">
        <v>306</v>
      </c>
      <c r="G18" s="1" t="s">
        <v>769</v>
      </c>
    </row>
    <row r="19" spans="1:7">
      <c r="A19" s="78"/>
      <c r="B19" s="1" t="s">
        <v>308</v>
      </c>
      <c r="D19" s="232" t="s">
        <v>1132</v>
      </c>
      <c r="F19" s="1" t="s">
        <v>784</v>
      </c>
      <c r="G19" s="1" t="s">
        <v>769</v>
      </c>
    </row>
    <row r="20" spans="1:7">
      <c r="A20" s="78"/>
      <c r="B20" s="1" t="s">
        <v>243</v>
      </c>
      <c r="D20" s="1" t="s">
        <v>52</v>
      </c>
      <c r="G20" s="1" t="s">
        <v>769</v>
      </c>
    </row>
    <row r="21" spans="1:7">
      <c r="A21" s="78"/>
      <c r="B21" s="1" t="s">
        <v>185</v>
      </c>
      <c r="D21" s="1" t="s">
        <v>55</v>
      </c>
      <c r="F21" s="1" t="s">
        <v>785</v>
      </c>
      <c r="G21" s="1" t="s">
        <v>769</v>
      </c>
    </row>
    <row r="22" spans="1:7" ht="25.5">
      <c r="A22" s="78"/>
      <c r="B22" s="84" t="s">
        <v>593</v>
      </c>
      <c r="D22" s="72" t="s">
        <v>792</v>
      </c>
      <c r="F22" s="84" t="s">
        <v>794</v>
      </c>
      <c r="G22" s="84" t="s">
        <v>769</v>
      </c>
    </row>
    <row r="23" spans="1:7">
      <c r="A23" s="78"/>
      <c r="B23" s="1" t="s">
        <v>45</v>
      </c>
      <c r="D23" s="1" t="s">
        <v>795</v>
      </c>
      <c r="F23" s="1" t="s">
        <v>793</v>
      </c>
      <c r="G23" s="1" t="s">
        <v>769</v>
      </c>
    </row>
    <row r="24" spans="1:7">
      <c r="A24" s="78"/>
      <c r="B24" s="55" t="s">
        <v>731</v>
      </c>
      <c r="D24" s="1" t="s">
        <v>732</v>
      </c>
      <c r="F24" s="1" t="s">
        <v>733</v>
      </c>
    </row>
    <row r="25" spans="1:7" ht="25.5">
      <c r="A25" s="78"/>
      <c r="B25" s="85" t="s">
        <v>734</v>
      </c>
      <c r="D25" s="72" t="s">
        <v>965</v>
      </c>
      <c r="F25" s="84" t="s">
        <v>735</v>
      </c>
    </row>
    <row r="26" spans="1:7">
      <c r="A26" s="78"/>
      <c r="B26" s="1" t="s">
        <v>248</v>
      </c>
      <c r="D26" s="1" t="s">
        <v>249</v>
      </c>
      <c r="F26" s="1" t="s">
        <v>273</v>
      </c>
    </row>
    <row r="27" spans="1:7">
      <c r="A27" s="78"/>
      <c r="B27" s="1" t="s">
        <v>744</v>
      </c>
      <c r="D27" s="72" t="s">
        <v>412</v>
      </c>
      <c r="F27" s="1" t="s">
        <v>745</v>
      </c>
    </row>
    <row r="28" spans="1:7">
      <c r="A28" s="78"/>
      <c r="B28" s="85"/>
      <c r="D28" s="72"/>
      <c r="F28" s="84"/>
    </row>
    <row r="29" spans="1:7">
      <c r="A29" s="78"/>
      <c r="B29" s="85" t="s">
        <v>500</v>
      </c>
      <c r="D29" s="72" t="s">
        <v>501</v>
      </c>
      <c r="F29" s="84"/>
    </row>
    <row r="30" spans="1:7">
      <c r="A30" s="78"/>
      <c r="B30" s="1" t="s">
        <v>194</v>
      </c>
      <c r="D30" s="1" t="s">
        <v>218</v>
      </c>
      <c r="G30" s="1" t="s">
        <v>769</v>
      </c>
    </row>
    <row r="31" spans="1:7">
      <c r="A31" s="78"/>
      <c r="B31" s="1" t="s">
        <v>79</v>
      </c>
      <c r="D31" s="1" t="s">
        <v>607</v>
      </c>
      <c r="F31" s="1" t="s">
        <v>785</v>
      </c>
      <c r="G31" s="1" t="s">
        <v>769</v>
      </c>
    </row>
    <row r="32" spans="1:7">
      <c r="A32" s="78"/>
      <c r="B32" s="1" t="s">
        <v>80</v>
      </c>
      <c r="D32" s="1" t="s">
        <v>652</v>
      </c>
      <c r="G32" s="1" t="s">
        <v>769</v>
      </c>
    </row>
    <row r="33" spans="1:7">
      <c r="A33" s="78"/>
      <c r="B33" s="1" t="s">
        <v>81</v>
      </c>
      <c r="D33" s="1" t="s">
        <v>50</v>
      </c>
      <c r="F33" s="1" t="s">
        <v>786</v>
      </c>
      <c r="G33" s="1" t="s">
        <v>769</v>
      </c>
    </row>
    <row r="34" spans="1:7">
      <c r="A34" s="78"/>
      <c r="B34" s="1" t="s">
        <v>328</v>
      </c>
      <c r="D34" s="1" t="s">
        <v>329</v>
      </c>
      <c r="F34" s="1" t="s">
        <v>786</v>
      </c>
      <c r="G34" s="1" t="s">
        <v>769</v>
      </c>
    </row>
    <row r="35" spans="1:7">
      <c r="A35" s="78"/>
      <c r="B35" s="1" t="s">
        <v>82</v>
      </c>
      <c r="D35" s="1" t="s">
        <v>88</v>
      </c>
      <c r="F35" s="1" t="s">
        <v>787</v>
      </c>
      <c r="G35" s="1" t="s">
        <v>769</v>
      </c>
    </row>
    <row r="36" spans="1:7">
      <c r="A36" s="78"/>
      <c r="B36" s="1" t="s">
        <v>83</v>
      </c>
      <c r="D36" s="1" t="s">
        <v>89</v>
      </c>
      <c r="F36" s="1" t="s">
        <v>787</v>
      </c>
      <c r="G36" s="1" t="s">
        <v>769</v>
      </c>
    </row>
    <row r="37" spans="1:7">
      <c r="A37" s="78"/>
      <c r="B37" s="1" t="s">
        <v>84</v>
      </c>
      <c r="D37" s="1" t="s">
        <v>613</v>
      </c>
      <c r="F37" s="1" t="s">
        <v>787</v>
      </c>
      <c r="G37" s="1" t="s">
        <v>769</v>
      </c>
    </row>
    <row r="38" spans="1:7">
      <c r="A38" s="78"/>
      <c r="B38" s="1" t="s">
        <v>85</v>
      </c>
      <c r="D38" s="1" t="s">
        <v>90</v>
      </c>
      <c r="F38" s="1" t="s">
        <v>787</v>
      </c>
      <c r="G38" s="1" t="s">
        <v>769</v>
      </c>
    </row>
    <row r="39" spans="1:7">
      <c r="A39" s="78"/>
      <c r="B39" s="1" t="s">
        <v>86</v>
      </c>
      <c r="D39" s="232" t="s">
        <v>1131</v>
      </c>
      <c r="G39" s="1" t="s">
        <v>769</v>
      </c>
    </row>
    <row r="40" spans="1:7" ht="25.5">
      <c r="A40" s="78"/>
      <c r="B40" s="84" t="s">
        <v>87</v>
      </c>
      <c r="D40" s="72" t="s">
        <v>98</v>
      </c>
      <c r="F40" s="84" t="s">
        <v>788</v>
      </c>
      <c r="G40" s="84" t="s">
        <v>769</v>
      </c>
    </row>
    <row r="41" spans="1:7" ht="25.5">
      <c r="A41" s="78"/>
      <c r="B41" s="84" t="s">
        <v>96</v>
      </c>
      <c r="D41" s="72" t="s">
        <v>97</v>
      </c>
      <c r="F41" s="84" t="s">
        <v>788</v>
      </c>
      <c r="G41" s="84" t="s">
        <v>769</v>
      </c>
    </row>
    <row r="42" spans="1:7">
      <c r="A42" s="78"/>
      <c r="B42" s="1" t="s">
        <v>51</v>
      </c>
      <c r="D42" s="232" t="s">
        <v>1133</v>
      </c>
      <c r="F42" s="1" t="s">
        <v>784</v>
      </c>
      <c r="G42" s="1" t="s">
        <v>769</v>
      </c>
    </row>
    <row r="43" spans="1:7">
      <c r="A43" s="78"/>
      <c r="B43" s="1" t="s">
        <v>53</v>
      </c>
      <c r="D43" s="1" t="s">
        <v>54</v>
      </c>
      <c r="F43" s="1" t="s">
        <v>789</v>
      </c>
      <c r="G43" s="1" t="s">
        <v>769</v>
      </c>
    </row>
    <row r="44" spans="1:7">
      <c r="A44" s="78"/>
      <c r="B44" s="1" t="s">
        <v>106</v>
      </c>
      <c r="D44" s="1" t="s">
        <v>105</v>
      </c>
      <c r="F44" s="1" t="s">
        <v>791</v>
      </c>
      <c r="G44" s="1" t="s">
        <v>769</v>
      </c>
    </row>
    <row r="45" spans="1:7">
      <c r="A45" s="78"/>
      <c r="B45" s="1" t="s">
        <v>109</v>
      </c>
      <c r="D45" s="1" t="s">
        <v>110</v>
      </c>
      <c r="F45" s="1" t="s">
        <v>790</v>
      </c>
      <c r="G45" s="1" t="s">
        <v>769</v>
      </c>
    </row>
    <row r="46" spans="1:7">
      <c r="B46" s="1" t="s">
        <v>873</v>
      </c>
      <c r="D46" s="1" t="s">
        <v>55</v>
      </c>
      <c r="F46" s="1" t="s">
        <v>785</v>
      </c>
      <c r="G46" s="1" t="s">
        <v>769</v>
      </c>
    </row>
    <row r="47" spans="1:7" ht="25.5">
      <c r="B47" s="84" t="s">
        <v>13</v>
      </c>
      <c r="D47" s="72" t="s">
        <v>792</v>
      </c>
      <c r="F47" s="84" t="s">
        <v>794</v>
      </c>
      <c r="G47" s="84" t="s">
        <v>769</v>
      </c>
    </row>
  </sheetData>
  <mergeCells count="2">
    <mergeCell ref="F7:G7"/>
    <mergeCell ref="F6:G6"/>
  </mergeCells>
  <phoneticPr fontId="12" type="noConversion"/>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0.xml><?xml version="1.0" encoding="utf-8"?>
<worksheet xmlns="http://schemas.openxmlformats.org/spreadsheetml/2006/main" xmlns:r="http://schemas.openxmlformats.org/officeDocument/2006/relationships">
  <sheetPr codeName="Sheet20"/>
  <dimension ref="A1:B23"/>
  <sheetViews>
    <sheetView zoomScaleNormal="100" zoomScaleSheetLayoutView="100" workbookViewId="0">
      <selection activeCell="B6" sqref="B6"/>
    </sheetView>
  </sheetViews>
  <sheetFormatPr defaultRowHeight="12.75"/>
  <cols>
    <col min="1" max="1" width="4.7109375" style="146" customWidth="1"/>
    <col min="2" max="2" width="73.42578125" style="1" customWidth="1"/>
    <col min="3" max="16384" width="9.140625" style="1"/>
  </cols>
  <sheetData>
    <row r="1" spans="1:2">
      <c r="A1" s="660" t="s">
        <v>743</v>
      </c>
      <c r="B1" s="660"/>
    </row>
    <row r="2" spans="1:2">
      <c r="A2" s="660" t="s">
        <v>411</v>
      </c>
      <c r="B2" s="660"/>
    </row>
    <row r="3" spans="1:2">
      <c r="B3" s="146"/>
    </row>
    <row r="5" spans="1:2" ht="25.5">
      <c r="B5" s="72" t="s">
        <v>1332</v>
      </c>
    </row>
    <row r="6" spans="1:2">
      <c r="A6" s="148"/>
      <c r="B6" s="72"/>
    </row>
    <row r="15" spans="1:2">
      <c r="B15" s="55"/>
    </row>
    <row r="16" spans="1:2">
      <c r="A16" s="148"/>
      <c r="B16" s="72"/>
    </row>
    <row r="23" spans="1:1">
      <c r="A23" s="27"/>
    </row>
  </sheetData>
  <mergeCells count="2">
    <mergeCell ref="A1:B1"/>
    <mergeCell ref="A2:B2"/>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1.xml><?xml version="1.0" encoding="utf-8"?>
<worksheet xmlns="http://schemas.openxmlformats.org/spreadsheetml/2006/main" xmlns:r="http://schemas.openxmlformats.org/officeDocument/2006/relationships">
  <sheetPr codeName="Sheet21"/>
  <dimension ref="A8:I8"/>
  <sheetViews>
    <sheetView zoomScaleNormal="100" zoomScaleSheetLayoutView="100" workbookViewId="0">
      <selection activeCell="A18" sqref="A18:I18"/>
    </sheetView>
  </sheetViews>
  <sheetFormatPr defaultRowHeight="12.75"/>
  <cols>
    <col min="1" max="16384" width="9.140625" style="1"/>
  </cols>
  <sheetData>
    <row r="8" spans="1:9">
      <c r="A8" s="660" t="s">
        <v>502</v>
      </c>
      <c r="B8" s="660"/>
      <c r="C8" s="660"/>
      <c r="D8" s="660"/>
      <c r="E8" s="660"/>
      <c r="F8" s="660"/>
      <c r="G8" s="660"/>
      <c r="H8" s="660"/>
      <c r="I8" s="660"/>
    </row>
  </sheetData>
  <mergeCells count="1">
    <mergeCell ref="A8:I8"/>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2.xml><?xml version="1.0" encoding="utf-8"?>
<worksheet xmlns="http://schemas.openxmlformats.org/spreadsheetml/2006/main" xmlns:r="http://schemas.openxmlformats.org/officeDocument/2006/relationships">
  <sheetPr codeName="Sheet22"/>
  <dimension ref="A1:F93"/>
  <sheetViews>
    <sheetView zoomScaleNormal="100" zoomScaleSheetLayoutView="100" workbookViewId="0">
      <selection activeCell="E19" sqref="E19"/>
    </sheetView>
  </sheetViews>
  <sheetFormatPr defaultRowHeight="12.75"/>
  <cols>
    <col min="1" max="1" width="5.140625" style="488" customWidth="1"/>
    <col min="2" max="2" width="4.140625" style="179" customWidth="1"/>
    <col min="3" max="3" width="4" style="179" customWidth="1"/>
    <col min="4" max="4" width="40.42578125" style="179" customWidth="1"/>
    <col min="5" max="5" width="25.140625" style="186" bestFit="1" customWidth="1"/>
    <col min="6" max="6" width="17.85546875" style="185" customWidth="1"/>
    <col min="7" max="16384" width="9.140625" style="179"/>
  </cols>
  <sheetData>
    <row r="1" spans="1:6" ht="15" customHeight="1">
      <c r="A1" s="668" t="s">
        <v>373</v>
      </c>
      <c r="B1" s="668"/>
      <c r="C1" s="668"/>
      <c r="D1" s="668"/>
      <c r="E1" s="668"/>
      <c r="F1" s="668"/>
    </row>
    <row r="2" spans="1:6">
      <c r="A2" s="668" t="s">
        <v>218</v>
      </c>
      <c r="B2" s="668"/>
      <c r="C2" s="668"/>
      <c r="D2" s="668"/>
      <c r="E2" s="668"/>
      <c r="F2" s="668"/>
    </row>
    <row r="3" spans="1:6">
      <c r="A3" s="668" t="s">
        <v>1140</v>
      </c>
      <c r="B3" s="668"/>
      <c r="C3" s="668"/>
      <c r="D3" s="668"/>
      <c r="E3" s="668"/>
      <c r="F3" s="668"/>
    </row>
    <row r="5" spans="1:6">
      <c r="E5" s="182" t="s">
        <v>233</v>
      </c>
      <c r="F5" s="183" t="s">
        <v>234</v>
      </c>
    </row>
    <row r="6" spans="1:6">
      <c r="A6" s="488">
        <v>1</v>
      </c>
      <c r="B6" s="184" t="s">
        <v>317</v>
      </c>
      <c r="E6" s="182"/>
    </row>
    <row r="7" spans="1:6">
      <c r="A7" s="488">
        <f>A6+1</f>
        <v>2</v>
      </c>
      <c r="E7" s="182"/>
    </row>
    <row r="8" spans="1:6">
      <c r="A8" s="488">
        <f>A7+1</f>
        <v>3</v>
      </c>
      <c r="D8" s="179" t="s">
        <v>480</v>
      </c>
      <c r="E8" s="186" t="s">
        <v>486</v>
      </c>
      <c r="F8" s="185">
        <v>295182024</v>
      </c>
    </row>
    <row r="9" spans="1:6" ht="15">
      <c r="A9" s="488">
        <f>A8+1</f>
        <v>4</v>
      </c>
      <c r="D9" s="179" t="s">
        <v>1130</v>
      </c>
      <c r="E9" s="186" t="s">
        <v>1075</v>
      </c>
      <c r="F9" s="644">
        <v>-51285735</v>
      </c>
    </row>
    <row r="10" spans="1:6">
      <c r="A10" s="488">
        <f>A9+1</f>
        <v>5</v>
      </c>
    </row>
    <row r="11" spans="1:6">
      <c r="A11" s="488">
        <f>A10+1</f>
        <v>6</v>
      </c>
      <c r="D11" s="179" t="s">
        <v>195</v>
      </c>
      <c r="F11" s="185">
        <f>SUM(F8:F10)</f>
        <v>243896289</v>
      </c>
    </row>
    <row r="14" spans="1:6">
      <c r="A14" s="179"/>
      <c r="E14" s="179"/>
      <c r="F14" s="179"/>
    </row>
    <row r="15" spans="1:6" ht="15" customHeight="1">
      <c r="A15" s="179"/>
      <c r="D15" s="362"/>
      <c r="E15" s="179"/>
      <c r="F15" s="179"/>
    </row>
    <row r="22" spans="2:6">
      <c r="B22" s="184"/>
    </row>
    <row r="25" spans="2:6">
      <c r="E25" s="188"/>
      <c r="F25" s="187"/>
    </row>
    <row r="29" spans="2:6">
      <c r="B29" s="184"/>
    </row>
    <row r="30" spans="2:6">
      <c r="B30" s="184"/>
    </row>
    <row r="32" spans="2:6">
      <c r="F32" s="187"/>
    </row>
    <row r="36" spans="2:6">
      <c r="B36" s="184"/>
    </row>
    <row r="43" spans="2:6">
      <c r="E43" s="188"/>
      <c r="F43" s="187"/>
    </row>
    <row r="44" spans="2:6">
      <c r="E44" s="188"/>
    </row>
    <row r="46" spans="2:6">
      <c r="E46" s="179"/>
      <c r="F46" s="179"/>
    </row>
    <row r="47" spans="2:6">
      <c r="B47" s="184"/>
      <c r="E47" s="179"/>
      <c r="F47" s="179"/>
    </row>
    <row r="49" spans="2:6">
      <c r="F49" s="190"/>
    </row>
    <row r="50" spans="2:6">
      <c r="E50" s="188"/>
    </row>
    <row r="51" spans="2:6">
      <c r="E51" s="188"/>
    </row>
    <row r="54" spans="2:6">
      <c r="B54" s="184"/>
    </row>
    <row r="57" spans="2:6">
      <c r="F57" s="187"/>
    </row>
    <row r="60" spans="2:6">
      <c r="B60" s="184"/>
    </row>
    <row r="61" spans="2:6">
      <c r="B61" s="184"/>
    </row>
    <row r="66" spans="2:6">
      <c r="F66" s="187"/>
    </row>
    <row r="72" spans="2:6">
      <c r="F72" s="189"/>
    </row>
    <row r="76" spans="2:6">
      <c r="B76" s="184"/>
    </row>
    <row r="79" spans="2:6">
      <c r="F79" s="187"/>
    </row>
    <row r="82" spans="2:6">
      <c r="B82" s="184"/>
    </row>
    <row r="84" spans="2:6">
      <c r="F84" s="187"/>
    </row>
    <row r="87" spans="2:6">
      <c r="B87" s="184"/>
    </row>
    <row r="90" spans="2:6">
      <c r="F90" s="187"/>
    </row>
    <row r="93" spans="2:6">
      <c r="F93" s="187"/>
    </row>
  </sheetData>
  <sheetProtection formatCells="0"/>
  <mergeCells count="3">
    <mergeCell ref="A1:F1"/>
    <mergeCell ref="A2:F2"/>
    <mergeCell ref="A3:F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3.xml><?xml version="1.0" encoding="utf-8"?>
<worksheet xmlns="http://schemas.openxmlformats.org/spreadsheetml/2006/main" xmlns:r="http://schemas.openxmlformats.org/officeDocument/2006/relationships">
  <sheetPr codeName="Sheet23"/>
  <dimension ref="A1:G62"/>
  <sheetViews>
    <sheetView zoomScaleNormal="100" zoomScaleSheetLayoutView="100" workbookViewId="0">
      <selection activeCell="C5" sqref="C5"/>
    </sheetView>
  </sheetViews>
  <sheetFormatPr defaultRowHeight="12.75"/>
  <cols>
    <col min="1" max="1" width="9.28515625" style="179" bestFit="1" customWidth="1"/>
    <col min="2" max="2" width="2.7109375" style="179" customWidth="1"/>
    <col min="3" max="3" width="56.42578125" style="205" customWidth="1"/>
    <col min="4" max="4" width="4.42578125" style="205" customWidth="1"/>
    <col min="5" max="5" width="13.28515625" style="204" customWidth="1"/>
    <col min="6" max="6" width="9.140625" style="179"/>
    <col min="7" max="7" width="11.28515625" style="179" bestFit="1" customWidth="1"/>
    <col min="8" max="16384" width="9.140625" style="179"/>
  </cols>
  <sheetData>
    <row r="1" spans="1:5">
      <c r="A1" s="668" t="s">
        <v>606</v>
      </c>
      <c r="B1" s="668"/>
      <c r="C1" s="668"/>
      <c r="D1" s="668"/>
      <c r="E1" s="668"/>
    </row>
    <row r="2" spans="1:5">
      <c r="A2" s="668" t="s">
        <v>607</v>
      </c>
      <c r="B2" s="668"/>
      <c r="C2" s="668"/>
      <c r="D2" s="668"/>
      <c r="E2" s="668"/>
    </row>
    <row r="3" spans="1:5">
      <c r="A3" s="668" t="str">
        <f>'Schedule 1 Workpaper'!A3:F3</f>
        <v>12 Months Ended 12/31/2012</v>
      </c>
      <c r="B3" s="668"/>
      <c r="C3" s="668"/>
      <c r="D3" s="668"/>
      <c r="E3" s="668"/>
    </row>
    <row r="5" spans="1:5">
      <c r="A5" s="488">
        <v>1</v>
      </c>
      <c r="B5" s="198" t="s">
        <v>608</v>
      </c>
      <c r="C5" s="199"/>
      <c r="D5" s="199"/>
      <c r="E5" s="200"/>
    </row>
    <row r="6" spans="1:5">
      <c r="A6" s="488">
        <f>A5+1</f>
        <v>2</v>
      </c>
      <c r="C6" s="201" t="s">
        <v>609</v>
      </c>
      <c r="D6" s="201"/>
      <c r="E6" s="103">
        <v>0</v>
      </c>
    </row>
    <row r="7" spans="1:5">
      <c r="A7" s="488">
        <f t="shared" ref="A7:A62" si="0">A6+1</f>
        <v>3</v>
      </c>
      <c r="C7" s="201" t="s">
        <v>610</v>
      </c>
      <c r="D7" s="201"/>
      <c r="E7" s="103">
        <v>2108.4</v>
      </c>
    </row>
    <row r="8" spans="1:5">
      <c r="A8" s="488">
        <f t="shared" si="0"/>
        <v>4</v>
      </c>
      <c r="C8" s="201" t="s">
        <v>611</v>
      </c>
      <c r="D8" s="201"/>
      <c r="E8" s="103">
        <v>18352.84</v>
      </c>
    </row>
    <row r="9" spans="1:5">
      <c r="A9" s="488">
        <f t="shared" si="0"/>
        <v>5</v>
      </c>
      <c r="C9" s="201" t="s">
        <v>612</v>
      </c>
      <c r="D9" s="201"/>
      <c r="E9" s="103">
        <v>2052.9699999999998</v>
      </c>
    </row>
    <row r="10" spans="1:5">
      <c r="A10" s="488">
        <f t="shared" si="0"/>
        <v>6</v>
      </c>
      <c r="C10" s="201" t="s">
        <v>616</v>
      </c>
      <c r="D10" s="201"/>
      <c r="E10" s="103">
        <v>0</v>
      </c>
    </row>
    <row r="11" spans="1:5">
      <c r="A11" s="488">
        <f t="shared" si="0"/>
        <v>7</v>
      </c>
      <c r="C11" s="201" t="s">
        <v>617</v>
      </c>
      <c r="D11" s="201"/>
      <c r="E11" s="103">
        <v>0</v>
      </c>
    </row>
    <row r="12" spans="1:5">
      <c r="A12" s="488">
        <f t="shared" si="0"/>
        <v>8</v>
      </c>
      <c r="C12" s="201" t="s">
        <v>618</v>
      </c>
      <c r="D12" s="201"/>
      <c r="E12" s="103">
        <v>642.24</v>
      </c>
    </row>
    <row r="13" spans="1:5">
      <c r="A13" s="488">
        <f t="shared" si="0"/>
        <v>9</v>
      </c>
      <c r="C13" s="201" t="s">
        <v>619</v>
      </c>
      <c r="D13" s="201"/>
      <c r="E13" s="103">
        <v>14946.34</v>
      </c>
    </row>
    <row r="14" spans="1:5">
      <c r="A14" s="488">
        <f t="shared" si="0"/>
        <v>10</v>
      </c>
      <c r="C14" s="201" t="s">
        <v>620</v>
      </c>
      <c r="D14" s="201"/>
      <c r="E14" s="103">
        <v>0</v>
      </c>
    </row>
    <row r="15" spans="1:5">
      <c r="A15" s="488">
        <f t="shared" si="0"/>
        <v>11</v>
      </c>
      <c r="C15" s="201" t="s">
        <v>621</v>
      </c>
      <c r="D15" s="201"/>
      <c r="E15" s="103">
        <v>17.39</v>
      </c>
    </row>
    <row r="16" spans="1:5">
      <c r="A16" s="488">
        <f t="shared" si="0"/>
        <v>12</v>
      </c>
      <c r="C16" s="201" t="s">
        <v>622</v>
      </c>
      <c r="D16" s="201"/>
      <c r="E16" s="103">
        <v>7501.96</v>
      </c>
    </row>
    <row r="17" spans="1:5">
      <c r="A17" s="488">
        <f t="shared" si="0"/>
        <v>13</v>
      </c>
      <c r="C17" s="201" t="s">
        <v>623</v>
      </c>
      <c r="D17" s="201"/>
      <c r="E17" s="103">
        <v>6950.4</v>
      </c>
    </row>
    <row r="18" spans="1:5">
      <c r="A18" s="488">
        <f t="shared" si="0"/>
        <v>14</v>
      </c>
      <c r="C18" s="201" t="s">
        <v>624</v>
      </c>
      <c r="D18" s="201"/>
      <c r="E18" s="103">
        <v>1664.72</v>
      </c>
    </row>
    <row r="19" spans="1:5">
      <c r="A19" s="488">
        <f t="shared" si="0"/>
        <v>15</v>
      </c>
      <c r="C19" s="201" t="s">
        <v>625</v>
      </c>
      <c r="D19" s="201"/>
      <c r="E19" s="103">
        <v>0</v>
      </c>
    </row>
    <row r="20" spans="1:5">
      <c r="A20" s="488">
        <f t="shared" si="0"/>
        <v>16</v>
      </c>
      <c r="C20" s="201" t="s">
        <v>626</v>
      </c>
      <c r="D20" s="201"/>
      <c r="E20" s="103">
        <v>0</v>
      </c>
    </row>
    <row r="21" spans="1:5">
      <c r="A21" s="488">
        <f t="shared" si="0"/>
        <v>17</v>
      </c>
      <c r="C21" s="201" t="s">
        <v>627</v>
      </c>
      <c r="D21" s="201"/>
      <c r="E21" s="103">
        <v>0</v>
      </c>
    </row>
    <row r="22" spans="1:5">
      <c r="A22" s="488">
        <f t="shared" si="0"/>
        <v>18</v>
      </c>
      <c r="C22" s="201" t="s">
        <v>628</v>
      </c>
      <c r="D22" s="201"/>
      <c r="E22" s="103">
        <v>0</v>
      </c>
    </row>
    <row r="23" spans="1:5">
      <c r="A23" s="488">
        <f t="shared" si="0"/>
        <v>19</v>
      </c>
      <c r="C23" s="201" t="s">
        <v>629</v>
      </c>
      <c r="D23" s="201"/>
      <c r="E23" s="103">
        <v>0</v>
      </c>
    </row>
    <row r="24" spans="1:5">
      <c r="A24" s="488">
        <f t="shared" si="0"/>
        <v>20</v>
      </c>
      <c r="C24" s="201" t="s">
        <v>630</v>
      </c>
      <c r="D24" s="201"/>
      <c r="E24" s="103">
        <v>0</v>
      </c>
    </row>
    <row r="25" spans="1:5">
      <c r="A25" s="488">
        <f t="shared" si="0"/>
        <v>21</v>
      </c>
      <c r="C25" s="201" t="s">
        <v>844</v>
      </c>
      <c r="D25" s="201"/>
      <c r="E25" s="103">
        <v>210.64</v>
      </c>
    </row>
    <row r="26" spans="1:5">
      <c r="A26" s="488">
        <f t="shared" si="0"/>
        <v>22</v>
      </c>
      <c r="C26" s="201" t="s">
        <v>631</v>
      </c>
      <c r="D26" s="201"/>
      <c r="E26" s="103">
        <v>3869.98</v>
      </c>
    </row>
    <row r="27" spans="1:5">
      <c r="A27" s="488">
        <f t="shared" si="0"/>
        <v>23</v>
      </c>
      <c r="C27" s="201" t="s">
        <v>632</v>
      </c>
      <c r="D27" s="201"/>
      <c r="E27" s="103">
        <v>0</v>
      </c>
    </row>
    <row r="28" spans="1:5">
      <c r="A28" s="488">
        <f t="shared" si="0"/>
        <v>24</v>
      </c>
      <c r="C28" s="201" t="s">
        <v>633</v>
      </c>
      <c r="D28" s="201"/>
      <c r="E28" s="103">
        <v>97209.69</v>
      </c>
    </row>
    <row r="29" spans="1:5">
      <c r="A29" s="488">
        <f t="shared" si="0"/>
        <v>25</v>
      </c>
      <c r="C29" s="201" t="s">
        <v>634</v>
      </c>
      <c r="D29" s="201"/>
      <c r="E29" s="103">
        <v>1761.24</v>
      </c>
    </row>
    <row r="30" spans="1:5">
      <c r="A30" s="488">
        <f t="shared" si="0"/>
        <v>26</v>
      </c>
      <c r="C30" s="201" t="s">
        <v>635</v>
      </c>
      <c r="D30" s="201"/>
      <c r="E30" s="103">
        <v>0</v>
      </c>
    </row>
    <row r="31" spans="1:5">
      <c r="A31" s="488">
        <f t="shared" si="0"/>
        <v>27</v>
      </c>
      <c r="C31" s="201" t="s">
        <v>636</v>
      </c>
      <c r="D31" s="201"/>
      <c r="E31" s="103">
        <v>75.959999999999994</v>
      </c>
    </row>
    <row r="32" spans="1:5">
      <c r="A32" s="488">
        <f t="shared" si="0"/>
        <v>28</v>
      </c>
      <c r="C32" s="201" t="s">
        <v>637</v>
      </c>
      <c r="D32" s="201"/>
      <c r="E32" s="103">
        <v>3967.84</v>
      </c>
    </row>
    <row r="33" spans="1:5">
      <c r="A33" s="488">
        <f t="shared" si="0"/>
        <v>29</v>
      </c>
      <c r="C33" s="201" t="s">
        <v>638</v>
      </c>
      <c r="D33" s="201"/>
      <c r="E33" s="103">
        <v>187154.38</v>
      </c>
    </row>
    <row r="34" spans="1:5">
      <c r="A34" s="488">
        <f t="shared" si="0"/>
        <v>30</v>
      </c>
      <c r="C34" s="201" t="s">
        <v>639</v>
      </c>
      <c r="D34" s="201"/>
      <c r="E34" s="103">
        <v>419.96</v>
      </c>
    </row>
    <row r="35" spans="1:5">
      <c r="A35" s="488">
        <f t="shared" si="0"/>
        <v>31</v>
      </c>
      <c r="C35" s="201" t="s">
        <v>640</v>
      </c>
      <c r="D35" s="201"/>
      <c r="E35" s="103">
        <v>211.04</v>
      </c>
    </row>
    <row r="36" spans="1:5">
      <c r="A36" s="488">
        <f t="shared" si="0"/>
        <v>32</v>
      </c>
      <c r="C36" s="201" t="s">
        <v>641</v>
      </c>
      <c r="D36" s="201"/>
      <c r="E36" s="103">
        <v>4786.54</v>
      </c>
    </row>
    <row r="37" spans="1:5">
      <c r="A37" s="488">
        <f t="shared" si="0"/>
        <v>33</v>
      </c>
      <c r="C37" s="201" t="s">
        <v>642</v>
      </c>
      <c r="D37" s="201"/>
      <c r="E37" s="103">
        <v>964.3</v>
      </c>
    </row>
    <row r="38" spans="1:5">
      <c r="A38" s="488">
        <f t="shared" si="0"/>
        <v>34</v>
      </c>
      <c r="C38" s="201" t="s">
        <v>643</v>
      </c>
      <c r="D38" s="201"/>
      <c r="E38" s="103">
        <v>1638.45</v>
      </c>
    </row>
    <row r="39" spans="1:5">
      <c r="A39" s="488">
        <f t="shared" si="0"/>
        <v>35</v>
      </c>
      <c r="C39" s="201" t="s">
        <v>644</v>
      </c>
      <c r="D39" s="201"/>
      <c r="E39" s="103">
        <v>0</v>
      </c>
    </row>
    <row r="40" spans="1:5">
      <c r="A40" s="488">
        <f t="shared" si="0"/>
        <v>36</v>
      </c>
      <c r="C40" s="201" t="s">
        <v>645</v>
      </c>
      <c r="D40" s="201"/>
      <c r="E40" s="103">
        <v>0</v>
      </c>
    </row>
    <row r="41" spans="1:5">
      <c r="A41" s="488">
        <f t="shared" si="0"/>
        <v>37</v>
      </c>
      <c r="C41" s="201" t="s">
        <v>646</v>
      </c>
      <c r="D41" s="201"/>
      <c r="E41" s="103">
        <v>0</v>
      </c>
    </row>
    <row r="42" spans="1:5">
      <c r="A42" s="488">
        <f t="shared" si="0"/>
        <v>38</v>
      </c>
      <c r="C42" s="201" t="s">
        <v>647</v>
      </c>
      <c r="D42" s="201"/>
      <c r="E42" s="103">
        <v>0</v>
      </c>
    </row>
    <row r="43" spans="1:5">
      <c r="A43" s="488">
        <f t="shared" si="0"/>
        <v>39</v>
      </c>
      <c r="C43" s="201" t="s">
        <v>648</v>
      </c>
      <c r="D43" s="201"/>
      <c r="E43" s="103">
        <v>0</v>
      </c>
    </row>
    <row r="44" spans="1:5">
      <c r="A44" s="488">
        <f t="shared" si="0"/>
        <v>40</v>
      </c>
      <c r="C44" s="201" t="s">
        <v>649</v>
      </c>
      <c r="D44" s="201"/>
      <c r="E44" s="103">
        <v>0</v>
      </c>
    </row>
    <row r="45" spans="1:5">
      <c r="A45" s="488">
        <f t="shared" si="0"/>
        <v>41</v>
      </c>
      <c r="C45" s="201" t="s">
        <v>845</v>
      </c>
      <c r="D45" s="201"/>
      <c r="E45" s="202"/>
    </row>
    <row r="46" spans="1:5">
      <c r="A46" s="488">
        <f t="shared" si="0"/>
        <v>42</v>
      </c>
      <c r="C46" s="203" t="s">
        <v>650</v>
      </c>
      <c r="D46" s="203"/>
      <c r="E46" s="204">
        <f>SUM(E6:E45)</f>
        <v>356507.27999999997</v>
      </c>
    </row>
    <row r="47" spans="1:5">
      <c r="A47" s="488">
        <f t="shared" si="0"/>
        <v>43</v>
      </c>
    </row>
    <row r="48" spans="1:5">
      <c r="A48" s="488">
        <f t="shared" si="0"/>
        <v>44</v>
      </c>
      <c r="B48" s="198" t="s">
        <v>954</v>
      </c>
      <c r="C48" s="201"/>
    </row>
    <row r="49" spans="1:7">
      <c r="A49" s="488">
        <f t="shared" si="0"/>
        <v>45</v>
      </c>
      <c r="C49" s="179" t="s">
        <v>1026</v>
      </c>
      <c r="D49" s="179"/>
      <c r="E49" s="645">
        <f>G49*$E$60</f>
        <v>929.5</v>
      </c>
      <c r="G49" s="231">
        <f>929.5*2</f>
        <v>1859</v>
      </c>
    </row>
    <row r="50" spans="1:7">
      <c r="A50" s="488">
        <f t="shared" si="0"/>
        <v>46</v>
      </c>
      <c r="C50" s="205" t="s">
        <v>1027</v>
      </c>
      <c r="E50" s="204">
        <f>G50*$E$61</f>
        <v>85.578000000000003</v>
      </c>
      <c r="G50" s="231">
        <v>855.78</v>
      </c>
    </row>
    <row r="51" spans="1:7">
      <c r="A51" s="488">
        <f t="shared" si="0"/>
        <v>47</v>
      </c>
      <c r="C51" s="205" t="s">
        <v>1028</v>
      </c>
      <c r="E51" s="204">
        <f>G51*$E$62</f>
        <v>25803.666408629997</v>
      </c>
      <c r="G51" s="231">
        <v>77411</v>
      </c>
    </row>
    <row r="52" spans="1:7">
      <c r="A52" s="488">
        <f t="shared" si="0"/>
        <v>48</v>
      </c>
      <c r="C52" s="205" t="s">
        <v>1029</v>
      </c>
      <c r="E52" s="204">
        <f>G52*$E$62</f>
        <v>-838.42332494909999</v>
      </c>
      <c r="G52" s="231">
        <v>-2515.27</v>
      </c>
    </row>
    <row r="53" spans="1:7">
      <c r="A53" s="488">
        <f t="shared" si="0"/>
        <v>49</v>
      </c>
      <c r="C53" s="205" t="s">
        <v>1030</v>
      </c>
      <c r="E53" s="204">
        <f>G53*$E$62</f>
        <v>15436.933178964</v>
      </c>
      <c r="G53" s="231">
        <v>46310.8</v>
      </c>
    </row>
    <row r="54" spans="1:7">
      <c r="A54" s="488">
        <f t="shared" si="0"/>
        <v>50</v>
      </c>
      <c r="C54" s="205" t="s">
        <v>1031</v>
      </c>
      <c r="E54" s="204">
        <f>G54*$E$62</f>
        <v>1257.3466540932</v>
      </c>
      <c r="G54" s="231">
        <v>3772.04</v>
      </c>
    </row>
    <row r="55" spans="1:7">
      <c r="A55" s="488">
        <f t="shared" si="0"/>
        <v>51</v>
      </c>
      <c r="C55" s="205" t="s">
        <v>1032</v>
      </c>
      <c r="E55" s="646">
        <f>G55*$E$62</f>
        <v>102.23999897760001</v>
      </c>
      <c r="G55" s="231">
        <v>306.72000000000003</v>
      </c>
    </row>
    <row r="56" spans="1:7">
      <c r="A56" s="488">
        <f t="shared" si="0"/>
        <v>52</v>
      </c>
      <c r="C56" s="206" t="s">
        <v>650</v>
      </c>
      <c r="E56" s="204">
        <f>SUM(E49:E55)</f>
        <v>42776.8409157157</v>
      </c>
      <c r="G56" s="207"/>
    </row>
    <row r="57" spans="1:7">
      <c r="A57" s="488">
        <f t="shared" si="0"/>
        <v>53</v>
      </c>
      <c r="B57" s="184"/>
    </row>
    <row r="58" spans="1:7">
      <c r="A58" s="488">
        <f t="shared" si="0"/>
        <v>54</v>
      </c>
      <c r="B58" s="184" t="s">
        <v>462</v>
      </c>
      <c r="E58" s="208">
        <f>E46+E56</f>
        <v>399284.1209157157</v>
      </c>
    </row>
    <row r="59" spans="1:7">
      <c r="A59" s="488">
        <f t="shared" si="0"/>
        <v>55</v>
      </c>
    </row>
    <row r="60" spans="1:7">
      <c r="A60" s="488">
        <f t="shared" si="0"/>
        <v>56</v>
      </c>
      <c r="B60" s="205" t="s">
        <v>1050</v>
      </c>
      <c r="C60" s="179" t="s">
        <v>1052</v>
      </c>
      <c r="E60" s="209">
        <v>0.5</v>
      </c>
    </row>
    <row r="61" spans="1:7">
      <c r="A61" s="488">
        <f t="shared" si="0"/>
        <v>57</v>
      </c>
      <c r="C61" s="205" t="s">
        <v>1053</v>
      </c>
      <c r="E61" s="209">
        <v>0.1</v>
      </c>
    </row>
    <row r="62" spans="1:7">
      <c r="A62" s="488">
        <f t="shared" si="0"/>
        <v>58</v>
      </c>
      <c r="C62" s="210" t="s">
        <v>1051</v>
      </c>
      <c r="E62" s="209">
        <v>0.33333332999999998</v>
      </c>
    </row>
  </sheetData>
  <sheetProtection formatCells="0"/>
  <mergeCells count="3">
    <mergeCell ref="A1:E1"/>
    <mergeCell ref="A2:E2"/>
    <mergeCell ref="A3:E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4.xml><?xml version="1.0" encoding="utf-8"?>
<worksheet xmlns="http://schemas.openxmlformats.org/spreadsheetml/2006/main" xmlns:r="http://schemas.openxmlformats.org/officeDocument/2006/relationships">
  <sheetPr codeName="Sheet24"/>
  <dimension ref="A1:J60"/>
  <sheetViews>
    <sheetView zoomScaleNormal="100" zoomScaleSheetLayoutView="100" workbookViewId="0">
      <selection activeCell="F10" sqref="F10"/>
    </sheetView>
  </sheetViews>
  <sheetFormatPr defaultRowHeight="12.75"/>
  <cols>
    <col min="1" max="1" width="9.140625" style="1"/>
    <col min="2" max="2" width="2.7109375" style="78" customWidth="1"/>
    <col min="3" max="3" width="31.42578125" style="24" bestFit="1" customWidth="1"/>
    <col min="4" max="4" width="4.42578125" style="24" customWidth="1"/>
    <col min="5" max="5" width="13.28515625" style="73" customWidth="1"/>
    <col min="6" max="6" width="13.28515625" style="1" bestFit="1" customWidth="1"/>
    <col min="7" max="7" width="14.140625" style="1" customWidth="1"/>
    <col min="8" max="9" width="9.140625" style="1"/>
    <col min="10" max="10" width="10.28515625" style="1" bestFit="1" customWidth="1"/>
    <col min="11" max="16384" width="9.140625" style="1"/>
  </cols>
  <sheetData>
    <row r="1" spans="1:7">
      <c r="A1" s="660" t="s">
        <v>651</v>
      </c>
      <c r="B1" s="660"/>
      <c r="C1" s="660"/>
      <c r="D1" s="660"/>
      <c r="E1" s="660"/>
      <c r="F1" s="660"/>
      <c r="G1" s="660"/>
    </row>
    <row r="2" spans="1:7">
      <c r="A2" s="660" t="s">
        <v>652</v>
      </c>
      <c r="B2" s="660"/>
      <c r="C2" s="660"/>
      <c r="D2" s="660"/>
      <c r="E2" s="660"/>
      <c r="F2" s="660"/>
      <c r="G2" s="660"/>
    </row>
    <row r="3" spans="1:7">
      <c r="A3" s="660" t="str">
        <f>'Schedule 1 Workpaper'!A3:F3</f>
        <v>12 Months Ended 12/31/2012</v>
      </c>
      <c r="B3" s="660"/>
      <c r="C3" s="660"/>
      <c r="D3" s="660"/>
      <c r="E3" s="660"/>
      <c r="F3" s="660"/>
      <c r="G3" s="660"/>
    </row>
    <row r="5" spans="1:7">
      <c r="A5" s="78"/>
      <c r="B5" s="3"/>
      <c r="C5" s="74"/>
      <c r="D5" s="74"/>
      <c r="E5" s="75"/>
    </row>
    <row r="6" spans="1:7">
      <c r="A6" s="78"/>
      <c r="C6" s="76"/>
      <c r="D6" s="76"/>
    </row>
    <row r="7" spans="1:7">
      <c r="A7" s="78"/>
      <c r="C7" s="76"/>
      <c r="D7" s="76"/>
    </row>
    <row r="8" spans="1:7">
      <c r="A8" s="78"/>
      <c r="B8" s="78">
        <v>1</v>
      </c>
      <c r="C8" s="76" t="s">
        <v>653</v>
      </c>
      <c r="D8" s="76"/>
      <c r="E8" s="73" t="s">
        <v>247</v>
      </c>
      <c r="F8" s="17">
        <f>'Schedule 2'!F74</f>
        <v>28953230.039999999</v>
      </c>
    </row>
    <row r="9" spans="1:7">
      <c r="A9" s="78"/>
      <c r="B9" s="78">
        <f>B8+1</f>
        <v>2</v>
      </c>
      <c r="C9" s="76" t="s">
        <v>654</v>
      </c>
      <c r="D9" s="76"/>
      <c r="E9" s="73" t="s">
        <v>319</v>
      </c>
      <c r="F9" s="1">
        <f>'Schedule 3'!F16</f>
        <v>1.1192400000000001E-3</v>
      </c>
    </row>
    <row r="10" spans="1:7">
      <c r="A10" s="78"/>
      <c r="B10" s="78">
        <f>B9+1</f>
        <v>3</v>
      </c>
      <c r="C10" s="76" t="s">
        <v>655</v>
      </c>
      <c r="D10" s="76"/>
      <c r="E10" s="73" t="s">
        <v>656</v>
      </c>
      <c r="F10" s="97">
        <f>ROUND(F8 * F9,0)</f>
        <v>32406</v>
      </c>
    </row>
    <row r="11" spans="1:7">
      <c r="A11" s="78"/>
      <c r="C11" s="76"/>
      <c r="D11" s="76"/>
    </row>
    <row r="12" spans="1:7">
      <c r="A12" s="78"/>
      <c r="C12" s="76"/>
      <c r="D12" s="76"/>
    </row>
    <row r="13" spans="1:7">
      <c r="A13" s="78"/>
      <c r="C13" s="76"/>
      <c r="D13" s="76"/>
    </row>
    <row r="14" spans="1:7">
      <c r="A14" s="78"/>
      <c r="C14" s="76"/>
      <c r="D14" s="76"/>
    </row>
    <row r="15" spans="1:7">
      <c r="A15" s="78"/>
      <c r="C15" s="76"/>
      <c r="D15" s="76"/>
    </row>
    <row r="16" spans="1:7">
      <c r="A16" s="78"/>
      <c r="C16" s="76"/>
      <c r="D16" s="76"/>
    </row>
    <row r="17" spans="1:4">
      <c r="A17" s="78"/>
      <c r="C17" s="76"/>
      <c r="D17" s="76"/>
    </row>
    <row r="18" spans="1:4">
      <c r="A18" s="78"/>
      <c r="C18" s="76"/>
      <c r="D18" s="76"/>
    </row>
    <row r="19" spans="1:4">
      <c r="A19" s="78"/>
      <c r="C19" s="76"/>
      <c r="D19" s="76"/>
    </row>
    <row r="20" spans="1:4">
      <c r="A20" s="78"/>
      <c r="C20" s="76"/>
      <c r="D20" s="76"/>
    </row>
    <row r="21" spans="1:4">
      <c r="A21" s="78"/>
      <c r="C21" s="76"/>
      <c r="D21" s="76"/>
    </row>
    <row r="22" spans="1:4">
      <c r="A22" s="78"/>
      <c r="C22" s="76"/>
      <c r="D22" s="76"/>
    </row>
    <row r="23" spans="1:4">
      <c r="A23" s="78"/>
      <c r="C23" s="76"/>
      <c r="D23" s="76"/>
    </row>
    <row r="24" spans="1:4">
      <c r="A24" s="78"/>
      <c r="C24" s="76"/>
      <c r="D24" s="76"/>
    </row>
    <row r="25" spans="1:4">
      <c r="A25" s="78"/>
      <c r="C25" s="76"/>
      <c r="D25" s="76"/>
    </row>
    <row r="26" spans="1:4">
      <c r="A26" s="78"/>
      <c r="C26" s="76"/>
      <c r="D26" s="76"/>
    </row>
    <row r="27" spans="1:4">
      <c r="A27" s="78"/>
      <c r="C27" s="76"/>
      <c r="D27" s="76"/>
    </row>
    <row r="28" spans="1:4">
      <c r="A28" s="78"/>
      <c r="C28" s="76"/>
      <c r="D28" s="76"/>
    </row>
    <row r="29" spans="1:4">
      <c r="A29" s="78"/>
      <c r="C29" s="76"/>
      <c r="D29" s="76"/>
    </row>
    <row r="30" spans="1:4">
      <c r="A30" s="78"/>
      <c r="C30" s="76"/>
      <c r="D30" s="76"/>
    </row>
    <row r="31" spans="1:4">
      <c r="A31" s="78"/>
      <c r="C31" s="76"/>
      <c r="D31" s="76"/>
    </row>
    <row r="32" spans="1:4">
      <c r="A32" s="78"/>
      <c r="C32" s="76"/>
      <c r="D32" s="76"/>
    </row>
    <row r="33" spans="1:4">
      <c r="A33" s="78"/>
      <c r="C33" s="76"/>
      <c r="D33" s="76"/>
    </row>
    <row r="34" spans="1:4">
      <c r="A34" s="78"/>
      <c r="C34" s="76"/>
      <c r="D34" s="76"/>
    </row>
    <row r="35" spans="1:4">
      <c r="A35" s="78"/>
      <c r="C35" s="76"/>
      <c r="D35" s="76"/>
    </row>
    <row r="36" spans="1:4">
      <c r="A36" s="78"/>
      <c r="C36" s="76"/>
      <c r="D36" s="76"/>
    </row>
    <row r="37" spans="1:4">
      <c r="A37" s="78"/>
      <c r="C37" s="76"/>
      <c r="D37" s="76"/>
    </row>
    <row r="38" spans="1:4">
      <c r="A38" s="78"/>
      <c r="C38" s="76"/>
      <c r="D38" s="76"/>
    </row>
    <row r="39" spans="1:4">
      <c r="A39" s="78"/>
      <c r="C39" s="76"/>
      <c r="D39" s="76"/>
    </row>
    <row r="40" spans="1:4">
      <c r="A40" s="78"/>
      <c r="C40" s="76"/>
      <c r="D40" s="76"/>
    </row>
    <row r="41" spans="1:4">
      <c r="A41" s="78"/>
      <c r="C41" s="76"/>
      <c r="D41" s="76"/>
    </row>
    <row r="42" spans="1:4">
      <c r="A42" s="78"/>
      <c r="C42" s="76"/>
      <c r="D42" s="76"/>
    </row>
    <row r="43" spans="1:4">
      <c r="A43" s="78"/>
      <c r="C43" s="76"/>
      <c r="D43" s="76"/>
    </row>
    <row r="44" spans="1:4">
      <c r="A44" s="78"/>
      <c r="C44" s="76"/>
      <c r="D44" s="76"/>
    </row>
    <row r="45" spans="1:4">
      <c r="A45" s="78"/>
      <c r="C45" s="76"/>
      <c r="D45" s="76"/>
    </row>
    <row r="46" spans="1:4">
      <c r="A46" s="78"/>
      <c r="C46" s="77"/>
      <c r="D46" s="77"/>
    </row>
    <row r="47" spans="1:4">
      <c r="A47" s="78"/>
    </row>
    <row r="48" spans="1:4">
      <c r="A48" s="78"/>
      <c r="B48" s="3"/>
      <c r="C48" s="76"/>
    </row>
    <row r="49" spans="1:10">
      <c r="A49" s="78"/>
      <c r="C49" s="1"/>
      <c r="D49" s="1"/>
      <c r="F49" s="115"/>
      <c r="G49" s="78"/>
      <c r="J49" s="116"/>
    </row>
    <row r="50" spans="1:10">
      <c r="A50" s="78"/>
      <c r="C50" s="1"/>
      <c r="D50" s="1"/>
      <c r="F50" s="115"/>
      <c r="G50" s="78"/>
      <c r="J50" s="116"/>
    </row>
    <row r="51" spans="1:10">
      <c r="A51" s="78"/>
      <c r="C51" s="1"/>
      <c r="D51" s="1"/>
      <c r="F51" s="115"/>
      <c r="G51" s="78"/>
      <c r="J51" s="116"/>
    </row>
    <row r="52" spans="1:10">
      <c r="A52" s="78"/>
    </row>
    <row r="53" spans="1:10">
      <c r="A53" s="78"/>
    </row>
    <row r="54" spans="1:10">
      <c r="A54" s="78"/>
    </row>
    <row r="55" spans="1:10">
      <c r="A55" s="78"/>
    </row>
    <row r="56" spans="1:10">
      <c r="A56" s="78"/>
    </row>
    <row r="57" spans="1:10">
      <c r="A57" s="78"/>
    </row>
    <row r="58" spans="1:10">
      <c r="A58" s="78"/>
      <c r="C58" s="29"/>
    </row>
    <row r="59" spans="1:10">
      <c r="A59" s="78"/>
      <c r="B59" s="80"/>
    </row>
    <row r="60" spans="1:10">
      <c r="A60" s="78"/>
      <c r="B60" s="80"/>
    </row>
  </sheetData>
  <mergeCells count="3">
    <mergeCell ref="A1:G1"/>
    <mergeCell ref="A2:G2"/>
    <mergeCell ref="A3:G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5.xml><?xml version="1.0" encoding="utf-8"?>
<worksheet xmlns="http://schemas.openxmlformats.org/spreadsheetml/2006/main" xmlns:r="http://schemas.openxmlformats.org/officeDocument/2006/relationships">
  <sheetPr codeName="Sheet25"/>
  <dimension ref="A1:G27"/>
  <sheetViews>
    <sheetView zoomScaleNormal="100" zoomScaleSheetLayoutView="148" workbookViewId="0">
      <selection activeCell="C14" sqref="C14"/>
    </sheetView>
  </sheetViews>
  <sheetFormatPr defaultRowHeight="12.75"/>
  <cols>
    <col min="1" max="1" width="3" style="157" bestFit="1" customWidth="1"/>
    <col min="2" max="2" width="30.85546875" style="157" bestFit="1" customWidth="1"/>
    <col min="3" max="3" width="26.5703125" style="157" bestFit="1" customWidth="1"/>
    <col min="4" max="4" width="2.140625" style="157" customWidth="1"/>
    <col min="5" max="5" width="22.42578125" style="157" bestFit="1" customWidth="1"/>
    <col min="6" max="16384" width="9.140625" style="157"/>
  </cols>
  <sheetData>
    <row r="1" spans="1:7">
      <c r="A1" s="660" t="s">
        <v>384</v>
      </c>
      <c r="B1" s="660"/>
      <c r="C1" s="660"/>
      <c r="D1" s="660"/>
      <c r="E1" s="660"/>
      <c r="F1" s="158"/>
      <c r="G1" s="158"/>
    </row>
    <row r="2" spans="1:7">
      <c r="A2" s="660" t="s">
        <v>50</v>
      </c>
      <c r="B2" s="660"/>
      <c r="C2" s="660"/>
      <c r="D2" s="660"/>
      <c r="E2" s="660"/>
      <c r="F2" s="158"/>
      <c r="G2" s="158"/>
    </row>
    <row r="3" spans="1:7">
      <c r="A3" s="660" t="str">
        <f>'Schedule 1 Workpaper'!A3:F3</f>
        <v>12 Months Ended 12/31/2012</v>
      </c>
      <c r="B3" s="660"/>
      <c r="C3" s="660"/>
      <c r="D3" s="660"/>
      <c r="E3" s="660"/>
    </row>
    <row r="4" spans="1:7">
      <c r="A4" s="177"/>
      <c r="B4" s="177"/>
      <c r="C4" s="177"/>
      <c r="D4" s="177"/>
      <c r="E4" s="177"/>
      <c r="F4" s="177"/>
    </row>
    <row r="5" spans="1:7">
      <c r="A5" s="659" t="s">
        <v>91</v>
      </c>
      <c r="B5" s="659"/>
      <c r="C5" s="659"/>
      <c r="D5" s="659"/>
      <c r="E5" s="659"/>
      <c r="F5" s="177"/>
    </row>
    <row r="6" spans="1:7">
      <c r="A6" s="659" t="s">
        <v>92</v>
      </c>
      <c r="B6" s="659"/>
      <c r="C6" s="659"/>
      <c r="D6" s="659"/>
      <c r="E6" s="659"/>
    </row>
    <row r="7" spans="1:7">
      <c r="A7" s="659" t="s">
        <v>93</v>
      </c>
      <c r="B7" s="659"/>
      <c r="C7" s="659"/>
      <c r="D7" s="659"/>
      <c r="E7" s="659"/>
    </row>
    <row r="8" spans="1:7">
      <c r="A8" s="177"/>
      <c r="B8" s="177"/>
      <c r="C8" s="177"/>
      <c r="D8" s="177"/>
      <c r="E8" s="177"/>
    </row>
    <row r="9" spans="1:7">
      <c r="A9" s="177"/>
      <c r="B9" s="177"/>
      <c r="C9" s="177"/>
      <c r="D9" s="177"/>
      <c r="E9" s="177"/>
    </row>
    <row r="10" spans="1:7">
      <c r="B10" s="177"/>
      <c r="C10" s="178"/>
      <c r="D10" s="178"/>
      <c r="E10" s="178"/>
    </row>
    <row r="11" spans="1:7">
      <c r="C11" s="111"/>
      <c r="D11" s="111"/>
      <c r="E11" s="111"/>
    </row>
    <row r="12" spans="1:7">
      <c r="B12" s="159" t="s">
        <v>543</v>
      </c>
      <c r="C12" s="4">
        <f>'Schedule 2 Workpaper page 4'!E22</f>
        <v>5474010</v>
      </c>
      <c r="D12" s="111"/>
      <c r="E12" s="111"/>
    </row>
    <row r="13" spans="1:7">
      <c r="B13" s="159"/>
      <c r="C13" s="111"/>
      <c r="D13" s="111"/>
      <c r="E13" s="111"/>
    </row>
    <row r="14" spans="1:7">
      <c r="B14" s="159" t="s">
        <v>320</v>
      </c>
      <c r="C14" s="4">
        <f>'Schedule 2 Workpaper page 4'!E26</f>
        <v>1735071</v>
      </c>
      <c r="D14" s="111"/>
      <c r="E14" s="111"/>
    </row>
    <row r="15" spans="1:7">
      <c r="C15" s="111"/>
      <c r="D15" s="111"/>
      <c r="E15" s="111"/>
    </row>
    <row r="16" spans="1:7">
      <c r="C16" s="111"/>
      <c r="D16" s="111"/>
      <c r="E16" s="111"/>
    </row>
    <row r="17" spans="3:5">
      <c r="C17" s="111"/>
      <c r="D17" s="111"/>
      <c r="E17" s="111"/>
    </row>
    <row r="18" spans="3:5">
      <c r="C18" s="111"/>
      <c r="D18" s="111"/>
      <c r="E18" s="111"/>
    </row>
    <row r="19" spans="3:5">
      <c r="C19" s="111"/>
      <c r="D19" s="111"/>
      <c r="E19" s="112"/>
    </row>
    <row r="20" spans="3:5">
      <c r="C20" s="111"/>
      <c r="D20" s="111"/>
      <c r="E20" s="111"/>
    </row>
    <row r="21" spans="3:5">
      <c r="C21" s="111"/>
      <c r="D21" s="111"/>
      <c r="E21" s="111"/>
    </row>
    <row r="22" spans="3:5">
      <c r="C22" s="113"/>
      <c r="D22" s="113"/>
      <c r="E22" s="113"/>
    </row>
    <row r="23" spans="3:5">
      <c r="C23" s="113"/>
      <c r="D23" s="113"/>
      <c r="E23" s="113"/>
    </row>
    <row r="24" spans="3:5">
      <c r="C24" s="113"/>
      <c r="D24" s="113"/>
      <c r="E24" s="113"/>
    </row>
    <row r="25" spans="3:5">
      <c r="C25" s="113"/>
      <c r="D25" s="113"/>
      <c r="E25" s="114"/>
    </row>
    <row r="26" spans="3:5">
      <c r="C26" s="113"/>
      <c r="D26" s="113"/>
      <c r="E26" s="114"/>
    </row>
    <row r="27" spans="3:5">
      <c r="C27" s="158"/>
      <c r="D27" s="158"/>
      <c r="E27" s="158"/>
    </row>
  </sheetData>
  <mergeCells count="6">
    <mergeCell ref="A6:E6"/>
    <mergeCell ref="A7:E7"/>
    <mergeCell ref="A1:E1"/>
    <mergeCell ref="A2:E2"/>
    <mergeCell ref="A3:E3"/>
    <mergeCell ref="A5:E5"/>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26.xml><?xml version="1.0" encoding="utf-8"?>
<worksheet xmlns="http://schemas.openxmlformats.org/spreadsheetml/2006/main" xmlns:r="http://schemas.openxmlformats.org/officeDocument/2006/relationships">
  <sheetPr codeName="Sheet26"/>
  <dimension ref="A1:H162"/>
  <sheetViews>
    <sheetView zoomScaleNormal="100" zoomScaleSheetLayoutView="100" workbookViewId="0">
      <selection activeCell="D4" sqref="D4"/>
    </sheetView>
  </sheetViews>
  <sheetFormatPr defaultColWidth="12.5703125" defaultRowHeight="12.75"/>
  <cols>
    <col min="1" max="1" width="0.85546875" style="179" customWidth="1"/>
    <col min="2" max="2" width="15.85546875" style="179" customWidth="1"/>
    <col min="3" max="3" width="10.5703125" style="179" customWidth="1"/>
    <col min="4" max="5" width="20.28515625" style="179" customWidth="1"/>
    <col min="6" max="6" width="17" style="179" customWidth="1"/>
    <col min="7" max="7" width="10.5703125" style="179" customWidth="1"/>
    <col min="8" max="8" width="15.7109375" style="179" customWidth="1"/>
    <col min="9" max="9" width="15.85546875" style="179" customWidth="1"/>
    <col min="10" max="16384" width="12.5703125" style="179"/>
  </cols>
  <sheetData>
    <row r="1" spans="1:8">
      <c r="A1" s="99"/>
      <c r="B1" s="678" t="s">
        <v>385</v>
      </c>
      <c r="C1" s="678"/>
      <c r="D1" s="678"/>
      <c r="E1" s="678"/>
      <c r="F1" s="678"/>
      <c r="G1" s="678"/>
      <c r="H1" s="678"/>
    </row>
    <row r="2" spans="1:8">
      <c r="A2" s="99"/>
      <c r="B2" s="678" t="s">
        <v>92</v>
      </c>
      <c r="C2" s="678"/>
      <c r="D2" s="678"/>
      <c r="E2" s="678"/>
      <c r="F2" s="678"/>
      <c r="G2" s="678"/>
      <c r="H2" s="678"/>
    </row>
    <row r="3" spans="1:8">
      <c r="A3" s="137"/>
      <c r="B3" s="99"/>
      <c r="C3" s="99"/>
      <c r="D3" s="99"/>
      <c r="E3" s="99"/>
      <c r="F3" s="99"/>
      <c r="G3" s="99"/>
      <c r="H3" s="99"/>
    </row>
    <row r="4" spans="1:8">
      <c r="A4" s="100"/>
      <c r="B4" s="99"/>
      <c r="C4" s="99"/>
      <c r="D4" s="99"/>
      <c r="E4" s="99"/>
      <c r="F4" s="99"/>
      <c r="G4" s="99"/>
      <c r="H4" s="99"/>
    </row>
    <row r="5" spans="1:8">
      <c r="A5" s="678" t="s">
        <v>550</v>
      </c>
      <c r="B5" s="678"/>
      <c r="C5" s="678"/>
      <c r="D5" s="678"/>
      <c r="E5" s="678"/>
      <c r="F5" s="678"/>
      <c r="G5" s="678"/>
      <c r="H5" s="678"/>
    </row>
    <row r="6" spans="1:8">
      <c r="A6" s="678" t="s">
        <v>92</v>
      </c>
      <c r="B6" s="678"/>
      <c r="C6" s="678"/>
      <c r="D6" s="678"/>
      <c r="E6" s="678"/>
      <c r="F6" s="678"/>
      <c r="G6" s="678"/>
      <c r="H6" s="678"/>
    </row>
    <row r="7" spans="1:8">
      <c r="A7" s="678" t="s">
        <v>117</v>
      </c>
      <c r="B7" s="678"/>
      <c r="C7" s="678"/>
      <c r="D7" s="678"/>
      <c r="E7" s="678"/>
      <c r="F7" s="678"/>
      <c r="G7" s="678"/>
      <c r="H7" s="678"/>
    </row>
    <row r="8" spans="1:8">
      <c r="A8" s="678" t="str">
        <f>'Schedule 1 Workpaper'!A3:F3</f>
        <v>12 Months Ended 12/31/2012</v>
      </c>
      <c r="B8" s="678"/>
      <c r="C8" s="678"/>
      <c r="D8" s="678"/>
      <c r="E8" s="678"/>
      <c r="F8" s="678"/>
      <c r="G8" s="678"/>
      <c r="H8" s="678"/>
    </row>
    <row r="9" spans="1:8">
      <c r="A9" s="99"/>
      <c r="B9" s="99"/>
      <c r="C9" s="99"/>
      <c r="D9" s="99"/>
      <c r="E9" s="99"/>
      <c r="F9" s="99"/>
      <c r="G9" s="99"/>
      <c r="H9" s="99"/>
    </row>
    <row r="10" spans="1:8">
      <c r="A10" s="99"/>
      <c r="C10" s="138" t="s">
        <v>118</v>
      </c>
      <c r="D10" s="99"/>
      <c r="E10" s="99"/>
      <c r="F10" s="99"/>
      <c r="G10" s="99"/>
      <c r="H10" s="99"/>
    </row>
    <row r="11" spans="1:8">
      <c r="A11" s="99"/>
      <c r="C11" s="100" t="s">
        <v>119</v>
      </c>
      <c r="D11" s="99"/>
      <c r="E11" s="99">
        <f>E144</f>
        <v>1550156</v>
      </c>
      <c r="F11" s="99"/>
      <c r="G11" s="99"/>
      <c r="H11" s="99"/>
    </row>
    <row r="12" spans="1:8">
      <c r="A12" s="99"/>
      <c r="C12" s="99"/>
      <c r="D12" s="99"/>
      <c r="E12" s="99"/>
      <c r="F12" s="99"/>
      <c r="G12" s="99"/>
      <c r="H12" s="99"/>
    </row>
    <row r="13" spans="1:8">
      <c r="A13" s="99"/>
      <c r="C13" s="100" t="s">
        <v>120</v>
      </c>
      <c r="D13" s="99"/>
      <c r="E13" s="99">
        <f>E91</f>
        <v>963578</v>
      </c>
      <c r="F13" s="99"/>
      <c r="G13" s="99"/>
      <c r="H13" s="99"/>
    </row>
    <row r="14" spans="1:8">
      <c r="A14" s="99"/>
      <c r="C14" s="99"/>
      <c r="D14" s="99"/>
      <c r="E14" s="99"/>
      <c r="F14" s="99"/>
      <c r="G14" s="99"/>
      <c r="H14" s="99"/>
    </row>
    <row r="15" spans="1:8">
      <c r="A15" s="99"/>
      <c r="C15" s="100" t="s">
        <v>121</v>
      </c>
      <c r="D15" s="99"/>
      <c r="E15" s="101">
        <f>E116</f>
        <v>256258</v>
      </c>
      <c r="F15" s="99"/>
      <c r="G15" s="99"/>
      <c r="H15" s="99"/>
    </row>
    <row r="16" spans="1:8">
      <c r="A16" s="99"/>
      <c r="C16" s="99"/>
      <c r="D16" s="99"/>
      <c r="E16" s="99"/>
      <c r="F16" s="99"/>
      <c r="G16" s="99"/>
      <c r="H16" s="99"/>
    </row>
    <row r="17" spans="1:8">
      <c r="A17" s="99"/>
      <c r="C17" s="100" t="s">
        <v>122</v>
      </c>
      <c r="D17" s="99"/>
      <c r="E17" s="99"/>
      <c r="F17" s="99">
        <f>SUM(E11:E15)</f>
        <v>2769992</v>
      </c>
      <c r="G17" s="99" t="str">
        <f>IF(F17=F18,"","Error")</f>
        <v/>
      </c>
      <c r="H17" s="99"/>
    </row>
    <row r="18" spans="1:8">
      <c r="A18" s="99"/>
      <c r="C18" s="99"/>
      <c r="D18" s="99"/>
      <c r="E18" s="99"/>
      <c r="F18" s="211">
        <f>F42+F67+F93+F118+F146</f>
        <v>2769992</v>
      </c>
      <c r="G18" s="99"/>
      <c r="H18" s="99"/>
    </row>
    <row r="19" spans="1:8">
      <c r="A19" s="99"/>
      <c r="C19" s="138" t="s">
        <v>123</v>
      </c>
      <c r="D19" s="99"/>
      <c r="E19" s="99"/>
      <c r="F19" s="99"/>
      <c r="G19" s="99"/>
      <c r="H19" s="99"/>
    </row>
    <row r="20" spans="1:8">
      <c r="A20" s="99"/>
      <c r="C20" s="100" t="s">
        <v>124</v>
      </c>
      <c r="D20" s="99"/>
      <c r="E20" s="99">
        <f>E46+E71+E96+E122+E149</f>
        <v>5730382</v>
      </c>
      <c r="F20" s="99"/>
      <c r="G20" s="99"/>
      <c r="H20" s="99"/>
    </row>
    <row r="21" spans="1:8">
      <c r="A21" s="99"/>
      <c r="C21" s="99"/>
      <c r="D21" s="99"/>
      <c r="E21" s="99"/>
      <c r="F21" s="99"/>
      <c r="G21" s="99"/>
      <c r="H21" s="99"/>
    </row>
    <row r="22" spans="1:8">
      <c r="A22" s="99"/>
      <c r="C22" s="100" t="s">
        <v>125</v>
      </c>
      <c r="D22" s="99"/>
      <c r="E22" s="99">
        <f>E48+E73+E98+E124+E151</f>
        <v>5474010</v>
      </c>
      <c r="F22" s="99"/>
      <c r="G22" s="99"/>
      <c r="H22" s="99"/>
    </row>
    <row r="23" spans="1:8">
      <c r="A23" s="99"/>
      <c r="C23" s="99"/>
      <c r="D23" s="99"/>
      <c r="E23" s="99"/>
      <c r="F23" s="99"/>
      <c r="G23" s="99"/>
      <c r="H23" s="99"/>
    </row>
    <row r="24" spans="1:8">
      <c r="A24" s="99"/>
      <c r="C24" s="100" t="s">
        <v>126</v>
      </c>
      <c r="D24" s="99"/>
      <c r="E24" s="99">
        <f>E50+E75+E100+E126+E153</f>
        <v>9911854</v>
      </c>
      <c r="F24" s="99"/>
      <c r="G24" s="99"/>
      <c r="H24" s="99"/>
    </row>
    <row r="25" spans="1:8">
      <c r="A25" s="99"/>
      <c r="C25" s="99"/>
      <c r="D25" s="99"/>
      <c r="E25" s="99"/>
      <c r="F25" s="99"/>
      <c r="G25" s="99"/>
      <c r="H25" s="99"/>
    </row>
    <row r="26" spans="1:8">
      <c r="A26" s="99"/>
      <c r="C26" s="100" t="s">
        <v>127</v>
      </c>
      <c r="D26" s="99"/>
      <c r="E26" s="99">
        <f>E52+E77+E102+E128+E155</f>
        <v>1735071</v>
      </c>
      <c r="F26" s="99"/>
      <c r="G26" s="99"/>
      <c r="H26" s="99"/>
    </row>
    <row r="27" spans="1:8">
      <c r="A27" s="99"/>
      <c r="C27" s="99"/>
      <c r="D27" s="99"/>
      <c r="E27" s="99"/>
      <c r="F27" s="99"/>
      <c r="G27" s="99"/>
      <c r="H27" s="99"/>
    </row>
    <row r="28" spans="1:8">
      <c r="A28" s="99"/>
      <c r="C28" s="100" t="s">
        <v>128</v>
      </c>
      <c r="D28" s="99"/>
      <c r="E28" s="99"/>
      <c r="F28" s="101">
        <f>ROUND(SUM(E20:E26),2)</f>
        <v>22851317</v>
      </c>
      <c r="G28" s="99" t="str">
        <f>IF(F28=F29,"","Error")</f>
        <v/>
      </c>
      <c r="H28" s="99"/>
    </row>
    <row r="29" spans="1:8">
      <c r="A29" s="99"/>
      <c r="C29" s="99"/>
      <c r="D29" s="99"/>
      <c r="E29" s="99"/>
      <c r="F29" s="211">
        <f>F54+F79+F104+F130+F157</f>
        <v>22851317</v>
      </c>
      <c r="G29" s="99"/>
      <c r="H29" s="99"/>
    </row>
    <row r="30" spans="1:8" ht="13.5" thickBot="1">
      <c r="A30" s="99"/>
      <c r="C30" s="138" t="s">
        <v>129</v>
      </c>
      <c r="D30" s="99"/>
      <c r="E30" s="99"/>
      <c r="F30" s="102">
        <f>F17+F28</f>
        <v>25621309</v>
      </c>
      <c r="G30" s="99" t="str">
        <f>IF(F30=F31,"","Error")</f>
        <v/>
      </c>
      <c r="H30" s="99"/>
    </row>
    <row r="31" spans="1:8" ht="13.5" thickTop="1">
      <c r="A31" s="99"/>
      <c r="B31" s="138"/>
      <c r="C31" s="99"/>
      <c r="D31" s="99"/>
      <c r="E31" s="103"/>
      <c r="F31" s="211">
        <f>F56+F81+F106+F132+F159</f>
        <v>25621309</v>
      </c>
      <c r="G31" s="99"/>
      <c r="H31" s="99"/>
    </row>
    <row r="32" spans="1:8">
      <c r="A32" s="99"/>
      <c r="B32" s="99"/>
      <c r="C32" s="99"/>
      <c r="D32" s="99"/>
      <c r="E32" s="99"/>
      <c r="F32" s="99"/>
      <c r="G32" s="99"/>
      <c r="H32" s="99"/>
    </row>
    <row r="33" spans="1:8">
      <c r="A33" s="678" t="s">
        <v>550</v>
      </c>
      <c r="B33" s="678"/>
      <c r="C33" s="678"/>
      <c r="D33" s="678"/>
      <c r="E33" s="678"/>
      <c r="F33" s="678"/>
      <c r="G33" s="678"/>
      <c r="H33" s="678"/>
    </row>
    <row r="34" spans="1:8">
      <c r="A34" s="678" t="s">
        <v>92</v>
      </c>
      <c r="B34" s="678"/>
      <c r="C34" s="678"/>
      <c r="D34" s="678"/>
      <c r="E34" s="678"/>
      <c r="F34" s="678"/>
      <c r="G34" s="678"/>
      <c r="H34" s="678"/>
    </row>
    <row r="35" spans="1:8">
      <c r="A35" s="678" t="str">
        <f>A8</f>
        <v>12 Months Ended 12/31/2012</v>
      </c>
      <c r="B35" s="678"/>
      <c r="C35" s="678"/>
      <c r="D35" s="678"/>
      <c r="E35" s="678"/>
      <c r="F35" s="678"/>
      <c r="G35" s="678"/>
      <c r="H35" s="678"/>
    </row>
    <row r="36" spans="1:8">
      <c r="A36" s="678" t="s">
        <v>100</v>
      </c>
      <c r="B36" s="678"/>
      <c r="C36" s="678"/>
      <c r="D36" s="678"/>
      <c r="E36" s="678"/>
      <c r="F36" s="678"/>
      <c r="G36" s="678"/>
      <c r="H36" s="678"/>
    </row>
    <row r="37" spans="1:8">
      <c r="A37" s="99"/>
      <c r="B37" s="99"/>
      <c r="C37" s="99"/>
      <c r="D37" s="99"/>
      <c r="E37" s="99"/>
      <c r="F37" s="99"/>
      <c r="G37" s="99"/>
      <c r="H37" s="99"/>
    </row>
    <row r="38" spans="1:8">
      <c r="A38" s="99"/>
      <c r="B38" s="99"/>
      <c r="C38" s="99"/>
      <c r="D38" s="99"/>
      <c r="E38" s="99"/>
      <c r="F38" s="99"/>
      <c r="G38" s="99"/>
      <c r="H38" s="99"/>
    </row>
    <row r="39" spans="1:8">
      <c r="A39" s="99"/>
      <c r="C39" s="138" t="s">
        <v>130</v>
      </c>
      <c r="D39" s="99"/>
      <c r="E39" s="99"/>
      <c r="F39" s="99"/>
      <c r="G39" s="99"/>
      <c r="H39" s="99"/>
    </row>
    <row r="40" spans="1:8">
      <c r="A40" s="99"/>
      <c r="C40" s="100" t="s">
        <v>131</v>
      </c>
      <c r="D40" s="99"/>
      <c r="E40" s="99">
        <v>0</v>
      </c>
      <c r="F40" s="99"/>
      <c r="G40" s="99"/>
      <c r="H40" s="99"/>
    </row>
    <row r="41" spans="1:8">
      <c r="A41" s="99"/>
      <c r="C41" s="99"/>
      <c r="D41" s="99"/>
      <c r="E41" s="101"/>
      <c r="F41" s="99"/>
      <c r="G41" s="99"/>
      <c r="H41" s="99"/>
    </row>
    <row r="42" spans="1:8">
      <c r="A42" s="99"/>
      <c r="C42" s="100" t="s">
        <v>132</v>
      </c>
      <c r="D42" s="99"/>
      <c r="E42" s="99"/>
      <c r="F42" s="99">
        <f>E40</f>
        <v>0</v>
      </c>
      <c r="G42" s="99"/>
      <c r="H42" s="99"/>
    </row>
    <row r="43" spans="1:8">
      <c r="A43" s="99"/>
      <c r="C43" s="99"/>
      <c r="D43" s="99"/>
      <c r="E43" s="99"/>
      <c r="F43" s="99"/>
      <c r="G43" s="99"/>
      <c r="H43" s="99"/>
    </row>
    <row r="44" spans="1:8">
      <c r="A44" s="99"/>
      <c r="C44" s="99"/>
      <c r="D44" s="99"/>
      <c r="E44" s="99"/>
      <c r="F44" s="99"/>
      <c r="G44" s="99"/>
      <c r="H44" s="99"/>
    </row>
    <row r="45" spans="1:8">
      <c r="A45" s="99"/>
      <c r="C45" s="138" t="s">
        <v>133</v>
      </c>
      <c r="D45" s="99"/>
      <c r="E45" s="99"/>
      <c r="F45" s="99"/>
      <c r="G45" s="99"/>
      <c r="H45" s="99"/>
    </row>
    <row r="46" spans="1:8">
      <c r="A46" s="99"/>
      <c r="C46" s="100" t="s">
        <v>124</v>
      </c>
      <c r="D46" s="99"/>
      <c r="E46" s="99">
        <v>5129604</v>
      </c>
      <c r="F46" s="99"/>
      <c r="G46" s="99"/>
      <c r="H46" s="99"/>
    </row>
    <row r="47" spans="1:8">
      <c r="A47" s="99"/>
      <c r="C47" s="99"/>
      <c r="D47" s="99"/>
      <c r="E47" s="99"/>
      <c r="F47" s="99"/>
      <c r="G47" s="99"/>
      <c r="H47" s="99"/>
    </row>
    <row r="48" spans="1:8">
      <c r="A48" s="99"/>
      <c r="C48" s="100" t="s">
        <v>125</v>
      </c>
      <c r="D48" s="99"/>
      <c r="E48" s="99">
        <v>4583625</v>
      </c>
      <c r="F48" s="99"/>
      <c r="G48" s="99"/>
      <c r="H48" s="99"/>
    </row>
    <row r="49" spans="1:8">
      <c r="A49" s="99"/>
      <c r="C49" s="99"/>
      <c r="D49" s="99"/>
      <c r="E49" s="99"/>
      <c r="F49" s="99"/>
      <c r="G49" s="99"/>
      <c r="H49" s="99"/>
    </row>
    <row r="50" spans="1:8">
      <c r="A50" s="99"/>
      <c r="C50" s="100" t="s">
        <v>126</v>
      </c>
      <c r="D50" s="99"/>
      <c r="E50" s="99">
        <v>8884894</v>
      </c>
      <c r="F50" s="99"/>
      <c r="G50" s="99"/>
      <c r="H50" s="99"/>
    </row>
    <row r="51" spans="1:8">
      <c r="A51" s="99"/>
      <c r="C51" s="99"/>
      <c r="D51" s="99"/>
      <c r="E51" s="99"/>
      <c r="F51" s="99"/>
      <c r="G51" s="99"/>
      <c r="H51" s="99"/>
    </row>
    <row r="52" spans="1:8">
      <c r="A52" s="99"/>
      <c r="C52" s="100" t="s">
        <v>127</v>
      </c>
      <c r="D52" s="99"/>
      <c r="E52" s="101">
        <v>1716770</v>
      </c>
      <c r="F52" s="99"/>
      <c r="G52" s="99"/>
      <c r="H52" s="99"/>
    </row>
    <row r="53" spans="1:8">
      <c r="A53" s="99"/>
      <c r="C53" s="99"/>
      <c r="D53" s="99"/>
      <c r="E53" s="99"/>
      <c r="F53" s="99"/>
      <c r="G53" s="99"/>
      <c r="H53" s="99"/>
    </row>
    <row r="54" spans="1:8">
      <c r="A54" s="99"/>
      <c r="C54" s="100" t="s">
        <v>128</v>
      </c>
      <c r="D54" s="99"/>
      <c r="E54" s="99"/>
      <c r="F54" s="101">
        <f>SUM(E46:E52)</f>
        <v>20314893</v>
      </c>
      <c r="G54" s="99"/>
      <c r="H54" s="99"/>
    </row>
    <row r="55" spans="1:8">
      <c r="A55" s="99"/>
      <c r="C55" s="99"/>
      <c r="D55" s="99"/>
      <c r="E55" s="99"/>
      <c r="F55" s="99"/>
      <c r="G55" s="99"/>
      <c r="H55" s="99"/>
    </row>
    <row r="56" spans="1:8" ht="13.5" thickBot="1">
      <c r="A56" s="99"/>
      <c r="C56" s="138" t="s">
        <v>134</v>
      </c>
      <c r="D56" s="99"/>
      <c r="E56" s="99"/>
      <c r="F56" s="102">
        <f>SUM(F39:F54)</f>
        <v>20314893</v>
      </c>
      <c r="G56" s="99"/>
      <c r="H56" s="99"/>
    </row>
    <row r="57" spans="1:8" ht="13.5" thickTop="1">
      <c r="A57" s="99"/>
      <c r="B57" s="138"/>
      <c r="C57" s="99"/>
      <c r="D57" s="99"/>
      <c r="E57" s="103"/>
      <c r="F57" s="99"/>
      <c r="G57" s="99"/>
      <c r="H57" s="99"/>
    </row>
    <row r="58" spans="1:8">
      <c r="A58" s="99"/>
      <c r="B58" s="138"/>
      <c r="C58" s="99"/>
      <c r="D58" s="99"/>
      <c r="E58" s="103"/>
      <c r="F58" s="99"/>
      <c r="G58" s="99"/>
      <c r="H58" s="99"/>
    </row>
    <row r="59" spans="1:8">
      <c r="A59" s="678" t="s">
        <v>550</v>
      </c>
      <c r="B59" s="678"/>
      <c r="C59" s="678"/>
      <c r="D59" s="678"/>
      <c r="E59" s="678"/>
      <c r="F59" s="678"/>
      <c r="G59" s="678"/>
      <c r="H59" s="678"/>
    </row>
    <row r="60" spans="1:8">
      <c r="A60" s="678" t="s">
        <v>92</v>
      </c>
      <c r="B60" s="678"/>
      <c r="C60" s="678"/>
      <c r="D60" s="678"/>
      <c r="E60" s="678"/>
      <c r="F60" s="678"/>
      <c r="G60" s="678"/>
      <c r="H60" s="678"/>
    </row>
    <row r="61" spans="1:8">
      <c r="A61" s="678" t="str">
        <f>A8</f>
        <v>12 Months Ended 12/31/2012</v>
      </c>
      <c r="B61" s="678"/>
      <c r="C61" s="678"/>
      <c r="D61" s="678"/>
      <c r="E61" s="678"/>
      <c r="F61" s="678"/>
      <c r="G61" s="678"/>
      <c r="H61" s="678"/>
    </row>
    <row r="62" spans="1:8">
      <c r="A62" s="678" t="s">
        <v>135</v>
      </c>
      <c r="B62" s="678"/>
      <c r="C62" s="678"/>
      <c r="D62" s="678"/>
      <c r="E62" s="678"/>
      <c r="F62" s="678"/>
      <c r="G62" s="678"/>
      <c r="H62" s="678"/>
    </row>
    <row r="63" spans="1:8">
      <c r="A63" s="99"/>
      <c r="B63" s="99"/>
      <c r="C63" s="99"/>
      <c r="D63" s="99"/>
      <c r="E63" s="99"/>
      <c r="F63" s="99"/>
      <c r="G63" s="99"/>
      <c r="H63" s="99"/>
    </row>
    <row r="64" spans="1:8">
      <c r="A64" s="99"/>
      <c r="C64" s="138" t="s">
        <v>136</v>
      </c>
      <c r="D64" s="99"/>
      <c r="E64" s="99"/>
      <c r="F64" s="99"/>
      <c r="G64" s="99"/>
      <c r="H64" s="99"/>
    </row>
    <row r="65" spans="1:8">
      <c r="A65" s="99"/>
      <c r="C65" s="100" t="s">
        <v>131</v>
      </c>
      <c r="D65" s="99"/>
      <c r="E65" s="101">
        <v>0</v>
      </c>
      <c r="F65" s="99"/>
      <c r="G65" s="99"/>
      <c r="H65" s="99"/>
    </row>
    <row r="66" spans="1:8">
      <c r="A66" s="99"/>
      <c r="C66" s="99"/>
      <c r="D66" s="99"/>
      <c r="E66" s="99"/>
      <c r="F66" s="99"/>
      <c r="G66" s="99"/>
      <c r="H66" s="99"/>
    </row>
    <row r="67" spans="1:8">
      <c r="A67" s="99"/>
      <c r="C67" s="100" t="s">
        <v>137</v>
      </c>
      <c r="D67" s="99"/>
      <c r="E67" s="99"/>
      <c r="F67" s="101">
        <f>E65</f>
        <v>0</v>
      </c>
      <c r="G67" s="99"/>
      <c r="H67" s="99"/>
    </row>
    <row r="68" spans="1:8">
      <c r="A68" s="99"/>
      <c r="C68" s="99"/>
      <c r="D68" s="99"/>
      <c r="E68" s="99"/>
      <c r="F68" s="99"/>
      <c r="G68" s="99"/>
      <c r="H68" s="99"/>
    </row>
    <row r="69" spans="1:8">
      <c r="A69" s="99"/>
      <c r="C69" s="99"/>
      <c r="D69" s="99"/>
      <c r="E69" s="99"/>
      <c r="F69" s="99"/>
      <c r="G69" s="99"/>
      <c r="H69" s="99"/>
    </row>
    <row r="70" spans="1:8">
      <c r="A70" s="99"/>
      <c r="C70" s="138" t="s">
        <v>133</v>
      </c>
      <c r="D70" s="99"/>
      <c r="E70" s="99"/>
      <c r="F70" s="99"/>
      <c r="G70" s="99"/>
      <c r="H70" s="99"/>
    </row>
    <row r="71" spans="1:8">
      <c r="A71" s="99"/>
      <c r="C71" s="100" t="s">
        <v>124</v>
      </c>
      <c r="D71" s="99"/>
      <c r="E71" s="99">
        <v>0</v>
      </c>
      <c r="F71" s="99"/>
      <c r="G71" s="99"/>
      <c r="H71" s="99"/>
    </row>
    <row r="72" spans="1:8">
      <c r="A72" s="99"/>
      <c r="C72" s="99"/>
      <c r="D72" s="99"/>
      <c r="E72" s="99"/>
      <c r="F72" s="99"/>
      <c r="G72" s="99"/>
      <c r="H72" s="99"/>
    </row>
    <row r="73" spans="1:8">
      <c r="A73" s="99"/>
      <c r="C73" s="100" t="s">
        <v>125</v>
      </c>
      <c r="D73" s="99"/>
      <c r="E73" s="99">
        <v>268564</v>
      </c>
      <c r="F73" s="99"/>
      <c r="G73" s="99"/>
      <c r="H73" s="99"/>
    </row>
    <row r="74" spans="1:8">
      <c r="A74" s="99"/>
      <c r="C74" s="99"/>
      <c r="D74" s="99"/>
      <c r="E74" s="99"/>
      <c r="F74" s="99"/>
      <c r="G74" s="99"/>
      <c r="H74" s="99"/>
    </row>
    <row r="75" spans="1:8">
      <c r="A75" s="99"/>
      <c r="C75" s="100" t="s">
        <v>126</v>
      </c>
      <c r="D75" s="99"/>
      <c r="E75" s="99">
        <v>0</v>
      </c>
      <c r="F75" s="99"/>
      <c r="G75" s="99"/>
      <c r="H75" s="99"/>
    </row>
    <row r="76" spans="1:8">
      <c r="A76" s="99"/>
      <c r="C76" s="99"/>
      <c r="D76" s="99"/>
      <c r="E76" s="99"/>
      <c r="F76" s="99"/>
      <c r="G76" s="99"/>
      <c r="H76" s="99"/>
    </row>
    <row r="77" spans="1:8">
      <c r="A77" s="99"/>
      <c r="C77" s="100" t="s">
        <v>127</v>
      </c>
      <c r="D77" s="99"/>
      <c r="E77" s="101">
        <v>1803</v>
      </c>
      <c r="F77" s="99"/>
      <c r="G77" s="99"/>
      <c r="H77" s="99"/>
    </row>
    <row r="78" spans="1:8">
      <c r="A78" s="99"/>
      <c r="C78" s="99"/>
      <c r="D78" s="99"/>
      <c r="E78" s="99"/>
      <c r="F78" s="99"/>
      <c r="G78" s="99"/>
      <c r="H78" s="99"/>
    </row>
    <row r="79" spans="1:8">
      <c r="A79" s="99"/>
      <c r="C79" s="100" t="s">
        <v>128</v>
      </c>
      <c r="D79" s="99"/>
      <c r="E79" s="99"/>
      <c r="F79" s="101">
        <f>SUM(E71:E77)</f>
        <v>270367</v>
      </c>
      <c r="G79" s="99"/>
      <c r="H79" s="99"/>
    </row>
    <row r="80" spans="1:8">
      <c r="A80" s="99"/>
      <c r="C80" s="99"/>
      <c r="D80" s="99"/>
      <c r="E80" s="99"/>
      <c r="F80" s="99"/>
      <c r="G80" s="99"/>
      <c r="H80" s="99"/>
    </row>
    <row r="81" spans="1:8" ht="13.5" thickBot="1">
      <c r="A81" s="99"/>
      <c r="C81" s="138" t="s">
        <v>138</v>
      </c>
      <c r="D81" s="99"/>
      <c r="E81" s="99"/>
      <c r="F81" s="102">
        <f>SUM(F64:F79)</f>
        <v>270367</v>
      </c>
      <c r="G81" s="99"/>
      <c r="H81" s="99"/>
    </row>
    <row r="82" spans="1:8" ht="13.5" thickTop="1">
      <c r="A82" s="99"/>
      <c r="B82" s="138"/>
      <c r="C82" s="99"/>
      <c r="D82" s="99"/>
      <c r="E82" s="103"/>
      <c r="F82" s="99"/>
      <c r="G82" s="99"/>
      <c r="H82" s="99"/>
    </row>
    <row r="83" spans="1:8">
      <c r="A83" s="99"/>
      <c r="B83" s="138"/>
      <c r="C83" s="99"/>
      <c r="D83" s="99"/>
      <c r="E83" s="103"/>
      <c r="F83" s="99"/>
      <c r="G83" s="99"/>
      <c r="H83" s="99"/>
    </row>
    <row r="84" spans="1:8">
      <c r="A84" s="678" t="s">
        <v>550</v>
      </c>
      <c r="B84" s="678"/>
      <c r="C84" s="678"/>
      <c r="D84" s="678"/>
      <c r="E84" s="678"/>
      <c r="F84" s="678"/>
      <c r="G84" s="678"/>
      <c r="H84" s="678"/>
    </row>
    <row r="85" spans="1:8">
      <c r="A85" s="678" t="s">
        <v>92</v>
      </c>
      <c r="B85" s="678"/>
      <c r="C85" s="678"/>
      <c r="D85" s="678"/>
      <c r="E85" s="678"/>
      <c r="F85" s="678"/>
      <c r="G85" s="678"/>
      <c r="H85" s="678"/>
    </row>
    <row r="86" spans="1:8">
      <c r="A86" s="678" t="str">
        <f>A8</f>
        <v>12 Months Ended 12/31/2012</v>
      </c>
      <c r="B86" s="678"/>
      <c r="C86" s="678"/>
      <c r="D86" s="678"/>
      <c r="E86" s="678"/>
      <c r="F86" s="678"/>
      <c r="G86" s="678"/>
      <c r="H86" s="678"/>
    </row>
    <row r="87" spans="1:8">
      <c r="A87" s="678" t="s">
        <v>139</v>
      </c>
      <c r="B87" s="678"/>
      <c r="C87" s="678"/>
      <c r="D87" s="678"/>
      <c r="E87" s="678"/>
      <c r="F87" s="678"/>
      <c r="G87" s="678"/>
      <c r="H87" s="678"/>
    </row>
    <row r="88" spans="1:8">
      <c r="A88" s="99"/>
      <c r="B88" s="99"/>
      <c r="C88" s="99"/>
      <c r="D88" s="99"/>
      <c r="E88" s="99"/>
      <c r="F88" s="99"/>
      <c r="G88" s="99"/>
      <c r="H88" s="99"/>
    </row>
    <row r="89" spans="1:8">
      <c r="A89" s="99"/>
      <c r="B89" s="99"/>
      <c r="C89" s="99"/>
      <c r="D89" s="99"/>
      <c r="E89" s="99"/>
      <c r="F89" s="99"/>
      <c r="G89" s="99"/>
      <c r="H89" s="99"/>
    </row>
    <row r="90" spans="1:8">
      <c r="A90" s="99"/>
      <c r="C90" s="138" t="s">
        <v>140</v>
      </c>
      <c r="D90" s="99"/>
      <c r="E90" s="99"/>
      <c r="F90" s="99"/>
      <c r="G90" s="99"/>
      <c r="H90" s="99"/>
    </row>
    <row r="91" spans="1:8">
      <c r="A91" s="99"/>
      <c r="C91" s="100" t="s">
        <v>120</v>
      </c>
      <c r="D91" s="99"/>
      <c r="E91" s="101">
        <v>963578</v>
      </c>
      <c r="F91" s="99"/>
      <c r="G91" s="99"/>
      <c r="H91" s="99"/>
    </row>
    <row r="92" spans="1:8">
      <c r="A92" s="99"/>
      <c r="C92" s="99"/>
      <c r="D92" s="99"/>
      <c r="E92" s="99"/>
      <c r="F92" s="99"/>
      <c r="G92" s="99"/>
      <c r="H92" s="99"/>
    </row>
    <row r="93" spans="1:8">
      <c r="A93" s="99"/>
      <c r="C93" s="100" t="s">
        <v>122</v>
      </c>
      <c r="D93" s="99"/>
      <c r="E93" s="99"/>
      <c r="F93" s="101">
        <f>E91</f>
        <v>963578</v>
      </c>
      <c r="G93" s="99"/>
      <c r="H93" s="99"/>
    </row>
    <row r="94" spans="1:8">
      <c r="A94" s="99"/>
      <c r="C94" s="99"/>
      <c r="D94" s="99"/>
      <c r="E94" s="99"/>
      <c r="F94" s="99"/>
      <c r="G94" s="99"/>
      <c r="H94" s="99"/>
    </row>
    <row r="95" spans="1:8">
      <c r="A95" s="99"/>
      <c r="C95" s="138" t="s">
        <v>133</v>
      </c>
      <c r="D95" s="99"/>
      <c r="E95" s="99"/>
      <c r="F95" s="99"/>
      <c r="G95" s="99"/>
      <c r="H95" s="99"/>
    </row>
    <row r="96" spans="1:8">
      <c r="A96" s="99"/>
      <c r="C96" s="100" t="s">
        <v>141</v>
      </c>
      <c r="D96" s="99"/>
      <c r="E96" s="99">
        <v>0</v>
      </c>
      <c r="F96" s="99"/>
      <c r="G96" s="99"/>
      <c r="H96" s="99"/>
    </row>
    <row r="97" spans="1:8">
      <c r="A97" s="99"/>
      <c r="C97" s="99"/>
      <c r="D97" s="99"/>
      <c r="E97" s="99"/>
      <c r="F97" s="99"/>
      <c r="G97" s="99"/>
      <c r="H97" s="99"/>
    </row>
    <row r="98" spans="1:8">
      <c r="A98" s="99"/>
      <c r="C98" s="100" t="s">
        <v>125</v>
      </c>
      <c r="D98" s="99"/>
      <c r="E98" s="99">
        <v>21670</v>
      </c>
      <c r="F98" s="99"/>
      <c r="G98" s="99"/>
      <c r="H98" s="99"/>
    </row>
    <row r="99" spans="1:8">
      <c r="A99" s="99"/>
      <c r="C99" s="99"/>
      <c r="D99" s="99"/>
      <c r="E99" s="99"/>
      <c r="F99" s="99"/>
      <c r="G99" s="99"/>
      <c r="H99" s="99"/>
    </row>
    <row r="100" spans="1:8">
      <c r="A100" s="99"/>
      <c r="C100" s="100" t="s">
        <v>126</v>
      </c>
      <c r="D100" s="99"/>
      <c r="E100" s="99">
        <v>0</v>
      </c>
      <c r="F100" s="99"/>
      <c r="G100" s="99"/>
      <c r="H100" s="99"/>
    </row>
    <row r="101" spans="1:8">
      <c r="A101" s="99"/>
      <c r="C101" s="99"/>
      <c r="D101" s="99"/>
      <c r="E101" s="99"/>
      <c r="F101" s="99"/>
      <c r="G101" s="99"/>
      <c r="H101" s="99"/>
    </row>
    <row r="102" spans="1:8">
      <c r="A102" s="99"/>
      <c r="C102" s="100" t="s">
        <v>127</v>
      </c>
      <c r="D102" s="99"/>
      <c r="E102" s="101">
        <v>0</v>
      </c>
      <c r="F102" s="99"/>
      <c r="G102" s="99"/>
      <c r="H102" s="99"/>
    </row>
    <row r="103" spans="1:8">
      <c r="A103" s="99"/>
      <c r="C103" s="99"/>
      <c r="D103" s="99"/>
      <c r="E103" s="99"/>
      <c r="F103" s="99"/>
      <c r="G103" s="99"/>
      <c r="H103" s="99"/>
    </row>
    <row r="104" spans="1:8">
      <c r="A104" s="99"/>
      <c r="C104" s="100" t="s">
        <v>128</v>
      </c>
      <c r="D104" s="99"/>
      <c r="E104" s="99"/>
      <c r="F104" s="101">
        <f>SUM(E96:E102)</f>
        <v>21670</v>
      </c>
      <c r="G104" s="99"/>
      <c r="H104" s="99"/>
    </row>
    <row r="105" spans="1:8">
      <c r="A105" s="99"/>
      <c r="C105" s="99"/>
      <c r="D105" s="99"/>
      <c r="E105" s="99"/>
      <c r="F105" s="99"/>
      <c r="G105" s="99"/>
      <c r="H105" s="99"/>
    </row>
    <row r="106" spans="1:8" ht="13.5" thickBot="1">
      <c r="A106" s="99"/>
      <c r="C106" s="138" t="s">
        <v>142</v>
      </c>
      <c r="D106" s="99"/>
      <c r="E106" s="99"/>
      <c r="F106" s="102">
        <f>SUM(F90:F104)</f>
        <v>985248</v>
      </c>
      <c r="G106" s="99"/>
      <c r="H106" s="99"/>
    </row>
    <row r="107" spans="1:8" ht="13.5" thickTop="1">
      <c r="A107" s="99"/>
      <c r="B107" s="138"/>
      <c r="C107" s="99"/>
      <c r="D107" s="99"/>
      <c r="E107" s="103"/>
      <c r="F107" s="99"/>
      <c r="G107" s="99"/>
      <c r="H107" s="99"/>
    </row>
    <row r="108" spans="1:8">
      <c r="A108" s="100"/>
      <c r="B108" s="99"/>
      <c r="C108" s="99"/>
      <c r="D108" s="99"/>
      <c r="E108" s="99"/>
      <c r="F108" s="99"/>
      <c r="G108" s="99"/>
      <c r="H108" s="99"/>
    </row>
    <row r="109" spans="1:8">
      <c r="A109" s="678" t="s">
        <v>550</v>
      </c>
      <c r="B109" s="678"/>
      <c r="C109" s="678"/>
      <c r="D109" s="678"/>
      <c r="E109" s="678"/>
      <c r="F109" s="678"/>
      <c r="G109" s="678"/>
      <c r="H109" s="678"/>
    </row>
    <row r="110" spans="1:8">
      <c r="A110" s="678" t="s">
        <v>92</v>
      </c>
      <c r="B110" s="678"/>
      <c r="C110" s="678"/>
      <c r="D110" s="678"/>
      <c r="E110" s="678"/>
      <c r="F110" s="678"/>
      <c r="G110" s="678"/>
      <c r="H110" s="678"/>
    </row>
    <row r="111" spans="1:8">
      <c r="A111" s="678" t="str">
        <f>A8</f>
        <v>12 Months Ended 12/31/2012</v>
      </c>
      <c r="B111" s="678"/>
      <c r="C111" s="678"/>
      <c r="D111" s="678"/>
      <c r="E111" s="678"/>
      <c r="F111" s="678"/>
      <c r="G111" s="678"/>
      <c r="H111" s="678"/>
    </row>
    <row r="112" spans="1:8">
      <c r="A112" s="678" t="s">
        <v>101</v>
      </c>
      <c r="B112" s="678"/>
      <c r="C112" s="678"/>
      <c r="D112" s="678"/>
      <c r="E112" s="678"/>
      <c r="F112" s="678"/>
      <c r="G112" s="678"/>
      <c r="H112" s="678"/>
    </row>
    <row r="113" spans="1:8">
      <c r="A113" s="99"/>
      <c r="B113" s="99"/>
      <c r="C113" s="99"/>
      <c r="D113" s="99"/>
      <c r="E113" s="99"/>
      <c r="F113" s="99"/>
      <c r="G113" s="99"/>
      <c r="H113" s="99"/>
    </row>
    <row r="114" spans="1:8">
      <c r="A114" s="99"/>
      <c r="B114" s="99"/>
      <c r="C114" s="99"/>
      <c r="D114" s="99"/>
      <c r="E114" s="99"/>
      <c r="F114" s="99"/>
      <c r="G114" s="99"/>
      <c r="H114" s="99"/>
    </row>
    <row r="115" spans="1:8">
      <c r="A115" s="99"/>
      <c r="C115" s="138" t="s">
        <v>143</v>
      </c>
      <c r="D115" s="99"/>
      <c r="E115" s="99"/>
      <c r="F115" s="99"/>
      <c r="G115" s="99"/>
      <c r="H115" s="99"/>
    </row>
    <row r="116" spans="1:8">
      <c r="A116" s="99"/>
      <c r="C116" s="100" t="s">
        <v>121</v>
      </c>
      <c r="D116" s="99"/>
      <c r="E116" s="104">
        <v>256258</v>
      </c>
      <c r="F116" s="105"/>
      <c r="G116" s="99"/>
      <c r="H116" s="99"/>
    </row>
    <row r="117" spans="1:8">
      <c r="A117" s="99"/>
      <c r="C117" s="99"/>
      <c r="D117" s="99"/>
      <c r="E117" s="105"/>
      <c r="F117" s="105"/>
      <c r="G117" s="99"/>
      <c r="H117" s="99"/>
    </row>
    <row r="118" spans="1:8">
      <c r="A118" s="99"/>
      <c r="C118" s="100" t="s">
        <v>122</v>
      </c>
      <c r="D118" s="99"/>
      <c r="E118" s="105"/>
      <c r="F118" s="105">
        <f>E116</f>
        <v>256258</v>
      </c>
      <c r="G118" s="99"/>
      <c r="H118" s="99"/>
    </row>
    <row r="119" spans="1:8">
      <c r="A119" s="99"/>
      <c r="C119" s="99"/>
      <c r="D119" s="99"/>
      <c r="E119" s="105"/>
      <c r="F119" s="105"/>
      <c r="G119" s="99"/>
      <c r="H119" s="99"/>
    </row>
    <row r="120" spans="1:8">
      <c r="A120" s="99"/>
      <c r="C120" s="99"/>
      <c r="D120" s="99"/>
      <c r="E120" s="105"/>
      <c r="F120" s="105"/>
      <c r="G120" s="99"/>
      <c r="H120" s="99"/>
    </row>
    <row r="121" spans="1:8">
      <c r="A121" s="99"/>
      <c r="C121" s="138" t="s">
        <v>133</v>
      </c>
      <c r="D121" s="99"/>
      <c r="E121" s="105"/>
      <c r="F121" s="105"/>
      <c r="G121" s="99"/>
      <c r="H121" s="99"/>
    </row>
    <row r="122" spans="1:8">
      <c r="A122" s="99"/>
      <c r="C122" s="100" t="s">
        <v>124</v>
      </c>
      <c r="D122" s="99"/>
      <c r="E122" s="105">
        <v>600778</v>
      </c>
      <c r="F122" s="105"/>
      <c r="G122" s="99"/>
      <c r="H122" s="99"/>
    </row>
    <row r="123" spans="1:8">
      <c r="A123" s="99"/>
      <c r="C123" s="99"/>
      <c r="D123" s="99"/>
      <c r="E123" s="105"/>
      <c r="F123" s="105"/>
      <c r="G123" s="99"/>
      <c r="H123" s="99"/>
    </row>
    <row r="124" spans="1:8">
      <c r="A124" s="99"/>
      <c r="C124" s="100" t="s">
        <v>125</v>
      </c>
      <c r="D124" s="99"/>
      <c r="E124" s="105">
        <v>507452</v>
      </c>
      <c r="F124" s="105"/>
      <c r="G124" s="99"/>
      <c r="H124" s="99"/>
    </row>
    <row r="125" spans="1:8">
      <c r="A125" s="99"/>
      <c r="C125" s="99"/>
      <c r="D125" s="99"/>
      <c r="E125" s="105"/>
      <c r="F125" s="105"/>
      <c r="G125" s="99"/>
      <c r="H125" s="99"/>
    </row>
    <row r="126" spans="1:8">
      <c r="A126" s="99"/>
      <c r="C126" s="100" t="s">
        <v>126</v>
      </c>
      <c r="D126" s="99"/>
      <c r="E126" s="105">
        <v>1026960</v>
      </c>
      <c r="F126" s="105"/>
      <c r="G126" s="99"/>
      <c r="H126" s="99"/>
    </row>
    <row r="127" spans="1:8">
      <c r="A127" s="99"/>
      <c r="C127" s="99"/>
      <c r="D127" s="99"/>
      <c r="E127" s="105"/>
      <c r="F127" s="105"/>
      <c r="G127" s="99"/>
      <c r="H127" s="99"/>
    </row>
    <row r="128" spans="1:8">
      <c r="A128" s="99"/>
      <c r="C128" s="100" t="s">
        <v>127</v>
      </c>
      <c r="D128" s="99"/>
      <c r="E128" s="104">
        <v>16498</v>
      </c>
      <c r="F128" s="105"/>
      <c r="G128" s="99"/>
      <c r="H128" s="99"/>
    </row>
    <row r="129" spans="1:8">
      <c r="A129" s="99"/>
      <c r="C129" s="99"/>
      <c r="D129" s="99"/>
      <c r="E129" s="105"/>
      <c r="F129" s="105"/>
      <c r="G129" s="99"/>
      <c r="H129" s="99"/>
    </row>
    <row r="130" spans="1:8">
      <c r="A130" s="99"/>
      <c r="C130" s="100" t="s">
        <v>128</v>
      </c>
      <c r="D130" s="99"/>
      <c r="E130" s="105"/>
      <c r="F130" s="104">
        <f>SUM(E122:E128)</f>
        <v>2151688</v>
      </c>
      <c r="G130" s="99"/>
      <c r="H130" s="99"/>
    </row>
    <row r="131" spans="1:8">
      <c r="A131" s="99"/>
      <c r="C131" s="99"/>
      <c r="D131" s="99"/>
      <c r="E131" s="105"/>
      <c r="F131" s="105"/>
      <c r="G131" s="99"/>
      <c r="H131" s="99"/>
    </row>
    <row r="132" spans="1:8" ht="13.5" thickBot="1">
      <c r="A132" s="99"/>
      <c r="C132" s="138" t="s">
        <v>144</v>
      </c>
      <c r="D132" s="99"/>
      <c r="E132" s="105"/>
      <c r="F132" s="106">
        <f>F118+F130</f>
        <v>2407946</v>
      </c>
      <c r="G132" s="99"/>
      <c r="H132" s="99"/>
    </row>
    <row r="133" spans="1:8" ht="13.5" thickTop="1">
      <c r="A133" s="99"/>
      <c r="B133" s="138"/>
      <c r="C133" s="99"/>
      <c r="D133" s="99"/>
      <c r="E133" s="103"/>
      <c r="F133" s="99"/>
      <c r="G133" s="99"/>
      <c r="H133" s="99"/>
    </row>
    <row r="134" spans="1:8">
      <c r="A134" s="99"/>
      <c r="B134" s="138"/>
      <c r="C134" s="99"/>
      <c r="D134" s="99"/>
      <c r="E134" s="103"/>
      <c r="F134" s="99"/>
      <c r="G134" s="99"/>
      <c r="H134" s="99"/>
    </row>
    <row r="135" spans="1:8">
      <c r="A135" s="99"/>
      <c r="B135" s="138"/>
      <c r="C135" s="99"/>
      <c r="D135" s="99"/>
      <c r="E135" s="103"/>
      <c r="F135" s="99"/>
      <c r="G135" s="99"/>
      <c r="H135" s="99"/>
    </row>
    <row r="136" spans="1:8">
      <c r="A136" s="99"/>
      <c r="B136" s="138"/>
      <c r="C136" s="99"/>
      <c r="D136" s="99"/>
      <c r="E136" s="103"/>
      <c r="F136" s="99"/>
      <c r="G136" s="99"/>
      <c r="H136" s="99"/>
    </row>
    <row r="137" spans="1:8">
      <c r="A137" s="678" t="s">
        <v>550</v>
      </c>
      <c r="B137" s="678"/>
      <c r="C137" s="678"/>
      <c r="D137" s="678"/>
      <c r="E137" s="678"/>
      <c r="F137" s="678"/>
      <c r="G137" s="678"/>
      <c r="H137" s="678"/>
    </row>
    <row r="138" spans="1:8">
      <c r="A138" s="678" t="s">
        <v>92</v>
      </c>
      <c r="B138" s="678"/>
      <c r="C138" s="678"/>
      <c r="D138" s="678"/>
      <c r="E138" s="678"/>
      <c r="F138" s="678"/>
      <c r="G138" s="678"/>
      <c r="H138" s="678"/>
    </row>
    <row r="139" spans="1:8">
      <c r="A139" s="678" t="str">
        <f>A8</f>
        <v>12 Months Ended 12/31/2012</v>
      </c>
      <c r="B139" s="678"/>
      <c r="C139" s="678"/>
      <c r="D139" s="678"/>
      <c r="E139" s="678"/>
      <c r="F139" s="678"/>
      <c r="G139" s="678"/>
      <c r="H139" s="678"/>
    </row>
    <row r="140" spans="1:8">
      <c r="A140" s="678" t="s">
        <v>145</v>
      </c>
      <c r="B140" s="678"/>
      <c r="C140" s="678"/>
      <c r="D140" s="678"/>
      <c r="E140" s="678"/>
      <c r="F140" s="678"/>
      <c r="G140" s="678"/>
      <c r="H140" s="678"/>
    </row>
    <row r="141" spans="1:8">
      <c r="A141" s="99"/>
      <c r="B141" s="99"/>
      <c r="C141" s="99"/>
      <c r="D141" s="99"/>
      <c r="E141" s="99"/>
      <c r="F141" s="99"/>
      <c r="G141" s="99"/>
      <c r="H141" s="99"/>
    </row>
    <row r="142" spans="1:8">
      <c r="A142" s="99"/>
      <c r="B142" s="99"/>
      <c r="C142" s="99"/>
      <c r="D142" s="99"/>
      <c r="E142" s="99"/>
      <c r="F142" s="99"/>
      <c r="G142" s="99"/>
      <c r="H142" s="99"/>
    </row>
    <row r="143" spans="1:8">
      <c r="A143" s="99"/>
      <c r="C143" s="138" t="s">
        <v>146</v>
      </c>
      <c r="D143" s="99"/>
      <c r="E143" s="99"/>
      <c r="F143" s="99"/>
      <c r="G143" s="99"/>
      <c r="H143" s="99"/>
    </row>
    <row r="144" spans="1:8">
      <c r="A144" s="99"/>
      <c r="C144" s="100" t="s">
        <v>119</v>
      </c>
      <c r="D144" s="99"/>
      <c r="E144" s="99">
        <v>1550156</v>
      </c>
      <c r="F144" s="99"/>
      <c r="G144" s="99"/>
      <c r="H144" s="99"/>
    </row>
    <row r="145" spans="1:8">
      <c r="A145" s="99"/>
      <c r="C145" s="99"/>
      <c r="D145" s="99"/>
      <c r="E145" s="99"/>
      <c r="F145" s="99"/>
      <c r="G145" s="99"/>
      <c r="H145" s="99"/>
    </row>
    <row r="146" spans="1:8">
      <c r="A146" s="99"/>
      <c r="C146" s="100" t="s">
        <v>122</v>
      </c>
      <c r="D146" s="99"/>
      <c r="E146" s="99"/>
      <c r="F146" s="99">
        <f>E144</f>
        <v>1550156</v>
      </c>
      <c r="G146" s="99"/>
      <c r="H146" s="99"/>
    </row>
    <row r="147" spans="1:8">
      <c r="A147" s="99"/>
      <c r="C147" s="99"/>
      <c r="D147" s="99"/>
      <c r="E147" s="99"/>
      <c r="F147" s="99"/>
      <c r="G147" s="99"/>
      <c r="H147" s="99"/>
    </row>
    <row r="148" spans="1:8">
      <c r="A148" s="99"/>
      <c r="C148" s="138" t="s">
        <v>133</v>
      </c>
      <c r="D148" s="99"/>
      <c r="E148" s="99"/>
      <c r="F148" s="99"/>
      <c r="G148" s="99"/>
      <c r="H148" s="99"/>
    </row>
    <row r="149" spans="1:8">
      <c r="A149" s="99"/>
      <c r="C149" s="100" t="s">
        <v>124</v>
      </c>
      <c r="D149" s="99"/>
      <c r="E149" s="99">
        <v>0</v>
      </c>
      <c r="F149" s="99"/>
      <c r="G149" s="99"/>
      <c r="H149" s="99"/>
    </row>
    <row r="150" spans="1:8">
      <c r="A150" s="99"/>
      <c r="C150" s="99"/>
      <c r="D150" s="99"/>
      <c r="E150" s="99"/>
      <c r="F150" s="99"/>
      <c r="G150" s="99"/>
      <c r="H150" s="99"/>
    </row>
    <row r="151" spans="1:8">
      <c r="A151" s="99"/>
      <c r="C151" s="100" t="s">
        <v>125</v>
      </c>
      <c r="D151" s="99"/>
      <c r="E151" s="99">
        <v>92699</v>
      </c>
      <c r="F151" s="99"/>
      <c r="G151" s="99"/>
      <c r="H151" s="99"/>
    </row>
    <row r="152" spans="1:8">
      <c r="A152" s="99"/>
      <c r="C152" s="99"/>
      <c r="D152" s="99"/>
      <c r="E152" s="99"/>
      <c r="F152" s="99"/>
      <c r="G152" s="99"/>
      <c r="H152" s="99"/>
    </row>
    <row r="153" spans="1:8">
      <c r="A153" s="99"/>
      <c r="C153" s="100" t="s">
        <v>126</v>
      </c>
      <c r="D153" s="99"/>
      <c r="E153" s="99">
        <v>0</v>
      </c>
      <c r="F153" s="99"/>
      <c r="G153" s="99"/>
      <c r="H153" s="99"/>
    </row>
    <row r="154" spans="1:8">
      <c r="A154" s="99"/>
      <c r="C154" s="99"/>
      <c r="D154" s="99"/>
      <c r="E154" s="99"/>
      <c r="F154" s="99"/>
      <c r="G154" s="99"/>
      <c r="H154" s="99"/>
    </row>
    <row r="155" spans="1:8">
      <c r="A155" s="99"/>
      <c r="C155" s="100" t="s">
        <v>127</v>
      </c>
      <c r="D155" s="99"/>
      <c r="E155" s="101">
        <v>0</v>
      </c>
      <c r="F155" s="99"/>
      <c r="G155" s="99"/>
      <c r="H155" s="99"/>
    </row>
    <row r="156" spans="1:8">
      <c r="A156" s="99"/>
      <c r="C156" s="99"/>
      <c r="D156" s="99"/>
      <c r="E156" s="99"/>
      <c r="F156" s="99"/>
      <c r="G156" s="99"/>
      <c r="H156" s="99"/>
    </row>
    <row r="157" spans="1:8">
      <c r="A157" s="99"/>
      <c r="C157" s="100" t="s">
        <v>128</v>
      </c>
      <c r="D157" s="99"/>
      <c r="E157" s="99"/>
      <c r="F157" s="108">
        <f>SUM(E149:E155)</f>
        <v>92699</v>
      </c>
      <c r="G157" s="99"/>
      <c r="H157" s="99"/>
    </row>
    <row r="158" spans="1:8">
      <c r="A158" s="99"/>
      <c r="C158" s="99"/>
      <c r="D158" s="99"/>
      <c r="E158" s="99"/>
      <c r="F158" s="99"/>
      <c r="G158" s="99"/>
      <c r="H158" s="99"/>
    </row>
    <row r="159" spans="1:8" ht="13.5" thickBot="1">
      <c r="A159" s="99"/>
      <c r="C159" s="138" t="s">
        <v>147</v>
      </c>
      <c r="D159" s="99"/>
      <c r="E159" s="99"/>
      <c r="F159" s="109">
        <f>F146+F157</f>
        <v>1642855</v>
      </c>
      <c r="G159" s="99"/>
      <c r="H159" s="99"/>
    </row>
    <row r="160" spans="1:8" ht="13.5" thickTop="1">
      <c r="A160" s="99"/>
      <c r="B160" s="99"/>
      <c r="C160" s="99"/>
      <c r="D160" s="99"/>
      <c r="E160" s="99"/>
      <c r="F160" s="99"/>
      <c r="G160" s="99"/>
      <c r="H160" s="99"/>
    </row>
    <row r="161" spans="1:8">
      <c r="A161" s="99"/>
      <c r="B161" s="99"/>
      <c r="C161" s="99"/>
      <c r="D161" s="99"/>
      <c r="E161" s="99"/>
      <c r="F161" s="99"/>
      <c r="G161" s="99"/>
      <c r="H161" s="99"/>
    </row>
    <row r="162" spans="1:8">
      <c r="B162" s="107"/>
    </row>
  </sheetData>
  <sheetProtection formatCells="0"/>
  <mergeCells count="26">
    <mergeCell ref="A35:H35"/>
    <mergeCell ref="B1:H1"/>
    <mergeCell ref="B2:H2"/>
    <mergeCell ref="A5:H5"/>
    <mergeCell ref="A6:H6"/>
    <mergeCell ref="A7:H7"/>
    <mergeCell ref="A8:H8"/>
    <mergeCell ref="A33:H33"/>
    <mergeCell ref="A34:H34"/>
    <mergeCell ref="A109:H109"/>
    <mergeCell ref="A36:H36"/>
    <mergeCell ref="A59:H59"/>
    <mergeCell ref="A60:H60"/>
    <mergeCell ref="A61:H61"/>
    <mergeCell ref="A62:H62"/>
    <mergeCell ref="A84:H84"/>
    <mergeCell ref="A85:H85"/>
    <mergeCell ref="A86:H86"/>
    <mergeCell ref="A87:H87"/>
    <mergeCell ref="A138:H138"/>
    <mergeCell ref="A139:H139"/>
    <mergeCell ref="A140:H140"/>
    <mergeCell ref="A110:H110"/>
    <mergeCell ref="A111:H111"/>
    <mergeCell ref="A112:H112"/>
    <mergeCell ref="A137:H137"/>
  </mergeCells>
  <phoneticPr fontId="12" type="noConversion"/>
  <conditionalFormatting sqref="A1:XFD1048576">
    <cfRule type="cellIs" dxfId="2" priority="1" operator="lessThan">
      <formula>0</formula>
    </cfRule>
  </conditionalFormatting>
  <printOptions horizontalCentered="1"/>
  <pageMargins left="0.75" right="0.75" top="1" bottom="1" header="0.5" footer="0.5"/>
  <pageSetup scale="71" fitToHeight="10" orientation="portrait" r:id="rId1"/>
  <headerFooter alignWithMargins="0">
    <oddHeader>&amp;CIDAHO POWER COMPANY
Transmission Cost of Service Rate Development
12 Months Ended 12/31/2012</oddHeader>
    <oddFooter>&amp;L&amp;F, &amp;A</oddFooter>
  </headerFooter>
  <rowBreaks count="1" manualBreakCount="1">
    <brk id="107" max="16383" man="1"/>
  </rowBreaks>
  <ignoredErrors>
    <ignoredError sqref="E11:E13 E20:E26 E14:E15" unlockedFormula="1"/>
    <ignoredError sqref="F30" formula="1"/>
  </ignoredErrors>
</worksheet>
</file>

<file path=xl/worksheets/sheet27.xml><?xml version="1.0" encoding="utf-8"?>
<worksheet xmlns="http://schemas.openxmlformats.org/spreadsheetml/2006/main" xmlns:r="http://schemas.openxmlformats.org/officeDocument/2006/relationships">
  <sheetPr codeName="Sheet28">
    <pageSetUpPr fitToPage="1"/>
  </sheetPr>
  <dimension ref="A1:J49"/>
  <sheetViews>
    <sheetView zoomScaleNormal="100" zoomScaleSheetLayoutView="100" workbookViewId="0">
      <selection activeCell="C4" sqref="C4"/>
    </sheetView>
  </sheetViews>
  <sheetFormatPr defaultRowHeight="12.75"/>
  <cols>
    <col min="1" max="2" width="3.7109375" style="488" customWidth="1"/>
    <col min="3" max="3" width="48" style="179" customWidth="1"/>
    <col min="4" max="4" width="13.28515625" style="179" bestFit="1" customWidth="1"/>
    <col min="5" max="5" width="3" style="179" customWidth="1"/>
    <col min="6" max="6" width="16" style="179" bestFit="1" customWidth="1"/>
    <col min="7" max="7" width="1.7109375" style="179" customWidth="1"/>
    <col min="8" max="8" width="44.7109375" style="179" customWidth="1"/>
    <col min="9" max="9" width="11.7109375" style="179" bestFit="1" customWidth="1"/>
    <col min="10" max="10" width="8.7109375" style="179" bestFit="1" customWidth="1"/>
    <col min="11" max="16384" width="9.140625" style="179"/>
  </cols>
  <sheetData>
    <row r="1" spans="1:10">
      <c r="A1" s="668" t="s">
        <v>386</v>
      </c>
      <c r="B1" s="668"/>
      <c r="C1" s="668"/>
      <c r="D1" s="668"/>
      <c r="E1" s="668"/>
      <c r="F1" s="668"/>
      <c r="G1" s="668"/>
      <c r="H1" s="668"/>
    </row>
    <row r="2" spans="1:10">
      <c r="A2" s="668" t="s">
        <v>374</v>
      </c>
      <c r="B2" s="668"/>
      <c r="C2" s="668"/>
      <c r="D2" s="668"/>
      <c r="E2" s="668"/>
      <c r="F2" s="668"/>
      <c r="G2" s="668"/>
      <c r="H2" s="668"/>
    </row>
    <row r="3" spans="1:10">
      <c r="A3" s="668" t="str">
        <f>'Schedule 1 Workpaper'!A3:F3</f>
        <v>12 Months Ended 12/31/2012</v>
      </c>
      <c r="B3" s="668"/>
      <c r="C3" s="668"/>
      <c r="D3" s="668"/>
      <c r="E3" s="668"/>
      <c r="F3" s="668"/>
      <c r="G3" s="668"/>
      <c r="H3" s="668"/>
    </row>
    <row r="4" spans="1:10">
      <c r="A4" s="489"/>
      <c r="B4" s="489"/>
      <c r="C4" s="489"/>
      <c r="D4" s="489"/>
      <c r="E4" s="489"/>
      <c r="F4" s="489"/>
      <c r="G4" s="489"/>
      <c r="H4" s="489"/>
    </row>
    <row r="5" spans="1:10">
      <c r="F5" s="489" t="s">
        <v>94</v>
      </c>
    </row>
    <row r="6" spans="1:10">
      <c r="C6" s="184"/>
      <c r="D6" s="489" t="s">
        <v>561</v>
      </c>
      <c r="E6" s="489"/>
      <c r="F6" s="489" t="s">
        <v>658</v>
      </c>
      <c r="G6" s="489"/>
      <c r="H6" s="489" t="s">
        <v>801</v>
      </c>
    </row>
    <row r="7" spans="1:10">
      <c r="B7" s="668" t="s">
        <v>800</v>
      </c>
      <c r="C7" s="668"/>
      <c r="D7" s="489" t="s">
        <v>234</v>
      </c>
      <c r="E7" s="489"/>
      <c r="F7" s="489" t="s">
        <v>660</v>
      </c>
      <c r="G7" s="489"/>
      <c r="H7" s="489" t="s">
        <v>661</v>
      </c>
    </row>
    <row r="8" spans="1:10">
      <c r="C8" s="489" t="s">
        <v>478</v>
      </c>
      <c r="D8" s="489" t="s">
        <v>479</v>
      </c>
      <c r="E8" s="489"/>
      <c r="F8" s="489" t="s">
        <v>662</v>
      </c>
      <c r="G8" s="489"/>
      <c r="H8" s="489" t="s">
        <v>663</v>
      </c>
    </row>
    <row r="9" spans="1:10">
      <c r="B9" s="374" t="s">
        <v>664</v>
      </c>
      <c r="C9" s="375"/>
      <c r="D9" s="376"/>
      <c r="E9" s="376"/>
      <c r="F9" s="376"/>
      <c r="G9" s="376"/>
      <c r="H9" s="377"/>
    </row>
    <row r="10" spans="1:10">
      <c r="A10" s="378"/>
      <c r="B10" s="379"/>
      <c r="C10" s="380" t="s">
        <v>665</v>
      </c>
      <c r="D10" s="387">
        <v>17330</v>
      </c>
      <c r="E10" s="381"/>
      <c r="F10" s="385">
        <v>0</v>
      </c>
      <c r="G10" s="382"/>
      <c r="H10" s="383" t="s">
        <v>666</v>
      </c>
    </row>
    <row r="11" spans="1:10">
      <c r="A11" s="378"/>
      <c r="B11" s="384"/>
      <c r="C11" s="380" t="s">
        <v>221</v>
      </c>
      <c r="D11" s="385">
        <f>-'Schedule 4 Workpaper page 2'!G285</f>
        <v>280489.38000000006</v>
      </c>
      <c r="E11" s="381"/>
      <c r="F11" s="385">
        <f>'Schedule 4 Workpaper page 2'!G290</f>
        <v>82643.395288435204</v>
      </c>
      <c r="G11" s="382"/>
      <c r="H11" s="383" t="s">
        <v>46</v>
      </c>
      <c r="J11" s="190"/>
    </row>
    <row r="12" spans="1:10">
      <c r="A12" s="378"/>
      <c r="B12" s="384"/>
      <c r="C12" s="380" t="s">
        <v>668</v>
      </c>
      <c r="D12" s="385">
        <f>'Schedule 4 Workpaper page 3'!D78</f>
        <v>1895668.4</v>
      </c>
      <c r="E12" s="381"/>
      <c r="F12" s="385">
        <f>'Schedule 4 Workpaper page 3'!D72</f>
        <v>336089.94</v>
      </c>
      <c r="G12" s="382"/>
      <c r="H12" s="383" t="s">
        <v>669</v>
      </c>
      <c r="J12" s="190"/>
    </row>
    <row r="13" spans="1:10">
      <c r="A13" s="378"/>
      <c r="B13" s="384"/>
      <c r="C13" s="380" t="s">
        <v>232</v>
      </c>
      <c r="D13" s="385">
        <f>'Schedule 4 Workpaper page 4'!E18</f>
        <v>895477.7699999999</v>
      </c>
      <c r="E13" s="381"/>
      <c r="F13" s="385">
        <f>'Schedule 4 Workpaper page 4'!C18</f>
        <v>231611.94999999995</v>
      </c>
      <c r="G13" s="382"/>
      <c r="H13" s="383" t="s">
        <v>667</v>
      </c>
    </row>
    <row r="14" spans="1:10" ht="51">
      <c r="A14" s="378"/>
      <c r="B14" s="384"/>
      <c r="C14" s="380" t="s">
        <v>670</v>
      </c>
      <c r="D14" s="385">
        <v>6680117.2300000004</v>
      </c>
      <c r="E14" s="381"/>
      <c r="F14" s="385">
        <v>0</v>
      </c>
      <c r="G14" s="382"/>
      <c r="H14" s="383" t="s">
        <v>671</v>
      </c>
    </row>
    <row r="15" spans="1:10">
      <c r="A15" s="378"/>
      <c r="B15" s="386"/>
      <c r="C15" s="380" t="s">
        <v>650</v>
      </c>
      <c r="D15" s="387">
        <f>SUM(D10:D14)</f>
        <v>9769082.7800000012</v>
      </c>
      <c r="E15" s="381"/>
      <c r="F15" s="387">
        <f>SUM(F10:F14)</f>
        <v>650345.28528843517</v>
      </c>
      <c r="G15" s="382"/>
      <c r="H15" s="383" t="s">
        <v>802</v>
      </c>
    </row>
    <row r="16" spans="1:10" s="205" customFormat="1">
      <c r="A16" s="378"/>
      <c r="B16" s="388"/>
      <c r="C16" s="389"/>
      <c r="D16" s="390"/>
      <c r="E16" s="390"/>
      <c r="F16" s="390"/>
      <c r="G16" s="391"/>
      <c r="H16" s="392"/>
    </row>
    <row r="17" spans="1:8" ht="13.5" customHeight="1">
      <c r="A17" s="378"/>
      <c r="B17" s="393" t="s">
        <v>672</v>
      </c>
      <c r="C17" s="394"/>
      <c r="D17" s="390"/>
      <c r="E17" s="390"/>
      <c r="F17" s="390"/>
      <c r="G17" s="391"/>
      <c r="H17" s="395"/>
    </row>
    <row r="18" spans="1:8" ht="39" customHeight="1">
      <c r="A18" s="378"/>
      <c r="B18" s="379"/>
      <c r="C18" s="380" t="s">
        <v>673</v>
      </c>
      <c r="D18" s="385">
        <v>307508.90000000002</v>
      </c>
      <c r="E18" s="387"/>
      <c r="F18" s="385">
        <v>0</v>
      </c>
      <c r="G18" s="382"/>
      <c r="H18" s="396" t="s">
        <v>674</v>
      </c>
    </row>
    <row r="19" spans="1:8" ht="11.25" customHeight="1">
      <c r="A19" s="378"/>
      <c r="B19" s="386"/>
      <c r="C19" s="397" t="s">
        <v>650</v>
      </c>
      <c r="D19" s="381">
        <f>SUM(D18)</f>
        <v>307508.90000000002</v>
      </c>
      <c r="E19" s="387"/>
      <c r="F19" s="387">
        <f>SUM(F18)</f>
        <v>0</v>
      </c>
      <c r="G19" s="382"/>
      <c r="H19" s="396"/>
    </row>
    <row r="20" spans="1:8" s="205" customFormat="1" ht="11.25" customHeight="1">
      <c r="A20" s="378"/>
      <c r="B20" s="388"/>
      <c r="C20" s="389"/>
      <c r="D20" s="398"/>
      <c r="E20" s="390"/>
      <c r="F20" s="390"/>
      <c r="G20" s="391"/>
      <c r="H20" s="399"/>
    </row>
    <row r="21" spans="1:8" ht="13.5" customHeight="1">
      <c r="A21" s="378"/>
      <c r="B21" s="400" t="s">
        <v>675</v>
      </c>
      <c r="C21" s="401"/>
      <c r="D21" s="390"/>
      <c r="E21" s="390"/>
      <c r="F21" s="390"/>
      <c r="G21" s="391"/>
      <c r="H21" s="402"/>
    </row>
    <row r="22" spans="1:8">
      <c r="A22" s="378"/>
      <c r="B22" s="378"/>
      <c r="C22" s="403" t="s">
        <v>676</v>
      </c>
      <c r="D22" s="617">
        <v>448000</v>
      </c>
      <c r="E22" s="387"/>
      <c r="F22" s="617">
        <v>0</v>
      </c>
      <c r="G22" s="382"/>
      <c r="H22" s="383" t="s">
        <v>95</v>
      </c>
    </row>
    <row r="23" spans="1:8">
      <c r="A23" s="378"/>
      <c r="B23" s="378"/>
      <c r="C23" s="380" t="s">
        <v>650</v>
      </c>
      <c r="D23" s="387">
        <f>SUM(D22)</f>
        <v>448000</v>
      </c>
      <c r="E23" s="387"/>
      <c r="F23" s="387">
        <f>SUM(F22)</f>
        <v>0</v>
      </c>
      <c r="G23" s="382"/>
      <c r="H23" s="383"/>
    </row>
    <row r="24" spans="1:8" s="205" customFormat="1">
      <c r="A24" s="378"/>
      <c r="B24" s="388"/>
      <c r="C24" s="389"/>
      <c r="D24" s="390"/>
      <c r="E24" s="390"/>
      <c r="F24" s="390"/>
      <c r="G24" s="391"/>
      <c r="H24" s="392"/>
    </row>
    <row r="25" spans="1:8">
      <c r="A25" s="378"/>
      <c r="B25" s="400" t="s">
        <v>677</v>
      </c>
      <c r="C25" s="401"/>
      <c r="D25" s="390"/>
      <c r="E25" s="390"/>
      <c r="F25" s="390"/>
      <c r="G25" s="391"/>
      <c r="H25" s="395"/>
    </row>
    <row r="26" spans="1:8" ht="38.25">
      <c r="A26" s="378"/>
      <c r="B26" s="379"/>
      <c r="C26" s="404" t="s">
        <v>974</v>
      </c>
      <c r="D26" s="385">
        <v>4857838</v>
      </c>
      <c r="E26" s="387"/>
      <c r="F26" s="385">
        <v>0</v>
      </c>
      <c r="G26" s="382"/>
      <c r="H26" s="396" t="s">
        <v>678</v>
      </c>
    </row>
    <row r="27" spans="1:8" ht="38.25">
      <c r="A27" s="378"/>
      <c r="B27" s="384"/>
      <c r="C27" s="404" t="s">
        <v>975</v>
      </c>
      <c r="D27" s="385">
        <v>2066539</v>
      </c>
      <c r="E27" s="387"/>
      <c r="F27" s="385">
        <v>0</v>
      </c>
      <c r="G27" s="382"/>
      <c r="H27" s="396" t="s">
        <v>678</v>
      </c>
    </row>
    <row r="28" spans="1:8" ht="37.5" customHeight="1">
      <c r="A28" s="378"/>
      <c r="B28" s="384"/>
      <c r="C28" s="404" t="s">
        <v>976</v>
      </c>
      <c r="D28" s="385">
        <v>5043225</v>
      </c>
      <c r="E28" s="387"/>
      <c r="F28" s="385">
        <v>0</v>
      </c>
      <c r="G28" s="382"/>
      <c r="H28" s="396" t="s">
        <v>678</v>
      </c>
    </row>
    <row r="29" spans="1:8" ht="38.25">
      <c r="A29" s="378"/>
      <c r="B29" s="384"/>
      <c r="C29" s="380" t="s">
        <v>977</v>
      </c>
      <c r="D29" s="385">
        <v>15395</v>
      </c>
      <c r="E29" s="387"/>
      <c r="F29" s="385">
        <v>0</v>
      </c>
      <c r="G29" s="382"/>
      <c r="H29" s="383" t="s">
        <v>679</v>
      </c>
    </row>
    <row r="30" spans="1:8" ht="38.25">
      <c r="A30" s="378"/>
      <c r="B30" s="384"/>
      <c r="C30" s="380" t="s">
        <v>978</v>
      </c>
      <c r="D30" s="385">
        <v>57204</v>
      </c>
      <c r="E30" s="387"/>
      <c r="F30" s="385">
        <v>0</v>
      </c>
      <c r="G30" s="382"/>
      <c r="H30" s="383" t="s">
        <v>679</v>
      </c>
    </row>
    <row r="31" spans="1:8" ht="38.25">
      <c r="A31" s="378"/>
      <c r="B31" s="384"/>
      <c r="C31" s="380" t="s">
        <v>979</v>
      </c>
      <c r="D31" s="385">
        <v>661619</v>
      </c>
      <c r="E31" s="387"/>
      <c r="F31" s="385">
        <f>D31</f>
        <v>661619</v>
      </c>
      <c r="G31" s="382"/>
      <c r="H31" s="383" t="s">
        <v>1036</v>
      </c>
    </row>
    <row r="32" spans="1:8">
      <c r="A32" s="378"/>
      <c r="B32" s="386"/>
      <c r="C32" s="380" t="s">
        <v>650</v>
      </c>
      <c r="D32" s="387">
        <f>SUM(D26:D31)</f>
        <v>12701820</v>
      </c>
      <c r="E32" s="387"/>
      <c r="F32" s="387">
        <f>SUM(F26:F31)</f>
        <v>661619</v>
      </c>
      <c r="G32" s="382"/>
      <c r="H32" s="383"/>
    </row>
    <row r="33" spans="1:9" s="205" customFormat="1">
      <c r="A33" s="378"/>
      <c r="B33" s="388"/>
      <c r="C33" s="405"/>
      <c r="D33" s="391"/>
      <c r="E33" s="391"/>
      <c r="F33" s="391"/>
      <c r="G33" s="391"/>
      <c r="H33" s="391"/>
    </row>
    <row r="34" spans="1:9" ht="15.75" customHeight="1">
      <c r="A34" s="378"/>
      <c r="B34" s="406" t="s">
        <v>680</v>
      </c>
      <c r="C34" s="407"/>
      <c r="D34" s="382">
        <f>D15+D19+D23+D32</f>
        <v>23226411.68</v>
      </c>
      <c r="E34" s="382"/>
      <c r="F34" s="382">
        <f>F32+F23+F19+F15</f>
        <v>1311964.2852884352</v>
      </c>
      <c r="G34" s="382"/>
      <c r="H34" s="382" t="s">
        <v>30</v>
      </c>
      <c r="I34" s="207"/>
    </row>
    <row r="35" spans="1:9" s="205" customFormat="1" ht="15.75" customHeight="1">
      <c r="A35" s="378"/>
      <c r="B35" s="408"/>
      <c r="C35" s="405"/>
      <c r="D35" s="391"/>
      <c r="E35" s="391"/>
      <c r="F35" s="391"/>
      <c r="G35" s="391"/>
      <c r="H35" s="391"/>
    </row>
    <row r="36" spans="1:9" ht="15.75" customHeight="1">
      <c r="A36" s="378"/>
      <c r="B36" s="409" t="s">
        <v>681</v>
      </c>
      <c r="C36" s="410"/>
      <c r="D36" s="382"/>
      <c r="E36" s="382"/>
      <c r="F36" s="382">
        <f>F15+F19+F23+F32</f>
        <v>1311964.2852884352</v>
      </c>
      <c r="G36" s="382"/>
      <c r="H36" s="382" t="s">
        <v>1037</v>
      </c>
    </row>
    <row r="37" spans="1:9">
      <c r="C37" s="362"/>
      <c r="D37" s="411"/>
      <c r="E37" s="411"/>
      <c r="F37" s="411"/>
      <c r="G37" s="411"/>
      <c r="H37" s="411"/>
    </row>
    <row r="38" spans="1:9">
      <c r="D38" s="411"/>
      <c r="E38" s="411"/>
      <c r="F38" s="411"/>
      <c r="G38" s="411"/>
      <c r="H38" s="411"/>
    </row>
    <row r="39" spans="1:9">
      <c r="C39" s="285"/>
      <c r="D39" s="412"/>
      <c r="E39" s="412"/>
      <c r="F39" s="412"/>
      <c r="G39" s="413"/>
      <c r="H39" s="413"/>
    </row>
    <row r="40" spans="1:9">
      <c r="C40" s="205"/>
      <c r="D40" s="412"/>
      <c r="E40" s="413"/>
      <c r="F40" s="412"/>
      <c r="G40" s="412"/>
      <c r="H40" s="414"/>
    </row>
    <row r="41" spans="1:9">
      <c r="C41" s="270"/>
      <c r="D41" s="412"/>
      <c r="E41" s="413"/>
      <c r="F41" s="412"/>
      <c r="G41" s="412"/>
      <c r="H41" s="415"/>
    </row>
    <row r="42" spans="1:9">
      <c r="C42" s="205"/>
      <c r="D42" s="491"/>
      <c r="E42" s="205"/>
      <c r="F42" s="491"/>
      <c r="G42" s="491"/>
      <c r="H42" s="416"/>
    </row>
    <row r="43" spans="1:9">
      <c r="C43" s="205"/>
      <c r="D43" s="491"/>
      <c r="E43" s="205"/>
      <c r="F43" s="491"/>
      <c r="G43" s="491"/>
      <c r="H43" s="417"/>
    </row>
    <row r="44" spans="1:9">
      <c r="C44" s="205"/>
      <c r="D44" s="491"/>
      <c r="E44" s="205"/>
      <c r="F44" s="491"/>
      <c r="G44" s="491"/>
      <c r="H44" s="417"/>
    </row>
    <row r="45" spans="1:9">
      <c r="C45" s="418"/>
      <c r="D45" s="412"/>
      <c r="E45" s="491"/>
      <c r="F45" s="412"/>
      <c r="G45" s="413"/>
      <c r="H45" s="419"/>
    </row>
    <row r="46" spans="1:9">
      <c r="C46" s="418"/>
      <c r="D46" s="412"/>
      <c r="E46" s="491"/>
      <c r="F46" s="412"/>
      <c r="G46" s="413"/>
      <c r="H46" s="419"/>
    </row>
    <row r="47" spans="1:9">
      <c r="C47" s="418"/>
      <c r="D47" s="412"/>
      <c r="E47" s="412"/>
      <c r="F47" s="412"/>
      <c r="G47" s="413"/>
      <c r="H47" s="419"/>
    </row>
    <row r="48" spans="1:9">
      <c r="C48" s="420"/>
      <c r="D48" s="413"/>
      <c r="E48" s="205"/>
      <c r="F48" s="205"/>
      <c r="G48" s="205"/>
      <c r="H48" s="421"/>
    </row>
    <row r="49" spans="3:8">
      <c r="C49" s="205"/>
      <c r="D49" s="205"/>
      <c r="E49" s="205"/>
      <c r="F49" s="412"/>
      <c r="G49" s="205"/>
      <c r="H49" s="419"/>
    </row>
  </sheetData>
  <sheetProtection formatCells="0"/>
  <mergeCells count="4">
    <mergeCell ref="A1:H1"/>
    <mergeCell ref="A2:H2"/>
    <mergeCell ref="A3:H3"/>
    <mergeCell ref="B7:C7"/>
  </mergeCells>
  <phoneticPr fontId="12" type="noConversion"/>
  <printOptions horizontalCentered="1"/>
  <pageMargins left="0.75" right="0.75" top="1" bottom="1" header="0.5" footer="0.5"/>
  <pageSetup scale="70" orientation="landscape" r:id="rId1"/>
  <headerFooter alignWithMargins="0">
    <oddHeader>&amp;CIDAHO POWER COMPANY
Transmission Cost of Service Rate Development
12 Months Ended 12/31/2012</oddHeader>
    <oddFooter>&amp;L&amp;F, &amp;A</oddFooter>
  </headerFooter>
  <ignoredErrors>
    <ignoredError sqref="F31" unlockedFormula="1"/>
  </ignoredErrors>
</worksheet>
</file>

<file path=xl/worksheets/sheet28.xml><?xml version="1.0" encoding="utf-8"?>
<worksheet xmlns="http://schemas.openxmlformats.org/spreadsheetml/2006/main" xmlns:r="http://schemas.openxmlformats.org/officeDocument/2006/relationships">
  <sheetPr codeName="Sheet29"/>
  <dimension ref="A1:K296"/>
  <sheetViews>
    <sheetView zoomScaleNormal="100" zoomScaleSheetLayoutView="100" workbookViewId="0">
      <selection activeCell="A3" sqref="A3:I3"/>
    </sheetView>
  </sheetViews>
  <sheetFormatPr defaultRowHeight="12.75"/>
  <cols>
    <col min="1" max="1" width="4" style="179" bestFit="1" customWidth="1"/>
    <col min="2" max="2" width="12.85546875" style="488" customWidth="1"/>
    <col min="3" max="3" width="8.28515625" style="488" bestFit="1" customWidth="1"/>
    <col min="4" max="4" width="8.5703125" style="488" bestFit="1" customWidth="1"/>
    <col min="5" max="5" width="31.7109375" style="488" bestFit="1" customWidth="1"/>
    <col min="6" max="6" width="13.85546875" style="488" customWidth="1"/>
    <col min="7" max="7" width="14.7109375" style="591" bestFit="1" customWidth="1"/>
    <col min="8" max="8" width="4" style="488" bestFit="1" customWidth="1"/>
    <col min="9" max="9" width="32.85546875" style="179" bestFit="1" customWidth="1"/>
    <col min="10" max="10" width="24.85546875" style="179" customWidth="1"/>
    <col min="11" max="12" width="9.140625" style="179"/>
    <col min="13" max="13" width="14.7109375" style="179" customWidth="1"/>
    <col min="14" max="14" width="9.140625" style="179"/>
    <col min="15" max="15" width="15" style="179" customWidth="1"/>
    <col min="16" max="16" width="9.140625" style="179" customWidth="1"/>
    <col min="17" max="17" width="25.7109375" style="179" customWidth="1"/>
    <col min="18" max="18" width="9.140625" style="179" customWidth="1"/>
    <col min="19" max="19" width="31.140625" style="179" customWidth="1"/>
    <col min="20" max="20" width="9.140625" style="179" customWidth="1"/>
    <col min="21" max="21" width="32.140625" style="179" customWidth="1"/>
    <col min="22" max="16384" width="9.140625" style="179"/>
  </cols>
  <sheetData>
    <row r="1" spans="1:10">
      <c r="B1" s="668" t="s">
        <v>387</v>
      </c>
      <c r="C1" s="668"/>
      <c r="D1" s="668"/>
      <c r="E1" s="668"/>
      <c r="F1" s="668"/>
      <c r="G1" s="668"/>
      <c r="H1" s="668"/>
      <c r="I1" s="668"/>
      <c r="J1" s="489"/>
    </row>
    <row r="2" spans="1:10">
      <c r="B2" s="668" t="s">
        <v>1034</v>
      </c>
      <c r="C2" s="668"/>
      <c r="D2" s="668"/>
      <c r="E2" s="668"/>
      <c r="F2" s="668"/>
      <c r="G2" s="668"/>
      <c r="H2" s="668"/>
      <c r="I2" s="668"/>
      <c r="J2" s="489"/>
    </row>
    <row r="3" spans="1:10">
      <c r="A3" s="668" t="str">
        <f>'Schedule 1 Workpaper'!A3:F3</f>
        <v>12 Months Ended 12/31/2012</v>
      </c>
      <c r="B3" s="668"/>
      <c r="C3" s="668"/>
      <c r="D3" s="668"/>
      <c r="E3" s="668"/>
      <c r="F3" s="668"/>
      <c r="G3" s="668"/>
      <c r="H3" s="668"/>
      <c r="I3" s="668"/>
    </row>
    <row r="4" spans="1:10" ht="13.5" thickBot="1">
      <c r="C4" s="590"/>
    </row>
    <row r="5" spans="1:10" ht="27" thickTop="1" thickBot="1">
      <c r="A5" s="488"/>
      <c r="B5" s="592" t="s">
        <v>719</v>
      </c>
      <c r="C5" s="592" t="s">
        <v>111</v>
      </c>
      <c r="D5" s="592" t="s">
        <v>720</v>
      </c>
      <c r="E5" s="592" t="s">
        <v>721</v>
      </c>
      <c r="F5" s="593" t="s">
        <v>773</v>
      </c>
      <c r="G5" s="594" t="s">
        <v>722</v>
      </c>
      <c r="H5" s="592" t="s">
        <v>723</v>
      </c>
      <c r="I5" s="592" t="s">
        <v>724</v>
      </c>
      <c r="J5" s="595"/>
    </row>
    <row r="6" spans="1:10" ht="13.5" thickTop="1">
      <c r="A6" s="488">
        <v>1</v>
      </c>
      <c r="B6" s="596">
        <v>40939</v>
      </c>
      <c r="C6" s="597" t="s">
        <v>725</v>
      </c>
      <c r="D6" s="597" t="s">
        <v>727</v>
      </c>
      <c r="E6" s="597" t="s">
        <v>729</v>
      </c>
      <c r="F6" s="598" t="s">
        <v>1015</v>
      </c>
      <c r="G6" s="599">
        <v>-50</v>
      </c>
      <c r="H6" s="597" t="s">
        <v>808</v>
      </c>
      <c r="I6" s="597" t="s">
        <v>1199</v>
      </c>
      <c r="J6" s="207"/>
    </row>
    <row r="7" spans="1:10" ht="15">
      <c r="A7" s="488">
        <f>A6+1</f>
        <v>2</v>
      </c>
      <c r="B7" s="596">
        <v>40939</v>
      </c>
      <c r="C7" s="597" t="s">
        <v>725</v>
      </c>
      <c r="D7" s="597" t="s">
        <v>987</v>
      </c>
      <c r="E7" s="597" t="s">
        <v>1003</v>
      </c>
      <c r="F7" s="598" t="s">
        <v>1015</v>
      </c>
      <c r="G7" s="599">
        <v>-500</v>
      </c>
      <c r="H7" s="597" t="s">
        <v>947</v>
      </c>
      <c r="I7" s="597" t="s">
        <v>1200</v>
      </c>
      <c r="J7" s="600"/>
    </row>
    <row r="8" spans="1:10">
      <c r="A8" s="488">
        <f t="shared" ref="A8:A71" si="0">A7+1</f>
        <v>3</v>
      </c>
      <c r="B8" s="596">
        <v>40939</v>
      </c>
      <c r="C8" s="597" t="s">
        <v>725</v>
      </c>
      <c r="D8" s="597" t="s">
        <v>807</v>
      </c>
      <c r="E8" s="597" t="s">
        <v>1004</v>
      </c>
      <c r="F8" s="598" t="s">
        <v>730</v>
      </c>
      <c r="G8" s="599">
        <v>-575</v>
      </c>
      <c r="H8" s="597" t="s">
        <v>806</v>
      </c>
      <c r="I8" s="597" t="s">
        <v>1107</v>
      </c>
      <c r="J8" s="207"/>
    </row>
    <row r="9" spans="1:10">
      <c r="A9" s="488">
        <f t="shared" si="0"/>
        <v>4</v>
      </c>
      <c r="B9" s="596">
        <v>40939</v>
      </c>
      <c r="C9" s="597" t="s">
        <v>725</v>
      </c>
      <c r="D9" s="597" t="s">
        <v>807</v>
      </c>
      <c r="E9" s="597" t="s">
        <v>1005</v>
      </c>
      <c r="F9" s="598" t="s">
        <v>730</v>
      </c>
      <c r="G9" s="599">
        <v>-500</v>
      </c>
      <c r="H9" s="597" t="s">
        <v>806</v>
      </c>
      <c r="I9" s="597" t="s">
        <v>1107</v>
      </c>
      <c r="J9" s="207"/>
    </row>
    <row r="10" spans="1:10">
      <c r="A10" s="488">
        <f t="shared" si="0"/>
        <v>5</v>
      </c>
      <c r="B10" s="596">
        <v>40939</v>
      </c>
      <c r="C10" s="597" t="s">
        <v>725</v>
      </c>
      <c r="D10" s="597" t="s">
        <v>807</v>
      </c>
      <c r="E10" s="597" t="s">
        <v>1080</v>
      </c>
      <c r="F10" s="598" t="s">
        <v>730</v>
      </c>
      <c r="G10" s="599">
        <v>-3200.4</v>
      </c>
      <c r="H10" s="597" t="s">
        <v>806</v>
      </c>
      <c r="I10" s="597" t="s">
        <v>1107</v>
      </c>
      <c r="J10" s="207"/>
    </row>
    <row r="11" spans="1:10">
      <c r="A11" s="488">
        <f t="shared" si="0"/>
        <v>6</v>
      </c>
      <c r="B11" s="596">
        <v>40939</v>
      </c>
      <c r="C11" s="597" t="s">
        <v>725</v>
      </c>
      <c r="D11" s="597" t="s">
        <v>807</v>
      </c>
      <c r="E11" s="597" t="s">
        <v>998</v>
      </c>
      <c r="F11" s="598" t="s">
        <v>1014</v>
      </c>
      <c r="G11" s="599">
        <v>-200</v>
      </c>
      <c r="H11" s="597" t="s">
        <v>806</v>
      </c>
      <c r="I11" s="597" t="s">
        <v>1107</v>
      </c>
      <c r="J11" s="207"/>
    </row>
    <row r="12" spans="1:10">
      <c r="A12" s="488">
        <f t="shared" si="0"/>
        <v>7</v>
      </c>
      <c r="B12" s="596">
        <v>40939</v>
      </c>
      <c r="C12" s="597" t="s">
        <v>725</v>
      </c>
      <c r="D12" s="597" t="s">
        <v>807</v>
      </c>
      <c r="E12" s="597" t="s">
        <v>1201</v>
      </c>
      <c r="F12" s="601" t="s">
        <v>730</v>
      </c>
      <c r="G12" s="599">
        <v>-2150</v>
      </c>
      <c r="H12" s="597" t="s">
        <v>806</v>
      </c>
      <c r="I12" s="597" t="s">
        <v>1107</v>
      </c>
      <c r="J12" s="207"/>
    </row>
    <row r="13" spans="1:10">
      <c r="A13" s="488">
        <f t="shared" si="0"/>
        <v>8</v>
      </c>
      <c r="B13" s="596">
        <v>40939</v>
      </c>
      <c r="C13" s="597" t="s">
        <v>726</v>
      </c>
      <c r="D13" s="597" t="s">
        <v>807</v>
      </c>
      <c r="E13" s="597" t="s">
        <v>1202</v>
      </c>
      <c r="F13" s="598" t="s">
        <v>1015</v>
      </c>
      <c r="G13" s="599">
        <v>-100</v>
      </c>
      <c r="H13" s="597" t="s">
        <v>806</v>
      </c>
      <c r="I13" s="597" t="s">
        <v>1107</v>
      </c>
      <c r="J13" s="207"/>
    </row>
    <row r="14" spans="1:10" s="205" customFormat="1">
      <c r="A14" s="488">
        <f t="shared" si="0"/>
        <v>9</v>
      </c>
      <c r="B14" s="596">
        <v>40939</v>
      </c>
      <c r="C14" s="597" t="s">
        <v>726</v>
      </c>
      <c r="D14" s="597" t="s">
        <v>807</v>
      </c>
      <c r="E14" s="597" t="s">
        <v>1103</v>
      </c>
      <c r="F14" s="598" t="s">
        <v>1015</v>
      </c>
      <c r="G14" s="599">
        <v>-100</v>
      </c>
      <c r="H14" s="597" t="s">
        <v>806</v>
      </c>
      <c r="I14" s="597" t="s">
        <v>1107</v>
      </c>
      <c r="J14" s="207"/>
    </row>
    <row r="15" spans="1:10" ht="13.5" customHeight="1">
      <c r="A15" s="488">
        <f t="shared" si="0"/>
        <v>10</v>
      </c>
      <c r="B15" s="596">
        <v>40939</v>
      </c>
      <c r="C15" s="597" t="s">
        <v>725</v>
      </c>
      <c r="D15" s="597" t="s">
        <v>727</v>
      </c>
      <c r="E15" s="597" t="s">
        <v>1000</v>
      </c>
      <c r="F15" s="598" t="s">
        <v>1015</v>
      </c>
      <c r="G15" s="599">
        <v>-40</v>
      </c>
      <c r="H15" s="597" t="s">
        <v>997</v>
      </c>
      <c r="I15" s="597" t="s">
        <v>1199</v>
      </c>
      <c r="J15" s="207"/>
    </row>
    <row r="16" spans="1:10">
      <c r="A16" s="488">
        <f t="shared" si="0"/>
        <v>11</v>
      </c>
      <c r="B16" s="596">
        <v>40939</v>
      </c>
      <c r="C16" s="597" t="s">
        <v>725</v>
      </c>
      <c r="D16" s="597" t="s">
        <v>807</v>
      </c>
      <c r="E16" s="597" t="s">
        <v>1010</v>
      </c>
      <c r="F16" s="598" t="s">
        <v>730</v>
      </c>
      <c r="G16" s="599">
        <v>-400</v>
      </c>
      <c r="H16" s="597" t="s">
        <v>806</v>
      </c>
      <c r="I16" s="597" t="s">
        <v>1107</v>
      </c>
      <c r="J16" s="207"/>
    </row>
    <row r="17" spans="1:10">
      <c r="A17" s="488">
        <f t="shared" si="0"/>
        <v>12</v>
      </c>
      <c r="B17" s="596">
        <v>40939</v>
      </c>
      <c r="C17" s="597" t="s">
        <v>725</v>
      </c>
      <c r="D17" s="597" t="s">
        <v>727</v>
      </c>
      <c r="E17" s="597" t="s">
        <v>1203</v>
      </c>
      <c r="F17" s="598" t="s">
        <v>1015</v>
      </c>
      <c r="G17" s="599">
        <v>-800</v>
      </c>
      <c r="H17" s="597" t="s">
        <v>1111</v>
      </c>
      <c r="I17" s="597" t="s">
        <v>1199</v>
      </c>
      <c r="J17" s="207"/>
    </row>
    <row r="18" spans="1:10" s="205" customFormat="1">
      <c r="A18" s="488">
        <f t="shared" si="0"/>
        <v>13</v>
      </c>
      <c r="B18" s="596">
        <v>40939</v>
      </c>
      <c r="C18" s="597" t="s">
        <v>725</v>
      </c>
      <c r="D18" s="597" t="s">
        <v>807</v>
      </c>
      <c r="E18" s="597" t="s">
        <v>1204</v>
      </c>
      <c r="F18" s="598" t="s">
        <v>663</v>
      </c>
      <c r="G18" s="599">
        <v>-898.75</v>
      </c>
      <c r="H18" s="597" t="s">
        <v>806</v>
      </c>
      <c r="I18" s="597" t="s">
        <v>1107</v>
      </c>
      <c r="J18" s="207"/>
    </row>
    <row r="19" spans="1:10" ht="13.5" customHeight="1">
      <c r="A19" s="488">
        <f t="shared" si="0"/>
        <v>14</v>
      </c>
      <c r="B19" s="596">
        <v>40939</v>
      </c>
      <c r="C19" s="597" t="s">
        <v>725</v>
      </c>
      <c r="D19" s="597" t="s">
        <v>1205</v>
      </c>
      <c r="E19" s="597" t="s">
        <v>1092</v>
      </c>
      <c r="F19" s="598" t="s">
        <v>730</v>
      </c>
      <c r="G19" s="599">
        <v>-1055</v>
      </c>
      <c r="H19" s="597" t="s">
        <v>1109</v>
      </c>
      <c r="I19" s="597" t="s">
        <v>1110</v>
      </c>
      <c r="J19" s="207"/>
    </row>
    <row r="20" spans="1:10">
      <c r="A20" s="488">
        <f t="shared" si="0"/>
        <v>15</v>
      </c>
      <c r="B20" s="596">
        <v>40939</v>
      </c>
      <c r="C20" s="597" t="s">
        <v>726</v>
      </c>
      <c r="D20" s="597" t="s">
        <v>807</v>
      </c>
      <c r="E20" s="597" t="s">
        <v>835</v>
      </c>
      <c r="F20" s="598" t="s">
        <v>1015</v>
      </c>
      <c r="G20" s="599">
        <v>-50</v>
      </c>
      <c r="H20" s="597" t="s">
        <v>806</v>
      </c>
      <c r="I20" s="597" t="s">
        <v>1107</v>
      </c>
      <c r="J20" s="207"/>
    </row>
    <row r="21" spans="1:10">
      <c r="A21" s="488">
        <f t="shared" si="0"/>
        <v>16</v>
      </c>
      <c r="B21" s="596">
        <v>40939</v>
      </c>
      <c r="C21" s="597" t="s">
        <v>725</v>
      </c>
      <c r="D21" s="597" t="s">
        <v>807</v>
      </c>
      <c r="E21" s="597" t="s">
        <v>1206</v>
      </c>
      <c r="F21" s="601" t="s">
        <v>1015</v>
      </c>
      <c r="G21" s="599">
        <v>-100</v>
      </c>
      <c r="H21" s="597" t="s">
        <v>806</v>
      </c>
      <c r="I21" s="597" t="s">
        <v>1107</v>
      </c>
      <c r="J21" s="207"/>
    </row>
    <row r="22" spans="1:10" s="205" customFormat="1">
      <c r="A22" s="488">
        <f t="shared" si="0"/>
        <v>17</v>
      </c>
      <c r="B22" s="596">
        <v>40939</v>
      </c>
      <c r="C22" s="597" t="s">
        <v>725</v>
      </c>
      <c r="D22" s="597" t="s">
        <v>807</v>
      </c>
      <c r="E22" s="597" t="s">
        <v>999</v>
      </c>
      <c r="F22" s="598" t="s">
        <v>730</v>
      </c>
      <c r="G22" s="599">
        <v>-2385.0500000000002</v>
      </c>
      <c r="H22" s="597" t="s">
        <v>806</v>
      </c>
      <c r="I22" s="597" t="s">
        <v>1107</v>
      </c>
      <c r="J22" s="207"/>
    </row>
    <row r="23" spans="1:10">
      <c r="A23" s="488">
        <f t="shared" si="0"/>
        <v>18</v>
      </c>
      <c r="B23" s="596">
        <v>40939</v>
      </c>
      <c r="C23" s="597" t="s">
        <v>725</v>
      </c>
      <c r="D23" s="597" t="s">
        <v>807</v>
      </c>
      <c r="E23" s="597" t="s">
        <v>1083</v>
      </c>
      <c r="F23" s="598" t="s">
        <v>663</v>
      </c>
      <c r="G23" s="599">
        <v>-1890</v>
      </c>
      <c r="H23" s="597" t="s">
        <v>806</v>
      </c>
      <c r="I23" s="597" t="s">
        <v>1107</v>
      </c>
      <c r="J23" s="207"/>
    </row>
    <row r="24" spans="1:10">
      <c r="A24" s="488">
        <f t="shared" si="0"/>
        <v>19</v>
      </c>
      <c r="B24" s="596">
        <v>40939</v>
      </c>
      <c r="C24" s="597" t="s">
        <v>725</v>
      </c>
      <c r="D24" s="597" t="s">
        <v>727</v>
      </c>
      <c r="E24" s="597" t="s">
        <v>728</v>
      </c>
      <c r="F24" s="598" t="s">
        <v>1015</v>
      </c>
      <c r="G24" s="599">
        <v>-40</v>
      </c>
      <c r="H24" s="597" t="s">
        <v>809</v>
      </c>
      <c r="I24" s="597" t="s">
        <v>1199</v>
      </c>
      <c r="J24" s="207"/>
    </row>
    <row r="25" spans="1:10">
      <c r="A25" s="488">
        <f t="shared" si="0"/>
        <v>20</v>
      </c>
      <c r="B25" s="596">
        <v>40939</v>
      </c>
      <c r="C25" s="597" t="s">
        <v>725</v>
      </c>
      <c r="D25" s="597" t="s">
        <v>807</v>
      </c>
      <c r="E25" s="597" t="s">
        <v>1207</v>
      </c>
      <c r="F25" s="598" t="s">
        <v>730</v>
      </c>
      <c r="G25" s="599">
        <v>-5.69</v>
      </c>
      <c r="H25" s="597" t="s">
        <v>806</v>
      </c>
      <c r="I25" s="597" t="s">
        <v>1107</v>
      </c>
      <c r="J25" s="207"/>
    </row>
    <row r="26" spans="1:10" ht="15">
      <c r="A26" s="488">
        <f t="shared" si="0"/>
        <v>21</v>
      </c>
      <c r="B26" s="596">
        <v>40968</v>
      </c>
      <c r="C26" s="597" t="s">
        <v>725</v>
      </c>
      <c r="D26" s="597" t="s">
        <v>810</v>
      </c>
      <c r="E26" s="597" t="s">
        <v>1208</v>
      </c>
      <c r="F26" s="601" t="s">
        <v>730</v>
      </c>
      <c r="G26" s="599">
        <v>-2023.69</v>
      </c>
      <c r="H26" s="597" t="s">
        <v>806</v>
      </c>
      <c r="I26" s="597" t="s">
        <v>990</v>
      </c>
      <c r="J26" s="602"/>
    </row>
    <row r="27" spans="1:10">
      <c r="A27" s="488">
        <f t="shared" si="0"/>
        <v>22</v>
      </c>
      <c r="B27" s="596">
        <v>40968</v>
      </c>
      <c r="C27" s="597" t="s">
        <v>726</v>
      </c>
      <c r="D27" s="597" t="s">
        <v>989</v>
      </c>
      <c r="E27" s="597" t="s">
        <v>1209</v>
      </c>
      <c r="F27" s="601" t="s">
        <v>1014</v>
      </c>
      <c r="G27" s="599">
        <v>-180</v>
      </c>
      <c r="H27" s="597" t="s">
        <v>1210</v>
      </c>
      <c r="I27" s="597" t="s">
        <v>1211</v>
      </c>
      <c r="J27" s="207"/>
    </row>
    <row r="28" spans="1:10">
      <c r="A28" s="488">
        <f t="shared" si="0"/>
        <v>23</v>
      </c>
      <c r="B28" s="596">
        <v>40968</v>
      </c>
      <c r="C28" s="597" t="s">
        <v>725</v>
      </c>
      <c r="D28" s="597" t="s">
        <v>988</v>
      </c>
      <c r="E28" s="597" t="s">
        <v>1003</v>
      </c>
      <c r="F28" s="598" t="s">
        <v>1015</v>
      </c>
      <c r="G28" s="599">
        <v>-500</v>
      </c>
      <c r="H28" s="597" t="s">
        <v>947</v>
      </c>
      <c r="I28" s="597" t="s">
        <v>1212</v>
      </c>
      <c r="J28" s="207"/>
    </row>
    <row r="29" spans="1:10">
      <c r="A29" s="488">
        <f t="shared" si="0"/>
        <v>24</v>
      </c>
      <c r="B29" s="596">
        <v>40968</v>
      </c>
      <c r="C29" s="597" t="s">
        <v>725</v>
      </c>
      <c r="D29" s="597" t="s">
        <v>810</v>
      </c>
      <c r="E29" s="597" t="s">
        <v>1085</v>
      </c>
      <c r="F29" s="598" t="s">
        <v>730</v>
      </c>
      <c r="G29" s="599">
        <v>-575</v>
      </c>
      <c r="H29" s="597" t="s">
        <v>806</v>
      </c>
      <c r="I29" s="597" t="s">
        <v>990</v>
      </c>
      <c r="J29" s="207"/>
    </row>
    <row r="30" spans="1:10" ht="15">
      <c r="A30" s="488">
        <f t="shared" si="0"/>
        <v>25</v>
      </c>
      <c r="B30" s="596">
        <v>40968</v>
      </c>
      <c r="C30" s="597" t="s">
        <v>725</v>
      </c>
      <c r="D30" s="597" t="s">
        <v>810</v>
      </c>
      <c r="E30" s="597" t="s">
        <v>1005</v>
      </c>
      <c r="F30" s="598" t="s">
        <v>730</v>
      </c>
      <c r="G30" s="599">
        <v>-500</v>
      </c>
      <c r="H30" s="597" t="s">
        <v>806</v>
      </c>
      <c r="I30" s="597" t="s">
        <v>990</v>
      </c>
      <c r="J30" s="603"/>
    </row>
    <row r="31" spans="1:10" s="205" customFormat="1">
      <c r="A31" s="488">
        <f t="shared" si="0"/>
        <v>26</v>
      </c>
      <c r="B31" s="596">
        <v>40968</v>
      </c>
      <c r="C31" s="597" t="s">
        <v>726</v>
      </c>
      <c r="D31" s="597" t="s">
        <v>810</v>
      </c>
      <c r="E31" s="597" t="s">
        <v>1213</v>
      </c>
      <c r="F31" s="598" t="s">
        <v>1015</v>
      </c>
      <c r="G31" s="599">
        <v>-175</v>
      </c>
      <c r="H31" s="597" t="s">
        <v>806</v>
      </c>
      <c r="I31" s="597" t="s">
        <v>990</v>
      </c>
      <c r="J31" s="207"/>
    </row>
    <row r="32" spans="1:10" ht="15.75" customHeight="1">
      <c r="A32" s="488">
        <f t="shared" si="0"/>
        <v>27</v>
      </c>
      <c r="B32" s="596">
        <v>40968</v>
      </c>
      <c r="C32" s="597" t="s">
        <v>726</v>
      </c>
      <c r="D32" s="597" t="s">
        <v>810</v>
      </c>
      <c r="E32" s="597" t="s">
        <v>1213</v>
      </c>
      <c r="F32" s="598" t="s">
        <v>1015</v>
      </c>
      <c r="G32" s="599">
        <v>-100</v>
      </c>
      <c r="H32" s="597" t="s">
        <v>806</v>
      </c>
      <c r="I32" s="597" t="s">
        <v>990</v>
      </c>
      <c r="J32" s="207"/>
    </row>
    <row r="33" spans="1:10" s="205" customFormat="1" ht="15.75" customHeight="1">
      <c r="A33" s="488">
        <f t="shared" si="0"/>
        <v>28</v>
      </c>
      <c r="B33" s="596">
        <v>40968</v>
      </c>
      <c r="C33" s="597" t="s">
        <v>725</v>
      </c>
      <c r="D33" s="597" t="s">
        <v>810</v>
      </c>
      <c r="E33" s="597" t="s">
        <v>998</v>
      </c>
      <c r="F33" s="598" t="s">
        <v>1014</v>
      </c>
      <c r="G33" s="599">
        <v>-200</v>
      </c>
      <c r="H33" s="597" t="s">
        <v>806</v>
      </c>
      <c r="I33" s="597" t="s">
        <v>990</v>
      </c>
      <c r="J33" s="207"/>
    </row>
    <row r="34" spans="1:10" ht="15.75" customHeight="1">
      <c r="A34" s="488">
        <f t="shared" si="0"/>
        <v>29</v>
      </c>
      <c r="B34" s="596">
        <v>40968</v>
      </c>
      <c r="C34" s="597" t="s">
        <v>725</v>
      </c>
      <c r="D34" s="597" t="s">
        <v>810</v>
      </c>
      <c r="E34" s="597" t="s">
        <v>1214</v>
      </c>
      <c r="F34" s="598" t="s">
        <v>663</v>
      </c>
      <c r="G34" s="599">
        <v>-50</v>
      </c>
      <c r="H34" s="597" t="s">
        <v>806</v>
      </c>
      <c r="I34" s="597" t="s">
        <v>990</v>
      </c>
      <c r="J34" s="604"/>
    </row>
    <row r="35" spans="1:10">
      <c r="A35" s="488">
        <f t="shared" si="0"/>
        <v>30</v>
      </c>
      <c r="B35" s="596">
        <v>40968</v>
      </c>
      <c r="C35" s="597" t="s">
        <v>725</v>
      </c>
      <c r="D35" s="597" t="s">
        <v>810</v>
      </c>
      <c r="E35" s="597" t="s">
        <v>1215</v>
      </c>
      <c r="F35" s="598" t="s">
        <v>730</v>
      </c>
      <c r="G35" s="599">
        <v>-28</v>
      </c>
      <c r="H35" s="597" t="s">
        <v>806</v>
      </c>
      <c r="I35" s="597" t="s">
        <v>990</v>
      </c>
      <c r="J35" s="207"/>
    </row>
    <row r="36" spans="1:10">
      <c r="A36" s="488">
        <f t="shared" si="0"/>
        <v>31</v>
      </c>
      <c r="B36" s="596">
        <v>40968</v>
      </c>
      <c r="C36" s="597" t="s">
        <v>725</v>
      </c>
      <c r="D36" s="597" t="s">
        <v>810</v>
      </c>
      <c r="E36" s="597" t="s">
        <v>1081</v>
      </c>
      <c r="F36" s="598" t="s">
        <v>1014</v>
      </c>
      <c r="G36" s="599">
        <v>-7082.54</v>
      </c>
      <c r="H36" s="597" t="s">
        <v>806</v>
      </c>
      <c r="I36" s="597" t="s">
        <v>990</v>
      </c>
      <c r="J36" s="207"/>
    </row>
    <row r="37" spans="1:10">
      <c r="A37" s="488">
        <f t="shared" si="0"/>
        <v>32</v>
      </c>
      <c r="B37" s="596">
        <v>40968</v>
      </c>
      <c r="C37" s="597" t="s">
        <v>725</v>
      </c>
      <c r="D37" s="597" t="s">
        <v>810</v>
      </c>
      <c r="E37" s="597" t="s">
        <v>1010</v>
      </c>
      <c r="F37" s="598" t="s">
        <v>730</v>
      </c>
      <c r="G37" s="599">
        <v>-400</v>
      </c>
      <c r="H37" s="597" t="s">
        <v>806</v>
      </c>
      <c r="I37" s="597" t="s">
        <v>990</v>
      </c>
      <c r="J37" s="207"/>
    </row>
    <row r="38" spans="1:10">
      <c r="A38" s="488">
        <f t="shared" si="0"/>
        <v>33</v>
      </c>
      <c r="B38" s="596">
        <v>40968</v>
      </c>
      <c r="C38" s="597" t="s">
        <v>726</v>
      </c>
      <c r="D38" s="597" t="s">
        <v>810</v>
      </c>
      <c r="E38" s="597" t="s">
        <v>1216</v>
      </c>
      <c r="F38" s="598" t="s">
        <v>1015</v>
      </c>
      <c r="G38" s="599">
        <v>-100</v>
      </c>
      <c r="H38" s="597" t="s">
        <v>806</v>
      </c>
      <c r="I38" s="597" t="s">
        <v>990</v>
      </c>
      <c r="J38" s="207"/>
    </row>
    <row r="39" spans="1:10">
      <c r="A39" s="488">
        <f t="shared" si="0"/>
        <v>34</v>
      </c>
      <c r="B39" s="596">
        <v>40968</v>
      </c>
      <c r="C39" s="597" t="s">
        <v>725</v>
      </c>
      <c r="D39" s="597" t="s">
        <v>810</v>
      </c>
      <c r="E39" s="597" t="s">
        <v>1204</v>
      </c>
      <c r="F39" s="598" t="s">
        <v>663</v>
      </c>
      <c r="G39" s="599">
        <v>-871.01</v>
      </c>
      <c r="H39" s="597" t="s">
        <v>806</v>
      </c>
      <c r="I39" s="597" t="s">
        <v>990</v>
      </c>
      <c r="J39" s="207"/>
    </row>
    <row r="40" spans="1:10">
      <c r="A40" s="488">
        <f t="shared" si="0"/>
        <v>35</v>
      </c>
      <c r="B40" s="596">
        <v>40968</v>
      </c>
      <c r="C40" s="597" t="s">
        <v>725</v>
      </c>
      <c r="D40" s="597" t="s">
        <v>1217</v>
      </c>
      <c r="E40" s="597" t="s">
        <v>1092</v>
      </c>
      <c r="F40" s="598" t="s">
        <v>730</v>
      </c>
      <c r="G40" s="599">
        <v>-1055</v>
      </c>
      <c r="H40" s="597" t="s">
        <v>1109</v>
      </c>
      <c r="I40" s="597" t="s">
        <v>1110</v>
      </c>
      <c r="J40" s="207"/>
    </row>
    <row r="41" spans="1:10">
      <c r="A41" s="488">
        <f t="shared" si="0"/>
        <v>36</v>
      </c>
      <c r="B41" s="596">
        <v>40968</v>
      </c>
      <c r="C41" s="597" t="s">
        <v>726</v>
      </c>
      <c r="D41" s="597" t="s">
        <v>1218</v>
      </c>
      <c r="E41" s="597" t="s">
        <v>1219</v>
      </c>
      <c r="F41" s="598" t="s">
        <v>1015</v>
      </c>
      <c r="G41" s="599">
        <v>-13</v>
      </c>
      <c r="H41" s="597" t="s">
        <v>1220</v>
      </c>
      <c r="I41" s="597" t="s">
        <v>1221</v>
      </c>
      <c r="J41" s="207"/>
    </row>
    <row r="42" spans="1:10">
      <c r="A42" s="488">
        <f t="shared" si="0"/>
        <v>37</v>
      </c>
      <c r="B42" s="596">
        <v>40968</v>
      </c>
      <c r="C42" s="597" t="s">
        <v>725</v>
      </c>
      <c r="D42" s="597" t="s">
        <v>810</v>
      </c>
      <c r="E42" s="597" t="s">
        <v>999</v>
      </c>
      <c r="F42" s="598" t="s">
        <v>730</v>
      </c>
      <c r="G42" s="599">
        <v>-2385.0500000000002</v>
      </c>
      <c r="H42" s="597" t="s">
        <v>806</v>
      </c>
      <c r="I42" s="597" t="s">
        <v>990</v>
      </c>
      <c r="J42" s="207"/>
    </row>
    <row r="43" spans="1:10">
      <c r="A43" s="488">
        <f t="shared" si="0"/>
        <v>38</v>
      </c>
      <c r="B43" s="596">
        <v>40968</v>
      </c>
      <c r="C43" s="597" t="s">
        <v>725</v>
      </c>
      <c r="D43" s="597" t="s">
        <v>810</v>
      </c>
      <c r="E43" s="597" t="s">
        <v>1087</v>
      </c>
      <c r="F43" s="598" t="s">
        <v>663</v>
      </c>
      <c r="G43" s="599">
        <v>-1890</v>
      </c>
      <c r="H43" s="597" t="s">
        <v>806</v>
      </c>
      <c r="I43" s="597" t="s">
        <v>990</v>
      </c>
      <c r="J43" s="207"/>
    </row>
    <row r="44" spans="1:10">
      <c r="A44" s="488">
        <f t="shared" si="0"/>
        <v>39</v>
      </c>
      <c r="B44" s="596">
        <v>40968</v>
      </c>
      <c r="C44" s="597" t="s">
        <v>725</v>
      </c>
      <c r="D44" s="597" t="s">
        <v>810</v>
      </c>
      <c r="E44" s="597" t="s">
        <v>1082</v>
      </c>
      <c r="F44" s="598" t="s">
        <v>730</v>
      </c>
      <c r="G44" s="599">
        <v>-2688.37</v>
      </c>
      <c r="H44" s="597" t="s">
        <v>806</v>
      </c>
      <c r="I44" s="597" t="s">
        <v>990</v>
      </c>
      <c r="J44" s="207"/>
    </row>
    <row r="45" spans="1:10" ht="15">
      <c r="A45" s="488">
        <f t="shared" si="0"/>
        <v>40</v>
      </c>
      <c r="B45" s="596">
        <v>40968</v>
      </c>
      <c r="C45" s="597" t="s">
        <v>725</v>
      </c>
      <c r="D45" s="597" t="s">
        <v>810</v>
      </c>
      <c r="E45" s="597" t="s">
        <v>1222</v>
      </c>
      <c r="F45" s="598" t="s">
        <v>730</v>
      </c>
      <c r="G45" s="599">
        <v>-2688.37</v>
      </c>
      <c r="H45" s="597" t="s">
        <v>806</v>
      </c>
      <c r="I45" s="597" t="s">
        <v>990</v>
      </c>
      <c r="J45" s="602"/>
    </row>
    <row r="46" spans="1:10" ht="15">
      <c r="A46" s="488">
        <f t="shared" si="0"/>
        <v>41</v>
      </c>
      <c r="B46" s="596">
        <v>40968</v>
      </c>
      <c r="C46" s="597" t="s">
        <v>726</v>
      </c>
      <c r="D46" s="597" t="s">
        <v>810</v>
      </c>
      <c r="E46" s="597" t="s">
        <v>1223</v>
      </c>
      <c r="F46" s="598" t="s">
        <v>1015</v>
      </c>
      <c r="G46" s="599">
        <v>-50</v>
      </c>
      <c r="H46" s="597" t="s">
        <v>806</v>
      </c>
      <c r="I46" s="597" t="s">
        <v>990</v>
      </c>
      <c r="J46" s="604"/>
    </row>
    <row r="47" spans="1:10">
      <c r="A47" s="488">
        <f t="shared" si="0"/>
        <v>42</v>
      </c>
      <c r="B47" s="596">
        <v>40968</v>
      </c>
      <c r="C47" s="597" t="s">
        <v>725</v>
      </c>
      <c r="D47" s="597" t="s">
        <v>810</v>
      </c>
      <c r="E47" s="597" t="s">
        <v>1084</v>
      </c>
      <c r="F47" s="598" t="s">
        <v>1014</v>
      </c>
      <c r="G47" s="599">
        <v>-13992</v>
      </c>
      <c r="H47" s="597" t="s">
        <v>806</v>
      </c>
      <c r="I47" s="597" t="s">
        <v>990</v>
      </c>
      <c r="J47" s="207"/>
    </row>
    <row r="48" spans="1:10">
      <c r="A48" s="488">
        <f t="shared" si="0"/>
        <v>43</v>
      </c>
      <c r="B48" s="596">
        <v>40999</v>
      </c>
      <c r="C48" s="597" t="s">
        <v>725</v>
      </c>
      <c r="D48" s="597" t="s">
        <v>991</v>
      </c>
      <c r="E48" s="597" t="s">
        <v>729</v>
      </c>
      <c r="F48" s="598" t="s">
        <v>1015</v>
      </c>
      <c r="G48" s="599">
        <v>-50</v>
      </c>
      <c r="H48" s="597" t="s">
        <v>808</v>
      </c>
      <c r="I48" s="597" t="s">
        <v>1224</v>
      </c>
      <c r="J48" s="207"/>
    </row>
    <row r="49" spans="1:10">
      <c r="A49" s="488">
        <f t="shared" si="0"/>
        <v>44</v>
      </c>
      <c r="B49" s="596">
        <v>40999</v>
      </c>
      <c r="C49" s="597" t="s">
        <v>725</v>
      </c>
      <c r="D49" s="597" t="s">
        <v>14</v>
      </c>
      <c r="E49" s="597" t="s">
        <v>1225</v>
      </c>
      <c r="F49" s="601" t="s">
        <v>730</v>
      </c>
      <c r="G49" s="599">
        <v>-1800</v>
      </c>
      <c r="H49" s="597" t="s">
        <v>806</v>
      </c>
      <c r="I49" s="597" t="s">
        <v>1226</v>
      </c>
      <c r="J49" s="207"/>
    </row>
    <row r="50" spans="1:10">
      <c r="A50" s="488">
        <f t="shared" si="0"/>
        <v>45</v>
      </c>
      <c r="B50" s="596">
        <v>40999</v>
      </c>
      <c r="C50" s="597" t="s">
        <v>725</v>
      </c>
      <c r="D50" s="597" t="s">
        <v>14</v>
      </c>
      <c r="E50" s="597" t="s">
        <v>1100</v>
      </c>
      <c r="F50" s="598" t="s">
        <v>1014</v>
      </c>
      <c r="G50" s="599">
        <v>-200</v>
      </c>
      <c r="H50" s="597" t="s">
        <v>806</v>
      </c>
      <c r="I50" s="597" t="s">
        <v>1226</v>
      </c>
      <c r="J50" s="207"/>
    </row>
    <row r="51" spans="1:10">
      <c r="A51" s="488">
        <f t="shared" si="0"/>
        <v>46</v>
      </c>
      <c r="B51" s="596">
        <v>40999</v>
      </c>
      <c r="C51" s="597" t="s">
        <v>725</v>
      </c>
      <c r="D51" s="597" t="s">
        <v>1227</v>
      </c>
      <c r="E51" s="597" t="s">
        <v>1003</v>
      </c>
      <c r="F51" s="598" t="s">
        <v>1015</v>
      </c>
      <c r="G51" s="599">
        <v>-500</v>
      </c>
      <c r="H51" s="597" t="s">
        <v>947</v>
      </c>
      <c r="I51" s="597" t="s">
        <v>1228</v>
      </c>
      <c r="J51" s="207"/>
    </row>
    <row r="52" spans="1:10" ht="15">
      <c r="A52" s="488">
        <f t="shared" si="0"/>
        <v>47</v>
      </c>
      <c r="B52" s="596">
        <v>40999</v>
      </c>
      <c r="C52" s="597" t="s">
        <v>726</v>
      </c>
      <c r="D52" s="597" t="s">
        <v>14</v>
      </c>
      <c r="E52" s="597" t="s">
        <v>1229</v>
      </c>
      <c r="F52" s="598" t="s">
        <v>1015</v>
      </c>
      <c r="G52" s="599">
        <v>-250</v>
      </c>
      <c r="H52" s="597" t="s">
        <v>806</v>
      </c>
      <c r="I52" s="597" t="s">
        <v>1226</v>
      </c>
      <c r="J52" s="602"/>
    </row>
    <row r="53" spans="1:10">
      <c r="A53" s="488">
        <f t="shared" si="0"/>
        <v>48</v>
      </c>
      <c r="B53" s="596">
        <v>40999</v>
      </c>
      <c r="C53" s="597" t="s">
        <v>725</v>
      </c>
      <c r="D53" s="597" t="s">
        <v>14</v>
      </c>
      <c r="E53" s="597" t="s">
        <v>1085</v>
      </c>
      <c r="F53" s="598" t="s">
        <v>730</v>
      </c>
      <c r="G53" s="599">
        <v>-575</v>
      </c>
      <c r="H53" s="597" t="s">
        <v>806</v>
      </c>
      <c r="I53" s="597" t="s">
        <v>1226</v>
      </c>
      <c r="J53" s="207"/>
    </row>
    <row r="54" spans="1:10">
      <c r="A54" s="488">
        <f t="shared" si="0"/>
        <v>49</v>
      </c>
      <c r="B54" s="596">
        <v>40999</v>
      </c>
      <c r="C54" s="597" t="s">
        <v>725</v>
      </c>
      <c r="D54" s="597" t="s">
        <v>14</v>
      </c>
      <c r="E54" s="597" t="s">
        <v>1086</v>
      </c>
      <c r="F54" s="598" t="s">
        <v>1015</v>
      </c>
      <c r="G54" s="599">
        <v>-50</v>
      </c>
      <c r="H54" s="597" t="s">
        <v>806</v>
      </c>
      <c r="I54" s="597" t="s">
        <v>1226</v>
      </c>
      <c r="J54" s="207"/>
    </row>
    <row r="55" spans="1:10">
      <c r="A55" s="488">
        <f t="shared" si="0"/>
        <v>50</v>
      </c>
      <c r="B55" s="596">
        <v>40999</v>
      </c>
      <c r="C55" s="597" t="s">
        <v>725</v>
      </c>
      <c r="D55" s="597" t="s">
        <v>14</v>
      </c>
      <c r="E55" s="597" t="s">
        <v>1101</v>
      </c>
      <c r="F55" s="598" t="s">
        <v>730</v>
      </c>
      <c r="G55" s="599">
        <v>-500</v>
      </c>
      <c r="H55" s="597" t="s">
        <v>806</v>
      </c>
      <c r="I55" s="597" t="s">
        <v>1226</v>
      </c>
      <c r="J55" s="207"/>
    </row>
    <row r="56" spans="1:10">
      <c r="A56" s="488">
        <f t="shared" si="0"/>
        <v>51</v>
      </c>
      <c r="B56" s="596">
        <v>40999</v>
      </c>
      <c r="C56" s="597" t="s">
        <v>725</v>
      </c>
      <c r="D56" s="597" t="s">
        <v>14</v>
      </c>
      <c r="E56" s="597" t="s">
        <v>1230</v>
      </c>
      <c r="F56" s="598" t="s">
        <v>730</v>
      </c>
      <c r="G56" s="599">
        <v>-2319.56</v>
      </c>
      <c r="H56" s="597" t="s">
        <v>806</v>
      </c>
      <c r="I56" s="597" t="s">
        <v>1226</v>
      </c>
      <c r="J56" s="207"/>
    </row>
    <row r="57" spans="1:10">
      <c r="A57" s="488">
        <f t="shared" si="0"/>
        <v>52</v>
      </c>
      <c r="B57" s="596">
        <v>40999</v>
      </c>
      <c r="C57" s="597" t="s">
        <v>725</v>
      </c>
      <c r="D57" s="597" t="s">
        <v>991</v>
      </c>
      <c r="E57" s="597" t="s">
        <v>1000</v>
      </c>
      <c r="F57" s="598" t="s">
        <v>1015</v>
      </c>
      <c r="G57" s="599">
        <v>-40</v>
      </c>
      <c r="H57" s="597" t="s">
        <v>997</v>
      </c>
      <c r="I57" s="597" t="s">
        <v>1224</v>
      </c>
      <c r="J57" s="207"/>
    </row>
    <row r="58" spans="1:10">
      <c r="A58" s="488">
        <f t="shared" si="0"/>
        <v>53</v>
      </c>
      <c r="B58" s="596">
        <v>40999</v>
      </c>
      <c r="C58" s="597" t="s">
        <v>725</v>
      </c>
      <c r="D58" s="597" t="s">
        <v>14</v>
      </c>
      <c r="E58" s="597" t="s">
        <v>1231</v>
      </c>
      <c r="F58" s="598" t="s">
        <v>663</v>
      </c>
      <c r="G58" s="599">
        <v>-650</v>
      </c>
      <c r="H58" s="597" t="s">
        <v>806</v>
      </c>
      <c r="I58" s="597" t="s">
        <v>1226</v>
      </c>
      <c r="J58" s="207"/>
    </row>
    <row r="59" spans="1:10">
      <c r="A59" s="488">
        <f t="shared" si="0"/>
        <v>54</v>
      </c>
      <c r="B59" s="596">
        <v>40999</v>
      </c>
      <c r="C59" s="597" t="s">
        <v>725</v>
      </c>
      <c r="D59" s="597" t="s">
        <v>14</v>
      </c>
      <c r="E59" s="597" t="s">
        <v>1010</v>
      </c>
      <c r="F59" s="598" t="s">
        <v>730</v>
      </c>
      <c r="G59" s="599">
        <v>-400</v>
      </c>
      <c r="H59" s="597" t="s">
        <v>806</v>
      </c>
      <c r="I59" s="597" t="s">
        <v>1226</v>
      </c>
      <c r="J59" s="207"/>
    </row>
    <row r="60" spans="1:10">
      <c r="A60" s="488">
        <f t="shared" si="0"/>
        <v>55</v>
      </c>
      <c r="B60" s="596">
        <v>40999</v>
      </c>
      <c r="C60" s="597" t="s">
        <v>725</v>
      </c>
      <c r="D60" s="597" t="s">
        <v>991</v>
      </c>
      <c r="E60" s="597" t="s">
        <v>1203</v>
      </c>
      <c r="F60" s="598" t="s">
        <v>1015</v>
      </c>
      <c r="G60" s="599">
        <v>-800</v>
      </c>
      <c r="H60" s="597" t="s">
        <v>1111</v>
      </c>
      <c r="I60" s="597" t="s">
        <v>1224</v>
      </c>
      <c r="J60" s="207"/>
    </row>
    <row r="61" spans="1:10">
      <c r="A61" s="488">
        <f t="shared" si="0"/>
        <v>56</v>
      </c>
      <c r="B61" s="596">
        <v>40999</v>
      </c>
      <c r="C61" s="597" t="s">
        <v>725</v>
      </c>
      <c r="D61" s="597" t="s">
        <v>14</v>
      </c>
      <c r="E61" s="597" t="s">
        <v>1204</v>
      </c>
      <c r="F61" s="598" t="s">
        <v>663</v>
      </c>
      <c r="G61" s="599">
        <v>-898.75</v>
      </c>
      <c r="H61" s="597" t="s">
        <v>806</v>
      </c>
      <c r="I61" s="597" t="s">
        <v>1226</v>
      </c>
      <c r="J61" s="207"/>
    </row>
    <row r="62" spans="1:10">
      <c r="A62" s="488">
        <f t="shared" si="0"/>
        <v>57</v>
      </c>
      <c r="B62" s="596">
        <v>40999</v>
      </c>
      <c r="C62" s="597" t="s">
        <v>725</v>
      </c>
      <c r="D62" s="597" t="s">
        <v>1232</v>
      </c>
      <c r="E62" s="597" t="s">
        <v>1092</v>
      </c>
      <c r="F62" s="598" t="s">
        <v>730</v>
      </c>
      <c r="G62" s="599">
        <v>-1055</v>
      </c>
      <c r="H62" s="597" t="s">
        <v>1109</v>
      </c>
      <c r="I62" s="597" t="s">
        <v>1110</v>
      </c>
      <c r="J62" s="207"/>
    </row>
    <row r="63" spans="1:10" ht="15">
      <c r="A63" s="488">
        <f t="shared" si="0"/>
        <v>58</v>
      </c>
      <c r="B63" s="596">
        <v>40999</v>
      </c>
      <c r="C63" s="597" t="s">
        <v>726</v>
      </c>
      <c r="D63" s="597" t="s">
        <v>14</v>
      </c>
      <c r="E63" s="597" t="s">
        <v>835</v>
      </c>
      <c r="F63" s="598" t="s">
        <v>1015</v>
      </c>
      <c r="G63" s="599">
        <v>-50</v>
      </c>
      <c r="H63" s="597" t="s">
        <v>806</v>
      </c>
      <c r="I63" s="597" t="s">
        <v>1226</v>
      </c>
      <c r="J63" s="602"/>
    </row>
    <row r="64" spans="1:10">
      <c r="A64" s="488">
        <f t="shared" si="0"/>
        <v>59</v>
      </c>
      <c r="B64" s="596">
        <v>40999</v>
      </c>
      <c r="C64" s="597" t="s">
        <v>726</v>
      </c>
      <c r="D64" s="597" t="s">
        <v>1233</v>
      </c>
      <c r="E64" s="597" t="s">
        <v>1219</v>
      </c>
      <c r="F64" s="598" t="s">
        <v>1015</v>
      </c>
      <c r="G64" s="599">
        <v>39</v>
      </c>
      <c r="H64" s="597" t="s">
        <v>1220</v>
      </c>
      <c r="I64" s="597" t="s">
        <v>1234</v>
      </c>
      <c r="J64" s="207"/>
    </row>
    <row r="65" spans="1:10">
      <c r="A65" s="488">
        <f t="shared" si="0"/>
        <v>60</v>
      </c>
      <c r="B65" s="596">
        <v>40999</v>
      </c>
      <c r="C65" s="597" t="s">
        <v>726</v>
      </c>
      <c r="D65" s="597" t="s">
        <v>1233</v>
      </c>
      <c r="E65" s="597" t="s">
        <v>1221</v>
      </c>
      <c r="F65" s="598" t="s">
        <v>1015</v>
      </c>
      <c r="G65" s="599">
        <v>13</v>
      </c>
      <c r="H65" s="597" t="s">
        <v>1220</v>
      </c>
      <c r="I65" s="597" t="s">
        <v>1234</v>
      </c>
      <c r="J65" s="605"/>
    </row>
    <row r="66" spans="1:10">
      <c r="A66" s="488">
        <f t="shared" si="0"/>
        <v>61</v>
      </c>
      <c r="B66" s="596">
        <v>40999</v>
      </c>
      <c r="C66" s="597" t="s">
        <v>725</v>
      </c>
      <c r="D66" s="597" t="s">
        <v>14</v>
      </c>
      <c r="E66" s="597" t="s">
        <v>999</v>
      </c>
      <c r="F66" s="598" t="s">
        <v>730</v>
      </c>
      <c r="G66" s="599">
        <v>-2385.0500000000002</v>
      </c>
      <c r="H66" s="597" t="s">
        <v>806</v>
      </c>
      <c r="I66" s="597" t="s">
        <v>1226</v>
      </c>
      <c r="J66" s="605"/>
    </row>
    <row r="67" spans="1:10">
      <c r="A67" s="488">
        <f t="shared" si="0"/>
        <v>62</v>
      </c>
      <c r="B67" s="596">
        <v>40999</v>
      </c>
      <c r="C67" s="597" t="s">
        <v>725</v>
      </c>
      <c r="D67" s="597" t="s">
        <v>14</v>
      </c>
      <c r="E67" s="597" t="s">
        <v>1087</v>
      </c>
      <c r="F67" s="598" t="s">
        <v>663</v>
      </c>
      <c r="G67" s="599">
        <v>-1890</v>
      </c>
      <c r="H67" s="597" t="s">
        <v>806</v>
      </c>
      <c r="I67" s="597" t="s">
        <v>1226</v>
      </c>
      <c r="J67" s="605"/>
    </row>
    <row r="68" spans="1:10">
      <c r="A68" s="488">
        <f t="shared" si="0"/>
        <v>63</v>
      </c>
      <c r="B68" s="596">
        <v>40999</v>
      </c>
      <c r="C68" s="597" t="s">
        <v>726</v>
      </c>
      <c r="D68" s="597" t="s">
        <v>14</v>
      </c>
      <c r="E68" s="597" t="s">
        <v>1235</v>
      </c>
      <c r="F68" s="601" t="s">
        <v>730</v>
      </c>
      <c r="G68" s="599">
        <v>-100</v>
      </c>
      <c r="H68" s="597" t="s">
        <v>806</v>
      </c>
      <c r="I68" s="597" t="s">
        <v>1226</v>
      </c>
      <c r="J68" s="605"/>
    </row>
    <row r="69" spans="1:10">
      <c r="A69" s="488">
        <f t="shared" si="0"/>
        <v>64</v>
      </c>
      <c r="B69" s="596">
        <v>40999</v>
      </c>
      <c r="C69" s="597" t="s">
        <v>725</v>
      </c>
      <c r="D69" s="597" t="s">
        <v>991</v>
      </c>
      <c r="E69" s="597" t="s">
        <v>728</v>
      </c>
      <c r="F69" s="598" t="s">
        <v>1015</v>
      </c>
      <c r="G69" s="599">
        <v>-40</v>
      </c>
      <c r="H69" s="597" t="s">
        <v>809</v>
      </c>
      <c r="I69" s="597" t="s">
        <v>1224</v>
      </c>
      <c r="J69" s="605"/>
    </row>
    <row r="70" spans="1:10">
      <c r="A70" s="488">
        <f t="shared" si="0"/>
        <v>65</v>
      </c>
      <c r="B70" s="596">
        <v>40999</v>
      </c>
      <c r="C70" s="597" t="s">
        <v>725</v>
      </c>
      <c r="D70" s="597" t="s">
        <v>14</v>
      </c>
      <c r="E70" s="597" t="s">
        <v>1011</v>
      </c>
      <c r="F70" s="598" t="s">
        <v>730</v>
      </c>
      <c r="G70" s="599">
        <v>-2688.37</v>
      </c>
      <c r="H70" s="597" t="s">
        <v>806</v>
      </c>
      <c r="I70" s="597" t="s">
        <v>1226</v>
      </c>
      <c r="J70" s="605"/>
    </row>
    <row r="71" spans="1:10">
      <c r="A71" s="488">
        <f t="shared" si="0"/>
        <v>66</v>
      </c>
      <c r="B71" s="596">
        <v>40999</v>
      </c>
      <c r="C71" s="597" t="s">
        <v>725</v>
      </c>
      <c r="D71" s="597" t="s">
        <v>14</v>
      </c>
      <c r="E71" s="597" t="s">
        <v>1088</v>
      </c>
      <c r="F71" s="598" t="s">
        <v>1014</v>
      </c>
      <c r="G71" s="599">
        <v>-5074.26</v>
      </c>
      <c r="H71" s="597" t="s">
        <v>806</v>
      </c>
      <c r="I71" s="597" t="s">
        <v>1226</v>
      </c>
      <c r="J71" s="605"/>
    </row>
    <row r="72" spans="1:10">
      <c r="A72" s="488">
        <f t="shared" ref="A72:A135" si="1">A71+1</f>
        <v>67</v>
      </c>
      <c r="B72" s="596">
        <v>41029</v>
      </c>
      <c r="C72" s="597" t="s">
        <v>725</v>
      </c>
      <c r="D72" s="597" t="s">
        <v>992</v>
      </c>
      <c r="E72" s="597" t="s">
        <v>729</v>
      </c>
      <c r="F72" s="598" t="s">
        <v>1015</v>
      </c>
      <c r="G72" s="599">
        <v>-50</v>
      </c>
      <c r="H72" s="597" t="s">
        <v>808</v>
      </c>
      <c r="I72" s="597" t="s">
        <v>1236</v>
      </c>
      <c r="J72" s="605"/>
    </row>
    <row r="73" spans="1:10">
      <c r="A73" s="488">
        <f t="shared" si="1"/>
        <v>68</v>
      </c>
      <c r="B73" s="596">
        <v>41029</v>
      </c>
      <c r="C73" s="597" t="s">
        <v>725</v>
      </c>
      <c r="D73" s="597" t="s">
        <v>992</v>
      </c>
      <c r="E73" s="597" t="s">
        <v>729</v>
      </c>
      <c r="F73" s="598" t="s">
        <v>1015</v>
      </c>
      <c r="G73" s="599">
        <v>-50</v>
      </c>
      <c r="H73" s="597" t="s">
        <v>808</v>
      </c>
      <c r="I73" s="597" t="s">
        <v>1237</v>
      </c>
      <c r="J73" s="605"/>
    </row>
    <row r="74" spans="1:10">
      <c r="A74" s="488">
        <f t="shared" si="1"/>
        <v>69</v>
      </c>
      <c r="B74" s="596">
        <v>41029</v>
      </c>
      <c r="C74" s="597" t="s">
        <v>725</v>
      </c>
      <c r="D74" s="597" t="s">
        <v>1238</v>
      </c>
      <c r="E74" s="597" t="s">
        <v>1003</v>
      </c>
      <c r="F74" s="598" t="s">
        <v>1015</v>
      </c>
      <c r="G74" s="599">
        <v>-500</v>
      </c>
      <c r="H74" s="597" t="s">
        <v>947</v>
      </c>
      <c r="I74" s="597" t="s">
        <v>1228</v>
      </c>
      <c r="J74" s="605"/>
    </row>
    <row r="75" spans="1:10">
      <c r="A75" s="488">
        <f t="shared" si="1"/>
        <v>70</v>
      </c>
      <c r="B75" s="596">
        <v>41029</v>
      </c>
      <c r="C75" s="597" t="s">
        <v>725</v>
      </c>
      <c r="D75" s="597" t="s">
        <v>811</v>
      </c>
      <c r="E75" s="597" t="s">
        <v>1004</v>
      </c>
      <c r="F75" s="598" t="s">
        <v>730</v>
      </c>
      <c r="G75" s="599">
        <v>-575</v>
      </c>
      <c r="H75" s="597" t="s">
        <v>806</v>
      </c>
      <c r="I75" s="597" t="s">
        <v>1108</v>
      </c>
      <c r="J75" s="605"/>
    </row>
    <row r="76" spans="1:10">
      <c r="A76" s="488">
        <f t="shared" si="1"/>
        <v>71</v>
      </c>
      <c r="B76" s="596">
        <v>41029</v>
      </c>
      <c r="C76" s="597" t="s">
        <v>725</v>
      </c>
      <c r="D76" s="597" t="s">
        <v>811</v>
      </c>
      <c r="E76" s="597" t="s">
        <v>1005</v>
      </c>
      <c r="F76" s="598" t="s">
        <v>730</v>
      </c>
      <c r="G76" s="599">
        <v>-500</v>
      </c>
      <c r="H76" s="597" t="s">
        <v>806</v>
      </c>
      <c r="I76" s="597" t="s">
        <v>1108</v>
      </c>
      <c r="J76" s="605"/>
    </row>
    <row r="77" spans="1:10">
      <c r="A77" s="488">
        <f t="shared" si="1"/>
        <v>72</v>
      </c>
      <c r="B77" s="596">
        <v>41029</v>
      </c>
      <c r="C77" s="597" t="s">
        <v>725</v>
      </c>
      <c r="D77" s="597" t="s">
        <v>811</v>
      </c>
      <c r="E77" s="597" t="s">
        <v>1080</v>
      </c>
      <c r="F77" s="598" t="s">
        <v>730</v>
      </c>
      <c r="G77" s="599">
        <v>-3888.15</v>
      </c>
      <c r="H77" s="597" t="s">
        <v>806</v>
      </c>
      <c r="I77" s="597" t="s">
        <v>1108</v>
      </c>
      <c r="J77" s="605"/>
    </row>
    <row r="78" spans="1:10">
      <c r="A78" s="488">
        <f t="shared" si="1"/>
        <v>73</v>
      </c>
      <c r="B78" s="596">
        <v>41029</v>
      </c>
      <c r="C78" s="597" t="s">
        <v>726</v>
      </c>
      <c r="D78" s="597" t="s">
        <v>811</v>
      </c>
      <c r="E78" s="597" t="s">
        <v>1012</v>
      </c>
      <c r="F78" s="598" t="s">
        <v>1015</v>
      </c>
      <c r="G78" s="599">
        <v>-350</v>
      </c>
      <c r="H78" s="597" t="s">
        <v>806</v>
      </c>
      <c r="I78" s="597" t="s">
        <v>1108</v>
      </c>
      <c r="J78" s="605"/>
    </row>
    <row r="79" spans="1:10">
      <c r="A79" s="488">
        <f t="shared" si="1"/>
        <v>74</v>
      </c>
      <c r="B79" s="596">
        <v>41029</v>
      </c>
      <c r="C79" s="597" t="s">
        <v>726</v>
      </c>
      <c r="D79" s="597" t="s">
        <v>811</v>
      </c>
      <c r="E79" s="597" t="s">
        <v>1239</v>
      </c>
      <c r="F79" s="598" t="s">
        <v>1015</v>
      </c>
      <c r="G79" s="599">
        <v>-540</v>
      </c>
      <c r="H79" s="597" t="s">
        <v>806</v>
      </c>
      <c r="I79" s="597" t="s">
        <v>1108</v>
      </c>
      <c r="J79" s="605"/>
    </row>
    <row r="80" spans="1:10">
      <c r="A80" s="488">
        <f t="shared" si="1"/>
        <v>75</v>
      </c>
      <c r="B80" s="596">
        <v>41029</v>
      </c>
      <c r="C80" s="597" t="s">
        <v>725</v>
      </c>
      <c r="D80" s="597" t="s">
        <v>811</v>
      </c>
      <c r="E80" s="597" t="s">
        <v>998</v>
      </c>
      <c r="F80" s="598" t="s">
        <v>1014</v>
      </c>
      <c r="G80" s="599">
        <v>-200</v>
      </c>
      <c r="H80" s="597" t="s">
        <v>806</v>
      </c>
      <c r="I80" s="597" t="s">
        <v>1108</v>
      </c>
      <c r="J80" s="605"/>
    </row>
    <row r="81" spans="1:10">
      <c r="A81" s="488">
        <f t="shared" si="1"/>
        <v>76</v>
      </c>
      <c r="B81" s="596">
        <v>41029</v>
      </c>
      <c r="C81" s="597" t="s">
        <v>725</v>
      </c>
      <c r="D81" s="597" t="s">
        <v>811</v>
      </c>
      <c r="E81" s="597" t="s">
        <v>1240</v>
      </c>
      <c r="F81" s="601" t="s">
        <v>730</v>
      </c>
      <c r="G81" s="599">
        <v>-100</v>
      </c>
      <c r="H81" s="597" t="s">
        <v>806</v>
      </c>
      <c r="I81" s="597" t="s">
        <v>1108</v>
      </c>
      <c r="J81" s="605"/>
    </row>
    <row r="82" spans="1:10">
      <c r="A82" s="488">
        <f t="shared" si="1"/>
        <v>77</v>
      </c>
      <c r="B82" s="596">
        <v>41029</v>
      </c>
      <c r="C82" s="597" t="s">
        <v>725</v>
      </c>
      <c r="D82" s="597" t="s">
        <v>992</v>
      </c>
      <c r="E82" s="597" t="s">
        <v>1000</v>
      </c>
      <c r="F82" s="598" t="s">
        <v>1015</v>
      </c>
      <c r="G82" s="599">
        <v>-40</v>
      </c>
      <c r="H82" s="597" t="s">
        <v>997</v>
      </c>
      <c r="I82" s="597" t="s">
        <v>1236</v>
      </c>
      <c r="J82" s="605"/>
    </row>
    <row r="83" spans="1:10">
      <c r="A83" s="488">
        <f t="shared" si="1"/>
        <v>78</v>
      </c>
      <c r="B83" s="596">
        <v>41029</v>
      </c>
      <c r="C83" s="597" t="s">
        <v>725</v>
      </c>
      <c r="D83" s="597" t="s">
        <v>992</v>
      </c>
      <c r="E83" s="597" t="s">
        <v>1000</v>
      </c>
      <c r="F83" s="598" t="s">
        <v>1015</v>
      </c>
      <c r="G83" s="599">
        <v>-40</v>
      </c>
      <c r="H83" s="597" t="s">
        <v>997</v>
      </c>
      <c r="I83" s="597" t="s">
        <v>1237</v>
      </c>
      <c r="J83" s="605"/>
    </row>
    <row r="84" spans="1:10">
      <c r="A84" s="488">
        <f t="shared" si="1"/>
        <v>79</v>
      </c>
      <c r="B84" s="596">
        <v>41029</v>
      </c>
      <c r="C84" s="597" t="s">
        <v>725</v>
      </c>
      <c r="D84" s="597" t="s">
        <v>811</v>
      </c>
      <c r="E84" s="597" t="s">
        <v>1010</v>
      </c>
      <c r="F84" s="598" t="s">
        <v>730</v>
      </c>
      <c r="G84" s="599">
        <v>-400</v>
      </c>
      <c r="H84" s="597" t="s">
        <v>806</v>
      </c>
      <c r="I84" s="597" t="s">
        <v>1108</v>
      </c>
      <c r="J84" s="605"/>
    </row>
    <row r="85" spans="1:10">
      <c r="A85" s="488">
        <f t="shared" si="1"/>
        <v>80</v>
      </c>
      <c r="B85" s="596">
        <v>41029</v>
      </c>
      <c r="C85" s="597" t="s">
        <v>725</v>
      </c>
      <c r="D85" s="597" t="s">
        <v>992</v>
      </c>
      <c r="E85" s="597" t="s">
        <v>1203</v>
      </c>
      <c r="F85" s="598" t="s">
        <v>1015</v>
      </c>
      <c r="G85" s="599">
        <v>-800</v>
      </c>
      <c r="H85" s="597" t="s">
        <v>1111</v>
      </c>
      <c r="I85" s="597" t="s">
        <v>1236</v>
      </c>
      <c r="J85" s="605"/>
    </row>
    <row r="86" spans="1:10">
      <c r="A86" s="488">
        <f t="shared" si="1"/>
        <v>81</v>
      </c>
      <c r="B86" s="596">
        <v>41029</v>
      </c>
      <c r="C86" s="597" t="s">
        <v>725</v>
      </c>
      <c r="D86" s="597" t="s">
        <v>992</v>
      </c>
      <c r="E86" s="597" t="s">
        <v>1203</v>
      </c>
      <c r="F86" s="598" t="s">
        <v>1015</v>
      </c>
      <c r="G86" s="599">
        <v>-800</v>
      </c>
      <c r="H86" s="597" t="s">
        <v>1111</v>
      </c>
      <c r="I86" s="597" t="s">
        <v>1237</v>
      </c>
      <c r="J86" s="605"/>
    </row>
    <row r="87" spans="1:10">
      <c r="A87" s="488">
        <f t="shared" si="1"/>
        <v>82</v>
      </c>
      <c r="B87" s="596">
        <v>41029</v>
      </c>
      <c r="C87" s="597" t="s">
        <v>725</v>
      </c>
      <c r="D87" s="597" t="s">
        <v>811</v>
      </c>
      <c r="E87" s="597" t="s">
        <v>1001</v>
      </c>
      <c r="F87" s="598" t="s">
        <v>663</v>
      </c>
      <c r="G87" s="599">
        <v>-867.35</v>
      </c>
      <c r="H87" s="597" t="s">
        <v>806</v>
      </c>
      <c r="I87" s="597" t="s">
        <v>1108</v>
      </c>
      <c r="J87" s="605"/>
    </row>
    <row r="88" spans="1:10">
      <c r="A88" s="488">
        <f t="shared" si="1"/>
        <v>83</v>
      </c>
      <c r="B88" s="596">
        <v>41029</v>
      </c>
      <c r="C88" s="597" t="s">
        <v>725</v>
      </c>
      <c r="D88" s="597" t="s">
        <v>1241</v>
      </c>
      <c r="E88" s="597" t="s">
        <v>1092</v>
      </c>
      <c r="F88" s="598" t="s">
        <v>730</v>
      </c>
      <c r="G88" s="599">
        <v>-1055</v>
      </c>
      <c r="H88" s="597" t="s">
        <v>1109</v>
      </c>
      <c r="I88" s="597" t="s">
        <v>1110</v>
      </c>
      <c r="J88" s="605"/>
    </row>
    <row r="89" spans="1:10">
      <c r="A89" s="488">
        <f t="shared" si="1"/>
        <v>84</v>
      </c>
      <c r="B89" s="596">
        <v>41029</v>
      </c>
      <c r="C89" s="597" t="s">
        <v>726</v>
      </c>
      <c r="D89" s="597" t="s">
        <v>811</v>
      </c>
      <c r="E89" s="597" t="s">
        <v>835</v>
      </c>
      <c r="F89" s="598" t="s">
        <v>1015</v>
      </c>
      <c r="G89" s="599">
        <v>-50</v>
      </c>
      <c r="H89" s="597" t="s">
        <v>806</v>
      </c>
      <c r="I89" s="597" t="s">
        <v>1108</v>
      </c>
      <c r="J89" s="605"/>
    </row>
    <row r="90" spans="1:10">
      <c r="A90" s="488">
        <f t="shared" si="1"/>
        <v>85</v>
      </c>
      <c r="B90" s="596">
        <v>41029</v>
      </c>
      <c r="C90" s="597" t="s">
        <v>726</v>
      </c>
      <c r="D90" s="597" t="s">
        <v>811</v>
      </c>
      <c r="E90" s="597" t="s">
        <v>1104</v>
      </c>
      <c r="F90" s="598" t="s">
        <v>1015</v>
      </c>
      <c r="G90" s="599">
        <v>-500</v>
      </c>
      <c r="H90" s="597" t="s">
        <v>806</v>
      </c>
      <c r="I90" s="597" t="s">
        <v>1108</v>
      </c>
      <c r="J90" s="605"/>
    </row>
    <row r="91" spans="1:10">
      <c r="A91" s="488">
        <f t="shared" si="1"/>
        <v>86</v>
      </c>
      <c r="B91" s="596">
        <v>41029</v>
      </c>
      <c r="C91" s="597" t="s">
        <v>725</v>
      </c>
      <c r="D91" s="597" t="s">
        <v>811</v>
      </c>
      <c r="E91" s="597" t="s">
        <v>1242</v>
      </c>
      <c r="F91" s="598" t="s">
        <v>1015</v>
      </c>
      <c r="G91" s="599">
        <v>-1800</v>
      </c>
      <c r="H91" s="597" t="s">
        <v>806</v>
      </c>
      <c r="I91" s="597" t="s">
        <v>1108</v>
      </c>
      <c r="J91" s="605"/>
    </row>
    <row r="92" spans="1:10">
      <c r="A92" s="488">
        <f t="shared" si="1"/>
        <v>87</v>
      </c>
      <c r="B92" s="596">
        <v>41029</v>
      </c>
      <c r="C92" s="597" t="s">
        <v>726</v>
      </c>
      <c r="D92" s="597" t="s">
        <v>811</v>
      </c>
      <c r="E92" s="597" t="s">
        <v>1243</v>
      </c>
      <c r="F92" s="598" t="s">
        <v>1015</v>
      </c>
      <c r="G92" s="599">
        <v>-200</v>
      </c>
      <c r="H92" s="597" t="s">
        <v>806</v>
      </c>
      <c r="I92" s="597" t="s">
        <v>1108</v>
      </c>
      <c r="J92" s="605"/>
    </row>
    <row r="93" spans="1:10">
      <c r="A93" s="488">
        <f t="shared" si="1"/>
        <v>88</v>
      </c>
      <c r="B93" s="596">
        <v>41029</v>
      </c>
      <c r="C93" s="597" t="s">
        <v>725</v>
      </c>
      <c r="D93" s="597" t="s">
        <v>811</v>
      </c>
      <c r="E93" s="597" t="s">
        <v>999</v>
      </c>
      <c r="F93" s="598" t="s">
        <v>730</v>
      </c>
      <c r="G93" s="599">
        <v>-2385.0500000000002</v>
      </c>
      <c r="H93" s="597" t="s">
        <v>806</v>
      </c>
      <c r="I93" s="597" t="s">
        <v>1108</v>
      </c>
      <c r="J93" s="605"/>
    </row>
    <row r="94" spans="1:10">
      <c r="A94" s="488">
        <f t="shared" si="1"/>
        <v>89</v>
      </c>
      <c r="B94" s="596">
        <v>41029</v>
      </c>
      <c r="C94" s="597" t="s">
        <v>725</v>
      </c>
      <c r="D94" s="597" t="s">
        <v>811</v>
      </c>
      <c r="E94" s="597" t="s">
        <v>1087</v>
      </c>
      <c r="F94" s="598" t="s">
        <v>663</v>
      </c>
      <c r="G94" s="599">
        <v>-1890</v>
      </c>
      <c r="H94" s="597" t="s">
        <v>806</v>
      </c>
      <c r="I94" s="597" t="s">
        <v>1108</v>
      </c>
      <c r="J94" s="605"/>
    </row>
    <row r="95" spans="1:10">
      <c r="A95" s="488">
        <f t="shared" si="1"/>
        <v>90</v>
      </c>
      <c r="B95" s="596">
        <v>41029</v>
      </c>
      <c r="C95" s="597" t="s">
        <v>725</v>
      </c>
      <c r="D95" s="597" t="s">
        <v>992</v>
      </c>
      <c r="E95" s="597" t="s">
        <v>728</v>
      </c>
      <c r="F95" s="598" t="s">
        <v>1015</v>
      </c>
      <c r="G95" s="599">
        <v>-40</v>
      </c>
      <c r="H95" s="597" t="s">
        <v>809</v>
      </c>
      <c r="I95" s="597" t="s">
        <v>1236</v>
      </c>
      <c r="J95" s="605"/>
    </row>
    <row r="96" spans="1:10">
      <c r="A96" s="488">
        <f t="shared" si="1"/>
        <v>91</v>
      </c>
      <c r="B96" s="596">
        <v>41029</v>
      </c>
      <c r="C96" s="597" t="s">
        <v>725</v>
      </c>
      <c r="D96" s="597" t="s">
        <v>992</v>
      </c>
      <c r="E96" s="597" t="s">
        <v>728</v>
      </c>
      <c r="F96" s="598" t="s">
        <v>1015</v>
      </c>
      <c r="G96" s="599">
        <v>-40</v>
      </c>
      <c r="H96" s="597" t="s">
        <v>809</v>
      </c>
      <c r="I96" s="597" t="s">
        <v>1237</v>
      </c>
      <c r="J96" s="605"/>
    </row>
    <row r="97" spans="1:10">
      <c r="A97" s="488">
        <f t="shared" si="1"/>
        <v>92</v>
      </c>
      <c r="B97" s="596">
        <v>41029</v>
      </c>
      <c r="C97" s="597" t="s">
        <v>725</v>
      </c>
      <c r="D97" s="597" t="s">
        <v>811</v>
      </c>
      <c r="E97" s="597" t="s">
        <v>948</v>
      </c>
      <c r="F97" s="598" t="s">
        <v>730</v>
      </c>
      <c r="G97" s="599">
        <v>-2688.37</v>
      </c>
      <c r="H97" s="597" t="s">
        <v>806</v>
      </c>
      <c r="I97" s="597" t="s">
        <v>1108</v>
      </c>
      <c r="J97" s="207"/>
    </row>
    <row r="98" spans="1:10">
      <c r="A98" s="488">
        <f t="shared" si="1"/>
        <v>93</v>
      </c>
      <c r="B98" s="596">
        <v>41029</v>
      </c>
      <c r="C98" s="597" t="s">
        <v>725</v>
      </c>
      <c r="D98" s="597" t="s">
        <v>811</v>
      </c>
      <c r="E98" s="597" t="s">
        <v>1090</v>
      </c>
      <c r="F98" s="598" t="s">
        <v>1015</v>
      </c>
      <c r="G98" s="599">
        <v>-2205.88</v>
      </c>
      <c r="H98" s="597" t="s">
        <v>806</v>
      </c>
      <c r="I98" s="597" t="s">
        <v>1108</v>
      </c>
      <c r="J98" s="207"/>
    </row>
    <row r="99" spans="1:10">
      <c r="A99" s="488">
        <f t="shared" si="1"/>
        <v>94</v>
      </c>
      <c r="B99" s="596">
        <v>41060</v>
      </c>
      <c r="C99" s="597" t="s">
        <v>725</v>
      </c>
      <c r="D99" s="597" t="s">
        <v>812</v>
      </c>
      <c r="E99" s="597" t="s">
        <v>1244</v>
      </c>
      <c r="F99" s="601" t="s">
        <v>730</v>
      </c>
      <c r="G99" s="599">
        <v>-8218.83</v>
      </c>
      <c r="H99" s="597" t="s">
        <v>806</v>
      </c>
      <c r="I99" s="597" t="s">
        <v>993</v>
      </c>
      <c r="J99" s="207"/>
    </row>
    <row r="100" spans="1:10">
      <c r="A100" s="488">
        <f t="shared" si="1"/>
        <v>95</v>
      </c>
      <c r="B100" s="596">
        <v>41060</v>
      </c>
      <c r="C100" s="597" t="s">
        <v>725</v>
      </c>
      <c r="D100" s="597" t="s">
        <v>812</v>
      </c>
      <c r="E100" s="597" t="s">
        <v>1245</v>
      </c>
      <c r="F100" s="601" t="s">
        <v>730</v>
      </c>
      <c r="G100" s="599">
        <v>-2867.8</v>
      </c>
      <c r="H100" s="597" t="s">
        <v>806</v>
      </c>
      <c r="I100" s="597" t="s">
        <v>993</v>
      </c>
      <c r="J100" s="207"/>
    </row>
    <row r="101" spans="1:10">
      <c r="A101" s="488">
        <f t="shared" si="1"/>
        <v>96</v>
      </c>
      <c r="B101" s="596">
        <v>41060</v>
      </c>
      <c r="C101" s="597" t="s">
        <v>725</v>
      </c>
      <c r="D101" s="597" t="s">
        <v>1246</v>
      </c>
      <c r="E101" s="597" t="s">
        <v>1247</v>
      </c>
      <c r="F101" s="601" t="s">
        <v>1014</v>
      </c>
      <c r="G101" s="599">
        <v>-33000</v>
      </c>
      <c r="H101" s="597" t="s">
        <v>1106</v>
      </c>
      <c r="I101" s="597" t="s">
        <v>1248</v>
      </c>
      <c r="J101" s="207"/>
    </row>
    <row r="102" spans="1:10">
      <c r="A102" s="488">
        <f t="shared" si="1"/>
        <v>97</v>
      </c>
      <c r="B102" s="596">
        <v>41060</v>
      </c>
      <c r="C102" s="597" t="s">
        <v>725</v>
      </c>
      <c r="D102" s="597" t="s">
        <v>812</v>
      </c>
      <c r="E102" s="597" t="s">
        <v>1100</v>
      </c>
      <c r="F102" s="598" t="s">
        <v>1014</v>
      </c>
      <c r="G102" s="599">
        <v>-200</v>
      </c>
      <c r="H102" s="597" t="s">
        <v>806</v>
      </c>
      <c r="I102" s="597" t="s">
        <v>993</v>
      </c>
      <c r="J102" s="207"/>
    </row>
    <row r="103" spans="1:10">
      <c r="A103" s="488">
        <f t="shared" si="1"/>
        <v>98</v>
      </c>
      <c r="B103" s="596">
        <v>41060</v>
      </c>
      <c r="C103" s="597" t="s">
        <v>725</v>
      </c>
      <c r="D103" s="597" t="s">
        <v>1249</v>
      </c>
      <c r="E103" s="597" t="s">
        <v>1003</v>
      </c>
      <c r="F103" s="598" t="s">
        <v>1015</v>
      </c>
      <c r="G103" s="599">
        <v>-500</v>
      </c>
      <c r="H103" s="597" t="s">
        <v>947</v>
      </c>
      <c r="I103" s="597" t="s">
        <v>1228</v>
      </c>
      <c r="J103" s="207"/>
    </row>
    <row r="104" spans="1:10">
      <c r="A104" s="488">
        <f t="shared" si="1"/>
        <v>99</v>
      </c>
      <c r="B104" s="596">
        <v>41060</v>
      </c>
      <c r="C104" s="597" t="s">
        <v>726</v>
      </c>
      <c r="D104" s="597" t="s">
        <v>812</v>
      </c>
      <c r="E104" s="597" t="s">
        <v>1250</v>
      </c>
      <c r="F104" s="598" t="s">
        <v>1015</v>
      </c>
      <c r="G104" s="599">
        <v>-135</v>
      </c>
      <c r="H104" s="597" t="s">
        <v>806</v>
      </c>
      <c r="I104" s="597" t="s">
        <v>993</v>
      </c>
      <c r="J104" s="207"/>
    </row>
    <row r="105" spans="1:10">
      <c r="A105" s="488">
        <f t="shared" si="1"/>
        <v>100</v>
      </c>
      <c r="B105" s="596">
        <v>41060</v>
      </c>
      <c r="C105" s="597" t="s">
        <v>725</v>
      </c>
      <c r="D105" s="597" t="s">
        <v>812</v>
      </c>
      <c r="E105" s="597" t="s">
        <v>1085</v>
      </c>
      <c r="F105" s="598" t="s">
        <v>730</v>
      </c>
      <c r="G105" s="599">
        <v>-575</v>
      </c>
      <c r="H105" s="597" t="s">
        <v>806</v>
      </c>
      <c r="I105" s="597" t="s">
        <v>993</v>
      </c>
      <c r="J105" s="207"/>
    </row>
    <row r="106" spans="1:10">
      <c r="A106" s="488">
        <f t="shared" si="1"/>
        <v>101</v>
      </c>
      <c r="B106" s="596">
        <v>41060</v>
      </c>
      <c r="C106" s="597" t="s">
        <v>725</v>
      </c>
      <c r="D106" s="597" t="s">
        <v>812</v>
      </c>
      <c r="E106" s="597" t="s">
        <v>1101</v>
      </c>
      <c r="F106" s="598" t="s">
        <v>730</v>
      </c>
      <c r="G106" s="599">
        <v>-500</v>
      </c>
      <c r="H106" s="597" t="s">
        <v>806</v>
      </c>
      <c r="I106" s="597" t="s">
        <v>993</v>
      </c>
      <c r="J106" s="207"/>
    </row>
    <row r="107" spans="1:10">
      <c r="A107" s="488">
        <f t="shared" si="1"/>
        <v>102</v>
      </c>
      <c r="B107" s="596">
        <v>41060</v>
      </c>
      <c r="C107" s="597" t="s">
        <v>725</v>
      </c>
      <c r="D107" s="597" t="s">
        <v>812</v>
      </c>
      <c r="E107" s="597" t="s">
        <v>1251</v>
      </c>
      <c r="F107" s="598" t="s">
        <v>730</v>
      </c>
      <c r="G107" s="599">
        <v>-400</v>
      </c>
      <c r="H107" s="597" t="s">
        <v>806</v>
      </c>
      <c r="I107" s="597" t="s">
        <v>993</v>
      </c>
      <c r="J107" s="207"/>
    </row>
    <row r="108" spans="1:10">
      <c r="A108" s="488">
        <f t="shared" si="1"/>
        <v>103</v>
      </c>
      <c r="B108" s="596">
        <v>41060</v>
      </c>
      <c r="C108" s="597" t="s">
        <v>725</v>
      </c>
      <c r="D108" s="597" t="s">
        <v>812</v>
      </c>
      <c r="E108" s="597" t="s">
        <v>1204</v>
      </c>
      <c r="F108" s="598" t="s">
        <v>663</v>
      </c>
      <c r="G108" s="599">
        <v>-849.16</v>
      </c>
      <c r="H108" s="597" t="s">
        <v>806</v>
      </c>
      <c r="I108" s="597" t="s">
        <v>993</v>
      </c>
      <c r="J108" s="207"/>
    </row>
    <row r="109" spans="1:10" ht="15">
      <c r="A109" s="488">
        <f t="shared" si="1"/>
        <v>104</v>
      </c>
      <c r="B109" s="596">
        <v>41060</v>
      </c>
      <c r="C109" s="597" t="s">
        <v>726</v>
      </c>
      <c r="D109" s="597" t="s">
        <v>812</v>
      </c>
      <c r="E109" s="597" t="s">
        <v>1252</v>
      </c>
      <c r="F109" s="601" t="s">
        <v>1015</v>
      </c>
      <c r="G109" s="599">
        <v>-100</v>
      </c>
      <c r="H109" s="597" t="s">
        <v>806</v>
      </c>
      <c r="I109" s="597" t="s">
        <v>993</v>
      </c>
      <c r="J109" s="602"/>
    </row>
    <row r="110" spans="1:10" ht="15">
      <c r="A110" s="488">
        <f t="shared" si="1"/>
        <v>105</v>
      </c>
      <c r="B110" s="596">
        <v>41060</v>
      </c>
      <c r="C110" s="597" t="s">
        <v>725</v>
      </c>
      <c r="D110" s="597" t="s">
        <v>1089</v>
      </c>
      <c r="E110" s="597" t="s">
        <v>1092</v>
      </c>
      <c r="F110" s="598" t="s">
        <v>730</v>
      </c>
      <c r="G110" s="599">
        <v>-1055</v>
      </c>
      <c r="H110" s="597" t="s">
        <v>1109</v>
      </c>
      <c r="I110" s="597" t="s">
        <v>1110</v>
      </c>
      <c r="J110" s="604"/>
    </row>
    <row r="111" spans="1:10">
      <c r="A111" s="488">
        <f t="shared" si="1"/>
        <v>106</v>
      </c>
      <c r="B111" s="596">
        <v>41060</v>
      </c>
      <c r="C111" s="597" t="s">
        <v>725</v>
      </c>
      <c r="D111" s="597" t="s">
        <v>812</v>
      </c>
      <c r="E111" s="597" t="s">
        <v>1253</v>
      </c>
      <c r="F111" s="598" t="s">
        <v>1015</v>
      </c>
      <c r="G111" s="599">
        <v>-2000</v>
      </c>
      <c r="H111" s="597" t="s">
        <v>806</v>
      </c>
      <c r="I111" s="597" t="s">
        <v>993</v>
      </c>
      <c r="J111" s="207"/>
    </row>
    <row r="112" spans="1:10">
      <c r="A112" s="488">
        <f t="shared" si="1"/>
        <v>107</v>
      </c>
      <c r="B112" s="596">
        <v>41060</v>
      </c>
      <c r="C112" s="597" t="s">
        <v>725</v>
      </c>
      <c r="D112" s="597" t="s">
        <v>812</v>
      </c>
      <c r="E112" s="597" t="s">
        <v>999</v>
      </c>
      <c r="F112" s="598" t="s">
        <v>730</v>
      </c>
      <c r="G112" s="599">
        <v>-2385.0500000000002</v>
      </c>
      <c r="H112" s="597" t="s">
        <v>806</v>
      </c>
      <c r="I112" s="597" t="s">
        <v>993</v>
      </c>
      <c r="J112" s="207"/>
    </row>
    <row r="113" spans="1:10">
      <c r="A113" s="488">
        <f t="shared" si="1"/>
        <v>108</v>
      </c>
      <c r="B113" s="596">
        <v>41060</v>
      </c>
      <c r="C113" s="597" t="s">
        <v>725</v>
      </c>
      <c r="D113" s="597" t="s">
        <v>812</v>
      </c>
      <c r="E113" s="597" t="s">
        <v>1254</v>
      </c>
      <c r="F113" s="598" t="s">
        <v>663</v>
      </c>
      <c r="G113" s="599">
        <v>-1890</v>
      </c>
      <c r="H113" s="597" t="s">
        <v>806</v>
      </c>
      <c r="I113" s="597" t="s">
        <v>993</v>
      </c>
      <c r="J113" s="207"/>
    </row>
    <row r="114" spans="1:10" ht="15">
      <c r="A114" s="488">
        <f t="shared" si="1"/>
        <v>109</v>
      </c>
      <c r="B114" s="596">
        <v>41060</v>
      </c>
      <c r="C114" s="597" t="s">
        <v>725</v>
      </c>
      <c r="D114" s="597" t="s">
        <v>812</v>
      </c>
      <c r="E114" s="597" t="s">
        <v>1255</v>
      </c>
      <c r="F114" s="598" t="s">
        <v>730</v>
      </c>
      <c r="G114" s="599">
        <v>-1200</v>
      </c>
      <c r="H114" s="597" t="s">
        <v>806</v>
      </c>
      <c r="I114" s="597" t="s">
        <v>993</v>
      </c>
      <c r="J114" s="604"/>
    </row>
    <row r="115" spans="1:10">
      <c r="A115" s="488">
        <f t="shared" si="1"/>
        <v>110</v>
      </c>
      <c r="B115" s="596">
        <v>41060</v>
      </c>
      <c r="C115" s="597" t="s">
        <v>725</v>
      </c>
      <c r="D115" s="597" t="s">
        <v>812</v>
      </c>
      <c r="E115" s="597" t="s">
        <v>1011</v>
      </c>
      <c r="F115" s="598" t="s">
        <v>730</v>
      </c>
      <c r="G115" s="599">
        <v>-2688.37</v>
      </c>
      <c r="H115" s="597" t="s">
        <v>806</v>
      </c>
      <c r="I115" s="597" t="s">
        <v>993</v>
      </c>
      <c r="J115" s="207"/>
    </row>
    <row r="116" spans="1:10">
      <c r="A116" s="488">
        <f t="shared" si="1"/>
        <v>111</v>
      </c>
      <c r="B116" s="596">
        <v>41060</v>
      </c>
      <c r="C116" s="597" t="s">
        <v>726</v>
      </c>
      <c r="D116" s="597" t="s">
        <v>812</v>
      </c>
      <c r="E116" s="597" t="s">
        <v>1256</v>
      </c>
      <c r="F116" s="598" t="s">
        <v>1015</v>
      </c>
      <c r="G116" s="599">
        <v>-50</v>
      </c>
      <c r="H116" s="597" t="s">
        <v>806</v>
      </c>
      <c r="I116" s="597" t="s">
        <v>993</v>
      </c>
      <c r="J116" s="207"/>
    </row>
    <row r="117" spans="1:10">
      <c r="A117" s="488">
        <f t="shared" si="1"/>
        <v>112</v>
      </c>
      <c r="B117" s="596">
        <v>41090</v>
      </c>
      <c r="C117" s="597" t="s">
        <v>725</v>
      </c>
      <c r="D117" s="597" t="s">
        <v>1257</v>
      </c>
      <c r="E117" s="597" t="s">
        <v>729</v>
      </c>
      <c r="F117" s="598" t="s">
        <v>1015</v>
      </c>
      <c r="G117" s="599">
        <v>-50</v>
      </c>
      <c r="H117" s="597" t="s">
        <v>808</v>
      </c>
      <c r="I117" s="597" t="s">
        <v>1258</v>
      </c>
      <c r="J117" s="207"/>
    </row>
    <row r="118" spans="1:10">
      <c r="A118" s="488">
        <f t="shared" si="1"/>
        <v>113</v>
      </c>
      <c r="B118" s="596">
        <v>41090</v>
      </c>
      <c r="C118" s="597" t="s">
        <v>725</v>
      </c>
      <c r="D118" s="597" t="s">
        <v>1259</v>
      </c>
      <c r="E118" s="597" t="s">
        <v>1003</v>
      </c>
      <c r="F118" s="598" t="s">
        <v>1015</v>
      </c>
      <c r="G118" s="599">
        <v>-500</v>
      </c>
      <c r="H118" s="597" t="s">
        <v>947</v>
      </c>
      <c r="I118" s="597" t="s">
        <v>1228</v>
      </c>
      <c r="J118" s="207"/>
    </row>
    <row r="119" spans="1:10">
      <c r="A119" s="488">
        <f t="shared" si="1"/>
        <v>114</v>
      </c>
      <c r="B119" s="596">
        <v>41090</v>
      </c>
      <c r="C119" s="597" t="s">
        <v>725</v>
      </c>
      <c r="D119" s="597" t="s">
        <v>813</v>
      </c>
      <c r="E119" s="597" t="s">
        <v>1004</v>
      </c>
      <c r="F119" s="598" t="s">
        <v>730</v>
      </c>
      <c r="G119" s="599">
        <v>-575</v>
      </c>
      <c r="H119" s="597" t="s">
        <v>806</v>
      </c>
      <c r="I119" s="597" t="s">
        <v>994</v>
      </c>
      <c r="J119" s="207"/>
    </row>
    <row r="120" spans="1:10">
      <c r="A120" s="488">
        <f t="shared" si="1"/>
        <v>115</v>
      </c>
      <c r="B120" s="596">
        <v>41090</v>
      </c>
      <c r="C120" s="597" t="s">
        <v>725</v>
      </c>
      <c r="D120" s="597" t="s">
        <v>813</v>
      </c>
      <c r="E120" s="597" t="s">
        <v>1005</v>
      </c>
      <c r="F120" s="598" t="s">
        <v>730</v>
      </c>
      <c r="G120" s="599">
        <v>-500</v>
      </c>
      <c r="H120" s="597" t="s">
        <v>806</v>
      </c>
      <c r="I120" s="597" t="s">
        <v>994</v>
      </c>
      <c r="J120" s="207"/>
    </row>
    <row r="121" spans="1:10">
      <c r="A121" s="488">
        <f t="shared" si="1"/>
        <v>116</v>
      </c>
      <c r="B121" s="596">
        <v>41090</v>
      </c>
      <c r="C121" s="597" t="s">
        <v>725</v>
      </c>
      <c r="D121" s="597" t="s">
        <v>813</v>
      </c>
      <c r="E121" s="597" t="s">
        <v>998</v>
      </c>
      <c r="F121" s="598" t="s">
        <v>1014</v>
      </c>
      <c r="G121" s="599">
        <v>-200</v>
      </c>
      <c r="H121" s="597" t="s">
        <v>806</v>
      </c>
      <c r="I121" s="597" t="s">
        <v>994</v>
      </c>
      <c r="J121" s="207"/>
    </row>
    <row r="122" spans="1:10">
      <c r="A122" s="488">
        <f t="shared" si="1"/>
        <v>117</v>
      </c>
      <c r="B122" s="596">
        <v>41090</v>
      </c>
      <c r="C122" s="597" t="s">
        <v>725</v>
      </c>
      <c r="D122" s="597" t="s">
        <v>813</v>
      </c>
      <c r="E122" s="597" t="s">
        <v>1260</v>
      </c>
      <c r="F122" s="598" t="s">
        <v>1014</v>
      </c>
      <c r="G122" s="599">
        <v>-500</v>
      </c>
      <c r="H122" s="597" t="s">
        <v>806</v>
      </c>
      <c r="I122" s="597" t="s">
        <v>994</v>
      </c>
      <c r="J122" s="207"/>
    </row>
    <row r="123" spans="1:10">
      <c r="A123" s="488">
        <f t="shared" si="1"/>
        <v>118</v>
      </c>
      <c r="B123" s="596">
        <v>41090</v>
      </c>
      <c r="C123" s="597" t="s">
        <v>725</v>
      </c>
      <c r="D123" s="597" t="s">
        <v>813</v>
      </c>
      <c r="E123" s="597" t="s">
        <v>1261</v>
      </c>
      <c r="F123" s="598" t="s">
        <v>663</v>
      </c>
      <c r="G123" s="599">
        <v>-25</v>
      </c>
      <c r="H123" s="597" t="s">
        <v>806</v>
      </c>
      <c r="I123" s="597" t="s">
        <v>994</v>
      </c>
      <c r="J123" s="207"/>
    </row>
    <row r="124" spans="1:10">
      <c r="A124" s="488">
        <f t="shared" si="1"/>
        <v>119</v>
      </c>
      <c r="B124" s="596">
        <v>41090</v>
      </c>
      <c r="C124" s="597" t="s">
        <v>725</v>
      </c>
      <c r="D124" s="597" t="s">
        <v>1257</v>
      </c>
      <c r="E124" s="597" t="s">
        <v>1000</v>
      </c>
      <c r="F124" s="598" t="s">
        <v>1015</v>
      </c>
      <c r="G124" s="599">
        <v>-40</v>
      </c>
      <c r="H124" s="597" t="s">
        <v>997</v>
      </c>
      <c r="I124" s="597" t="s">
        <v>1258</v>
      </c>
      <c r="J124" s="207"/>
    </row>
    <row r="125" spans="1:10">
      <c r="A125" s="488">
        <f t="shared" si="1"/>
        <v>120</v>
      </c>
      <c r="B125" s="596">
        <v>41090</v>
      </c>
      <c r="C125" s="597" t="s">
        <v>725</v>
      </c>
      <c r="D125" s="597" t="s">
        <v>813</v>
      </c>
      <c r="E125" s="597" t="s">
        <v>1010</v>
      </c>
      <c r="F125" s="598" t="s">
        <v>730</v>
      </c>
      <c r="G125" s="599">
        <v>-400</v>
      </c>
      <c r="H125" s="597" t="s">
        <v>806</v>
      </c>
      <c r="I125" s="597" t="s">
        <v>994</v>
      </c>
      <c r="J125" s="207"/>
    </row>
    <row r="126" spans="1:10">
      <c r="A126" s="488">
        <f t="shared" si="1"/>
        <v>121</v>
      </c>
      <c r="B126" s="596">
        <v>41090</v>
      </c>
      <c r="C126" s="597" t="s">
        <v>725</v>
      </c>
      <c r="D126" s="597" t="s">
        <v>1257</v>
      </c>
      <c r="E126" s="597" t="s">
        <v>1203</v>
      </c>
      <c r="F126" s="598" t="s">
        <v>1015</v>
      </c>
      <c r="G126" s="599">
        <v>-800</v>
      </c>
      <c r="H126" s="597" t="s">
        <v>1111</v>
      </c>
      <c r="I126" s="597" t="s">
        <v>1258</v>
      </c>
      <c r="J126" s="207"/>
    </row>
    <row r="127" spans="1:10">
      <c r="A127" s="488">
        <f t="shared" si="1"/>
        <v>122</v>
      </c>
      <c r="B127" s="596">
        <v>41090</v>
      </c>
      <c r="C127" s="597" t="s">
        <v>725</v>
      </c>
      <c r="D127" s="597" t="s">
        <v>813</v>
      </c>
      <c r="E127" s="597" t="s">
        <v>1001</v>
      </c>
      <c r="F127" s="598" t="s">
        <v>663</v>
      </c>
      <c r="G127" s="599">
        <v>-877.79</v>
      </c>
      <c r="H127" s="597" t="s">
        <v>806</v>
      </c>
      <c r="I127" s="597" t="s">
        <v>994</v>
      </c>
      <c r="J127" s="207"/>
    </row>
    <row r="128" spans="1:10">
      <c r="A128" s="488">
        <f t="shared" si="1"/>
        <v>123</v>
      </c>
      <c r="B128" s="596">
        <v>41090</v>
      </c>
      <c r="C128" s="597" t="s">
        <v>725</v>
      </c>
      <c r="D128" s="597" t="s">
        <v>1262</v>
      </c>
      <c r="E128" s="597" t="s">
        <v>1092</v>
      </c>
      <c r="F128" s="598" t="s">
        <v>730</v>
      </c>
      <c r="G128" s="599">
        <v>-1055</v>
      </c>
      <c r="H128" s="597" t="s">
        <v>1109</v>
      </c>
      <c r="I128" s="597" t="s">
        <v>1110</v>
      </c>
      <c r="J128" s="207"/>
    </row>
    <row r="129" spans="1:10">
      <c r="A129" s="488">
        <f t="shared" si="1"/>
        <v>124</v>
      </c>
      <c r="B129" s="596">
        <v>41090</v>
      </c>
      <c r="C129" s="597" t="s">
        <v>726</v>
      </c>
      <c r="D129" s="597" t="s">
        <v>813</v>
      </c>
      <c r="E129" s="597" t="s">
        <v>835</v>
      </c>
      <c r="F129" s="598" t="s">
        <v>1015</v>
      </c>
      <c r="G129" s="599">
        <v>-50</v>
      </c>
      <c r="H129" s="597" t="s">
        <v>806</v>
      </c>
      <c r="I129" s="597" t="s">
        <v>994</v>
      </c>
      <c r="J129" s="207"/>
    </row>
    <row r="130" spans="1:10">
      <c r="A130" s="488">
        <f t="shared" si="1"/>
        <v>125</v>
      </c>
      <c r="B130" s="596">
        <v>41090</v>
      </c>
      <c r="C130" s="597" t="s">
        <v>725</v>
      </c>
      <c r="D130" s="597" t="s">
        <v>813</v>
      </c>
      <c r="E130" s="597" t="s">
        <v>1098</v>
      </c>
      <c r="F130" s="598" t="s">
        <v>730</v>
      </c>
      <c r="G130" s="599">
        <v>-877.5</v>
      </c>
      <c r="H130" s="597" t="s">
        <v>806</v>
      </c>
      <c r="I130" s="597" t="s">
        <v>994</v>
      </c>
      <c r="J130" s="207"/>
    </row>
    <row r="131" spans="1:10">
      <c r="A131" s="488">
        <f t="shared" si="1"/>
        <v>126</v>
      </c>
      <c r="B131" s="596">
        <v>41090</v>
      </c>
      <c r="C131" s="597" t="s">
        <v>725</v>
      </c>
      <c r="D131" s="597" t="s">
        <v>813</v>
      </c>
      <c r="E131" s="597" t="s">
        <v>999</v>
      </c>
      <c r="F131" s="598" t="s">
        <v>730</v>
      </c>
      <c r="G131" s="599">
        <v>-2385.0500000000002</v>
      </c>
      <c r="H131" s="597" t="s">
        <v>806</v>
      </c>
      <c r="I131" s="597" t="s">
        <v>994</v>
      </c>
      <c r="J131" s="207"/>
    </row>
    <row r="132" spans="1:10">
      <c r="A132" s="488">
        <f t="shared" si="1"/>
        <v>127</v>
      </c>
      <c r="B132" s="596">
        <v>41090</v>
      </c>
      <c r="C132" s="597" t="s">
        <v>725</v>
      </c>
      <c r="D132" s="597" t="s">
        <v>813</v>
      </c>
      <c r="E132" s="597" t="s">
        <v>1102</v>
      </c>
      <c r="F132" s="598" t="s">
        <v>663</v>
      </c>
      <c r="G132" s="599">
        <v>-1890</v>
      </c>
      <c r="H132" s="597" t="s">
        <v>806</v>
      </c>
      <c r="I132" s="597" t="s">
        <v>994</v>
      </c>
      <c r="J132" s="207"/>
    </row>
    <row r="133" spans="1:10" ht="15">
      <c r="A133" s="488">
        <f t="shared" si="1"/>
        <v>128</v>
      </c>
      <c r="B133" s="596">
        <v>41090</v>
      </c>
      <c r="C133" s="597" t="s">
        <v>725</v>
      </c>
      <c r="D133" s="597" t="s">
        <v>1257</v>
      </c>
      <c r="E133" s="597" t="s">
        <v>728</v>
      </c>
      <c r="F133" s="598" t="s">
        <v>1015</v>
      </c>
      <c r="G133" s="599">
        <v>-40</v>
      </c>
      <c r="H133" s="597" t="s">
        <v>809</v>
      </c>
      <c r="I133" s="597" t="s">
        <v>1258</v>
      </c>
      <c r="J133" s="602"/>
    </row>
    <row r="134" spans="1:10" ht="15">
      <c r="A134" s="488">
        <f t="shared" si="1"/>
        <v>129</v>
      </c>
      <c r="B134" s="596">
        <v>41090</v>
      </c>
      <c r="C134" s="597" t="s">
        <v>725</v>
      </c>
      <c r="D134" s="597" t="s">
        <v>813</v>
      </c>
      <c r="E134" s="597" t="s">
        <v>948</v>
      </c>
      <c r="F134" s="598" t="s">
        <v>730</v>
      </c>
      <c r="G134" s="599">
        <v>-2688.37</v>
      </c>
      <c r="H134" s="597" t="s">
        <v>806</v>
      </c>
      <c r="I134" s="597" t="s">
        <v>994</v>
      </c>
      <c r="J134" s="602"/>
    </row>
    <row r="135" spans="1:10">
      <c r="A135" s="488">
        <f t="shared" si="1"/>
        <v>130</v>
      </c>
      <c r="B135" s="596">
        <v>41090</v>
      </c>
      <c r="C135" s="597" t="s">
        <v>725</v>
      </c>
      <c r="D135" s="597" t="s">
        <v>813</v>
      </c>
      <c r="E135" s="597" t="s">
        <v>1002</v>
      </c>
      <c r="F135" s="598" t="s">
        <v>730</v>
      </c>
      <c r="G135" s="599">
        <v>-6785</v>
      </c>
      <c r="H135" s="597" t="s">
        <v>806</v>
      </c>
      <c r="I135" s="597" t="s">
        <v>994</v>
      </c>
      <c r="J135" s="207"/>
    </row>
    <row r="136" spans="1:10">
      <c r="A136" s="488">
        <f t="shared" ref="A136:A199" si="2">A135+1</f>
        <v>131</v>
      </c>
      <c r="B136" s="596">
        <v>41121</v>
      </c>
      <c r="C136" s="597" t="s">
        <v>725</v>
      </c>
      <c r="D136" s="597" t="s">
        <v>1263</v>
      </c>
      <c r="E136" s="597" t="s">
        <v>729</v>
      </c>
      <c r="F136" s="598" t="s">
        <v>1015</v>
      </c>
      <c r="G136" s="599">
        <v>-50</v>
      </c>
      <c r="H136" s="597" t="s">
        <v>808</v>
      </c>
      <c r="I136" s="597" t="s">
        <v>1264</v>
      </c>
      <c r="J136" s="207"/>
    </row>
    <row r="137" spans="1:10">
      <c r="A137" s="488">
        <f t="shared" si="2"/>
        <v>132</v>
      </c>
      <c r="B137" s="596">
        <v>41121</v>
      </c>
      <c r="C137" s="597" t="s">
        <v>725</v>
      </c>
      <c r="D137" s="597" t="s">
        <v>15</v>
      </c>
      <c r="E137" s="597" t="s">
        <v>1100</v>
      </c>
      <c r="F137" s="598" t="s">
        <v>1014</v>
      </c>
      <c r="G137" s="599">
        <v>-200</v>
      </c>
      <c r="H137" s="597" t="s">
        <v>806</v>
      </c>
      <c r="I137" s="597" t="s">
        <v>995</v>
      </c>
      <c r="J137" s="207"/>
    </row>
    <row r="138" spans="1:10">
      <c r="A138" s="488">
        <f t="shared" si="2"/>
        <v>133</v>
      </c>
      <c r="B138" s="596">
        <v>41121</v>
      </c>
      <c r="C138" s="597" t="s">
        <v>725</v>
      </c>
      <c r="D138" s="597" t="s">
        <v>1265</v>
      </c>
      <c r="E138" s="597" t="s">
        <v>1003</v>
      </c>
      <c r="F138" s="598" t="s">
        <v>1015</v>
      </c>
      <c r="G138" s="599">
        <v>-500</v>
      </c>
      <c r="H138" s="597" t="s">
        <v>947</v>
      </c>
      <c r="I138" s="597" t="s">
        <v>1228</v>
      </c>
      <c r="J138" s="207"/>
    </row>
    <row r="139" spans="1:10">
      <c r="A139" s="488">
        <f t="shared" si="2"/>
        <v>134</v>
      </c>
      <c r="B139" s="596">
        <v>41121</v>
      </c>
      <c r="C139" s="597" t="s">
        <v>725</v>
      </c>
      <c r="D139" s="597" t="s">
        <v>15</v>
      </c>
      <c r="E139" s="597" t="s">
        <v>1085</v>
      </c>
      <c r="F139" s="598" t="s">
        <v>730</v>
      </c>
      <c r="G139" s="599">
        <v>-575</v>
      </c>
      <c r="H139" s="597" t="s">
        <v>806</v>
      </c>
      <c r="I139" s="597" t="s">
        <v>995</v>
      </c>
      <c r="J139" s="207"/>
    </row>
    <row r="140" spans="1:10">
      <c r="A140" s="488">
        <f t="shared" si="2"/>
        <v>135</v>
      </c>
      <c r="B140" s="596">
        <v>41121</v>
      </c>
      <c r="C140" s="597" t="s">
        <v>725</v>
      </c>
      <c r="D140" s="597" t="s">
        <v>15</v>
      </c>
      <c r="E140" s="597" t="s">
        <v>1085</v>
      </c>
      <c r="F140" s="598" t="s">
        <v>730</v>
      </c>
      <c r="G140" s="599">
        <v>-155.19999999999999</v>
      </c>
      <c r="H140" s="597" t="s">
        <v>806</v>
      </c>
      <c r="I140" s="597" t="s">
        <v>995</v>
      </c>
      <c r="J140" s="207"/>
    </row>
    <row r="141" spans="1:10" ht="15">
      <c r="A141" s="488">
        <f t="shared" si="2"/>
        <v>136</v>
      </c>
      <c r="B141" s="596">
        <v>41121</v>
      </c>
      <c r="C141" s="597" t="s">
        <v>725</v>
      </c>
      <c r="D141" s="597" t="s">
        <v>15</v>
      </c>
      <c r="E141" s="597" t="s">
        <v>1101</v>
      </c>
      <c r="F141" s="598" t="s">
        <v>730</v>
      </c>
      <c r="G141" s="599">
        <v>-500</v>
      </c>
      <c r="H141" s="597" t="s">
        <v>806</v>
      </c>
      <c r="I141" s="597" t="s">
        <v>995</v>
      </c>
      <c r="J141" s="604"/>
    </row>
    <row r="142" spans="1:10">
      <c r="A142" s="488">
        <f t="shared" si="2"/>
        <v>137</v>
      </c>
      <c r="B142" s="596">
        <v>41121</v>
      </c>
      <c r="C142" s="597" t="s">
        <v>725</v>
      </c>
      <c r="D142" s="597" t="s">
        <v>15</v>
      </c>
      <c r="E142" s="597" t="s">
        <v>1080</v>
      </c>
      <c r="F142" s="598" t="s">
        <v>730</v>
      </c>
      <c r="G142" s="599">
        <v>-9116.31</v>
      </c>
      <c r="H142" s="597" t="s">
        <v>806</v>
      </c>
      <c r="I142" s="597" t="s">
        <v>995</v>
      </c>
      <c r="J142" s="207"/>
    </row>
    <row r="143" spans="1:10">
      <c r="A143" s="488">
        <f t="shared" si="2"/>
        <v>138</v>
      </c>
      <c r="B143" s="596">
        <v>41121</v>
      </c>
      <c r="C143" s="597" t="s">
        <v>725</v>
      </c>
      <c r="D143" s="597" t="s">
        <v>15</v>
      </c>
      <c r="E143" s="597" t="s">
        <v>1266</v>
      </c>
      <c r="F143" s="598" t="s">
        <v>730</v>
      </c>
      <c r="G143" s="599">
        <v>-2282.41</v>
      </c>
      <c r="H143" s="597" t="s">
        <v>806</v>
      </c>
      <c r="I143" s="597" t="s">
        <v>995</v>
      </c>
      <c r="J143" s="207"/>
    </row>
    <row r="144" spans="1:10">
      <c r="A144" s="488">
        <f t="shared" si="2"/>
        <v>139</v>
      </c>
      <c r="B144" s="596">
        <v>41121</v>
      </c>
      <c r="C144" s="597" t="s">
        <v>725</v>
      </c>
      <c r="D144" s="597" t="s">
        <v>15</v>
      </c>
      <c r="E144" s="597" t="s">
        <v>1267</v>
      </c>
      <c r="F144" s="598" t="s">
        <v>730</v>
      </c>
      <c r="G144" s="599">
        <v>-1713.49</v>
      </c>
      <c r="H144" s="597" t="s">
        <v>806</v>
      </c>
      <c r="I144" s="597" t="s">
        <v>995</v>
      </c>
      <c r="J144" s="207"/>
    </row>
    <row r="145" spans="1:10">
      <c r="A145" s="488">
        <f t="shared" si="2"/>
        <v>140</v>
      </c>
      <c r="B145" s="596">
        <v>41121</v>
      </c>
      <c r="C145" s="597" t="s">
        <v>725</v>
      </c>
      <c r="D145" s="597" t="s">
        <v>15</v>
      </c>
      <c r="E145" s="597" t="s">
        <v>1268</v>
      </c>
      <c r="F145" s="598" t="s">
        <v>730</v>
      </c>
      <c r="G145" s="599">
        <v>-1713.49</v>
      </c>
      <c r="H145" s="597" t="s">
        <v>806</v>
      </c>
      <c r="I145" s="597" t="s">
        <v>995</v>
      </c>
      <c r="J145" s="207"/>
    </row>
    <row r="146" spans="1:10" ht="15">
      <c r="A146" s="488">
        <f t="shared" si="2"/>
        <v>141</v>
      </c>
      <c r="B146" s="596">
        <v>41121</v>
      </c>
      <c r="C146" s="597" t="s">
        <v>725</v>
      </c>
      <c r="D146" s="597" t="s">
        <v>1263</v>
      </c>
      <c r="E146" s="597" t="s">
        <v>1000</v>
      </c>
      <c r="F146" s="598" t="s">
        <v>1015</v>
      </c>
      <c r="G146" s="599">
        <v>-40</v>
      </c>
      <c r="H146" s="597" t="s">
        <v>997</v>
      </c>
      <c r="I146" s="597" t="s">
        <v>1264</v>
      </c>
      <c r="J146" s="604"/>
    </row>
    <row r="147" spans="1:10">
      <c r="A147" s="488">
        <f t="shared" si="2"/>
        <v>142</v>
      </c>
      <c r="B147" s="596">
        <v>41121</v>
      </c>
      <c r="C147" s="597" t="s">
        <v>725</v>
      </c>
      <c r="D147" s="597" t="s">
        <v>15</v>
      </c>
      <c r="E147" s="597" t="s">
        <v>1251</v>
      </c>
      <c r="F147" s="598" t="s">
        <v>730</v>
      </c>
      <c r="G147" s="599">
        <v>-400</v>
      </c>
      <c r="H147" s="597" t="s">
        <v>806</v>
      </c>
      <c r="I147" s="597" t="s">
        <v>995</v>
      </c>
      <c r="J147" s="207"/>
    </row>
    <row r="148" spans="1:10">
      <c r="A148" s="488">
        <f t="shared" si="2"/>
        <v>143</v>
      </c>
      <c r="B148" s="596">
        <v>41121</v>
      </c>
      <c r="C148" s="597" t="s">
        <v>725</v>
      </c>
      <c r="D148" s="597" t="s">
        <v>1263</v>
      </c>
      <c r="E148" s="597" t="s">
        <v>1203</v>
      </c>
      <c r="F148" s="598" t="s">
        <v>1015</v>
      </c>
      <c r="G148" s="599">
        <v>-800</v>
      </c>
      <c r="H148" s="597" t="s">
        <v>1111</v>
      </c>
      <c r="I148" s="597" t="s">
        <v>1264</v>
      </c>
      <c r="J148" s="207"/>
    </row>
    <row r="149" spans="1:10">
      <c r="A149" s="488">
        <f t="shared" si="2"/>
        <v>144</v>
      </c>
      <c r="B149" s="596">
        <v>41121</v>
      </c>
      <c r="C149" s="597" t="s">
        <v>725</v>
      </c>
      <c r="D149" s="597" t="s">
        <v>15</v>
      </c>
      <c r="E149" s="597" t="s">
        <v>1204</v>
      </c>
      <c r="F149" s="598" t="s">
        <v>663</v>
      </c>
      <c r="G149" s="599">
        <v>-749.75</v>
      </c>
      <c r="H149" s="597" t="s">
        <v>806</v>
      </c>
      <c r="I149" s="597" t="s">
        <v>995</v>
      </c>
      <c r="J149" s="207"/>
    </row>
    <row r="150" spans="1:10">
      <c r="A150" s="488">
        <f t="shared" si="2"/>
        <v>145</v>
      </c>
      <c r="B150" s="596">
        <v>41121</v>
      </c>
      <c r="C150" s="597" t="s">
        <v>725</v>
      </c>
      <c r="D150" s="597" t="s">
        <v>1091</v>
      </c>
      <c r="E150" s="597" t="s">
        <v>1092</v>
      </c>
      <c r="F150" s="598" t="s">
        <v>730</v>
      </c>
      <c r="G150" s="599">
        <v>-1055</v>
      </c>
      <c r="H150" s="597" t="s">
        <v>1109</v>
      </c>
      <c r="I150" s="597" t="s">
        <v>1110</v>
      </c>
      <c r="J150" s="207"/>
    </row>
    <row r="151" spans="1:10">
      <c r="A151" s="488">
        <f t="shared" si="2"/>
        <v>146</v>
      </c>
      <c r="B151" s="596">
        <v>41121</v>
      </c>
      <c r="C151" s="597" t="s">
        <v>726</v>
      </c>
      <c r="D151" s="597" t="s">
        <v>15</v>
      </c>
      <c r="E151" s="597" t="s">
        <v>1105</v>
      </c>
      <c r="F151" s="598" t="s">
        <v>1015</v>
      </c>
      <c r="G151" s="599">
        <v>100</v>
      </c>
      <c r="H151" s="597" t="s">
        <v>806</v>
      </c>
      <c r="I151" s="597" t="s">
        <v>995</v>
      </c>
      <c r="J151" s="207"/>
    </row>
    <row r="152" spans="1:10">
      <c r="A152" s="488">
        <f t="shared" si="2"/>
        <v>147</v>
      </c>
      <c r="B152" s="596">
        <v>41121</v>
      </c>
      <c r="C152" s="597" t="s">
        <v>725</v>
      </c>
      <c r="D152" s="597" t="s">
        <v>15</v>
      </c>
      <c r="E152" s="597" t="s">
        <v>1096</v>
      </c>
      <c r="F152" s="598" t="s">
        <v>730</v>
      </c>
      <c r="G152" s="599">
        <v>-2385.0500000000002</v>
      </c>
      <c r="H152" s="597" t="s">
        <v>806</v>
      </c>
      <c r="I152" s="597" t="s">
        <v>995</v>
      </c>
      <c r="J152" s="207"/>
    </row>
    <row r="153" spans="1:10">
      <c r="A153" s="488">
        <f t="shared" si="2"/>
        <v>148</v>
      </c>
      <c r="B153" s="596">
        <v>41121</v>
      </c>
      <c r="C153" s="597" t="s">
        <v>725</v>
      </c>
      <c r="D153" s="597" t="s">
        <v>15</v>
      </c>
      <c r="E153" s="597" t="s">
        <v>1269</v>
      </c>
      <c r="F153" s="598" t="s">
        <v>663</v>
      </c>
      <c r="G153" s="599">
        <v>-1890</v>
      </c>
      <c r="H153" s="597" t="s">
        <v>806</v>
      </c>
      <c r="I153" s="597" t="s">
        <v>995</v>
      </c>
      <c r="J153" s="207"/>
    </row>
    <row r="154" spans="1:10">
      <c r="A154" s="488">
        <f t="shared" si="2"/>
        <v>149</v>
      </c>
      <c r="B154" s="596">
        <v>41121</v>
      </c>
      <c r="C154" s="597" t="s">
        <v>726</v>
      </c>
      <c r="D154" s="597" t="s">
        <v>15</v>
      </c>
      <c r="E154" s="597" t="s">
        <v>1270</v>
      </c>
      <c r="F154" s="601" t="s">
        <v>1015</v>
      </c>
      <c r="G154" s="599">
        <v>-2100</v>
      </c>
      <c r="H154" s="597" t="s">
        <v>806</v>
      </c>
      <c r="I154" s="597" t="s">
        <v>995</v>
      </c>
      <c r="J154" s="207"/>
    </row>
    <row r="155" spans="1:10">
      <c r="A155" s="488">
        <f t="shared" si="2"/>
        <v>150</v>
      </c>
      <c r="B155" s="596">
        <v>41121</v>
      </c>
      <c r="C155" s="597" t="s">
        <v>725</v>
      </c>
      <c r="D155" s="597" t="s">
        <v>1263</v>
      </c>
      <c r="E155" s="597" t="s">
        <v>728</v>
      </c>
      <c r="F155" s="598" t="s">
        <v>1015</v>
      </c>
      <c r="G155" s="599">
        <v>-40</v>
      </c>
      <c r="H155" s="597" t="s">
        <v>809</v>
      </c>
      <c r="I155" s="597" t="s">
        <v>1264</v>
      </c>
      <c r="J155" s="207"/>
    </row>
    <row r="156" spans="1:10">
      <c r="A156" s="488">
        <f t="shared" si="2"/>
        <v>151</v>
      </c>
      <c r="B156" s="596">
        <v>41121</v>
      </c>
      <c r="C156" s="597" t="s">
        <v>725</v>
      </c>
      <c r="D156" s="597" t="s">
        <v>15</v>
      </c>
      <c r="E156" s="597" t="s">
        <v>948</v>
      </c>
      <c r="F156" s="598" t="s">
        <v>730</v>
      </c>
      <c r="G156" s="599">
        <v>-2688.37</v>
      </c>
      <c r="H156" s="597" t="s">
        <v>806</v>
      </c>
      <c r="I156" s="597" t="s">
        <v>995</v>
      </c>
      <c r="J156" s="207"/>
    </row>
    <row r="157" spans="1:10">
      <c r="A157" s="488">
        <f t="shared" si="2"/>
        <v>152</v>
      </c>
      <c r="B157" s="596">
        <v>41121</v>
      </c>
      <c r="C157" s="597" t="s">
        <v>726</v>
      </c>
      <c r="D157" s="597" t="s">
        <v>15</v>
      </c>
      <c r="E157" s="597" t="s">
        <v>1271</v>
      </c>
      <c r="F157" s="598" t="s">
        <v>1015</v>
      </c>
      <c r="G157" s="599">
        <v>-50</v>
      </c>
      <c r="H157" s="597" t="s">
        <v>806</v>
      </c>
      <c r="I157" s="597" t="s">
        <v>995</v>
      </c>
      <c r="J157" s="207"/>
    </row>
    <row r="158" spans="1:10">
      <c r="A158" s="488">
        <f t="shared" si="2"/>
        <v>153</v>
      </c>
      <c r="B158" s="596">
        <v>41152</v>
      </c>
      <c r="C158" s="597" t="s">
        <v>725</v>
      </c>
      <c r="D158" s="597" t="s">
        <v>1272</v>
      </c>
      <c r="E158" s="597" t="s">
        <v>729</v>
      </c>
      <c r="F158" s="598" t="s">
        <v>1015</v>
      </c>
      <c r="G158" s="599">
        <v>-50</v>
      </c>
      <c r="H158" s="597" t="s">
        <v>808</v>
      </c>
      <c r="I158" s="597" t="s">
        <v>1273</v>
      </c>
      <c r="J158" s="207"/>
    </row>
    <row r="159" spans="1:10">
      <c r="A159" s="488">
        <f t="shared" si="2"/>
        <v>154</v>
      </c>
      <c r="B159" s="596">
        <v>41152</v>
      </c>
      <c r="C159" s="597" t="s">
        <v>726</v>
      </c>
      <c r="D159" s="597" t="s">
        <v>814</v>
      </c>
      <c r="E159" s="597" t="s">
        <v>1274</v>
      </c>
      <c r="F159" s="601" t="s">
        <v>1015</v>
      </c>
      <c r="G159" s="599">
        <v>-100</v>
      </c>
      <c r="H159" s="597" t="s">
        <v>806</v>
      </c>
      <c r="I159" s="597" t="s">
        <v>996</v>
      </c>
      <c r="J159" s="207"/>
    </row>
    <row r="160" spans="1:10">
      <c r="A160" s="488">
        <f t="shared" si="2"/>
        <v>155</v>
      </c>
      <c r="B160" s="596">
        <v>41152</v>
      </c>
      <c r="C160" s="597" t="s">
        <v>725</v>
      </c>
      <c r="D160" s="597" t="s">
        <v>1275</v>
      </c>
      <c r="E160" s="597" t="s">
        <v>1003</v>
      </c>
      <c r="F160" s="598" t="s">
        <v>1015</v>
      </c>
      <c r="G160" s="599">
        <v>-500</v>
      </c>
      <c r="H160" s="597" t="s">
        <v>947</v>
      </c>
      <c r="I160" s="597" t="s">
        <v>1228</v>
      </c>
      <c r="J160" s="207"/>
    </row>
    <row r="161" spans="1:10">
      <c r="A161" s="488">
        <f t="shared" si="2"/>
        <v>156</v>
      </c>
      <c r="B161" s="596">
        <v>41152</v>
      </c>
      <c r="C161" s="597" t="s">
        <v>725</v>
      </c>
      <c r="D161" s="597" t="s">
        <v>814</v>
      </c>
      <c r="E161" s="597" t="s">
        <v>1276</v>
      </c>
      <c r="F161" s="598" t="s">
        <v>730</v>
      </c>
      <c r="G161" s="599">
        <v>-575</v>
      </c>
      <c r="H161" s="597" t="s">
        <v>806</v>
      </c>
      <c r="I161" s="597" t="s">
        <v>996</v>
      </c>
      <c r="J161" s="207"/>
    </row>
    <row r="162" spans="1:10">
      <c r="A162" s="488">
        <f t="shared" si="2"/>
        <v>157</v>
      </c>
      <c r="B162" s="596">
        <v>41152</v>
      </c>
      <c r="C162" s="597" t="s">
        <v>725</v>
      </c>
      <c r="D162" s="597" t="s">
        <v>814</v>
      </c>
      <c r="E162" s="597" t="s">
        <v>1277</v>
      </c>
      <c r="F162" s="598" t="s">
        <v>730</v>
      </c>
      <c r="G162" s="599">
        <v>-500</v>
      </c>
      <c r="H162" s="597" t="s">
        <v>806</v>
      </c>
      <c r="I162" s="597" t="s">
        <v>996</v>
      </c>
      <c r="J162" s="207"/>
    </row>
    <row r="163" spans="1:10">
      <c r="A163" s="488">
        <f t="shared" si="2"/>
        <v>158</v>
      </c>
      <c r="B163" s="596">
        <v>41152</v>
      </c>
      <c r="C163" s="597" t="s">
        <v>725</v>
      </c>
      <c r="D163" s="597" t="s">
        <v>814</v>
      </c>
      <c r="E163" s="597" t="s">
        <v>1278</v>
      </c>
      <c r="F163" s="598" t="s">
        <v>1014</v>
      </c>
      <c r="G163" s="599">
        <v>-350</v>
      </c>
      <c r="H163" s="597" t="s">
        <v>806</v>
      </c>
      <c r="I163" s="597" t="s">
        <v>996</v>
      </c>
      <c r="J163" s="207"/>
    </row>
    <row r="164" spans="1:10">
      <c r="A164" s="488">
        <f t="shared" si="2"/>
        <v>159</v>
      </c>
      <c r="B164" s="596">
        <v>41152</v>
      </c>
      <c r="C164" s="597" t="s">
        <v>725</v>
      </c>
      <c r="D164" s="597" t="s">
        <v>814</v>
      </c>
      <c r="E164" s="597" t="s">
        <v>1279</v>
      </c>
      <c r="F164" s="598" t="s">
        <v>1014</v>
      </c>
      <c r="G164" s="599">
        <v>-200</v>
      </c>
      <c r="H164" s="597" t="s">
        <v>806</v>
      </c>
      <c r="I164" s="597" t="s">
        <v>996</v>
      </c>
      <c r="J164" s="207"/>
    </row>
    <row r="165" spans="1:10">
      <c r="A165" s="488">
        <f t="shared" si="2"/>
        <v>160</v>
      </c>
      <c r="B165" s="596">
        <v>41152</v>
      </c>
      <c r="C165" s="597" t="s">
        <v>725</v>
      </c>
      <c r="D165" s="597" t="s">
        <v>814</v>
      </c>
      <c r="E165" s="597" t="s">
        <v>1006</v>
      </c>
      <c r="F165" s="598" t="s">
        <v>1015</v>
      </c>
      <c r="G165" s="599">
        <v>-100</v>
      </c>
      <c r="H165" s="597" t="s">
        <v>806</v>
      </c>
      <c r="I165" s="597" t="s">
        <v>996</v>
      </c>
      <c r="J165" s="207"/>
    </row>
    <row r="166" spans="1:10">
      <c r="A166" s="488">
        <f t="shared" si="2"/>
        <v>161</v>
      </c>
      <c r="B166" s="596">
        <v>41152</v>
      </c>
      <c r="C166" s="597" t="s">
        <v>725</v>
      </c>
      <c r="D166" s="597" t="s">
        <v>814</v>
      </c>
      <c r="E166" s="597" t="s">
        <v>1007</v>
      </c>
      <c r="F166" s="598" t="s">
        <v>730</v>
      </c>
      <c r="G166" s="599">
        <v>-2282.41</v>
      </c>
      <c r="H166" s="597" t="s">
        <v>806</v>
      </c>
      <c r="I166" s="597" t="s">
        <v>996</v>
      </c>
      <c r="J166" s="207"/>
    </row>
    <row r="167" spans="1:10">
      <c r="A167" s="488">
        <f t="shared" si="2"/>
        <v>162</v>
      </c>
      <c r="B167" s="596">
        <v>41152</v>
      </c>
      <c r="C167" s="597" t="s">
        <v>725</v>
      </c>
      <c r="D167" s="597" t="s">
        <v>814</v>
      </c>
      <c r="E167" s="597" t="s">
        <v>1008</v>
      </c>
      <c r="F167" s="598" t="s">
        <v>730</v>
      </c>
      <c r="G167" s="599">
        <v>-1713.49</v>
      </c>
      <c r="H167" s="597" t="s">
        <v>806</v>
      </c>
      <c r="I167" s="597" t="s">
        <v>996</v>
      </c>
      <c r="J167" s="207"/>
    </row>
    <row r="168" spans="1:10" ht="15">
      <c r="A168" s="488">
        <f t="shared" si="2"/>
        <v>163</v>
      </c>
      <c r="B168" s="596">
        <v>41152</v>
      </c>
      <c r="C168" s="597" t="s">
        <v>725</v>
      </c>
      <c r="D168" s="597" t="s">
        <v>814</v>
      </c>
      <c r="E168" s="597" t="s">
        <v>1009</v>
      </c>
      <c r="F168" s="598" t="s">
        <v>730</v>
      </c>
      <c r="G168" s="599">
        <v>-1713.49</v>
      </c>
      <c r="H168" s="597" t="s">
        <v>806</v>
      </c>
      <c r="I168" s="597" t="s">
        <v>996</v>
      </c>
      <c r="J168" s="604"/>
    </row>
    <row r="169" spans="1:10">
      <c r="A169" s="488">
        <f t="shared" si="2"/>
        <v>164</v>
      </c>
      <c r="B169" s="596">
        <v>41152</v>
      </c>
      <c r="C169" s="597" t="s">
        <v>725</v>
      </c>
      <c r="D169" s="597" t="s">
        <v>1272</v>
      </c>
      <c r="E169" s="597" t="s">
        <v>1000</v>
      </c>
      <c r="F169" s="598" t="s">
        <v>1015</v>
      </c>
      <c r="G169" s="599">
        <v>-40</v>
      </c>
      <c r="H169" s="597" t="s">
        <v>997</v>
      </c>
      <c r="I169" s="597" t="s">
        <v>1273</v>
      </c>
      <c r="J169" s="207"/>
    </row>
    <row r="170" spans="1:10">
      <c r="A170" s="488">
        <f t="shared" si="2"/>
        <v>165</v>
      </c>
      <c r="B170" s="596">
        <v>41152</v>
      </c>
      <c r="C170" s="597" t="s">
        <v>725</v>
      </c>
      <c r="D170" s="597" t="s">
        <v>814</v>
      </c>
      <c r="E170" s="597" t="s">
        <v>1280</v>
      </c>
      <c r="F170" s="598" t="s">
        <v>730</v>
      </c>
      <c r="G170" s="599">
        <v>-400</v>
      </c>
      <c r="H170" s="597" t="s">
        <v>806</v>
      </c>
      <c r="I170" s="597" t="s">
        <v>996</v>
      </c>
      <c r="J170" s="207"/>
    </row>
    <row r="171" spans="1:10">
      <c r="A171" s="488">
        <f t="shared" si="2"/>
        <v>166</v>
      </c>
      <c r="B171" s="596">
        <v>41152</v>
      </c>
      <c r="C171" s="597" t="s">
        <v>725</v>
      </c>
      <c r="D171" s="597" t="s">
        <v>1272</v>
      </c>
      <c r="E171" s="597" t="s">
        <v>1203</v>
      </c>
      <c r="F171" s="598" t="s">
        <v>1015</v>
      </c>
      <c r="G171" s="599">
        <v>-800</v>
      </c>
      <c r="H171" s="597" t="s">
        <v>1111</v>
      </c>
      <c r="I171" s="597" t="s">
        <v>1273</v>
      </c>
      <c r="J171" s="207"/>
    </row>
    <row r="172" spans="1:10">
      <c r="A172" s="488">
        <f t="shared" si="2"/>
        <v>167</v>
      </c>
      <c r="B172" s="596">
        <v>41152</v>
      </c>
      <c r="C172" s="597" t="s">
        <v>725</v>
      </c>
      <c r="D172" s="597" t="s">
        <v>814</v>
      </c>
      <c r="E172" s="597" t="s">
        <v>1204</v>
      </c>
      <c r="F172" s="598" t="s">
        <v>663</v>
      </c>
      <c r="G172" s="599">
        <v>-518.47</v>
      </c>
      <c r="H172" s="597" t="s">
        <v>806</v>
      </c>
      <c r="I172" s="597" t="s">
        <v>996</v>
      </c>
      <c r="J172" s="207"/>
    </row>
    <row r="173" spans="1:10">
      <c r="A173" s="488">
        <f t="shared" si="2"/>
        <v>168</v>
      </c>
      <c r="B173" s="596">
        <v>41152</v>
      </c>
      <c r="C173" s="597" t="s">
        <v>725</v>
      </c>
      <c r="D173" s="597" t="s">
        <v>1093</v>
      </c>
      <c r="E173" s="597" t="s">
        <v>1092</v>
      </c>
      <c r="F173" s="598" t="s">
        <v>730</v>
      </c>
      <c r="G173" s="599">
        <v>-1055</v>
      </c>
      <c r="H173" s="597" t="s">
        <v>1109</v>
      </c>
      <c r="I173" s="597" t="s">
        <v>1110</v>
      </c>
      <c r="J173" s="207"/>
    </row>
    <row r="174" spans="1:10">
      <c r="A174" s="488">
        <f t="shared" si="2"/>
        <v>169</v>
      </c>
      <c r="B174" s="596">
        <v>41152</v>
      </c>
      <c r="C174" s="597" t="s">
        <v>726</v>
      </c>
      <c r="D174" s="597" t="s">
        <v>814</v>
      </c>
      <c r="E174" s="597" t="s">
        <v>1281</v>
      </c>
      <c r="F174" s="598" t="s">
        <v>1015</v>
      </c>
      <c r="G174" s="599">
        <v>-50</v>
      </c>
      <c r="H174" s="597" t="s">
        <v>806</v>
      </c>
      <c r="I174" s="597" t="s">
        <v>996</v>
      </c>
      <c r="J174" s="207"/>
    </row>
    <row r="175" spans="1:10">
      <c r="A175" s="488">
        <f t="shared" si="2"/>
        <v>170</v>
      </c>
      <c r="B175" s="596">
        <v>41152</v>
      </c>
      <c r="C175" s="597" t="s">
        <v>725</v>
      </c>
      <c r="D175" s="597" t="s">
        <v>814</v>
      </c>
      <c r="E175" s="597" t="s">
        <v>1282</v>
      </c>
      <c r="F175" s="598" t="s">
        <v>1015</v>
      </c>
      <c r="G175" s="599">
        <v>-190</v>
      </c>
      <c r="H175" s="597" t="s">
        <v>806</v>
      </c>
      <c r="I175" s="597" t="s">
        <v>996</v>
      </c>
      <c r="J175" s="207"/>
    </row>
    <row r="176" spans="1:10">
      <c r="A176" s="488">
        <f t="shared" si="2"/>
        <v>171</v>
      </c>
      <c r="B176" s="596">
        <v>41152</v>
      </c>
      <c r="C176" s="597" t="s">
        <v>725</v>
      </c>
      <c r="D176" s="597" t="s">
        <v>814</v>
      </c>
      <c r="E176" s="597" t="s">
        <v>1283</v>
      </c>
      <c r="F176" s="598" t="s">
        <v>1015</v>
      </c>
      <c r="G176" s="599">
        <v>-470</v>
      </c>
      <c r="H176" s="597" t="s">
        <v>806</v>
      </c>
      <c r="I176" s="597" t="s">
        <v>996</v>
      </c>
      <c r="J176" s="207"/>
    </row>
    <row r="177" spans="1:10">
      <c r="A177" s="488">
        <f t="shared" si="2"/>
        <v>172</v>
      </c>
      <c r="B177" s="596">
        <v>41152</v>
      </c>
      <c r="C177" s="597" t="s">
        <v>725</v>
      </c>
      <c r="D177" s="597" t="s">
        <v>814</v>
      </c>
      <c r="E177" s="597" t="s">
        <v>1284</v>
      </c>
      <c r="F177" s="598" t="s">
        <v>730</v>
      </c>
      <c r="G177" s="599">
        <v>-2385.0500000000002</v>
      </c>
      <c r="H177" s="597" t="s">
        <v>806</v>
      </c>
      <c r="I177" s="597" t="s">
        <v>996</v>
      </c>
      <c r="J177" s="207"/>
    </row>
    <row r="178" spans="1:10">
      <c r="A178" s="488">
        <f t="shared" si="2"/>
        <v>173</v>
      </c>
      <c r="B178" s="596">
        <v>41152</v>
      </c>
      <c r="C178" s="597" t="s">
        <v>725</v>
      </c>
      <c r="D178" s="597" t="s">
        <v>814</v>
      </c>
      <c r="E178" s="597" t="s">
        <v>1269</v>
      </c>
      <c r="F178" s="598" t="s">
        <v>663</v>
      </c>
      <c r="G178" s="599">
        <v>-1890</v>
      </c>
      <c r="H178" s="597" t="s">
        <v>806</v>
      </c>
      <c r="I178" s="597" t="s">
        <v>996</v>
      </c>
      <c r="J178" s="207"/>
    </row>
    <row r="179" spans="1:10">
      <c r="A179" s="488">
        <f t="shared" si="2"/>
        <v>174</v>
      </c>
      <c r="B179" s="596">
        <v>41152</v>
      </c>
      <c r="C179" s="597" t="s">
        <v>725</v>
      </c>
      <c r="D179" s="597" t="s">
        <v>1272</v>
      </c>
      <c r="E179" s="597" t="s">
        <v>728</v>
      </c>
      <c r="F179" s="598" t="s">
        <v>1015</v>
      </c>
      <c r="G179" s="599">
        <v>-40</v>
      </c>
      <c r="H179" s="597" t="s">
        <v>809</v>
      </c>
      <c r="I179" s="597" t="s">
        <v>1273</v>
      </c>
      <c r="J179" s="207"/>
    </row>
    <row r="180" spans="1:10">
      <c r="A180" s="488">
        <f t="shared" si="2"/>
        <v>175</v>
      </c>
      <c r="B180" s="596">
        <v>41152</v>
      </c>
      <c r="C180" s="597" t="s">
        <v>725</v>
      </c>
      <c r="D180" s="597" t="s">
        <v>814</v>
      </c>
      <c r="E180" s="597" t="s">
        <v>948</v>
      </c>
      <c r="F180" s="598" t="s">
        <v>730</v>
      </c>
      <c r="G180" s="599">
        <v>-2688.37</v>
      </c>
      <c r="H180" s="597" t="s">
        <v>806</v>
      </c>
      <c r="I180" s="597" t="s">
        <v>996</v>
      </c>
      <c r="J180" s="207"/>
    </row>
    <row r="181" spans="1:10">
      <c r="A181" s="488">
        <f t="shared" si="2"/>
        <v>176</v>
      </c>
      <c r="B181" s="596">
        <v>41182</v>
      </c>
      <c r="C181" s="597" t="s">
        <v>725</v>
      </c>
      <c r="D181" s="597" t="s">
        <v>1285</v>
      </c>
      <c r="E181" s="597" t="s">
        <v>729</v>
      </c>
      <c r="F181" s="598" t="s">
        <v>1015</v>
      </c>
      <c r="G181" s="599">
        <v>-50</v>
      </c>
      <c r="H181" s="597" t="s">
        <v>808</v>
      </c>
      <c r="I181" s="597" t="s">
        <v>1286</v>
      </c>
      <c r="J181" s="207"/>
    </row>
    <row r="182" spans="1:10" ht="15">
      <c r="A182" s="488">
        <f t="shared" si="2"/>
        <v>177</v>
      </c>
      <c r="B182" s="596">
        <v>41182</v>
      </c>
      <c r="C182" s="597" t="s">
        <v>725</v>
      </c>
      <c r="D182" s="597" t="s">
        <v>1285</v>
      </c>
      <c r="E182" s="597" t="s">
        <v>729</v>
      </c>
      <c r="F182" s="598" t="s">
        <v>1015</v>
      </c>
      <c r="G182" s="599">
        <v>-50</v>
      </c>
      <c r="H182" s="597" t="s">
        <v>808</v>
      </c>
      <c r="I182" s="597" t="s">
        <v>1286</v>
      </c>
      <c r="J182" s="602"/>
    </row>
    <row r="183" spans="1:10">
      <c r="A183" s="488">
        <f t="shared" si="2"/>
        <v>178</v>
      </c>
      <c r="B183" s="596">
        <v>41182</v>
      </c>
      <c r="C183" s="597" t="s">
        <v>725</v>
      </c>
      <c r="D183" s="597" t="s">
        <v>1287</v>
      </c>
      <c r="E183" s="597" t="s">
        <v>1003</v>
      </c>
      <c r="F183" s="598" t="s">
        <v>1015</v>
      </c>
      <c r="G183" s="599">
        <v>-500</v>
      </c>
      <c r="H183" s="597" t="s">
        <v>947</v>
      </c>
      <c r="I183" s="597" t="s">
        <v>1228</v>
      </c>
      <c r="J183" s="207"/>
    </row>
    <row r="184" spans="1:10">
      <c r="A184" s="488">
        <f t="shared" si="2"/>
        <v>179</v>
      </c>
      <c r="B184" s="596">
        <v>41182</v>
      </c>
      <c r="C184" s="597" t="s">
        <v>725</v>
      </c>
      <c r="D184" s="597" t="s">
        <v>815</v>
      </c>
      <c r="E184" s="597" t="s">
        <v>1288</v>
      </c>
      <c r="F184" s="598" t="s">
        <v>730</v>
      </c>
      <c r="G184" s="599">
        <v>155.19999999999999</v>
      </c>
      <c r="H184" s="597" t="s">
        <v>806</v>
      </c>
      <c r="I184" s="597" t="s">
        <v>1289</v>
      </c>
      <c r="J184" s="207"/>
    </row>
    <row r="185" spans="1:10">
      <c r="A185" s="488">
        <f t="shared" si="2"/>
        <v>180</v>
      </c>
      <c r="B185" s="596">
        <v>41182</v>
      </c>
      <c r="C185" s="597" t="s">
        <v>725</v>
      </c>
      <c r="D185" s="597" t="s">
        <v>815</v>
      </c>
      <c r="E185" s="597" t="s">
        <v>1303</v>
      </c>
      <c r="F185" s="601" t="s">
        <v>663</v>
      </c>
      <c r="G185" s="599">
        <v>-8.33</v>
      </c>
      <c r="H185" s="597" t="s">
        <v>806</v>
      </c>
      <c r="I185" s="597" t="s">
        <v>1289</v>
      </c>
      <c r="J185" s="207"/>
    </row>
    <row r="186" spans="1:10">
      <c r="A186" s="488">
        <f t="shared" si="2"/>
        <v>181</v>
      </c>
      <c r="B186" s="596">
        <v>41182</v>
      </c>
      <c r="C186" s="597" t="s">
        <v>726</v>
      </c>
      <c r="D186" s="597" t="s">
        <v>815</v>
      </c>
      <c r="E186" s="597" t="s">
        <v>1304</v>
      </c>
      <c r="F186" s="601" t="s">
        <v>1015</v>
      </c>
      <c r="G186" s="599">
        <v>-41.65</v>
      </c>
      <c r="H186" s="597" t="s">
        <v>806</v>
      </c>
      <c r="I186" s="597" t="s">
        <v>1289</v>
      </c>
      <c r="J186" s="207"/>
    </row>
    <row r="187" spans="1:10">
      <c r="A187" s="488">
        <f t="shared" si="2"/>
        <v>182</v>
      </c>
      <c r="B187" s="596">
        <v>41182</v>
      </c>
      <c r="C187" s="597" t="s">
        <v>725</v>
      </c>
      <c r="D187" s="597" t="s">
        <v>815</v>
      </c>
      <c r="E187" s="597" t="s">
        <v>1204</v>
      </c>
      <c r="F187" s="601" t="s">
        <v>663</v>
      </c>
      <c r="G187" s="599">
        <v>-948.34</v>
      </c>
      <c r="H187" s="597" t="s">
        <v>806</v>
      </c>
      <c r="I187" s="597" t="s">
        <v>1289</v>
      </c>
      <c r="J187" s="207"/>
    </row>
    <row r="188" spans="1:10">
      <c r="A188" s="488">
        <f t="shared" si="2"/>
        <v>183</v>
      </c>
      <c r="B188" s="596">
        <v>41182</v>
      </c>
      <c r="C188" s="597" t="s">
        <v>725</v>
      </c>
      <c r="D188" s="597" t="s">
        <v>815</v>
      </c>
      <c r="E188" s="597" t="s">
        <v>1305</v>
      </c>
      <c r="F188" s="601" t="s">
        <v>1015</v>
      </c>
      <c r="G188" s="599">
        <v>-620</v>
      </c>
      <c r="H188" s="597" t="s">
        <v>806</v>
      </c>
      <c r="I188" s="597" t="s">
        <v>1289</v>
      </c>
      <c r="J188" s="207"/>
    </row>
    <row r="189" spans="1:10">
      <c r="A189" s="488">
        <f t="shared" si="2"/>
        <v>184</v>
      </c>
      <c r="B189" s="596">
        <v>41182</v>
      </c>
      <c r="C189" s="597" t="s">
        <v>725</v>
      </c>
      <c r="D189" s="597" t="s">
        <v>1285</v>
      </c>
      <c r="E189" s="597" t="s">
        <v>1000</v>
      </c>
      <c r="F189" s="598" t="s">
        <v>1015</v>
      </c>
      <c r="G189" s="599">
        <v>-40</v>
      </c>
      <c r="H189" s="597" t="s">
        <v>997</v>
      </c>
      <c r="I189" s="597" t="s">
        <v>1286</v>
      </c>
      <c r="J189" s="207"/>
    </row>
    <row r="190" spans="1:10">
      <c r="A190" s="488">
        <f t="shared" si="2"/>
        <v>185</v>
      </c>
      <c r="B190" s="596">
        <v>41182</v>
      </c>
      <c r="C190" s="597" t="s">
        <v>725</v>
      </c>
      <c r="D190" s="597" t="s">
        <v>1285</v>
      </c>
      <c r="E190" s="597" t="s">
        <v>1000</v>
      </c>
      <c r="F190" s="598" t="s">
        <v>1015</v>
      </c>
      <c r="G190" s="599">
        <v>-40</v>
      </c>
      <c r="H190" s="597" t="s">
        <v>997</v>
      </c>
      <c r="I190" s="597" t="s">
        <v>1286</v>
      </c>
      <c r="J190" s="207"/>
    </row>
    <row r="191" spans="1:10">
      <c r="A191" s="488">
        <f t="shared" si="2"/>
        <v>186</v>
      </c>
      <c r="B191" s="596">
        <v>41182</v>
      </c>
      <c r="C191" s="597" t="s">
        <v>725</v>
      </c>
      <c r="D191" s="597" t="s">
        <v>1285</v>
      </c>
      <c r="E191" s="597" t="s">
        <v>1203</v>
      </c>
      <c r="F191" s="598" t="s">
        <v>1015</v>
      </c>
      <c r="G191" s="599">
        <v>-800</v>
      </c>
      <c r="H191" s="597" t="s">
        <v>1111</v>
      </c>
      <c r="I191" s="597" t="s">
        <v>1286</v>
      </c>
      <c r="J191" s="207"/>
    </row>
    <row r="192" spans="1:10">
      <c r="A192" s="488">
        <f t="shared" si="2"/>
        <v>187</v>
      </c>
      <c r="B192" s="596">
        <v>41182</v>
      </c>
      <c r="C192" s="597" t="s">
        <v>725</v>
      </c>
      <c r="D192" s="597" t="s">
        <v>1285</v>
      </c>
      <c r="E192" s="597" t="s">
        <v>1203</v>
      </c>
      <c r="F192" s="598" t="s">
        <v>1015</v>
      </c>
      <c r="G192" s="599">
        <v>-800</v>
      </c>
      <c r="H192" s="597" t="s">
        <v>1111</v>
      </c>
      <c r="I192" s="597" t="s">
        <v>1286</v>
      </c>
      <c r="J192" s="207"/>
    </row>
    <row r="193" spans="1:10">
      <c r="A193" s="488">
        <f t="shared" si="2"/>
        <v>188</v>
      </c>
      <c r="B193" s="596">
        <v>41182</v>
      </c>
      <c r="C193" s="597" t="s">
        <v>725</v>
      </c>
      <c r="D193" s="597" t="s">
        <v>1094</v>
      </c>
      <c r="E193" s="597" t="s">
        <v>1092</v>
      </c>
      <c r="F193" s="598" t="s">
        <v>730</v>
      </c>
      <c r="G193" s="599">
        <v>-1055</v>
      </c>
      <c r="H193" s="597" t="s">
        <v>1109</v>
      </c>
      <c r="I193" s="597" t="s">
        <v>1110</v>
      </c>
      <c r="J193" s="207"/>
    </row>
    <row r="194" spans="1:10">
      <c r="A194" s="488">
        <f t="shared" si="2"/>
        <v>189</v>
      </c>
      <c r="B194" s="596">
        <v>41182</v>
      </c>
      <c r="C194" s="597" t="s">
        <v>725</v>
      </c>
      <c r="D194" s="597" t="s">
        <v>1285</v>
      </c>
      <c r="E194" s="597" t="s">
        <v>728</v>
      </c>
      <c r="F194" s="598" t="s">
        <v>1015</v>
      </c>
      <c r="G194" s="599">
        <v>-40</v>
      </c>
      <c r="H194" s="597" t="s">
        <v>809</v>
      </c>
      <c r="I194" s="597" t="s">
        <v>1286</v>
      </c>
      <c r="J194" s="605"/>
    </row>
    <row r="195" spans="1:10">
      <c r="A195" s="488">
        <f t="shared" si="2"/>
        <v>190</v>
      </c>
      <c r="B195" s="596">
        <v>41182</v>
      </c>
      <c r="C195" s="597" t="s">
        <v>725</v>
      </c>
      <c r="D195" s="597" t="s">
        <v>1285</v>
      </c>
      <c r="E195" s="597" t="s">
        <v>728</v>
      </c>
      <c r="F195" s="598" t="s">
        <v>1015</v>
      </c>
      <c r="G195" s="599">
        <v>-40</v>
      </c>
      <c r="H195" s="597" t="s">
        <v>809</v>
      </c>
      <c r="I195" s="597" t="s">
        <v>1286</v>
      </c>
      <c r="J195" s="605"/>
    </row>
    <row r="196" spans="1:10">
      <c r="A196" s="488">
        <f t="shared" si="2"/>
        <v>191</v>
      </c>
      <c r="B196" s="596">
        <v>41213</v>
      </c>
      <c r="C196" s="597" t="s">
        <v>725</v>
      </c>
      <c r="D196" s="597" t="s">
        <v>1290</v>
      </c>
      <c r="E196" s="597" t="s">
        <v>1003</v>
      </c>
      <c r="F196" s="598" t="s">
        <v>1015</v>
      </c>
      <c r="G196" s="599">
        <v>-500</v>
      </c>
      <c r="H196" s="597" t="s">
        <v>947</v>
      </c>
      <c r="I196" s="597" t="s">
        <v>1228</v>
      </c>
      <c r="J196" s="605"/>
    </row>
    <row r="197" spans="1:10">
      <c r="A197" s="488">
        <f t="shared" si="2"/>
        <v>192</v>
      </c>
      <c r="B197" s="596">
        <v>41213</v>
      </c>
      <c r="C197" s="597" t="s">
        <v>725</v>
      </c>
      <c r="D197" s="597" t="s">
        <v>816</v>
      </c>
      <c r="E197" s="597" t="s">
        <v>1291</v>
      </c>
      <c r="F197" s="598" t="s">
        <v>730</v>
      </c>
      <c r="G197" s="599">
        <v>500</v>
      </c>
      <c r="H197" s="597" t="s">
        <v>806</v>
      </c>
      <c r="I197" s="597" t="s">
        <v>1289</v>
      </c>
      <c r="J197" s="605"/>
    </row>
    <row r="198" spans="1:10">
      <c r="A198" s="488">
        <f t="shared" si="2"/>
        <v>193</v>
      </c>
      <c r="B198" s="596">
        <v>41213</v>
      </c>
      <c r="C198" s="597" t="s">
        <v>725</v>
      </c>
      <c r="D198" s="597" t="s">
        <v>816</v>
      </c>
      <c r="E198" s="597" t="s">
        <v>1292</v>
      </c>
      <c r="F198" s="598" t="s">
        <v>730</v>
      </c>
      <c r="G198" s="599">
        <v>1713.49</v>
      </c>
      <c r="H198" s="597" t="s">
        <v>806</v>
      </c>
      <c r="I198" s="597" t="s">
        <v>1293</v>
      </c>
      <c r="J198" s="605"/>
    </row>
    <row r="199" spans="1:10">
      <c r="A199" s="488">
        <f t="shared" si="2"/>
        <v>194</v>
      </c>
      <c r="B199" s="596">
        <v>41213</v>
      </c>
      <c r="C199" s="597" t="s">
        <v>725</v>
      </c>
      <c r="D199" s="597" t="s">
        <v>816</v>
      </c>
      <c r="E199" s="597" t="s">
        <v>1292</v>
      </c>
      <c r="F199" s="598" t="s">
        <v>730</v>
      </c>
      <c r="G199" s="599">
        <v>1713.49</v>
      </c>
      <c r="H199" s="597" t="s">
        <v>806</v>
      </c>
      <c r="I199" s="597" t="s">
        <v>1293</v>
      </c>
      <c r="J199" s="605"/>
    </row>
    <row r="200" spans="1:10">
      <c r="A200" s="488">
        <f t="shared" ref="A200:A296" si="3">A199+1</f>
        <v>195</v>
      </c>
      <c r="B200" s="596">
        <v>41213</v>
      </c>
      <c r="C200" s="597" t="s">
        <v>725</v>
      </c>
      <c r="D200" s="597" t="s">
        <v>816</v>
      </c>
      <c r="E200" s="597" t="s">
        <v>1292</v>
      </c>
      <c r="F200" s="598" t="s">
        <v>730</v>
      </c>
      <c r="G200" s="599">
        <v>2282.41</v>
      </c>
      <c r="H200" s="597" t="s">
        <v>806</v>
      </c>
      <c r="I200" s="597" t="s">
        <v>1293</v>
      </c>
      <c r="J200" s="605"/>
    </row>
    <row r="201" spans="1:10">
      <c r="A201" s="488">
        <f t="shared" si="3"/>
        <v>196</v>
      </c>
      <c r="B201" s="596">
        <v>41213</v>
      </c>
      <c r="C201" s="597" t="s">
        <v>725</v>
      </c>
      <c r="D201" s="597" t="s">
        <v>816</v>
      </c>
      <c r="E201" s="597" t="s">
        <v>1303</v>
      </c>
      <c r="F201" s="601" t="s">
        <v>663</v>
      </c>
      <c r="G201" s="599">
        <v>-8.33</v>
      </c>
      <c r="H201" s="597" t="s">
        <v>806</v>
      </c>
      <c r="I201" s="597" t="s">
        <v>1289</v>
      </c>
      <c r="J201" s="605"/>
    </row>
    <row r="202" spans="1:10">
      <c r="A202" s="488">
        <f t="shared" si="3"/>
        <v>197</v>
      </c>
      <c r="B202" s="596">
        <v>41213</v>
      </c>
      <c r="C202" s="597" t="s">
        <v>725</v>
      </c>
      <c r="D202" s="597" t="s">
        <v>816</v>
      </c>
      <c r="E202" s="597" t="s">
        <v>1306</v>
      </c>
      <c r="F202" s="601" t="s">
        <v>1015</v>
      </c>
      <c r="G202" s="599">
        <v>-95</v>
      </c>
      <c r="H202" s="597" t="s">
        <v>806</v>
      </c>
      <c r="I202" s="597" t="s">
        <v>1289</v>
      </c>
      <c r="J202" s="605"/>
    </row>
    <row r="203" spans="1:10">
      <c r="A203" s="488">
        <f t="shared" si="3"/>
        <v>198</v>
      </c>
      <c r="B203" s="596">
        <v>41213</v>
      </c>
      <c r="C203" s="597" t="s">
        <v>725</v>
      </c>
      <c r="D203" s="597" t="s">
        <v>816</v>
      </c>
      <c r="E203" s="597" t="s">
        <v>1307</v>
      </c>
      <c r="F203" s="601" t="s">
        <v>1015</v>
      </c>
      <c r="G203" s="599">
        <v>-10.83</v>
      </c>
      <c r="H203" s="597" t="s">
        <v>806</v>
      </c>
      <c r="I203" s="597" t="s">
        <v>1289</v>
      </c>
      <c r="J203" s="605"/>
    </row>
    <row r="204" spans="1:10">
      <c r="A204" s="488">
        <f t="shared" si="3"/>
        <v>199</v>
      </c>
      <c r="B204" s="596">
        <v>41213</v>
      </c>
      <c r="C204" s="597" t="s">
        <v>726</v>
      </c>
      <c r="D204" s="597" t="s">
        <v>816</v>
      </c>
      <c r="E204" s="597" t="s">
        <v>1304</v>
      </c>
      <c r="F204" s="601" t="s">
        <v>1015</v>
      </c>
      <c r="G204" s="599">
        <v>-8.33</v>
      </c>
      <c r="H204" s="597" t="s">
        <v>806</v>
      </c>
      <c r="I204" s="597" t="s">
        <v>1289</v>
      </c>
      <c r="J204" s="605"/>
    </row>
    <row r="205" spans="1:10">
      <c r="A205" s="488">
        <f t="shared" si="3"/>
        <v>200</v>
      </c>
      <c r="B205" s="596">
        <v>41213</v>
      </c>
      <c r="C205" s="597" t="s">
        <v>725</v>
      </c>
      <c r="D205" s="597" t="s">
        <v>816</v>
      </c>
      <c r="E205" s="597" t="s">
        <v>1308</v>
      </c>
      <c r="F205" s="601" t="s">
        <v>1014</v>
      </c>
      <c r="G205" s="599">
        <v>400</v>
      </c>
      <c r="H205" s="597" t="s">
        <v>806</v>
      </c>
      <c r="I205" s="597" t="s">
        <v>1289</v>
      </c>
      <c r="J205" s="605"/>
    </row>
    <row r="206" spans="1:10">
      <c r="A206" s="488">
        <f t="shared" si="3"/>
        <v>201</v>
      </c>
      <c r="B206" s="596">
        <v>41213</v>
      </c>
      <c r="C206" s="597" t="s">
        <v>725</v>
      </c>
      <c r="D206" s="597" t="s">
        <v>816</v>
      </c>
      <c r="E206" s="597" t="s">
        <v>1309</v>
      </c>
      <c r="F206" s="601" t="s">
        <v>663</v>
      </c>
      <c r="G206" s="599">
        <v>700</v>
      </c>
      <c r="H206" s="597" t="s">
        <v>806</v>
      </c>
      <c r="I206" s="597" t="s">
        <v>1289</v>
      </c>
      <c r="J206" s="605"/>
    </row>
    <row r="207" spans="1:10">
      <c r="A207" s="488">
        <f t="shared" si="3"/>
        <v>202</v>
      </c>
      <c r="B207" s="596">
        <v>41213</v>
      </c>
      <c r="C207" s="597" t="s">
        <v>725</v>
      </c>
      <c r="D207" s="597" t="s">
        <v>816</v>
      </c>
      <c r="E207" s="597" t="s">
        <v>1310</v>
      </c>
      <c r="F207" s="601" t="s">
        <v>1015</v>
      </c>
      <c r="G207" s="599">
        <v>200</v>
      </c>
      <c r="H207" s="597" t="s">
        <v>806</v>
      </c>
      <c r="I207" s="597" t="s">
        <v>1289</v>
      </c>
      <c r="J207" s="605"/>
    </row>
    <row r="208" spans="1:10">
      <c r="A208" s="488">
        <f t="shared" si="3"/>
        <v>203</v>
      </c>
      <c r="B208" s="596">
        <v>41213</v>
      </c>
      <c r="C208" s="597" t="s">
        <v>725</v>
      </c>
      <c r="D208" s="597" t="s">
        <v>816</v>
      </c>
      <c r="E208" s="597" t="s">
        <v>1311</v>
      </c>
      <c r="F208" s="601" t="s">
        <v>663</v>
      </c>
      <c r="G208" s="599">
        <v>345</v>
      </c>
      <c r="H208" s="597" t="s">
        <v>806</v>
      </c>
      <c r="I208" s="597" t="s">
        <v>1289</v>
      </c>
      <c r="J208" s="605"/>
    </row>
    <row r="209" spans="1:11">
      <c r="A209" s="488">
        <f t="shared" si="3"/>
        <v>204</v>
      </c>
      <c r="B209" s="596">
        <v>41213</v>
      </c>
      <c r="C209" s="597" t="s">
        <v>725</v>
      </c>
      <c r="D209" s="597" t="s">
        <v>1095</v>
      </c>
      <c r="E209" s="597" t="s">
        <v>1092</v>
      </c>
      <c r="F209" s="598" t="s">
        <v>730</v>
      </c>
      <c r="G209" s="599">
        <v>-1055</v>
      </c>
      <c r="H209" s="597" t="s">
        <v>1109</v>
      </c>
      <c r="I209" s="597" t="s">
        <v>1110</v>
      </c>
      <c r="J209" s="605"/>
    </row>
    <row r="210" spans="1:11">
      <c r="A210" s="488">
        <f t="shared" si="3"/>
        <v>205</v>
      </c>
      <c r="B210" s="596">
        <v>41213</v>
      </c>
      <c r="C210" s="597" t="s">
        <v>725</v>
      </c>
      <c r="D210" s="597" t="s">
        <v>816</v>
      </c>
      <c r="E210" s="597" t="s">
        <v>1085</v>
      </c>
      <c r="F210" s="601" t="s">
        <v>730</v>
      </c>
      <c r="G210" s="599">
        <v>-575</v>
      </c>
      <c r="H210" s="597" t="s">
        <v>806</v>
      </c>
      <c r="I210" s="597" t="s">
        <v>1289</v>
      </c>
      <c r="J210" s="605"/>
    </row>
    <row r="211" spans="1:11">
      <c r="A211" s="488">
        <f t="shared" si="3"/>
        <v>206</v>
      </c>
      <c r="B211" s="596">
        <v>41213</v>
      </c>
      <c r="C211" s="597" t="s">
        <v>725</v>
      </c>
      <c r="D211" s="597" t="s">
        <v>816</v>
      </c>
      <c r="E211" s="597" t="s">
        <v>1005</v>
      </c>
      <c r="F211" s="601" t="s">
        <v>730</v>
      </c>
      <c r="G211" s="599">
        <v>-500</v>
      </c>
      <c r="H211" s="597" t="s">
        <v>806</v>
      </c>
      <c r="I211" s="597" t="s">
        <v>1289</v>
      </c>
      <c r="J211" s="605"/>
    </row>
    <row r="212" spans="1:11">
      <c r="A212" s="488">
        <f t="shared" si="3"/>
        <v>207</v>
      </c>
      <c r="B212" s="596">
        <v>41213</v>
      </c>
      <c r="C212" s="597" t="s">
        <v>725</v>
      </c>
      <c r="D212" s="597" t="s">
        <v>816</v>
      </c>
      <c r="E212" s="597" t="s">
        <v>999</v>
      </c>
      <c r="F212" s="601" t="s">
        <v>730</v>
      </c>
      <c r="G212" s="599">
        <v>-2385.0500000000002</v>
      </c>
      <c r="H212" s="597" t="s">
        <v>806</v>
      </c>
      <c r="I212" s="597" t="s">
        <v>1289</v>
      </c>
      <c r="J212" s="605"/>
    </row>
    <row r="213" spans="1:11">
      <c r="A213" s="488">
        <f t="shared" si="3"/>
        <v>208</v>
      </c>
      <c r="B213" s="596">
        <v>41213</v>
      </c>
      <c r="C213" s="597" t="s">
        <v>725</v>
      </c>
      <c r="D213" s="597" t="s">
        <v>816</v>
      </c>
      <c r="E213" s="597" t="s">
        <v>1313</v>
      </c>
      <c r="F213" s="601" t="s">
        <v>730</v>
      </c>
      <c r="G213" s="599">
        <v>-2688.37</v>
      </c>
      <c r="H213" s="597" t="s">
        <v>806</v>
      </c>
      <c r="I213" s="597" t="s">
        <v>1289</v>
      </c>
      <c r="J213" s="605"/>
    </row>
    <row r="214" spans="1:11">
      <c r="A214" s="488">
        <f t="shared" si="3"/>
        <v>209</v>
      </c>
      <c r="B214" s="596">
        <v>41213</v>
      </c>
      <c r="C214" s="597" t="s">
        <v>725</v>
      </c>
      <c r="D214" s="597" t="s">
        <v>816</v>
      </c>
      <c r="E214" s="597" t="s">
        <v>1010</v>
      </c>
      <c r="F214" s="601" t="s">
        <v>730</v>
      </c>
      <c r="G214" s="599">
        <v>-400</v>
      </c>
      <c r="H214" s="597" t="s">
        <v>806</v>
      </c>
      <c r="I214" s="597" t="s">
        <v>1289</v>
      </c>
      <c r="J214" s="605"/>
    </row>
    <row r="215" spans="1:11">
      <c r="A215" s="488">
        <f t="shared" si="3"/>
        <v>210</v>
      </c>
      <c r="B215" s="596">
        <v>41213</v>
      </c>
      <c r="C215" s="597" t="s">
        <v>725</v>
      </c>
      <c r="D215" s="597" t="s">
        <v>816</v>
      </c>
      <c r="E215" s="597" t="s">
        <v>998</v>
      </c>
      <c r="F215" s="601" t="s">
        <v>1014</v>
      </c>
      <c r="G215" s="599">
        <v>-200</v>
      </c>
      <c r="H215" s="597" t="s">
        <v>806</v>
      </c>
      <c r="I215" s="597" t="s">
        <v>1289</v>
      </c>
      <c r="J215" s="605"/>
    </row>
    <row r="216" spans="1:11">
      <c r="A216" s="488">
        <f t="shared" si="3"/>
        <v>211</v>
      </c>
      <c r="B216" s="596">
        <v>41213</v>
      </c>
      <c r="C216" s="597" t="s">
        <v>725</v>
      </c>
      <c r="D216" s="597" t="s">
        <v>816</v>
      </c>
      <c r="E216" s="597" t="s">
        <v>1087</v>
      </c>
      <c r="F216" s="601" t="s">
        <v>663</v>
      </c>
      <c r="G216" s="599">
        <v>-1890</v>
      </c>
      <c r="H216" s="597" t="s">
        <v>806</v>
      </c>
      <c r="I216" s="597" t="s">
        <v>1289</v>
      </c>
      <c r="J216" s="605"/>
    </row>
    <row r="217" spans="1:11">
      <c r="A217" s="488">
        <f t="shared" si="3"/>
        <v>212</v>
      </c>
      <c r="B217" s="596">
        <v>41213</v>
      </c>
      <c r="C217" s="597" t="s">
        <v>726</v>
      </c>
      <c r="D217" s="597" t="s">
        <v>816</v>
      </c>
      <c r="E217" s="597" t="s">
        <v>1223</v>
      </c>
      <c r="F217" s="601" t="s">
        <v>1015</v>
      </c>
      <c r="G217" s="599">
        <v>-50</v>
      </c>
      <c r="H217" s="597" t="s">
        <v>806</v>
      </c>
      <c r="I217" s="597" t="s">
        <v>1289</v>
      </c>
      <c r="J217" s="605"/>
      <c r="K217" s="605"/>
    </row>
    <row r="218" spans="1:11">
      <c r="A218" s="488">
        <f t="shared" si="3"/>
        <v>213</v>
      </c>
      <c r="B218" s="596">
        <v>41213</v>
      </c>
      <c r="C218" s="597" t="s">
        <v>725</v>
      </c>
      <c r="D218" s="597" t="s">
        <v>816</v>
      </c>
      <c r="E218" s="597" t="s">
        <v>1080</v>
      </c>
      <c r="F218" s="601" t="s">
        <v>730</v>
      </c>
      <c r="G218" s="599">
        <v>-6485.22</v>
      </c>
      <c r="H218" s="597" t="s">
        <v>806</v>
      </c>
      <c r="I218" s="597" t="s">
        <v>1289</v>
      </c>
      <c r="J218" s="605"/>
    </row>
    <row r="219" spans="1:11">
      <c r="A219" s="488">
        <f t="shared" si="3"/>
        <v>214</v>
      </c>
      <c r="B219" s="596">
        <v>41213</v>
      </c>
      <c r="C219" s="597" t="s">
        <v>725</v>
      </c>
      <c r="D219" s="597" t="s">
        <v>816</v>
      </c>
      <c r="E219" s="597" t="s">
        <v>1204</v>
      </c>
      <c r="F219" s="601" t="s">
        <v>663</v>
      </c>
      <c r="G219" s="599">
        <v>-815.67</v>
      </c>
      <c r="H219" s="597" t="s">
        <v>806</v>
      </c>
      <c r="I219" s="597" t="s">
        <v>1289</v>
      </c>
      <c r="J219" s="605"/>
    </row>
    <row r="220" spans="1:11">
      <c r="A220" s="488">
        <f t="shared" si="3"/>
        <v>215</v>
      </c>
      <c r="B220" s="596">
        <v>41213</v>
      </c>
      <c r="C220" s="597" t="s">
        <v>726</v>
      </c>
      <c r="D220" s="597" t="s">
        <v>816</v>
      </c>
      <c r="E220" s="597" t="s">
        <v>1312</v>
      </c>
      <c r="F220" s="601" t="s">
        <v>1015</v>
      </c>
      <c r="G220" s="599">
        <v>-100</v>
      </c>
      <c r="H220" s="597" t="s">
        <v>806</v>
      </c>
      <c r="I220" s="597" t="s">
        <v>1289</v>
      </c>
      <c r="J220" s="605"/>
    </row>
    <row r="221" spans="1:11">
      <c r="A221" s="488">
        <f t="shared" si="3"/>
        <v>216</v>
      </c>
      <c r="B221" s="596">
        <v>41243</v>
      </c>
      <c r="C221" s="597" t="s">
        <v>725</v>
      </c>
      <c r="D221" s="597" t="s">
        <v>945</v>
      </c>
      <c r="E221" s="597" t="s">
        <v>729</v>
      </c>
      <c r="F221" s="598" t="s">
        <v>1015</v>
      </c>
      <c r="G221" s="599">
        <v>-50</v>
      </c>
      <c r="H221" s="597" t="s">
        <v>808</v>
      </c>
      <c r="I221" s="597" t="s">
        <v>1294</v>
      </c>
      <c r="J221" s="605"/>
    </row>
    <row r="222" spans="1:11">
      <c r="A222" s="488">
        <f t="shared" si="3"/>
        <v>217</v>
      </c>
      <c r="B222" s="596">
        <v>41243</v>
      </c>
      <c r="C222" s="597" t="s">
        <v>725</v>
      </c>
      <c r="D222" s="597" t="s">
        <v>945</v>
      </c>
      <c r="E222" s="597" t="s">
        <v>1295</v>
      </c>
      <c r="F222" s="601" t="s">
        <v>663</v>
      </c>
      <c r="G222" s="599">
        <v>-384</v>
      </c>
      <c r="H222" s="597" t="s">
        <v>1296</v>
      </c>
      <c r="I222" s="597" t="s">
        <v>1297</v>
      </c>
      <c r="J222" s="207"/>
    </row>
    <row r="223" spans="1:11">
      <c r="A223" s="488">
        <f t="shared" si="3"/>
        <v>218</v>
      </c>
      <c r="B223" s="596">
        <v>41243</v>
      </c>
      <c r="C223" s="597" t="s">
        <v>725</v>
      </c>
      <c r="D223" s="597" t="s">
        <v>1298</v>
      </c>
      <c r="E223" s="597" t="s">
        <v>1003</v>
      </c>
      <c r="F223" s="598" t="s">
        <v>1015</v>
      </c>
      <c r="G223" s="599">
        <v>-500</v>
      </c>
      <c r="H223" s="597" t="s">
        <v>947</v>
      </c>
      <c r="I223" s="597" t="s">
        <v>1228</v>
      </c>
      <c r="J223" s="207"/>
    </row>
    <row r="224" spans="1:11" ht="15">
      <c r="A224" s="488">
        <f t="shared" si="3"/>
        <v>219</v>
      </c>
      <c r="B224" s="596">
        <v>41243</v>
      </c>
      <c r="C224" s="597" t="s">
        <v>725</v>
      </c>
      <c r="D224" s="597" t="s">
        <v>817</v>
      </c>
      <c r="E224" s="597" t="s">
        <v>1307</v>
      </c>
      <c r="F224" s="601" t="s">
        <v>1015</v>
      </c>
      <c r="G224" s="599">
        <v>-10.83</v>
      </c>
      <c r="H224" s="597" t="s">
        <v>806</v>
      </c>
      <c r="I224" s="597" t="s">
        <v>1289</v>
      </c>
      <c r="J224" s="602"/>
    </row>
    <row r="225" spans="1:10" ht="15">
      <c r="A225" s="488">
        <f t="shared" si="3"/>
        <v>220</v>
      </c>
      <c r="B225" s="596">
        <v>41243</v>
      </c>
      <c r="C225" s="597" t="s">
        <v>725</v>
      </c>
      <c r="D225" s="597" t="s">
        <v>817</v>
      </c>
      <c r="E225" s="597" t="s">
        <v>1306</v>
      </c>
      <c r="F225" s="601" t="s">
        <v>1015</v>
      </c>
      <c r="G225" s="599">
        <v>-95</v>
      </c>
      <c r="H225" s="597" t="s">
        <v>806</v>
      </c>
      <c r="I225" s="597" t="s">
        <v>1289</v>
      </c>
      <c r="J225" s="602"/>
    </row>
    <row r="226" spans="1:10" ht="15">
      <c r="A226" s="488">
        <f t="shared" si="3"/>
        <v>221</v>
      </c>
      <c r="B226" s="596">
        <v>41243</v>
      </c>
      <c r="C226" s="597" t="s">
        <v>725</v>
      </c>
      <c r="D226" s="597" t="s">
        <v>817</v>
      </c>
      <c r="E226" s="597" t="s">
        <v>1314</v>
      </c>
      <c r="F226" s="601" t="s">
        <v>663</v>
      </c>
      <c r="G226" s="599">
        <v>-8.33</v>
      </c>
      <c r="H226" s="597" t="s">
        <v>806</v>
      </c>
      <c r="I226" s="597" t="s">
        <v>1289</v>
      </c>
      <c r="J226" s="602"/>
    </row>
    <row r="227" spans="1:10" ht="15">
      <c r="A227" s="488">
        <f t="shared" si="3"/>
        <v>222</v>
      </c>
      <c r="B227" s="596">
        <v>41243</v>
      </c>
      <c r="C227" s="597" t="s">
        <v>725</v>
      </c>
      <c r="D227" s="597" t="s">
        <v>817</v>
      </c>
      <c r="E227" s="597" t="s">
        <v>1303</v>
      </c>
      <c r="F227" s="601" t="s">
        <v>663</v>
      </c>
      <c r="G227" s="599">
        <v>-8.33</v>
      </c>
      <c r="H227" s="597" t="s">
        <v>806</v>
      </c>
      <c r="I227" s="597" t="s">
        <v>1289</v>
      </c>
      <c r="J227" s="602"/>
    </row>
    <row r="228" spans="1:10" ht="15">
      <c r="A228" s="488">
        <f t="shared" si="3"/>
        <v>223</v>
      </c>
      <c r="B228" s="596">
        <v>41243</v>
      </c>
      <c r="C228" s="597" t="s">
        <v>725</v>
      </c>
      <c r="D228" s="597" t="s">
        <v>817</v>
      </c>
      <c r="E228" s="597" t="s">
        <v>1315</v>
      </c>
      <c r="F228" s="601" t="s">
        <v>663</v>
      </c>
      <c r="G228" s="599">
        <v>-25</v>
      </c>
      <c r="H228" s="597" t="s">
        <v>806</v>
      </c>
      <c r="I228" s="597" t="s">
        <v>1289</v>
      </c>
      <c r="J228" s="602"/>
    </row>
    <row r="229" spans="1:10" ht="15">
      <c r="A229" s="488">
        <f t="shared" si="3"/>
        <v>224</v>
      </c>
      <c r="B229" s="596">
        <v>41243</v>
      </c>
      <c r="C229" s="597" t="s">
        <v>725</v>
      </c>
      <c r="D229" s="597" t="s">
        <v>817</v>
      </c>
      <c r="E229" s="597" t="s">
        <v>1292</v>
      </c>
      <c r="F229" s="601" t="s">
        <v>730</v>
      </c>
      <c r="G229" s="599">
        <v>-141.28</v>
      </c>
      <c r="H229" s="597" t="s">
        <v>806</v>
      </c>
      <c r="I229" s="597" t="s">
        <v>1289</v>
      </c>
      <c r="J229" s="602"/>
    </row>
    <row r="230" spans="1:10" ht="15">
      <c r="A230" s="488">
        <f t="shared" si="3"/>
        <v>225</v>
      </c>
      <c r="B230" s="596">
        <v>41243</v>
      </c>
      <c r="C230" s="597" t="s">
        <v>725</v>
      </c>
      <c r="D230" s="597" t="s">
        <v>817</v>
      </c>
      <c r="E230" s="597" t="s">
        <v>1292</v>
      </c>
      <c r="F230" s="601" t="s">
        <v>730</v>
      </c>
      <c r="G230" s="599">
        <v>-141.28</v>
      </c>
      <c r="H230" s="597" t="s">
        <v>806</v>
      </c>
      <c r="I230" s="597" t="s">
        <v>1289</v>
      </c>
      <c r="J230" s="602"/>
    </row>
    <row r="231" spans="1:10">
      <c r="A231" s="488">
        <f t="shared" si="3"/>
        <v>226</v>
      </c>
      <c r="B231" s="596">
        <v>41243</v>
      </c>
      <c r="C231" s="597" t="s">
        <v>726</v>
      </c>
      <c r="D231" s="597" t="s">
        <v>817</v>
      </c>
      <c r="E231" s="597" t="s">
        <v>1312</v>
      </c>
      <c r="F231" s="601" t="s">
        <v>1015</v>
      </c>
      <c r="G231" s="599">
        <v>-8.33</v>
      </c>
      <c r="H231" s="597" t="s">
        <v>806</v>
      </c>
      <c r="I231" s="597" t="s">
        <v>1289</v>
      </c>
      <c r="J231" s="207"/>
    </row>
    <row r="232" spans="1:10">
      <c r="A232" s="488">
        <f t="shared" si="3"/>
        <v>227</v>
      </c>
      <c r="B232" s="596">
        <v>41243</v>
      </c>
      <c r="C232" s="597" t="s">
        <v>726</v>
      </c>
      <c r="D232" s="597" t="s">
        <v>817</v>
      </c>
      <c r="E232" s="597" t="s">
        <v>1304</v>
      </c>
      <c r="F232" s="601" t="s">
        <v>1015</v>
      </c>
      <c r="G232" s="599">
        <v>-8.33</v>
      </c>
      <c r="H232" s="597" t="s">
        <v>806</v>
      </c>
      <c r="I232" s="597" t="s">
        <v>1289</v>
      </c>
      <c r="J232" s="207"/>
    </row>
    <row r="233" spans="1:10" ht="15">
      <c r="A233" s="488">
        <f t="shared" si="3"/>
        <v>228</v>
      </c>
      <c r="B233" s="596">
        <v>41243</v>
      </c>
      <c r="C233" s="597" t="s">
        <v>725</v>
      </c>
      <c r="D233" s="597" t="s">
        <v>945</v>
      </c>
      <c r="E233" s="597" t="s">
        <v>1000</v>
      </c>
      <c r="F233" s="598" t="s">
        <v>1015</v>
      </c>
      <c r="G233" s="599">
        <v>-40</v>
      </c>
      <c r="H233" s="597" t="s">
        <v>997</v>
      </c>
      <c r="I233" s="597" t="s">
        <v>1294</v>
      </c>
      <c r="J233" s="603"/>
    </row>
    <row r="234" spans="1:10" ht="15">
      <c r="A234" s="488">
        <f t="shared" si="3"/>
        <v>229</v>
      </c>
      <c r="B234" s="596">
        <v>41243</v>
      </c>
      <c r="C234" s="597" t="s">
        <v>725</v>
      </c>
      <c r="D234" s="597" t="s">
        <v>945</v>
      </c>
      <c r="E234" s="597" t="s">
        <v>1203</v>
      </c>
      <c r="F234" s="598" t="s">
        <v>1015</v>
      </c>
      <c r="G234" s="599">
        <v>-800</v>
      </c>
      <c r="H234" s="597" t="s">
        <v>1111</v>
      </c>
      <c r="I234" s="597" t="s">
        <v>1294</v>
      </c>
      <c r="J234" s="603"/>
    </row>
    <row r="235" spans="1:10">
      <c r="A235" s="488">
        <f t="shared" si="3"/>
        <v>230</v>
      </c>
      <c r="B235" s="596">
        <v>41243</v>
      </c>
      <c r="C235" s="597" t="s">
        <v>725</v>
      </c>
      <c r="D235" s="597" t="s">
        <v>1097</v>
      </c>
      <c r="E235" s="597" t="s">
        <v>1092</v>
      </c>
      <c r="F235" s="598" t="s">
        <v>730</v>
      </c>
      <c r="G235" s="599">
        <v>-1055</v>
      </c>
      <c r="H235" s="597" t="s">
        <v>1109</v>
      </c>
      <c r="I235" s="597" t="s">
        <v>1110</v>
      </c>
      <c r="J235" s="207"/>
    </row>
    <row r="236" spans="1:10">
      <c r="A236" s="488">
        <f t="shared" si="3"/>
        <v>231</v>
      </c>
      <c r="B236" s="596">
        <v>41243</v>
      </c>
      <c r="C236" s="597" t="s">
        <v>725</v>
      </c>
      <c r="D236" s="597" t="s">
        <v>817</v>
      </c>
      <c r="E236" s="597" t="s">
        <v>1085</v>
      </c>
      <c r="F236" s="601" t="s">
        <v>730</v>
      </c>
      <c r="G236" s="599">
        <v>-575</v>
      </c>
      <c r="H236" s="597" t="s">
        <v>806</v>
      </c>
      <c r="I236" s="597" t="s">
        <v>1289</v>
      </c>
      <c r="J236" s="207"/>
    </row>
    <row r="237" spans="1:10">
      <c r="A237" s="488">
        <f t="shared" si="3"/>
        <v>232</v>
      </c>
      <c r="B237" s="596">
        <v>41243</v>
      </c>
      <c r="C237" s="597" t="s">
        <v>725</v>
      </c>
      <c r="D237" s="597" t="s">
        <v>817</v>
      </c>
      <c r="E237" s="597" t="s">
        <v>1005</v>
      </c>
      <c r="F237" s="601" t="s">
        <v>730</v>
      </c>
      <c r="G237" s="599">
        <v>-500</v>
      </c>
      <c r="H237" s="597" t="s">
        <v>806</v>
      </c>
      <c r="I237" s="597" t="s">
        <v>1289</v>
      </c>
      <c r="J237" s="207"/>
    </row>
    <row r="238" spans="1:10">
      <c r="A238" s="488">
        <f t="shared" si="3"/>
        <v>233</v>
      </c>
      <c r="B238" s="596">
        <v>41243</v>
      </c>
      <c r="C238" s="597" t="s">
        <v>725</v>
      </c>
      <c r="D238" s="597" t="s">
        <v>817</v>
      </c>
      <c r="E238" s="597" t="s">
        <v>1010</v>
      </c>
      <c r="F238" s="601" t="s">
        <v>730</v>
      </c>
      <c r="G238" s="599">
        <v>-400</v>
      </c>
      <c r="H238" s="597" t="s">
        <v>806</v>
      </c>
      <c r="I238" s="597" t="s">
        <v>1289</v>
      </c>
      <c r="J238" s="207"/>
    </row>
    <row r="239" spans="1:10">
      <c r="A239" s="488">
        <f t="shared" si="3"/>
        <v>234</v>
      </c>
      <c r="B239" s="596">
        <v>41243</v>
      </c>
      <c r="C239" s="597" t="s">
        <v>725</v>
      </c>
      <c r="D239" s="597" t="s">
        <v>817</v>
      </c>
      <c r="E239" s="597" t="s">
        <v>999</v>
      </c>
      <c r="F239" s="601" t="s">
        <v>730</v>
      </c>
      <c r="G239" s="599">
        <v>-2385.0500000000002</v>
      </c>
      <c r="H239" s="597" t="s">
        <v>806</v>
      </c>
      <c r="I239" s="597" t="s">
        <v>1289</v>
      </c>
      <c r="J239" s="207"/>
    </row>
    <row r="240" spans="1:10">
      <c r="A240" s="488">
        <f t="shared" si="3"/>
        <v>235</v>
      </c>
      <c r="B240" s="596">
        <v>41243</v>
      </c>
      <c r="C240" s="597" t="s">
        <v>725</v>
      </c>
      <c r="D240" s="597" t="s">
        <v>817</v>
      </c>
      <c r="E240" s="597" t="s">
        <v>1313</v>
      </c>
      <c r="F240" s="601" t="s">
        <v>730</v>
      </c>
      <c r="G240" s="599">
        <v>-2688.37</v>
      </c>
      <c r="H240" s="597" t="s">
        <v>806</v>
      </c>
      <c r="I240" s="597" t="s">
        <v>1289</v>
      </c>
      <c r="J240" s="207"/>
    </row>
    <row r="241" spans="1:10">
      <c r="A241" s="488">
        <f t="shared" si="3"/>
        <v>236</v>
      </c>
      <c r="B241" s="596">
        <v>41243</v>
      </c>
      <c r="C241" s="597" t="s">
        <v>725</v>
      </c>
      <c r="D241" s="597" t="s">
        <v>817</v>
      </c>
      <c r="E241" s="597" t="s">
        <v>998</v>
      </c>
      <c r="F241" s="601" t="s">
        <v>1014</v>
      </c>
      <c r="G241" s="599">
        <v>-200</v>
      </c>
      <c r="H241" s="597" t="s">
        <v>806</v>
      </c>
      <c r="I241" s="597" t="s">
        <v>1289</v>
      </c>
      <c r="J241" s="207"/>
    </row>
    <row r="242" spans="1:10">
      <c r="A242" s="488">
        <f t="shared" si="3"/>
        <v>237</v>
      </c>
      <c r="B242" s="596">
        <v>41243</v>
      </c>
      <c r="C242" s="597" t="s">
        <v>725</v>
      </c>
      <c r="D242" s="597" t="s">
        <v>817</v>
      </c>
      <c r="E242" s="597" t="s">
        <v>1087</v>
      </c>
      <c r="F242" s="601" t="s">
        <v>663</v>
      </c>
      <c r="G242" s="599">
        <v>-1890</v>
      </c>
      <c r="H242" s="597" t="s">
        <v>806</v>
      </c>
      <c r="I242" s="597" t="s">
        <v>1289</v>
      </c>
      <c r="J242" s="207"/>
    </row>
    <row r="243" spans="1:10">
      <c r="A243" s="488">
        <f t="shared" si="3"/>
        <v>238</v>
      </c>
      <c r="B243" s="596">
        <v>41243</v>
      </c>
      <c r="C243" s="597" t="s">
        <v>726</v>
      </c>
      <c r="D243" s="597" t="s">
        <v>817</v>
      </c>
      <c r="E243" s="597" t="s">
        <v>1317</v>
      </c>
      <c r="F243" s="601" t="s">
        <v>1015</v>
      </c>
      <c r="G243" s="599">
        <v>-50</v>
      </c>
      <c r="H243" s="597" t="s">
        <v>806</v>
      </c>
      <c r="I243" s="597" t="s">
        <v>1289</v>
      </c>
      <c r="J243" s="207"/>
    </row>
    <row r="244" spans="1:10" ht="15">
      <c r="A244" s="488">
        <f t="shared" si="3"/>
        <v>239</v>
      </c>
      <c r="B244" s="596">
        <v>41243</v>
      </c>
      <c r="C244" s="597" t="s">
        <v>725</v>
      </c>
      <c r="D244" s="597" t="s">
        <v>817</v>
      </c>
      <c r="E244" s="597" t="s">
        <v>1204</v>
      </c>
      <c r="F244" s="601" t="s">
        <v>663</v>
      </c>
      <c r="G244" s="599">
        <v>-812.21</v>
      </c>
      <c r="H244" s="597" t="s">
        <v>806</v>
      </c>
      <c r="I244" s="597" t="s">
        <v>1289</v>
      </c>
      <c r="J244" s="602"/>
    </row>
    <row r="245" spans="1:10">
      <c r="A245" s="488">
        <f t="shared" si="3"/>
        <v>240</v>
      </c>
      <c r="B245" s="596">
        <v>41243</v>
      </c>
      <c r="C245" s="597" t="s">
        <v>725</v>
      </c>
      <c r="D245" s="597" t="s">
        <v>945</v>
      </c>
      <c r="E245" s="597" t="s">
        <v>728</v>
      </c>
      <c r="F245" s="598" t="s">
        <v>1015</v>
      </c>
      <c r="G245" s="599">
        <v>-40</v>
      </c>
      <c r="H245" s="597" t="s">
        <v>809</v>
      </c>
      <c r="I245" s="597" t="s">
        <v>1294</v>
      </c>
      <c r="J245" s="207"/>
    </row>
    <row r="246" spans="1:10">
      <c r="A246" s="488">
        <f t="shared" si="3"/>
        <v>241</v>
      </c>
      <c r="B246" s="596">
        <v>41274</v>
      </c>
      <c r="C246" s="597" t="s">
        <v>725</v>
      </c>
      <c r="D246" s="597" t="s">
        <v>149</v>
      </c>
      <c r="E246" s="597" t="s">
        <v>1316</v>
      </c>
      <c r="F246" s="601" t="s">
        <v>730</v>
      </c>
      <c r="G246" s="599">
        <v>-4500</v>
      </c>
      <c r="H246" s="597" t="s">
        <v>806</v>
      </c>
      <c r="I246" s="597" t="s">
        <v>1289</v>
      </c>
      <c r="J246" s="207"/>
    </row>
    <row r="247" spans="1:10">
      <c r="A247" s="488">
        <f t="shared" si="3"/>
        <v>242</v>
      </c>
      <c r="B247" s="596">
        <v>41274</v>
      </c>
      <c r="C247" s="597" t="s">
        <v>726</v>
      </c>
      <c r="D247" s="597" t="s">
        <v>149</v>
      </c>
      <c r="E247" s="597" t="s">
        <v>1302</v>
      </c>
      <c r="F247" s="601" t="s">
        <v>730</v>
      </c>
      <c r="G247" s="599">
        <v>-756.57</v>
      </c>
      <c r="H247" s="597" t="s">
        <v>806</v>
      </c>
      <c r="I247" s="597" t="s">
        <v>1289</v>
      </c>
      <c r="J247" s="207"/>
    </row>
    <row r="248" spans="1:10">
      <c r="A248" s="488">
        <f t="shared" si="3"/>
        <v>243</v>
      </c>
      <c r="B248" s="596">
        <v>41274</v>
      </c>
      <c r="C248" s="597" t="s">
        <v>725</v>
      </c>
      <c r="D248" s="597" t="s">
        <v>946</v>
      </c>
      <c r="E248" s="597" t="s">
        <v>729</v>
      </c>
      <c r="F248" s="598" t="s">
        <v>1015</v>
      </c>
      <c r="G248" s="599">
        <v>-50</v>
      </c>
      <c r="H248" s="597" t="s">
        <v>808</v>
      </c>
      <c r="I248" s="597" t="s">
        <v>1299</v>
      </c>
      <c r="J248" s="207"/>
    </row>
    <row r="249" spans="1:10" ht="15">
      <c r="A249" s="488">
        <f t="shared" si="3"/>
        <v>244</v>
      </c>
      <c r="B249" s="596">
        <v>41274</v>
      </c>
      <c r="C249" s="597" t="s">
        <v>726</v>
      </c>
      <c r="D249" s="597" t="s">
        <v>946</v>
      </c>
      <c r="E249" s="597" t="s">
        <v>1209</v>
      </c>
      <c r="F249" s="601" t="s">
        <v>1014</v>
      </c>
      <c r="G249" s="599">
        <v>-180</v>
      </c>
      <c r="H249" s="597" t="s">
        <v>1210</v>
      </c>
      <c r="I249" s="597" t="s">
        <v>1300</v>
      </c>
      <c r="J249" s="604"/>
    </row>
    <row r="250" spans="1:10">
      <c r="A250" s="488">
        <f t="shared" si="3"/>
        <v>245</v>
      </c>
      <c r="B250" s="596">
        <v>41274</v>
      </c>
      <c r="C250" s="597" t="s">
        <v>725</v>
      </c>
      <c r="D250" s="597" t="s">
        <v>1301</v>
      </c>
      <c r="E250" s="597" t="s">
        <v>1003</v>
      </c>
      <c r="F250" s="598" t="s">
        <v>1015</v>
      </c>
      <c r="G250" s="599">
        <v>-500</v>
      </c>
      <c r="H250" s="597" t="s">
        <v>947</v>
      </c>
      <c r="I250" s="597" t="s">
        <v>1228</v>
      </c>
      <c r="J250" s="207"/>
    </row>
    <row r="251" spans="1:10">
      <c r="A251" s="488">
        <f t="shared" si="3"/>
        <v>246</v>
      </c>
      <c r="B251" s="596">
        <v>41274</v>
      </c>
      <c r="C251" s="597" t="s">
        <v>725</v>
      </c>
      <c r="D251" s="597" t="s">
        <v>149</v>
      </c>
      <c r="E251" s="597" t="s">
        <v>1085</v>
      </c>
      <c r="F251" s="601" t="s">
        <v>730</v>
      </c>
      <c r="G251" s="599">
        <v>-575</v>
      </c>
      <c r="H251" s="597" t="s">
        <v>806</v>
      </c>
      <c r="I251" s="597" t="s">
        <v>1289</v>
      </c>
      <c r="J251" s="207"/>
    </row>
    <row r="252" spans="1:10">
      <c r="A252" s="488">
        <f t="shared" si="3"/>
        <v>247</v>
      </c>
      <c r="B252" s="596">
        <v>41274</v>
      </c>
      <c r="C252" s="597" t="s">
        <v>725</v>
      </c>
      <c r="D252" s="597" t="s">
        <v>149</v>
      </c>
      <c r="E252" s="597" t="s">
        <v>1005</v>
      </c>
      <c r="F252" s="601" t="s">
        <v>730</v>
      </c>
      <c r="G252" s="599">
        <v>-500</v>
      </c>
      <c r="H252" s="597" t="s">
        <v>806</v>
      </c>
      <c r="I252" s="597" t="s">
        <v>1289</v>
      </c>
      <c r="J252" s="207"/>
    </row>
    <row r="253" spans="1:10">
      <c r="A253" s="488">
        <f t="shared" si="3"/>
        <v>248</v>
      </c>
      <c r="B253" s="596">
        <v>41274</v>
      </c>
      <c r="C253" s="597" t="s">
        <v>725</v>
      </c>
      <c r="D253" s="597" t="s">
        <v>149</v>
      </c>
      <c r="E253" s="597" t="s">
        <v>1010</v>
      </c>
      <c r="F253" s="601" t="s">
        <v>730</v>
      </c>
      <c r="G253" s="599">
        <v>-400</v>
      </c>
      <c r="H253" s="597" t="s">
        <v>806</v>
      </c>
      <c r="I253" s="597" t="s">
        <v>1289</v>
      </c>
      <c r="J253" s="207"/>
    </row>
    <row r="254" spans="1:10">
      <c r="A254" s="488">
        <f t="shared" si="3"/>
        <v>249</v>
      </c>
      <c r="B254" s="596">
        <v>41274</v>
      </c>
      <c r="C254" s="597" t="s">
        <v>725</v>
      </c>
      <c r="D254" s="597" t="s">
        <v>149</v>
      </c>
      <c r="E254" s="597" t="s">
        <v>999</v>
      </c>
      <c r="F254" s="601" t="s">
        <v>730</v>
      </c>
      <c r="G254" s="599">
        <v>-2385.0500000000002</v>
      </c>
      <c r="H254" s="597" t="s">
        <v>806</v>
      </c>
      <c r="I254" s="597" t="s">
        <v>1289</v>
      </c>
      <c r="J254" s="207"/>
    </row>
    <row r="255" spans="1:10">
      <c r="A255" s="488">
        <f t="shared" si="3"/>
        <v>250</v>
      </c>
      <c r="B255" s="596">
        <v>41274</v>
      </c>
      <c r="C255" s="597" t="s">
        <v>725</v>
      </c>
      <c r="D255" s="597" t="s">
        <v>149</v>
      </c>
      <c r="E255" s="597" t="s">
        <v>1313</v>
      </c>
      <c r="F255" s="601" t="s">
        <v>730</v>
      </c>
      <c r="G255" s="599">
        <v>-2688.37</v>
      </c>
      <c r="H255" s="597" t="s">
        <v>806</v>
      </c>
      <c r="I255" s="597" t="s">
        <v>1289</v>
      </c>
      <c r="J255" s="207"/>
    </row>
    <row r="256" spans="1:10">
      <c r="A256" s="488">
        <f t="shared" si="3"/>
        <v>251</v>
      </c>
      <c r="B256" s="596">
        <v>41274</v>
      </c>
      <c r="C256" s="597" t="s">
        <v>725</v>
      </c>
      <c r="D256" s="597" t="s">
        <v>149</v>
      </c>
      <c r="E256" s="597" t="s">
        <v>998</v>
      </c>
      <c r="F256" s="601" t="s">
        <v>1014</v>
      </c>
      <c r="G256" s="599">
        <v>-200</v>
      </c>
      <c r="H256" s="597" t="s">
        <v>806</v>
      </c>
      <c r="I256" s="597" t="s">
        <v>1289</v>
      </c>
      <c r="J256" s="207"/>
    </row>
    <row r="257" spans="1:10">
      <c r="A257" s="488">
        <f t="shared" si="3"/>
        <v>252</v>
      </c>
      <c r="B257" s="596">
        <v>41274</v>
      </c>
      <c r="C257" s="597" t="s">
        <v>725</v>
      </c>
      <c r="D257" s="597" t="s">
        <v>149</v>
      </c>
      <c r="E257" s="597" t="s">
        <v>1087</v>
      </c>
      <c r="F257" s="601" t="s">
        <v>663</v>
      </c>
      <c r="G257" s="599">
        <v>-1890</v>
      </c>
      <c r="H257" s="597" t="s">
        <v>806</v>
      </c>
      <c r="I257" s="597" t="s">
        <v>1289</v>
      </c>
      <c r="J257" s="207"/>
    </row>
    <row r="258" spans="1:10">
      <c r="A258" s="488">
        <f t="shared" si="3"/>
        <v>253</v>
      </c>
      <c r="B258" s="596">
        <v>41274</v>
      </c>
      <c r="C258" s="597" t="s">
        <v>726</v>
      </c>
      <c r="D258" s="597" t="s">
        <v>149</v>
      </c>
      <c r="E258" s="597" t="s">
        <v>1317</v>
      </c>
      <c r="F258" s="601" t="s">
        <v>1015</v>
      </c>
      <c r="G258" s="599">
        <v>-50</v>
      </c>
      <c r="H258" s="597" t="s">
        <v>806</v>
      </c>
      <c r="I258" s="597" t="s">
        <v>1289</v>
      </c>
      <c r="J258" s="207"/>
    </row>
    <row r="259" spans="1:10">
      <c r="A259" s="488">
        <f t="shared" si="3"/>
        <v>254</v>
      </c>
      <c r="B259" s="596">
        <v>41274</v>
      </c>
      <c r="C259" s="597" t="s">
        <v>725</v>
      </c>
      <c r="D259" s="597" t="s">
        <v>149</v>
      </c>
      <c r="E259" s="597" t="s">
        <v>1307</v>
      </c>
      <c r="F259" s="601" t="s">
        <v>1015</v>
      </c>
      <c r="G259" s="599">
        <v>-10.83</v>
      </c>
      <c r="H259" s="597" t="s">
        <v>806</v>
      </c>
      <c r="I259" s="597" t="s">
        <v>1289</v>
      </c>
      <c r="J259" s="207"/>
    </row>
    <row r="260" spans="1:10">
      <c r="A260" s="488">
        <f t="shared" si="3"/>
        <v>255</v>
      </c>
      <c r="B260" s="596">
        <v>41274</v>
      </c>
      <c r="C260" s="597" t="s">
        <v>725</v>
      </c>
      <c r="D260" s="597" t="s">
        <v>149</v>
      </c>
      <c r="E260" s="597" t="s">
        <v>1306</v>
      </c>
      <c r="F260" s="601" t="s">
        <v>1015</v>
      </c>
      <c r="G260" s="599">
        <v>-95</v>
      </c>
      <c r="H260" s="597" t="s">
        <v>806</v>
      </c>
      <c r="I260" s="597" t="s">
        <v>1289</v>
      </c>
      <c r="J260" s="207"/>
    </row>
    <row r="261" spans="1:10">
      <c r="A261" s="488">
        <f t="shared" si="3"/>
        <v>256</v>
      </c>
      <c r="B261" s="596">
        <v>41274</v>
      </c>
      <c r="C261" s="597" t="s">
        <v>725</v>
      </c>
      <c r="D261" s="597" t="s">
        <v>149</v>
      </c>
      <c r="E261" s="597" t="s">
        <v>1314</v>
      </c>
      <c r="F261" s="601" t="s">
        <v>663</v>
      </c>
      <c r="G261" s="599">
        <v>-8.33</v>
      </c>
      <c r="H261" s="597" t="s">
        <v>806</v>
      </c>
      <c r="I261" s="597" t="s">
        <v>1289</v>
      </c>
      <c r="J261" s="207"/>
    </row>
    <row r="262" spans="1:10">
      <c r="A262" s="488">
        <f t="shared" si="3"/>
        <v>257</v>
      </c>
      <c r="B262" s="596">
        <v>41274</v>
      </c>
      <c r="C262" s="597" t="s">
        <v>725</v>
      </c>
      <c r="D262" s="597" t="s">
        <v>149</v>
      </c>
      <c r="E262" s="597" t="s">
        <v>1303</v>
      </c>
      <c r="F262" s="601" t="s">
        <v>663</v>
      </c>
      <c r="G262" s="599">
        <v>-8.33</v>
      </c>
      <c r="H262" s="597" t="s">
        <v>806</v>
      </c>
      <c r="I262" s="597" t="s">
        <v>1289</v>
      </c>
      <c r="J262" s="207"/>
    </row>
    <row r="263" spans="1:10">
      <c r="A263" s="488">
        <f t="shared" si="3"/>
        <v>258</v>
      </c>
      <c r="B263" s="596">
        <v>41274</v>
      </c>
      <c r="C263" s="597" t="s">
        <v>725</v>
      </c>
      <c r="D263" s="597" t="s">
        <v>149</v>
      </c>
      <c r="E263" s="597" t="s">
        <v>1315</v>
      </c>
      <c r="F263" s="601" t="s">
        <v>663</v>
      </c>
      <c r="G263" s="599">
        <v>-25</v>
      </c>
      <c r="H263" s="597" t="s">
        <v>806</v>
      </c>
      <c r="I263" s="597" t="s">
        <v>1289</v>
      </c>
      <c r="J263" s="207"/>
    </row>
    <row r="264" spans="1:10">
      <c r="A264" s="488">
        <f t="shared" si="3"/>
        <v>259</v>
      </c>
      <c r="B264" s="596">
        <v>41274</v>
      </c>
      <c r="C264" s="597" t="s">
        <v>725</v>
      </c>
      <c r="D264" s="597" t="s">
        <v>149</v>
      </c>
      <c r="E264" s="597" t="s">
        <v>1292</v>
      </c>
      <c r="F264" s="601" t="s">
        <v>730</v>
      </c>
      <c r="G264" s="599">
        <v>-141.28</v>
      </c>
      <c r="H264" s="597" t="s">
        <v>806</v>
      </c>
      <c r="I264" s="597" t="s">
        <v>1289</v>
      </c>
      <c r="J264" s="207"/>
    </row>
    <row r="265" spans="1:10">
      <c r="A265" s="488">
        <f t="shared" si="3"/>
        <v>260</v>
      </c>
      <c r="B265" s="596">
        <v>41274</v>
      </c>
      <c r="C265" s="597" t="s">
        <v>725</v>
      </c>
      <c r="D265" s="597" t="s">
        <v>149</v>
      </c>
      <c r="E265" s="597" t="s">
        <v>1292</v>
      </c>
      <c r="F265" s="601" t="s">
        <v>730</v>
      </c>
      <c r="G265" s="599">
        <v>-141.28</v>
      </c>
      <c r="H265" s="597" t="s">
        <v>806</v>
      </c>
      <c r="I265" s="597" t="s">
        <v>1289</v>
      </c>
      <c r="J265" s="207"/>
    </row>
    <row r="266" spans="1:10">
      <c r="A266" s="488">
        <f t="shared" si="3"/>
        <v>261</v>
      </c>
      <c r="B266" s="596">
        <v>41274</v>
      </c>
      <c r="C266" s="597" t="s">
        <v>725</v>
      </c>
      <c r="D266" s="597" t="s">
        <v>149</v>
      </c>
      <c r="E266" s="597" t="s">
        <v>1206</v>
      </c>
      <c r="F266" s="601" t="s">
        <v>1015</v>
      </c>
      <c r="G266" s="599">
        <v>-8.33</v>
      </c>
      <c r="H266" s="597" t="s">
        <v>806</v>
      </c>
      <c r="I266" s="597" t="s">
        <v>1289</v>
      </c>
      <c r="J266" s="207"/>
    </row>
    <row r="267" spans="1:10">
      <c r="A267" s="488">
        <f t="shared" si="3"/>
        <v>262</v>
      </c>
      <c r="B267" s="596">
        <v>41274</v>
      </c>
      <c r="C267" s="597" t="s">
        <v>725</v>
      </c>
      <c r="D267" s="597" t="s">
        <v>149</v>
      </c>
      <c r="E267" s="597" t="s">
        <v>1201</v>
      </c>
      <c r="F267" s="601" t="s">
        <v>730</v>
      </c>
      <c r="G267" s="599">
        <v>-179.17</v>
      </c>
      <c r="H267" s="597" t="s">
        <v>806</v>
      </c>
      <c r="I267" s="597" t="s">
        <v>1289</v>
      </c>
      <c r="J267" s="207"/>
    </row>
    <row r="268" spans="1:10" ht="15">
      <c r="A268" s="488">
        <f t="shared" si="3"/>
        <v>263</v>
      </c>
      <c r="B268" s="596">
        <v>41274</v>
      </c>
      <c r="C268" s="597" t="s">
        <v>726</v>
      </c>
      <c r="D268" s="597" t="s">
        <v>149</v>
      </c>
      <c r="E268" s="597" t="s">
        <v>1312</v>
      </c>
      <c r="F268" s="601" t="s">
        <v>1015</v>
      </c>
      <c r="G268" s="599">
        <v>-8.33</v>
      </c>
      <c r="H268" s="597" t="s">
        <v>806</v>
      </c>
      <c r="I268" s="597" t="s">
        <v>1289</v>
      </c>
      <c r="J268" s="604"/>
    </row>
    <row r="269" spans="1:10" ht="15">
      <c r="A269" s="488">
        <f t="shared" si="3"/>
        <v>264</v>
      </c>
      <c r="B269" s="596">
        <v>41274</v>
      </c>
      <c r="C269" s="597" t="s">
        <v>726</v>
      </c>
      <c r="D269" s="597" t="s">
        <v>149</v>
      </c>
      <c r="E269" s="597" t="s">
        <v>1304</v>
      </c>
      <c r="F269" s="601" t="s">
        <v>1015</v>
      </c>
      <c r="G269" s="599">
        <v>-8.33</v>
      </c>
      <c r="H269" s="597" t="s">
        <v>806</v>
      </c>
      <c r="I269" s="597" t="s">
        <v>1289</v>
      </c>
      <c r="J269" s="604"/>
    </row>
    <row r="270" spans="1:10" ht="15">
      <c r="A270" s="488">
        <f t="shared" si="3"/>
        <v>265</v>
      </c>
      <c r="B270" s="596">
        <v>41274</v>
      </c>
      <c r="C270" s="597" t="s">
        <v>726</v>
      </c>
      <c r="D270" s="597" t="s">
        <v>149</v>
      </c>
      <c r="E270" s="597" t="s">
        <v>1302</v>
      </c>
      <c r="F270" s="601" t="s">
        <v>730</v>
      </c>
      <c r="G270" s="599">
        <v>-686.5</v>
      </c>
      <c r="H270" s="597" t="s">
        <v>806</v>
      </c>
      <c r="I270" s="597" t="s">
        <v>1289</v>
      </c>
      <c r="J270" s="604"/>
    </row>
    <row r="271" spans="1:10">
      <c r="A271" s="488">
        <f t="shared" si="3"/>
        <v>266</v>
      </c>
      <c r="B271" s="596">
        <v>41274</v>
      </c>
      <c r="C271" s="597" t="s">
        <v>725</v>
      </c>
      <c r="D271" s="597" t="s">
        <v>946</v>
      </c>
      <c r="E271" s="597" t="s">
        <v>1000</v>
      </c>
      <c r="F271" s="598" t="s">
        <v>1015</v>
      </c>
      <c r="G271" s="599">
        <v>-40</v>
      </c>
      <c r="H271" s="597" t="s">
        <v>997</v>
      </c>
      <c r="I271" s="597" t="s">
        <v>1299</v>
      </c>
      <c r="J271" s="207"/>
    </row>
    <row r="272" spans="1:10" ht="15">
      <c r="A272" s="488">
        <f t="shared" si="3"/>
        <v>267</v>
      </c>
      <c r="B272" s="596">
        <v>41274</v>
      </c>
      <c r="C272" s="597" t="s">
        <v>725</v>
      </c>
      <c r="D272" s="597" t="s">
        <v>946</v>
      </c>
      <c r="E272" s="597" t="s">
        <v>1203</v>
      </c>
      <c r="F272" s="598" t="s">
        <v>1015</v>
      </c>
      <c r="G272" s="599">
        <v>-350</v>
      </c>
      <c r="H272" s="597" t="s">
        <v>1111</v>
      </c>
      <c r="I272" s="597" t="s">
        <v>1299</v>
      </c>
      <c r="J272" s="602"/>
    </row>
    <row r="273" spans="1:10">
      <c r="A273" s="488">
        <f t="shared" si="3"/>
        <v>268</v>
      </c>
      <c r="B273" s="596">
        <v>41274</v>
      </c>
      <c r="C273" s="597" t="s">
        <v>725</v>
      </c>
      <c r="D273" s="597" t="s">
        <v>149</v>
      </c>
      <c r="E273" s="597" t="s">
        <v>1302</v>
      </c>
      <c r="F273" s="598" t="s">
        <v>730</v>
      </c>
      <c r="G273" s="599">
        <v>-10000</v>
      </c>
      <c r="H273" s="597" t="s">
        <v>806</v>
      </c>
      <c r="I273" s="597" t="s">
        <v>1289</v>
      </c>
      <c r="J273" s="207"/>
    </row>
    <row r="274" spans="1:10">
      <c r="A274" s="488">
        <f t="shared" si="3"/>
        <v>269</v>
      </c>
      <c r="B274" s="596">
        <v>41274</v>
      </c>
      <c r="C274" s="597" t="s">
        <v>725</v>
      </c>
      <c r="D274" s="597" t="s">
        <v>1099</v>
      </c>
      <c r="E274" s="597" t="s">
        <v>1092</v>
      </c>
      <c r="F274" s="598" t="s">
        <v>730</v>
      </c>
      <c r="G274" s="599">
        <v>-1055</v>
      </c>
      <c r="H274" s="597" t="s">
        <v>1109</v>
      </c>
      <c r="I274" s="597" t="s">
        <v>1110</v>
      </c>
      <c r="J274" s="207"/>
    </row>
    <row r="275" spans="1:10">
      <c r="A275" s="488">
        <f t="shared" si="3"/>
        <v>270</v>
      </c>
      <c r="B275" s="596">
        <v>41274</v>
      </c>
      <c r="C275" s="597" t="s">
        <v>725</v>
      </c>
      <c r="D275" s="597" t="s">
        <v>149</v>
      </c>
      <c r="E275" s="597" t="s">
        <v>1204</v>
      </c>
      <c r="F275" s="601" t="s">
        <v>663</v>
      </c>
      <c r="G275" s="599">
        <v>-1627.83</v>
      </c>
      <c r="H275" s="597" t="s">
        <v>806</v>
      </c>
      <c r="I275" s="597" t="s">
        <v>1289</v>
      </c>
      <c r="J275" s="207"/>
    </row>
    <row r="276" spans="1:10">
      <c r="A276" s="488">
        <f t="shared" si="3"/>
        <v>271</v>
      </c>
      <c r="B276" s="596">
        <v>41274</v>
      </c>
      <c r="C276" s="597" t="s">
        <v>725</v>
      </c>
      <c r="D276" s="597" t="s">
        <v>946</v>
      </c>
      <c r="E276" s="597" t="s">
        <v>728</v>
      </c>
      <c r="F276" s="598" t="s">
        <v>1015</v>
      </c>
      <c r="G276" s="599">
        <v>-40</v>
      </c>
      <c r="H276" s="597" t="s">
        <v>809</v>
      </c>
      <c r="I276" s="597" t="s">
        <v>1299</v>
      </c>
      <c r="J276" s="207"/>
    </row>
    <row r="277" spans="1:10">
      <c r="A277" s="488">
        <f t="shared" si="3"/>
        <v>272</v>
      </c>
      <c r="B277" s="606"/>
      <c r="C277" s="607"/>
      <c r="D277" s="607"/>
      <c r="E277" s="608"/>
      <c r="F277" s="609"/>
      <c r="G277" s="610"/>
      <c r="H277" s="607"/>
      <c r="I277" s="611"/>
      <c r="J277" s="605"/>
    </row>
    <row r="278" spans="1:10">
      <c r="A278" s="488">
        <f t="shared" si="3"/>
        <v>273</v>
      </c>
      <c r="B278" s="291"/>
      <c r="C278" s="609"/>
      <c r="D278" s="609"/>
      <c r="E278" s="605"/>
      <c r="F278" s="609" t="s">
        <v>462</v>
      </c>
      <c r="G278" s="612">
        <f>SUM(G6:G277)</f>
        <v>-280489.37999999995</v>
      </c>
      <c r="H278" s="609"/>
      <c r="I278" s="605"/>
      <c r="J278" s="605"/>
    </row>
    <row r="279" spans="1:10">
      <c r="A279" s="488">
        <f t="shared" si="3"/>
        <v>274</v>
      </c>
      <c r="E279" s="179"/>
    </row>
    <row r="280" spans="1:10">
      <c r="A280" s="488">
        <f t="shared" si="3"/>
        <v>275</v>
      </c>
      <c r="E280" s="179"/>
      <c r="F280" s="488" t="s">
        <v>778</v>
      </c>
      <c r="G280" s="591">
        <f>SUMIF($F$6:$F$277,"=PP",$G$6:$G$277)</f>
        <v>-28886.000000000018</v>
      </c>
      <c r="I280" s="605"/>
      <c r="J280" s="605"/>
    </row>
    <row r="281" spans="1:10">
      <c r="A281" s="488">
        <f t="shared" si="3"/>
        <v>276</v>
      </c>
      <c r="E281" s="179"/>
      <c r="F281" s="488" t="s">
        <v>774</v>
      </c>
      <c r="G281" s="591">
        <f>SUMIF($F$6:$F$277,"=G",$G$6:$G$277)</f>
        <v>-157755.52000000002</v>
      </c>
    </row>
    <row r="282" spans="1:10">
      <c r="A282" s="488">
        <f t="shared" si="3"/>
        <v>277</v>
      </c>
      <c r="E282" s="179"/>
      <c r="F282" s="488" t="s">
        <v>779</v>
      </c>
      <c r="G282" s="591">
        <f>SUMIF($F$6:$F$277,"=T",$G$6:$G$277)</f>
        <v>-62158.8</v>
      </c>
    </row>
    <row r="283" spans="1:10">
      <c r="A283" s="488">
        <f t="shared" si="3"/>
        <v>278</v>
      </c>
      <c r="E283" s="179"/>
      <c r="F283" s="488" t="s">
        <v>780</v>
      </c>
      <c r="G283" s="591">
        <f>SUMIF($F$6:$F$277,"=D",$G$6:$G$277)</f>
        <v>-31689.060000000012</v>
      </c>
    </row>
    <row r="284" spans="1:10">
      <c r="A284" s="488">
        <f t="shared" si="3"/>
        <v>279</v>
      </c>
      <c r="E284" s="179"/>
      <c r="I284" s="295"/>
      <c r="J284" s="295"/>
    </row>
    <row r="285" spans="1:10">
      <c r="A285" s="488">
        <f t="shared" si="3"/>
        <v>280</v>
      </c>
      <c r="E285" s="179"/>
      <c r="F285" s="488" t="s">
        <v>561</v>
      </c>
      <c r="G285" s="591">
        <f>SUM(G280:G284)</f>
        <v>-280489.38000000006</v>
      </c>
      <c r="I285" s="591"/>
      <c r="J285" s="591"/>
    </row>
    <row r="286" spans="1:10">
      <c r="A286" s="488">
        <f t="shared" si="3"/>
        <v>281</v>
      </c>
      <c r="E286" s="179"/>
    </row>
    <row r="287" spans="1:10">
      <c r="A287" s="488">
        <f t="shared" si="3"/>
        <v>282</v>
      </c>
      <c r="E287" s="422"/>
      <c r="F287" s="426"/>
      <c r="G287" s="613"/>
      <c r="H287" s="426"/>
      <c r="I287" s="424"/>
      <c r="J287" s="205"/>
    </row>
    <row r="288" spans="1:10">
      <c r="A288" s="488">
        <f t="shared" si="3"/>
        <v>283</v>
      </c>
      <c r="E288" s="425" t="s">
        <v>543</v>
      </c>
      <c r="F288" s="491"/>
      <c r="G288" s="171">
        <f>ABS(G282)</f>
        <v>62158.8</v>
      </c>
      <c r="H288" s="491"/>
      <c r="I288" s="260"/>
      <c r="J288" s="205"/>
    </row>
    <row r="289" spans="1:10" ht="15">
      <c r="A289" s="488">
        <f t="shared" si="3"/>
        <v>284</v>
      </c>
      <c r="E289" s="425" t="s">
        <v>1135</v>
      </c>
      <c r="F289" s="491">
        <f>'Schedule 3'!F27</f>
        <v>0.12985026</v>
      </c>
      <c r="G289" s="614">
        <f>ABS(G281) * F289</f>
        <v>20484.595288435201</v>
      </c>
      <c r="H289" s="491"/>
      <c r="I289" s="260"/>
      <c r="J289" s="205"/>
    </row>
    <row r="290" spans="1:10">
      <c r="A290" s="488">
        <f t="shared" si="3"/>
        <v>285</v>
      </c>
      <c r="E290" s="425" t="s">
        <v>1136</v>
      </c>
      <c r="F290" s="491"/>
      <c r="G290" s="171">
        <f>SUM(G288:G289)</f>
        <v>82643.395288435204</v>
      </c>
      <c r="H290" s="491"/>
      <c r="I290" s="260" t="s">
        <v>803</v>
      </c>
      <c r="J290" s="205"/>
    </row>
    <row r="291" spans="1:10">
      <c r="A291" s="488">
        <f t="shared" si="3"/>
        <v>286</v>
      </c>
      <c r="E291" s="615"/>
      <c r="F291" s="278"/>
      <c r="G291" s="616"/>
      <c r="H291" s="278"/>
      <c r="I291" s="428"/>
      <c r="J291" s="205"/>
    </row>
    <row r="292" spans="1:10">
      <c r="A292" s="488">
        <f t="shared" si="3"/>
        <v>287</v>
      </c>
      <c r="E292" s="179"/>
    </row>
    <row r="293" spans="1:10">
      <c r="A293" s="488">
        <f t="shared" si="3"/>
        <v>288</v>
      </c>
      <c r="B293" s="181" t="s">
        <v>736</v>
      </c>
      <c r="E293" s="179"/>
    </row>
    <row r="294" spans="1:10">
      <c r="A294" s="488">
        <f t="shared" si="3"/>
        <v>289</v>
      </c>
      <c r="B294" s="181" t="s">
        <v>1134</v>
      </c>
      <c r="E294" s="179"/>
    </row>
    <row r="295" spans="1:10">
      <c r="A295" s="488">
        <f t="shared" si="3"/>
        <v>290</v>
      </c>
      <c r="B295" s="181" t="s">
        <v>737</v>
      </c>
      <c r="E295" s="179"/>
    </row>
    <row r="296" spans="1:10">
      <c r="A296" s="488">
        <f t="shared" si="3"/>
        <v>291</v>
      </c>
      <c r="B296" s="181" t="s">
        <v>738</v>
      </c>
      <c r="E296" s="179"/>
    </row>
  </sheetData>
  <sheetProtection formatCells="0"/>
  <sortState ref="A6:I237">
    <sortCondition ref="A7:A238"/>
  </sortState>
  <mergeCells count="3">
    <mergeCell ref="B1:I1"/>
    <mergeCell ref="B2:I2"/>
    <mergeCell ref="A3:I3"/>
  </mergeCells>
  <printOptions horizontalCentered="1"/>
  <pageMargins left="0.75" right="0.75" top="1" bottom="1" header="0.5" footer="0.5"/>
  <pageSetup scale="69" fitToHeight="10" orientation="portrait" r:id="rId1"/>
  <headerFooter alignWithMargins="0">
    <oddHeader>&amp;CIDAHO POWER COMPANY
Transmission Cost of Service Rate Development
12 Months Ended 12/31/2012</oddHeader>
    <oddFooter>&amp;L&amp;F, &amp;A</oddFooter>
  </headerFooter>
  <colBreaks count="1" manualBreakCount="1">
    <brk id="9" max="295" man="1"/>
  </colBreaks>
</worksheet>
</file>

<file path=xl/worksheets/sheet29.xml><?xml version="1.0" encoding="utf-8"?>
<worksheet xmlns="http://schemas.openxmlformats.org/spreadsheetml/2006/main" xmlns:r="http://schemas.openxmlformats.org/officeDocument/2006/relationships">
  <sheetPr codeName="Sheet30">
    <pageSetUpPr fitToPage="1"/>
  </sheetPr>
  <dimension ref="A1:P81"/>
  <sheetViews>
    <sheetView topLeftCell="A28" zoomScale="80" zoomScaleNormal="80" zoomScaleSheetLayoutView="100" workbookViewId="0">
      <selection activeCell="A74" sqref="A74"/>
    </sheetView>
  </sheetViews>
  <sheetFormatPr defaultRowHeight="12.75"/>
  <cols>
    <col min="1" max="1" width="23" style="179" customWidth="1"/>
    <col min="2" max="2" width="11.140625" style="179" customWidth="1"/>
    <col min="3" max="5" width="15" style="447" customWidth="1"/>
    <col min="6" max="6" width="13" style="447" customWidth="1"/>
    <col min="7" max="7" width="13" style="179" customWidth="1"/>
    <col min="8" max="9" width="11.7109375" style="179" customWidth="1"/>
    <col min="10" max="10" width="13" style="179" customWidth="1"/>
    <col min="11" max="11" width="11.7109375" style="179" customWidth="1"/>
    <col min="12" max="16384" width="9.140625" style="179"/>
  </cols>
  <sheetData>
    <row r="1" spans="1:12">
      <c r="A1" s="668" t="s">
        <v>718</v>
      </c>
      <c r="B1" s="668"/>
      <c r="C1" s="668"/>
      <c r="D1" s="668"/>
      <c r="E1" s="668"/>
      <c r="F1" s="668"/>
      <c r="G1" s="668"/>
      <c r="H1" s="668"/>
      <c r="I1" s="668"/>
      <c r="J1" s="668"/>
    </row>
    <row r="2" spans="1:12">
      <c r="A2" s="668" t="s">
        <v>1137</v>
      </c>
      <c r="B2" s="668"/>
      <c r="C2" s="668"/>
      <c r="D2" s="668"/>
      <c r="E2" s="668"/>
      <c r="F2" s="668"/>
      <c r="G2" s="668"/>
      <c r="H2" s="668"/>
      <c r="I2" s="668"/>
      <c r="J2" s="668"/>
    </row>
    <row r="3" spans="1:12">
      <c r="A3" s="668" t="str">
        <f>'Schedule 1 Workpaper'!A3:F3</f>
        <v>12 Months Ended 12/31/2012</v>
      </c>
      <c r="B3" s="668"/>
      <c r="C3" s="668"/>
      <c r="D3" s="668"/>
      <c r="E3" s="668"/>
      <c r="F3" s="668"/>
      <c r="G3" s="668"/>
      <c r="H3" s="668"/>
      <c r="I3" s="668"/>
      <c r="J3" s="668"/>
    </row>
    <row r="6" spans="1:12" ht="42.75" customHeight="1">
      <c r="A6" s="363" t="s">
        <v>682</v>
      </c>
      <c r="B6" s="198" t="s">
        <v>683</v>
      </c>
      <c r="C6" s="430" t="s">
        <v>369</v>
      </c>
      <c r="D6" s="430" t="s">
        <v>931</v>
      </c>
      <c r="E6" s="430" t="s">
        <v>932</v>
      </c>
      <c r="F6" s="430" t="s">
        <v>933</v>
      </c>
      <c r="G6" s="430" t="s">
        <v>370</v>
      </c>
      <c r="H6" s="430" t="s">
        <v>371</v>
      </c>
      <c r="I6" s="430" t="s">
        <v>372</v>
      </c>
      <c r="J6" s="430" t="s">
        <v>980</v>
      </c>
      <c r="K6" s="430" t="s">
        <v>102</v>
      </c>
    </row>
    <row r="7" spans="1:12">
      <c r="A7" s="363"/>
      <c r="B7" s="363"/>
      <c r="C7" s="431"/>
      <c r="D7" s="431"/>
      <c r="E7" s="179"/>
      <c r="F7" s="179"/>
    </row>
    <row r="8" spans="1:12">
      <c r="A8" s="184" t="s">
        <v>1147</v>
      </c>
      <c r="B8" s="184" t="s">
        <v>684</v>
      </c>
      <c r="C8" s="432">
        <v>31457.25</v>
      </c>
      <c r="D8" s="432">
        <v>0</v>
      </c>
      <c r="E8" s="432">
        <v>0</v>
      </c>
      <c r="F8" s="432">
        <v>6810</v>
      </c>
      <c r="G8" s="432">
        <v>357288.64</v>
      </c>
      <c r="H8" s="432">
        <v>0</v>
      </c>
      <c r="I8" s="432">
        <v>0</v>
      </c>
      <c r="J8" s="432">
        <v>0</v>
      </c>
      <c r="K8" s="432">
        <v>0</v>
      </c>
      <c r="L8" s="99"/>
    </row>
    <row r="9" spans="1:12">
      <c r="A9" s="184" t="s">
        <v>1148</v>
      </c>
      <c r="B9" s="184" t="s">
        <v>684</v>
      </c>
      <c r="C9" s="432">
        <v>338.25</v>
      </c>
      <c r="D9" s="432">
        <v>0</v>
      </c>
      <c r="E9" s="432">
        <v>0</v>
      </c>
      <c r="F9" s="432">
        <v>0</v>
      </c>
      <c r="G9" s="432">
        <v>5158.3999999999996</v>
      </c>
      <c r="H9" s="432">
        <v>0</v>
      </c>
      <c r="I9" s="432">
        <v>0</v>
      </c>
      <c r="J9" s="432">
        <v>0</v>
      </c>
      <c r="K9" s="432">
        <v>0</v>
      </c>
      <c r="L9" s="99"/>
    </row>
    <row r="10" spans="1:12">
      <c r="A10" s="184" t="s">
        <v>685</v>
      </c>
      <c r="B10" s="184" t="s">
        <v>684</v>
      </c>
      <c r="C10" s="432">
        <v>0</v>
      </c>
      <c r="D10" s="432">
        <v>0</v>
      </c>
      <c r="E10" s="432">
        <v>0</v>
      </c>
      <c r="F10" s="432">
        <v>0</v>
      </c>
      <c r="G10" s="432">
        <v>2033.6</v>
      </c>
      <c r="H10" s="432">
        <v>0</v>
      </c>
      <c r="I10" s="432">
        <v>0</v>
      </c>
      <c r="J10" s="432">
        <v>0</v>
      </c>
      <c r="K10" s="432">
        <v>0</v>
      </c>
      <c r="L10" s="99"/>
    </row>
    <row r="11" spans="1:12">
      <c r="A11" s="184" t="s">
        <v>0</v>
      </c>
      <c r="B11" s="184" t="s">
        <v>684</v>
      </c>
      <c r="C11" s="432">
        <v>0</v>
      </c>
      <c r="D11" s="432">
        <v>0</v>
      </c>
      <c r="E11" s="432">
        <v>0</v>
      </c>
      <c r="F11" s="432">
        <v>0</v>
      </c>
      <c r="G11" s="432">
        <v>837</v>
      </c>
      <c r="H11" s="432">
        <v>0</v>
      </c>
      <c r="I11" s="432">
        <v>0</v>
      </c>
      <c r="J11" s="432">
        <v>0</v>
      </c>
      <c r="K11" s="432">
        <v>0</v>
      </c>
      <c r="L11" s="99"/>
    </row>
    <row r="12" spans="1:12">
      <c r="A12" s="184" t="s">
        <v>686</v>
      </c>
      <c r="B12" s="184" t="s">
        <v>684</v>
      </c>
      <c r="C12" s="432">
        <v>0</v>
      </c>
      <c r="D12" s="432">
        <v>0</v>
      </c>
      <c r="E12" s="432">
        <v>0</v>
      </c>
      <c r="F12" s="432">
        <v>0</v>
      </c>
      <c r="G12" s="432">
        <v>123</v>
      </c>
      <c r="H12" s="432">
        <v>0</v>
      </c>
      <c r="I12" s="432">
        <v>0</v>
      </c>
      <c r="J12" s="432">
        <v>0</v>
      </c>
      <c r="K12" s="432">
        <v>0</v>
      </c>
      <c r="L12" s="99"/>
    </row>
    <row r="13" spans="1:12">
      <c r="A13" s="184" t="s">
        <v>1</v>
      </c>
      <c r="B13" s="184" t="s">
        <v>684</v>
      </c>
      <c r="C13" s="432">
        <v>0</v>
      </c>
      <c r="D13" s="432">
        <v>0</v>
      </c>
      <c r="E13" s="432">
        <v>0</v>
      </c>
      <c r="F13" s="432">
        <v>0</v>
      </c>
      <c r="G13" s="432">
        <v>94</v>
      </c>
      <c r="H13" s="432">
        <v>0</v>
      </c>
      <c r="I13" s="432">
        <v>0</v>
      </c>
      <c r="J13" s="432">
        <v>0</v>
      </c>
      <c r="K13" s="432">
        <v>0</v>
      </c>
      <c r="L13" s="99"/>
    </row>
    <row r="14" spans="1:12">
      <c r="A14" s="184" t="s">
        <v>687</v>
      </c>
      <c r="B14" s="184" t="s">
        <v>684</v>
      </c>
      <c r="C14" s="432">
        <v>0</v>
      </c>
      <c r="D14" s="432">
        <v>0</v>
      </c>
      <c r="E14" s="432">
        <v>0</v>
      </c>
      <c r="F14" s="432">
        <v>0</v>
      </c>
      <c r="G14" s="432">
        <v>184.4</v>
      </c>
      <c r="H14" s="432">
        <v>0</v>
      </c>
      <c r="I14" s="432">
        <v>0</v>
      </c>
      <c r="J14" s="432">
        <v>0</v>
      </c>
      <c r="K14" s="432">
        <v>0</v>
      </c>
      <c r="L14" s="99"/>
    </row>
    <row r="15" spans="1:12">
      <c r="A15" s="184" t="s">
        <v>777</v>
      </c>
      <c r="B15" s="184" t="s">
        <v>684</v>
      </c>
      <c r="C15" s="432">
        <v>348.08</v>
      </c>
      <c r="D15" s="432">
        <v>0</v>
      </c>
      <c r="E15" s="432">
        <v>0</v>
      </c>
      <c r="F15" s="432">
        <v>310</v>
      </c>
      <c r="G15" s="432">
        <v>7851.75</v>
      </c>
      <c r="H15" s="432">
        <v>436.48</v>
      </c>
      <c r="I15" s="432">
        <v>0</v>
      </c>
      <c r="J15" s="432">
        <v>0</v>
      </c>
      <c r="K15" s="432">
        <v>0</v>
      </c>
      <c r="L15" s="99"/>
    </row>
    <row r="16" spans="1:12">
      <c r="A16" s="184" t="s">
        <v>688</v>
      </c>
      <c r="B16" s="184" t="s">
        <v>684</v>
      </c>
      <c r="C16" s="432">
        <v>0</v>
      </c>
      <c r="D16" s="432">
        <v>0</v>
      </c>
      <c r="E16" s="432">
        <v>0</v>
      </c>
      <c r="F16" s="432">
        <v>0</v>
      </c>
      <c r="G16" s="432">
        <v>5069.12</v>
      </c>
      <c r="H16" s="432">
        <v>0</v>
      </c>
      <c r="I16" s="432">
        <v>0</v>
      </c>
      <c r="J16" s="432">
        <v>0</v>
      </c>
      <c r="K16" s="432">
        <v>0</v>
      </c>
      <c r="L16" s="99"/>
    </row>
    <row r="17" spans="1:12">
      <c r="A17" s="184" t="s">
        <v>689</v>
      </c>
      <c r="B17" s="184" t="s">
        <v>684</v>
      </c>
      <c r="C17" s="432">
        <v>215.25</v>
      </c>
      <c r="D17" s="432">
        <v>0</v>
      </c>
      <c r="E17" s="432">
        <v>0</v>
      </c>
      <c r="F17" s="432">
        <v>0</v>
      </c>
      <c r="G17" s="432">
        <v>1974.08</v>
      </c>
      <c r="H17" s="432">
        <v>0</v>
      </c>
      <c r="I17" s="432">
        <v>0</v>
      </c>
      <c r="J17" s="432">
        <v>0</v>
      </c>
      <c r="K17" s="432">
        <v>0</v>
      </c>
      <c r="L17" s="99"/>
    </row>
    <row r="18" spans="1:12">
      <c r="A18" s="184" t="s">
        <v>361</v>
      </c>
      <c r="B18" s="184" t="s">
        <v>684</v>
      </c>
      <c r="C18" s="432">
        <v>3536.25</v>
      </c>
      <c r="D18" s="432">
        <v>0</v>
      </c>
      <c r="E18" s="432">
        <v>0</v>
      </c>
      <c r="F18" s="432">
        <v>1245</v>
      </c>
      <c r="G18" s="432">
        <v>48736.959999999999</v>
      </c>
      <c r="H18" s="432">
        <v>0</v>
      </c>
      <c r="I18" s="432">
        <v>0</v>
      </c>
      <c r="J18" s="432">
        <v>0</v>
      </c>
      <c r="K18" s="432">
        <v>0</v>
      </c>
      <c r="L18" s="99"/>
    </row>
    <row r="19" spans="1:12">
      <c r="A19" s="184" t="s">
        <v>690</v>
      </c>
      <c r="B19" s="184" t="s">
        <v>684</v>
      </c>
      <c r="C19" s="432">
        <v>0</v>
      </c>
      <c r="D19" s="432">
        <v>0</v>
      </c>
      <c r="E19" s="432">
        <v>0</v>
      </c>
      <c r="F19" s="432">
        <v>510</v>
      </c>
      <c r="G19" s="432">
        <v>101.5</v>
      </c>
      <c r="H19" s="432">
        <v>0</v>
      </c>
      <c r="I19" s="432">
        <v>0</v>
      </c>
      <c r="J19" s="432">
        <v>0</v>
      </c>
      <c r="K19" s="432">
        <v>0</v>
      </c>
      <c r="L19" s="99"/>
    </row>
    <row r="20" spans="1:12">
      <c r="A20" s="184" t="s">
        <v>691</v>
      </c>
      <c r="B20" s="184" t="s">
        <v>684</v>
      </c>
      <c r="C20" s="432">
        <v>201.52</v>
      </c>
      <c r="D20" s="432">
        <v>0</v>
      </c>
      <c r="E20" s="432">
        <v>0</v>
      </c>
      <c r="F20" s="432">
        <v>0</v>
      </c>
      <c r="G20" s="432">
        <v>1150.72</v>
      </c>
      <c r="H20" s="432">
        <v>0</v>
      </c>
      <c r="I20" s="432">
        <v>0</v>
      </c>
      <c r="J20" s="432">
        <v>0</v>
      </c>
      <c r="K20" s="432">
        <v>0</v>
      </c>
      <c r="L20" s="99"/>
    </row>
    <row r="21" spans="1:12">
      <c r="A21" s="184" t="s">
        <v>692</v>
      </c>
      <c r="B21" s="184" t="s">
        <v>684</v>
      </c>
      <c r="C21" s="432">
        <v>18.32</v>
      </c>
      <c r="D21" s="432">
        <v>0</v>
      </c>
      <c r="E21" s="432">
        <v>0</v>
      </c>
      <c r="F21" s="432">
        <v>0</v>
      </c>
      <c r="G21" s="432">
        <v>4384.6400000000003</v>
      </c>
      <c r="H21" s="432">
        <v>0</v>
      </c>
      <c r="I21" s="432">
        <v>0</v>
      </c>
      <c r="J21" s="432">
        <v>0</v>
      </c>
      <c r="K21" s="432">
        <v>0</v>
      </c>
      <c r="L21" s="99"/>
    </row>
    <row r="22" spans="1:12">
      <c r="A22" s="184"/>
      <c r="B22" s="184"/>
      <c r="C22" s="432"/>
      <c r="D22" s="432"/>
      <c r="E22" s="432"/>
      <c r="F22" s="432"/>
      <c r="G22" s="432"/>
      <c r="H22" s="432"/>
      <c r="I22" s="432"/>
      <c r="J22" s="432"/>
      <c r="K22" s="432"/>
      <c r="L22" s="99"/>
    </row>
    <row r="23" spans="1:12">
      <c r="A23" s="184" t="s">
        <v>693</v>
      </c>
      <c r="B23" s="184" t="s">
        <v>694</v>
      </c>
      <c r="C23" s="432">
        <v>0</v>
      </c>
      <c r="D23" s="432">
        <v>0</v>
      </c>
      <c r="E23" s="432">
        <v>0</v>
      </c>
      <c r="F23" s="432">
        <v>0</v>
      </c>
      <c r="G23" s="432">
        <v>17.5</v>
      </c>
      <c r="H23" s="432">
        <v>0</v>
      </c>
      <c r="I23" s="432">
        <v>0</v>
      </c>
      <c r="J23" s="432">
        <v>0</v>
      </c>
      <c r="K23" s="432">
        <v>0</v>
      </c>
      <c r="L23" s="99"/>
    </row>
    <row r="24" spans="1:12">
      <c r="A24" s="184" t="s">
        <v>695</v>
      </c>
      <c r="B24" s="184" t="s">
        <v>694</v>
      </c>
      <c r="C24" s="432">
        <v>0</v>
      </c>
      <c r="D24" s="432">
        <v>0</v>
      </c>
      <c r="E24" s="432">
        <v>0</v>
      </c>
      <c r="F24" s="432">
        <v>0</v>
      </c>
      <c r="G24" s="432">
        <v>85</v>
      </c>
      <c r="H24" s="432">
        <v>0</v>
      </c>
      <c r="I24" s="432">
        <v>0</v>
      </c>
      <c r="J24" s="432">
        <v>0</v>
      </c>
      <c r="K24" s="432">
        <v>0</v>
      </c>
      <c r="L24" s="99"/>
    </row>
    <row r="25" spans="1:12">
      <c r="A25" s="184" t="s">
        <v>696</v>
      </c>
      <c r="B25" s="184" t="s">
        <v>694</v>
      </c>
      <c r="C25" s="432">
        <v>0</v>
      </c>
      <c r="D25" s="432">
        <v>0</v>
      </c>
      <c r="E25" s="432">
        <v>0</v>
      </c>
      <c r="F25" s="432">
        <v>0</v>
      </c>
      <c r="G25" s="432">
        <v>8.1999999999999993</v>
      </c>
      <c r="H25" s="432">
        <v>0</v>
      </c>
      <c r="I25" s="432">
        <v>0</v>
      </c>
      <c r="J25" s="432">
        <v>0</v>
      </c>
      <c r="K25" s="432">
        <v>0</v>
      </c>
      <c r="L25" s="99"/>
    </row>
    <row r="26" spans="1:12">
      <c r="A26" s="184" t="s">
        <v>697</v>
      </c>
      <c r="B26" s="184" t="s">
        <v>694</v>
      </c>
      <c r="C26" s="432">
        <v>0</v>
      </c>
      <c r="D26" s="432">
        <v>0</v>
      </c>
      <c r="E26" s="432">
        <v>0</v>
      </c>
      <c r="F26" s="432">
        <v>0</v>
      </c>
      <c r="G26" s="432">
        <v>135.6</v>
      </c>
      <c r="H26" s="432">
        <v>0</v>
      </c>
      <c r="I26" s="432">
        <v>0</v>
      </c>
      <c r="J26" s="432">
        <v>0</v>
      </c>
      <c r="K26" s="432">
        <v>0</v>
      </c>
      <c r="L26" s="99"/>
    </row>
    <row r="27" spans="1:12">
      <c r="A27" s="184" t="s">
        <v>934</v>
      </c>
      <c r="B27" s="184" t="s">
        <v>694</v>
      </c>
      <c r="C27" s="432">
        <v>0</v>
      </c>
      <c r="D27" s="432">
        <v>0</v>
      </c>
      <c r="E27" s="432">
        <v>0</v>
      </c>
      <c r="F27" s="432">
        <v>0</v>
      </c>
      <c r="G27" s="432">
        <v>250</v>
      </c>
      <c r="H27" s="432">
        <v>0</v>
      </c>
      <c r="I27" s="432">
        <v>0</v>
      </c>
      <c r="J27" s="432">
        <v>0</v>
      </c>
      <c r="K27" s="432">
        <v>0</v>
      </c>
      <c r="L27" s="99"/>
    </row>
    <row r="28" spans="1:12">
      <c r="A28" s="184" t="s">
        <v>1068</v>
      </c>
      <c r="B28" s="184" t="s">
        <v>694</v>
      </c>
      <c r="C28" s="432">
        <v>0</v>
      </c>
      <c r="D28" s="432">
        <v>0</v>
      </c>
      <c r="E28" s="432">
        <v>0</v>
      </c>
      <c r="F28" s="432">
        <v>200</v>
      </c>
      <c r="G28" s="432">
        <v>0</v>
      </c>
      <c r="H28" s="432">
        <v>0</v>
      </c>
      <c r="I28" s="432">
        <v>0</v>
      </c>
      <c r="J28" s="432">
        <v>0</v>
      </c>
      <c r="K28" s="432">
        <v>0</v>
      </c>
      <c r="L28" s="99"/>
    </row>
    <row r="29" spans="1:12">
      <c r="A29" s="184" t="s">
        <v>362</v>
      </c>
      <c r="B29" s="184" t="s">
        <v>694</v>
      </c>
      <c r="C29" s="432">
        <v>0</v>
      </c>
      <c r="D29" s="432">
        <v>0</v>
      </c>
      <c r="E29" s="432">
        <v>0</v>
      </c>
      <c r="F29" s="432">
        <v>0</v>
      </c>
      <c r="G29" s="432">
        <v>250</v>
      </c>
      <c r="H29" s="432">
        <v>0</v>
      </c>
      <c r="I29" s="432">
        <v>0</v>
      </c>
      <c r="J29" s="432">
        <v>0</v>
      </c>
      <c r="K29" s="432">
        <v>0</v>
      </c>
      <c r="L29" s="99"/>
    </row>
    <row r="30" spans="1:12">
      <c r="A30" s="184" t="s">
        <v>698</v>
      </c>
      <c r="B30" s="184" t="s">
        <v>694</v>
      </c>
      <c r="C30" s="432">
        <v>10.5</v>
      </c>
      <c r="D30" s="432">
        <v>0</v>
      </c>
      <c r="E30" s="432">
        <v>0</v>
      </c>
      <c r="F30" s="432">
        <v>0</v>
      </c>
      <c r="G30" s="432">
        <v>37.5</v>
      </c>
      <c r="H30" s="432">
        <v>0</v>
      </c>
      <c r="I30" s="432">
        <v>0</v>
      </c>
      <c r="J30" s="432">
        <v>0</v>
      </c>
      <c r="K30" s="432">
        <v>0</v>
      </c>
      <c r="L30" s="99"/>
    </row>
    <row r="31" spans="1:12">
      <c r="A31" s="184" t="s">
        <v>699</v>
      </c>
      <c r="B31" s="184" t="s">
        <v>694</v>
      </c>
      <c r="C31" s="432">
        <v>0</v>
      </c>
      <c r="D31" s="432">
        <v>0</v>
      </c>
      <c r="E31" s="432">
        <v>0</v>
      </c>
      <c r="F31" s="432">
        <v>0</v>
      </c>
      <c r="G31" s="432">
        <v>108</v>
      </c>
      <c r="H31" s="432">
        <v>0</v>
      </c>
      <c r="I31" s="432">
        <v>0</v>
      </c>
      <c r="J31" s="432">
        <v>0</v>
      </c>
      <c r="K31" s="432">
        <v>0</v>
      </c>
      <c r="L31" s="99"/>
    </row>
    <row r="32" spans="1:12">
      <c r="A32" s="184" t="s">
        <v>2</v>
      </c>
      <c r="B32" s="184" t="s">
        <v>694</v>
      </c>
      <c r="C32" s="432">
        <v>0</v>
      </c>
      <c r="D32" s="432">
        <v>0</v>
      </c>
      <c r="E32" s="432">
        <v>0</v>
      </c>
      <c r="F32" s="432">
        <v>0</v>
      </c>
      <c r="G32" s="432">
        <v>76</v>
      </c>
      <c r="H32" s="432">
        <v>0</v>
      </c>
      <c r="I32" s="432">
        <v>0</v>
      </c>
      <c r="J32" s="432">
        <v>0</v>
      </c>
      <c r="K32" s="432">
        <v>0</v>
      </c>
      <c r="L32" s="99"/>
    </row>
    <row r="33" spans="1:16">
      <c r="A33" s="184" t="s">
        <v>700</v>
      </c>
      <c r="B33" s="184" t="s">
        <v>694</v>
      </c>
      <c r="C33" s="432">
        <v>0</v>
      </c>
      <c r="D33" s="432">
        <v>0</v>
      </c>
      <c r="E33" s="432">
        <v>0</v>
      </c>
      <c r="F33" s="432">
        <v>0</v>
      </c>
      <c r="G33" s="432">
        <v>12</v>
      </c>
      <c r="H33" s="432">
        <v>0</v>
      </c>
      <c r="I33" s="432">
        <v>0</v>
      </c>
      <c r="J33" s="432">
        <v>0</v>
      </c>
      <c r="K33" s="432">
        <v>0</v>
      </c>
      <c r="L33" s="99"/>
    </row>
    <row r="34" spans="1:16">
      <c r="A34" s="184" t="s">
        <v>701</v>
      </c>
      <c r="B34" s="184" t="s">
        <v>694</v>
      </c>
      <c r="C34" s="432">
        <v>60</v>
      </c>
      <c r="D34" s="432">
        <v>0</v>
      </c>
      <c r="E34" s="432">
        <v>0</v>
      </c>
      <c r="F34" s="432">
        <v>0</v>
      </c>
      <c r="G34" s="432">
        <v>0</v>
      </c>
      <c r="H34" s="432">
        <v>0</v>
      </c>
      <c r="I34" s="432">
        <v>0</v>
      </c>
      <c r="J34" s="432">
        <v>0</v>
      </c>
      <c r="K34" s="432">
        <v>0</v>
      </c>
      <c r="L34" s="99"/>
    </row>
    <row r="35" spans="1:16">
      <c r="A35" s="184" t="s">
        <v>702</v>
      </c>
      <c r="B35" s="184" t="s">
        <v>694</v>
      </c>
      <c r="C35" s="432">
        <v>0</v>
      </c>
      <c r="D35" s="432">
        <v>0</v>
      </c>
      <c r="E35" s="432">
        <v>0</v>
      </c>
      <c r="F35" s="432">
        <v>0</v>
      </c>
      <c r="G35" s="432">
        <v>85</v>
      </c>
      <c r="H35" s="432">
        <v>0</v>
      </c>
      <c r="I35" s="432">
        <v>0</v>
      </c>
      <c r="J35" s="432">
        <v>0</v>
      </c>
      <c r="K35" s="432">
        <v>0</v>
      </c>
      <c r="L35" s="99"/>
    </row>
    <row r="36" spans="1:16">
      <c r="A36" s="184" t="s">
        <v>703</v>
      </c>
      <c r="B36" s="184" t="s">
        <v>694</v>
      </c>
      <c r="C36" s="432">
        <v>0</v>
      </c>
      <c r="D36" s="432">
        <v>0</v>
      </c>
      <c r="E36" s="432">
        <v>0</v>
      </c>
      <c r="F36" s="432">
        <v>0</v>
      </c>
      <c r="G36" s="432">
        <v>121.5</v>
      </c>
      <c r="H36" s="432">
        <v>0</v>
      </c>
      <c r="I36" s="432">
        <v>0</v>
      </c>
      <c r="J36" s="432">
        <v>0</v>
      </c>
      <c r="K36" s="432">
        <v>0</v>
      </c>
      <c r="L36" s="99"/>
    </row>
    <row r="37" spans="1:16">
      <c r="A37" s="184" t="s">
        <v>558</v>
      </c>
      <c r="B37" s="184" t="s">
        <v>694</v>
      </c>
      <c r="C37" s="432">
        <v>0</v>
      </c>
      <c r="D37" s="432">
        <v>0</v>
      </c>
      <c r="E37" s="432">
        <v>0</v>
      </c>
      <c r="F37" s="432">
        <v>0</v>
      </c>
      <c r="G37" s="432">
        <v>500</v>
      </c>
      <c r="H37" s="432">
        <v>0</v>
      </c>
      <c r="I37" s="432">
        <v>0</v>
      </c>
      <c r="J37" s="432">
        <v>0</v>
      </c>
      <c r="K37" s="432">
        <v>0</v>
      </c>
      <c r="L37" s="99"/>
    </row>
    <row r="38" spans="1:16">
      <c r="A38" s="184" t="s">
        <v>704</v>
      </c>
      <c r="B38" s="179" t="s">
        <v>694</v>
      </c>
      <c r="C38" s="432">
        <v>0</v>
      </c>
      <c r="D38" s="432">
        <v>0</v>
      </c>
      <c r="E38" s="432">
        <v>0</v>
      </c>
      <c r="F38" s="432">
        <v>0</v>
      </c>
      <c r="G38" s="432">
        <v>124</v>
      </c>
      <c r="H38" s="432">
        <v>0</v>
      </c>
      <c r="I38" s="432">
        <v>0</v>
      </c>
      <c r="J38" s="432">
        <v>0</v>
      </c>
      <c r="K38" s="432">
        <v>0</v>
      </c>
      <c r="L38" s="99"/>
    </row>
    <row r="39" spans="1:16">
      <c r="A39" s="184" t="s">
        <v>1069</v>
      </c>
      <c r="B39" s="184" t="s">
        <v>694</v>
      </c>
      <c r="C39" s="432">
        <v>0</v>
      </c>
      <c r="D39" s="432">
        <v>0</v>
      </c>
      <c r="E39" s="432">
        <v>0</v>
      </c>
      <c r="F39" s="432">
        <v>0</v>
      </c>
      <c r="G39" s="432">
        <v>16</v>
      </c>
      <c r="H39" s="432">
        <v>0</v>
      </c>
      <c r="I39" s="432">
        <v>0</v>
      </c>
      <c r="J39" s="433">
        <v>0</v>
      </c>
      <c r="K39" s="432">
        <v>0</v>
      </c>
      <c r="L39" s="99"/>
    </row>
    <row r="40" spans="1:16">
      <c r="A40" s="184" t="s">
        <v>363</v>
      </c>
      <c r="B40" s="184" t="s">
        <v>694</v>
      </c>
      <c r="C40" s="432">
        <v>395.5</v>
      </c>
      <c r="D40" s="432">
        <v>0</v>
      </c>
      <c r="E40" s="432">
        <v>0</v>
      </c>
      <c r="F40" s="432">
        <v>0</v>
      </c>
      <c r="G40" s="432">
        <v>2022.7</v>
      </c>
      <c r="H40" s="432">
        <v>0</v>
      </c>
      <c r="I40" s="432">
        <v>1902.1</v>
      </c>
      <c r="J40" s="432">
        <v>0</v>
      </c>
      <c r="K40" s="432">
        <v>0</v>
      </c>
      <c r="L40" s="99"/>
    </row>
    <row r="41" spans="1:16">
      <c r="A41" s="184"/>
      <c r="B41" s="184"/>
      <c r="C41" s="432"/>
      <c r="D41" s="432"/>
      <c r="E41" s="432"/>
      <c r="F41" s="432"/>
      <c r="G41" s="432"/>
      <c r="H41" s="432"/>
      <c r="I41" s="432"/>
      <c r="J41" s="432"/>
      <c r="K41" s="432"/>
      <c r="L41" s="99"/>
    </row>
    <row r="42" spans="1:16">
      <c r="A42" s="184" t="s">
        <v>706</v>
      </c>
      <c r="B42" s="184" t="s">
        <v>705</v>
      </c>
      <c r="C42" s="432">
        <v>121857.08</v>
      </c>
      <c r="D42" s="432">
        <v>0</v>
      </c>
      <c r="E42" s="432">
        <v>0</v>
      </c>
      <c r="F42" s="432">
        <v>14810</v>
      </c>
      <c r="G42" s="432">
        <v>525103</v>
      </c>
      <c r="H42" s="432">
        <v>10475.52</v>
      </c>
      <c r="I42" s="432">
        <v>0</v>
      </c>
      <c r="J42" s="432">
        <v>0</v>
      </c>
      <c r="K42" s="432">
        <v>1633.52</v>
      </c>
      <c r="L42" s="179" t="s">
        <v>1149</v>
      </c>
      <c r="P42" s="99"/>
    </row>
    <row r="43" spans="1:16">
      <c r="A43" s="184" t="s">
        <v>707</v>
      </c>
      <c r="B43" s="184" t="s">
        <v>705</v>
      </c>
      <c r="C43" s="432">
        <v>421.36</v>
      </c>
      <c r="D43" s="432">
        <v>0</v>
      </c>
      <c r="E43" s="432">
        <v>0</v>
      </c>
      <c r="F43" s="432">
        <v>120</v>
      </c>
      <c r="G43" s="432">
        <v>4553</v>
      </c>
      <c r="H43" s="432">
        <v>39.68</v>
      </c>
      <c r="I43" s="432">
        <v>0</v>
      </c>
      <c r="J43" s="432">
        <v>0</v>
      </c>
      <c r="K43" s="432">
        <v>0</v>
      </c>
      <c r="L43" s="99"/>
    </row>
    <row r="44" spans="1:16">
      <c r="A44" s="184" t="s">
        <v>708</v>
      </c>
      <c r="B44" s="184" t="s">
        <v>705</v>
      </c>
      <c r="C44" s="432">
        <v>1099.2</v>
      </c>
      <c r="D44" s="432">
        <v>0</v>
      </c>
      <c r="E44" s="432">
        <v>0</v>
      </c>
      <c r="F44" s="432">
        <v>170</v>
      </c>
      <c r="G44" s="432">
        <v>13811.25</v>
      </c>
      <c r="H44" s="432">
        <v>1031.68</v>
      </c>
      <c r="I44" s="432">
        <v>0</v>
      </c>
      <c r="J44" s="432">
        <v>0</v>
      </c>
      <c r="K44" s="432">
        <v>0</v>
      </c>
      <c r="L44" s="99"/>
      <c r="M44" s="434"/>
    </row>
    <row r="45" spans="1:16">
      <c r="A45" s="184" t="s">
        <v>775</v>
      </c>
      <c r="B45" s="184" t="s">
        <v>705</v>
      </c>
      <c r="C45" s="432">
        <v>311.44</v>
      </c>
      <c r="D45" s="432">
        <v>0</v>
      </c>
      <c r="E45" s="432">
        <v>0</v>
      </c>
      <c r="F45" s="432">
        <v>0</v>
      </c>
      <c r="G45" s="432">
        <v>3001.5</v>
      </c>
      <c r="H45" s="432">
        <v>138.88</v>
      </c>
      <c r="I45" s="432">
        <v>0</v>
      </c>
      <c r="J45" s="432">
        <v>0</v>
      </c>
      <c r="K45" s="432">
        <v>0</v>
      </c>
      <c r="L45" s="99"/>
    </row>
    <row r="46" spans="1:16">
      <c r="A46" s="184" t="s">
        <v>709</v>
      </c>
      <c r="B46" s="184" t="s">
        <v>705</v>
      </c>
      <c r="C46" s="432">
        <v>0</v>
      </c>
      <c r="D46" s="432">
        <v>0</v>
      </c>
      <c r="E46" s="432">
        <v>0</v>
      </c>
      <c r="F46" s="432">
        <v>220</v>
      </c>
      <c r="G46" s="432">
        <v>888.13</v>
      </c>
      <c r="H46" s="432">
        <v>19.84</v>
      </c>
      <c r="I46" s="432">
        <v>0</v>
      </c>
      <c r="J46" s="432">
        <v>0</v>
      </c>
      <c r="K46" s="432">
        <v>0</v>
      </c>
      <c r="L46" s="99"/>
    </row>
    <row r="47" spans="1:16">
      <c r="A47" s="184" t="s">
        <v>364</v>
      </c>
      <c r="B47" s="184" t="s">
        <v>705</v>
      </c>
      <c r="C47" s="432">
        <v>0</v>
      </c>
      <c r="D47" s="432">
        <v>0</v>
      </c>
      <c r="E47" s="432">
        <v>0</v>
      </c>
      <c r="F47" s="432">
        <v>0</v>
      </c>
      <c r="G47" s="432">
        <v>3977.92</v>
      </c>
      <c r="H47" s="432">
        <v>238.08</v>
      </c>
      <c r="I47" s="432">
        <v>0</v>
      </c>
      <c r="J47" s="432">
        <v>0</v>
      </c>
      <c r="K47" s="432">
        <v>0</v>
      </c>
      <c r="L47" s="99"/>
    </row>
    <row r="48" spans="1:16">
      <c r="A48" s="184" t="s">
        <v>716</v>
      </c>
      <c r="B48" s="184" t="s">
        <v>705</v>
      </c>
      <c r="C48" s="432">
        <v>0</v>
      </c>
      <c r="D48" s="432">
        <v>0</v>
      </c>
      <c r="E48" s="432">
        <v>0</v>
      </c>
      <c r="F48" s="432">
        <v>0</v>
      </c>
      <c r="G48" s="432">
        <v>1602.25</v>
      </c>
      <c r="H48" s="432">
        <v>39.68</v>
      </c>
      <c r="I48" s="432">
        <v>0</v>
      </c>
      <c r="J48" s="432">
        <v>0</v>
      </c>
      <c r="K48" s="432">
        <v>0</v>
      </c>
      <c r="L48" s="99"/>
    </row>
    <row r="49" spans="1:12">
      <c r="A49" s="184" t="s">
        <v>935</v>
      </c>
      <c r="B49" s="184" t="s">
        <v>705</v>
      </c>
      <c r="C49" s="432">
        <v>36.64</v>
      </c>
      <c r="D49" s="432">
        <v>0</v>
      </c>
      <c r="E49" s="432">
        <v>0</v>
      </c>
      <c r="F49" s="432">
        <v>120</v>
      </c>
      <c r="G49" s="432">
        <v>2907.25</v>
      </c>
      <c r="H49" s="432">
        <v>59.52</v>
      </c>
      <c r="I49" s="432">
        <v>0</v>
      </c>
      <c r="J49" s="432">
        <v>0</v>
      </c>
      <c r="K49" s="432">
        <v>0</v>
      </c>
      <c r="L49" s="99"/>
    </row>
    <row r="50" spans="1:12">
      <c r="A50" s="184" t="s">
        <v>936</v>
      </c>
      <c r="B50" s="184" t="s">
        <v>705</v>
      </c>
      <c r="C50" s="432">
        <v>9194.25</v>
      </c>
      <c r="D50" s="432">
        <v>0</v>
      </c>
      <c r="E50" s="432">
        <v>108.58</v>
      </c>
      <c r="F50" s="432">
        <v>251.42</v>
      </c>
      <c r="G50" s="432">
        <v>21288.32</v>
      </c>
      <c r="H50" s="432">
        <v>19.84</v>
      </c>
      <c r="I50" s="432">
        <v>0</v>
      </c>
      <c r="J50" s="432">
        <v>0</v>
      </c>
      <c r="K50" s="432">
        <v>0</v>
      </c>
      <c r="L50" s="99"/>
    </row>
    <row r="51" spans="1:12">
      <c r="A51" s="184"/>
      <c r="B51" s="184"/>
      <c r="C51" s="432"/>
      <c r="D51" s="432"/>
      <c r="E51" s="432"/>
      <c r="F51" s="432"/>
      <c r="G51" s="432"/>
      <c r="H51" s="432"/>
      <c r="I51" s="432"/>
      <c r="J51" s="432"/>
      <c r="K51" s="432"/>
      <c r="L51" s="99"/>
    </row>
    <row r="52" spans="1:12">
      <c r="A52" s="184" t="s">
        <v>937</v>
      </c>
      <c r="B52" s="184" t="s">
        <v>710</v>
      </c>
      <c r="C52" s="432">
        <v>9050.08</v>
      </c>
      <c r="D52" s="432">
        <v>0</v>
      </c>
      <c r="E52" s="432">
        <v>0</v>
      </c>
      <c r="F52" s="432">
        <v>2076.1799999999998</v>
      </c>
      <c r="G52" s="432">
        <v>37497.599999999999</v>
      </c>
      <c r="H52" s="432">
        <v>0</v>
      </c>
      <c r="I52" s="432">
        <v>110088.12</v>
      </c>
      <c r="J52" s="432">
        <v>0</v>
      </c>
      <c r="K52" s="432">
        <v>0</v>
      </c>
      <c r="L52" s="99"/>
    </row>
    <row r="53" spans="1:12">
      <c r="A53" s="184" t="s">
        <v>3</v>
      </c>
      <c r="B53" s="184" t="s">
        <v>710</v>
      </c>
      <c r="C53" s="432">
        <v>16443.2</v>
      </c>
      <c r="D53" s="432">
        <v>0</v>
      </c>
      <c r="E53" s="432">
        <v>895.26</v>
      </c>
      <c r="F53" s="432">
        <v>7170.97</v>
      </c>
      <c r="G53" s="432">
        <v>61433.46</v>
      </c>
      <c r="H53" s="432">
        <v>4959.24</v>
      </c>
      <c r="I53" s="432">
        <v>124133.64</v>
      </c>
      <c r="J53" s="433">
        <v>0</v>
      </c>
      <c r="K53" s="432">
        <v>0</v>
      </c>
      <c r="L53" s="99"/>
    </row>
    <row r="54" spans="1:12">
      <c r="A54" s="184" t="s">
        <v>365</v>
      </c>
      <c r="B54" s="184" t="s">
        <v>710</v>
      </c>
      <c r="C54" s="432">
        <v>4726.5600000000004</v>
      </c>
      <c r="D54" s="432">
        <v>5010.2</v>
      </c>
      <c r="E54" s="432">
        <v>0</v>
      </c>
      <c r="F54" s="432">
        <v>682.24</v>
      </c>
      <c r="G54" s="432">
        <v>15306.56</v>
      </c>
      <c r="H54" s="432">
        <v>0</v>
      </c>
      <c r="I54" s="432">
        <v>978.2</v>
      </c>
      <c r="J54" s="432">
        <v>0</v>
      </c>
      <c r="K54" s="432">
        <v>0</v>
      </c>
      <c r="L54" s="99"/>
    </row>
    <row r="55" spans="1:12">
      <c r="A55" s="184" t="s">
        <v>366</v>
      </c>
      <c r="B55" s="184" t="s">
        <v>710</v>
      </c>
      <c r="C55" s="432">
        <v>0</v>
      </c>
      <c r="D55" s="432">
        <v>125775.56</v>
      </c>
      <c r="E55" s="432">
        <v>49.18</v>
      </c>
      <c r="F55" s="432">
        <v>0</v>
      </c>
      <c r="G55" s="432">
        <v>0</v>
      </c>
      <c r="H55" s="432">
        <v>0</v>
      </c>
      <c r="I55" s="432">
        <v>20872.68</v>
      </c>
      <c r="J55" s="433">
        <v>0</v>
      </c>
      <c r="K55" s="432">
        <v>0</v>
      </c>
      <c r="L55" s="99"/>
    </row>
    <row r="56" spans="1:12">
      <c r="A56" s="184" t="s">
        <v>1070</v>
      </c>
      <c r="B56" s="184" t="s">
        <v>710</v>
      </c>
      <c r="C56" s="432">
        <v>0</v>
      </c>
      <c r="D56" s="432">
        <v>0</v>
      </c>
      <c r="E56" s="432">
        <v>0</v>
      </c>
      <c r="F56" s="432">
        <v>1270</v>
      </c>
      <c r="G56" s="432">
        <v>647.22</v>
      </c>
      <c r="H56" s="432">
        <v>0</v>
      </c>
      <c r="I56" s="432">
        <v>0</v>
      </c>
      <c r="J56" s="433">
        <v>0</v>
      </c>
      <c r="K56" s="432">
        <v>0</v>
      </c>
      <c r="L56" s="99"/>
    </row>
    <row r="57" spans="1:12">
      <c r="A57" s="184" t="s">
        <v>981</v>
      </c>
      <c r="B57" s="184" t="s">
        <v>710</v>
      </c>
      <c r="C57" s="432">
        <v>0</v>
      </c>
      <c r="D57" s="432">
        <v>0</v>
      </c>
      <c r="E57" s="432">
        <v>0</v>
      </c>
      <c r="F57" s="432">
        <v>510</v>
      </c>
      <c r="G57" s="432">
        <v>267.83999999999997</v>
      </c>
      <c r="H57" s="432">
        <v>0</v>
      </c>
      <c r="I57" s="432">
        <v>0</v>
      </c>
      <c r="J57" s="432">
        <v>0</v>
      </c>
      <c r="K57" s="432">
        <v>0</v>
      </c>
      <c r="L57" s="99"/>
    </row>
    <row r="58" spans="1:12">
      <c r="A58" s="184" t="s">
        <v>1150</v>
      </c>
      <c r="B58" s="184" t="s">
        <v>710</v>
      </c>
      <c r="C58" s="432">
        <v>140.69999999999999</v>
      </c>
      <c r="D58" s="432">
        <v>0</v>
      </c>
      <c r="E58" s="432">
        <v>245.72</v>
      </c>
      <c r="F58" s="432">
        <v>1252.28</v>
      </c>
      <c r="G58" s="432">
        <v>717.06</v>
      </c>
      <c r="H58" s="432">
        <v>0</v>
      </c>
      <c r="I58" s="432">
        <v>0</v>
      </c>
      <c r="J58" s="432">
        <v>0</v>
      </c>
      <c r="K58" s="432">
        <v>0</v>
      </c>
      <c r="L58" s="99"/>
    </row>
    <row r="59" spans="1:12">
      <c r="A59" s="184" t="s">
        <v>367</v>
      </c>
      <c r="B59" s="184" t="s">
        <v>710</v>
      </c>
      <c r="C59" s="432">
        <v>5442.75</v>
      </c>
      <c r="D59" s="432">
        <v>0</v>
      </c>
      <c r="E59" s="432">
        <v>0</v>
      </c>
      <c r="F59" s="432">
        <v>0</v>
      </c>
      <c r="G59" s="432">
        <v>4622.72</v>
      </c>
      <c r="H59" s="432">
        <v>0</v>
      </c>
      <c r="I59" s="432">
        <v>19982.080000000002</v>
      </c>
      <c r="J59" s="432">
        <v>0</v>
      </c>
      <c r="K59" s="432">
        <v>0</v>
      </c>
      <c r="L59" s="99"/>
    </row>
    <row r="60" spans="1:12">
      <c r="A60" s="184" t="s">
        <v>1071</v>
      </c>
      <c r="B60" s="184" t="s">
        <v>710</v>
      </c>
      <c r="C60" s="432">
        <v>0</v>
      </c>
      <c r="D60" s="432">
        <v>0</v>
      </c>
      <c r="E60" s="432">
        <v>0</v>
      </c>
      <c r="F60" s="432">
        <v>0</v>
      </c>
      <c r="G60" s="432">
        <v>1130.8800000000001</v>
      </c>
      <c r="H60" s="432">
        <v>0</v>
      </c>
      <c r="I60" s="432">
        <v>0</v>
      </c>
      <c r="J60" s="432">
        <v>0</v>
      </c>
      <c r="K60" s="432">
        <v>0</v>
      </c>
      <c r="L60" s="99"/>
    </row>
    <row r="61" spans="1:12">
      <c r="A61" s="184" t="s">
        <v>711</v>
      </c>
      <c r="B61" s="184" t="s">
        <v>710</v>
      </c>
      <c r="C61" s="432">
        <v>0</v>
      </c>
      <c r="D61" s="432">
        <v>0</v>
      </c>
      <c r="E61" s="432">
        <v>0</v>
      </c>
      <c r="F61" s="432">
        <v>0</v>
      </c>
      <c r="G61" s="432">
        <v>1265.4000000000001</v>
      </c>
      <c r="H61" s="432">
        <v>0</v>
      </c>
      <c r="I61" s="432">
        <v>2114.64</v>
      </c>
      <c r="J61" s="432">
        <v>0</v>
      </c>
      <c r="K61" s="432">
        <v>0</v>
      </c>
      <c r="L61" s="99"/>
    </row>
    <row r="62" spans="1:12">
      <c r="A62" s="184"/>
      <c r="B62" s="184"/>
      <c r="C62" s="432"/>
      <c r="D62" s="432"/>
      <c r="E62" s="432"/>
      <c r="F62" s="432"/>
      <c r="G62" s="432"/>
      <c r="H62" s="432"/>
      <c r="I62" s="432"/>
      <c r="J62" s="432"/>
      <c r="K62" s="432"/>
      <c r="L62" s="99"/>
    </row>
    <row r="63" spans="1:12">
      <c r="A63" s="184" t="s">
        <v>717</v>
      </c>
      <c r="B63" s="184" t="s">
        <v>713</v>
      </c>
      <c r="C63" s="432">
        <v>0</v>
      </c>
      <c r="D63" s="432">
        <v>0</v>
      </c>
      <c r="E63" s="432">
        <v>0</v>
      </c>
      <c r="F63" s="432">
        <v>0</v>
      </c>
      <c r="G63" s="432">
        <v>0</v>
      </c>
      <c r="H63" s="432">
        <v>0</v>
      </c>
      <c r="I63" s="432">
        <v>0</v>
      </c>
      <c r="J63" s="432">
        <v>16500</v>
      </c>
      <c r="K63" s="432">
        <v>0</v>
      </c>
      <c r="L63" s="99"/>
    </row>
    <row r="64" spans="1:12">
      <c r="A64" s="184" t="s">
        <v>712</v>
      </c>
      <c r="B64" s="184" t="s">
        <v>713</v>
      </c>
      <c r="C64" s="432">
        <v>0</v>
      </c>
      <c r="D64" s="432">
        <v>0</v>
      </c>
      <c r="E64" s="432">
        <v>0</v>
      </c>
      <c r="F64" s="432">
        <v>0</v>
      </c>
      <c r="G64" s="432">
        <v>0</v>
      </c>
      <c r="H64" s="432">
        <v>0</v>
      </c>
      <c r="I64" s="432">
        <v>0</v>
      </c>
      <c r="J64" s="432">
        <v>13619.31</v>
      </c>
      <c r="K64" s="432">
        <v>0</v>
      </c>
      <c r="L64" s="99"/>
    </row>
    <row r="65" spans="1:15">
      <c r="A65" s="184" t="s">
        <v>714</v>
      </c>
      <c r="B65" s="184" t="s">
        <v>713</v>
      </c>
      <c r="C65" s="432">
        <v>0</v>
      </c>
      <c r="D65" s="432">
        <v>0</v>
      </c>
      <c r="E65" s="432">
        <v>0</v>
      </c>
      <c r="F65" s="432">
        <v>0</v>
      </c>
      <c r="G65" s="432">
        <v>0</v>
      </c>
      <c r="H65" s="432">
        <v>0</v>
      </c>
      <c r="I65" s="432">
        <v>0</v>
      </c>
      <c r="J65" s="432">
        <v>12106.06</v>
      </c>
      <c r="K65" s="432">
        <v>0</v>
      </c>
      <c r="L65" s="99"/>
    </row>
    <row r="66" spans="1:15" s="184" customFormat="1">
      <c r="A66" s="242" t="s">
        <v>982</v>
      </c>
      <c r="B66" s="184" t="s">
        <v>713</v>
      </c>
      <c r="C66" s="432">
        <v>0</v>
      </c>
      <c r="D66" s="432">
        <v>0</v>
      </c>
      <c r="E66" s="432">
        <v>0</v>
      </c>
      <c r="F66" s="432">
        <v>280</v>
      </c>
      <c r="G66" s="432">
        <v>367.18</v>
      </c>
      <c r="H66" s="312">
        <v>0</v>
      </c>
      <c r="I66" s="312">
        <v>0</v>
      </c>
      <c r="J66" s="432">
        <v>0</v>
      </c>
      <c r="K66" s="432">
        <v>0</v>
      </c>
      <c r="L66" s="99"/>
      <c r="M66" s="179"/>
      <c r="N66" s="179"/>
      <c r="O66" s="179"/>
    </row>
    <row r="67" spans="1:15">
      <c r="A67" s="184" t="s">
        <v>983</v>
      </c>
      <c r="B67" s="184" t="s">
        <v>713</v>
      </c>
      <c r="C67" s="432">
        <v>0</v>
      </c>
      <c r="D67" s="432">
        <v>0</v>
      </c>
      <c r="E67" s="432">
        <v>0</v>
      </c>
      <c r="F67" s="432">
        <v>0</v>
      </c>
      <c r="G67" s="432">
        <v>0</v>
      </c>
      <c r="H67" s="432">
        <v>0</v>
      </c>
      <c r="I67" s="432">
        <v>0</v>
      </c>
      <c r="J67" s="432">
        <v>2292.3000000000002</v>
      </c>
      <c r="K67" s="432">
        <v>0</v>
      </c>
      <c r="L67" s="99"/>
    </row>
    <row r="68" spans="1:15">
      <c r="A68" s="184" t="s">
        <v>368</v>
      </c>
      <c r="B68" s="184" t="s">
        <v>713</v>
      </c>
      <c r="C68" s="432">
        <v>0</v>
      </c>
      <c r="D68" s="432">
        <v>0</v>
      </c>
      <c r="E68" s="432">
        <v>0</v>
      </c>
      <c r="F68" s="432">
        <v>0</v>
      </c>
      <c r="G68" s="432">
        <v>0</v>
      </c>
      <c r="H68" s="432">
        <v>0</v>
      </c>
      <c r="I68" s="432">
        <v>0</v>
      </c>
      <c r="J68" s="432">
        <v>7411.14</v>
      </c>
      <c r="K68" s="432">
        <v>0</v>
      </c>
      <c r="L68" s="99"/>
    </row>
    <row r="69" spans="1:15" s="205" customFormat="1">
      <c r="A69" s="184" t="s">
        <v>776</v>
      </c>
      <c r="B69" s="184" t="s">
        <v>713</v>
      </c>
      <c r="C69" s="432">
        <v>0</v>
      </c>
      <c r="D69" s="432">
        <v>0</v>
      </c>
      <c r="E69" s="432">
        <v>0</v>
      </c>
      <c r="F69" s="432">
        <v>0</v>
      </c>
      <c r="G69" s="432">
        <v>0</v>
      </c>
      <c r="H69" s="432">
        <v>0</v>
      </c>
      <c r="I69" s="432">
        <v>0</v>
      </c>
      <c r="J69" s="432">
        <v>58315.95</v>
      </c>
      <c r="K69" s="312">
        <v>0</v>
      </c>
      <c r="L69" s="103"/>
    </row>
    <row r="70" spans="1:15" s="184" customFormat="1">
      <c r="A70" s="435" t="s">
        <v>715</v>
      </c>
      <c r="C70" s="436">
        <f>SUM(C8:C69)</f>
        <v>205304.18000000002</v>
      </c>
      <c r="D70" s="436">
        <f t="shared" ref="D70:K70" si="0">SUM(D8:D69)</f>
        <v>130785.76</v>
      </c>
      <c r="E70" s="436">
        <f t="shared" si="0"/>
        <v>1298.74</v>
      </c>
      <c r="F70" s="436">
        <f t="shared" si="0"/>
        <v>38008.089999999997</v>
      </c>
      <c r="G70" s="436">
        <f t="shared" si="0"/>
        <v>1139225.3499999999</v>
      </c>
      <c r="H70" s="436">
        <f t="shared" si="0"/>
        <v>17458.440000000002</v>
      </c>
      <c r="I70" s="436">
        <f t="shared" si="0"/>
        <v>280071.46000000002</v>
      </c>
      <c r="J70" s="436">
        <f t="shared" si="0"/>
        <v>110244.76</v>
      </c>
      <c r="K70" s="436">
        <f t="shared" si="0"/>
        <v>1633.52</v>
      </c>
      <c r="L70" s="437"/>
    </row>
    <row r="71" spans="1:15" s="184" customFormat="1">
      <c r="C71" s="438"/>
      <c r="D71" s="438"/>
      <c r="E71" s="438"/>
      <c r="F71" s="438"/>
      <c r="J71" s="438"/>
    </row>
    <row r="72" spans="1:15" s="184" customFormat="1">
      <c r="A72" s="184" t="s">
        <v>543</v>
      </c>
      <c r="B72" s="184" t="s">
        <v>804</v>
      </c>
      <c r="C72" s="438"/>
      <c r="D72" s="439">
        <f>C70+D70</f>
        <v>336089.94</v>
      </c>
      <c r="E72" s="440">
        <f>D72/D78</f>
        <v>0.17729363426641495</v>
      </c>
      <c r="F72" s="441" t="s">
        <v>836</v>
      </c>
    </row>
    <row r="73" spans="1:15" s="184" customFormat="1">
      <c r="C73" s="438"/>
      <c r="D73" s="438"/>
      <c r="E73" s="438"/>
      <c r="F73" s="438"/>
    </row>
    <row r="74" spans="1:15" s="184" customFormat="1">
      <c r="A74" s="184" t="s">
        <v>1319</v>
      </c>
      <c r="C74" s="442"/>
      <c r="D74" s="443">
        <f>SUM(C70:K70)</f>
        <v>1924030.2999999998</v>
      </c>
      <c r="F74" s="438"/>
    </row>
    <row r="75" spans="1:15">
      <c r="B75" s="444"/>
      <c r="C75" s="445" t="s">
        <v>938</v>
      </c>
      <c r="D75" s="446"/>
      <c r="F75" s="179"/>
    </row>
    <row r="76" spans="1:15">
      <c r="B76" s="448"/>
      <c r="C76" s="449" t="s">
        <v>939</v>
      </c>
      <c r="D76" s="446">
        <v>0</v>
      </c>
      <c r="F76" s="179"/>
    </row>
    <row r="77" spans="1:15">
      <c r="B77" s="448"/>
      <c r="C77" s="449" t="s">
        <v>940</v>
      </c>
      <c r="D77" s="450">
        <v>28361.9</v>
      </c>
      <c r="F77" s="179"/>
    </row>
    <row r="78" spans="1:15" ht="13.5" thickBot="1">
      <c r="B78" s="448"/>
      <c r="C78" s="449" t="s">
        <v>959</v>
      </c>
      <c r="D78" s="451">
        <f>D74-D77</f>
        <v>1895668.4</v>
      </c>
      <c r="F78" s="179"/>
    </row>
    <row r="79" spans="1:15" ht="13.5" thickTop="1">
      <c r="B79" s="447"/>
      <c r="F79" s="179"/>
    </row>
    <row r="80" spans="1:15">
      <c r="B80" s="447"/>
      <c r="F80" s="179"/>
    </row>
    <row r="81" spans="2:6">
      <c r="B81" s="447"/>
      <c r="F81" s="179"/>
    </row>
  </sheetData>
  <sheetProtection formatCells="0"/>
  <mergeCells count="3">
    <mergeCell ref="A1:J1"/>
    <mergeCell ref="A2:J2"/>
    <mergeCell ref="A3:J3"/>
  </mergeCells>
  <phoneticPr fontId="12" type="noConversion"/>
  <printOptions horizontalCentered="1"/>
  <pageMargins left="0.75" right="0.75" top="1" bottom="1" header="0.5" footer="0.5"/>
  <pageSetup scale="47" orientation="landscape" r:id="rId1"/>
  <headerFooter alignWithMargins="0">
    <oddHeader>&amp;CIDAHO POWER COMPANY
Transmission Cost of Service Rate Development
12 Months Ended 12/31/2012</oddHeader>
    <oddFooter>&amp;L&amp;F, &amp;A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XFD28"/>
  <sheetViews>
    <sheetView zoomScaleNormal="100" zoomScaleSheetLayoutView="100" workbookViewId="0">
      <selection activeCell="C16" sqref="C16"/>
    </sheetView>
  </sheetViews>
  <sheetFormatPr defaultRowHeight="12.75"/>
  <cols>
    <col min="1" max="1" width="71.5703125" style="1" customWidth="1"/>
    <col min="2" max="2" width="1.5703125" style="1" customWidth="1"/>
    <col min="3" max="3" width="14.5703125" style="1" bestFit="1" customWidth="1"/>
    <col min="4" max="4" width="1.7109375" style="1" customWidth="1"/>
    <col min="5" max="5" width="13.42578125" style="1" bestFit="1" customWidth="1"/>
    <col min="6" max="6" width="2" style="27" customWidth="1"/>
    <col min="7" max="7" width="1.42578125" style="1" customWidth="1"/>
    <col min="8" max="8" width="13.28515625" style="1" bestFit="1" customWidth="1"/>
    <col min="9" max="9" width="1.85546875" style="1" customWidth="1"/>
    <col min="10" max="10" width="13" style="78" bestFit="1" customWidth="1"/>
    <col min="11" max="11" width="12.140625" style="1" customWidth="1"/>
    <col min="12" max="16384" width="9.140625" style="1"/>
  </cols>
  <sheetData>
    <row r="1" spans="1:16384">
      <c r="A1" s="660"/>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0"/>
      <c r="BI1" s="660"/>
      <c r="BJ1" s="660"/>
      <c r="BK1" s="660"/>
      <c r="BL1" s="660"/>
      <c r="BM1" s="660"/>
      <c r="BN1" s="660"/>
      <c r="BO1" s="660"/>
      <c r="BP1" s="660"/>
      <c r="BQ1" s="660"/>
      <c r="BR1" s="660"/>
      <c r="BS1" s="660"/>
      <c r="BT1" s="660"/>
      <c r="BU1" s="660"/>
      <c r="BV1" s="660"/>
      <c r="BW1" s="660"/>
      <c r="BX1" s="660"/>
      <c r="BY1" s="660"/>
      <c r="BZ1" s="660"/>
      <c r="CA1" s="660"/>
      <c r="CB1" s="660"/>
      <c r="CC1" s="660"/>
      <c r="CD1" s="660"/>
      <c r="CE1" s="660"/>
      <c r="CF1" s="660"/>
      <c r="CG1" s="660"/>
      <c r="CH1" s="660"/>
      <c r="CI1" s="660"/>
      <c r="CJ1" s="660"/>
      <c r="CK1" s="660"/>
      <c r="CL1" s="660"/>
      <c r="CM1" s="660"/>
      <c r="CN1" s="660"/>
      <c r="CO1" s="660"/>
      <c r="CP1" s="660"/>
      <c r="CQ1" s="660"/>
      <c r="CR1" s="660"/>
      <c r="CS1" s="660"/>
      <c r="CT1" s="660"/>
      <c r="CU1" s="660"/>
      <c r="CV1" s="660"/>
      <c r="CW1" s="660"/>
      <c r="CX1" s="660"/>
      <c r="CY1" s="660"/>
      <c r="CZ1" s="660"/>
      <c r="DA1" s="660"/>
      <c r="DB1" s="660"/>
      <c r="DC1" s="660"/>
      <c r="DD1" s="660"/>
      <c r="DE1" s="660"/>
      <c r="DF1" s="660"/>
      <c r="DG1" s="660"/>
      <c r="DH1" s="660"/>
      <c r="DI1" s="660"/>
      <c r="DJ1" s="660"/>
      <c r="DK1" s="660"/>
      <c r="DL1" s="660"/>
      <c r="DM1" s="660"/>
      <c r="DN1" s="660"/>
      <c r="DO1" s="660"/>
      <c r="DP1" s="660"/>
      <c r="DQ1" s="660"/>
      <c r="DR1" s="660"/>
      <c r="DS1" s="660"/>
      <c r="DT1" s="660"/>
      <c r="DU1" s="660"/>
      <c r="DV1" s="660"/>
      <c r="DW1" s="660"/>
      <c r="DX1" s="660"/>
      <c r="DY1" s="660"/>
      <c r="DZ1" s="660"/>
      <c r="EA1" s="660"/>
      <c r="EB1" s="660"/>
      <c r="EC1" s="660"/>
      <c r="ED1" s="660"/>
      <c r="EE1" s="660"/>
      <c r="EF1" s="660"/>
      <c r="EG1" s="660"/>
      <c r="EH1" s="660"/>
      <c r="EI1" s="660"/>
      <c r="EJ1" s="660"/>
      <c r="EK1" s="660"/>
      <c r="EL1" s="660"/>
      <c r="EM1" s="660"/>
      <c r="EN1" s="660"/>
      <c r="EO1" s="660"/>
      <c r="EP1" s="660"/>
      <c r="EQ1" s="660"/>
      <c r="ER1" s="660"/>
      <c r="ES1" s="660"/>
      <c r="ET1" s="660"/>
      <c r="EU1" s="660"/>
      <c r="EV1" s="660"/>
      <c r="EW1" s="660"/>
      <c r="EX1" s="660"/>
      <c r="EY1" s="660"/>
      <c r="EZ1" s="660"/>
      <c r="FA1" s="660"/>
      <c r="FB1" s="660"/>
      <c r="FC1" s="660"/>
      <c r="FD1" s="660"/>
      <c r="FE1" s="660"/>
      <c r="FF1" s="660"/>
      <c r="FG1" s="660"/>
      <c r="FH1" s="660"/>
      <c r="FI1" s="660"/>
      <c r="FJ1" s="660"/>
      <c r="FK1" s="660"/>
      <c r="FL1" s="660"/>
      <c r="FM1" s="660"/>
      <c r="FN1" s="660"/>
      <c r="FO1" s="660"/>
      <c r="FP1" s="660"/>
      <c r="FQ1" s="660"/>
      <c r="FR1" s="660"/>
      <c r="FS1" s="660"/>
      <c r="FT1" s="660"/>
      <c r="FU1" s="660"/>
      <c r="FV1" s="660"/>
      <c r="FW1" s="660"/>
      <c r="FX1" s="660"/>
      <c r="FY1" s="660"/>
      <c r="FZ1" s="660"/>
      <c r="GA1" s="660"/>
      <c r="GB1" s="660"/>
      <c r="GC1" s="660"/>
      <c r="GD1" s="660"/>
      <c r="GE1" s="660"/>
      <c r="GF1" s="660"/>
      <c r="GG1" s="660"/>
      <c r="GH1" s="660"/>
      <c r="GI1" s="660"/>
      <c r="GJ1" s="660"/>
      <c r="GK1" s="660"/>
      <c r="GL1" s="660"/>
      <c r="GM1" s="660"/>
      <c r="GN1" s="660"/>
      <c r="GO1" s="660"/>
      <c r="GP1" s="660"/>
      <c r="GQ1" s="660"/>
      <c r="GR1" s="660"/>
      <c r="GS1" s="660"/>
      <c r="GT1" s="660"/>
      <c r="GU1" s="660"/>
      <c r="GV1" s="660"/>
      <c r="GW1" s="660"/>
      <c r="GX1" s="660"/>
      <c r="GY1" s="660"/>
      <c r="GZ1" s="660"/>
      <c r="HA1" s="660"/>
      <c r="HB1" s="660"/>
      <c r="HC1" s="660"/>
      <c r="HD1" s="660"/>
      <c r="HE1" s="660"/>
      <c r="HF1" s="660"/>
      <c r="HG1" s="660"/>
      <c r="HH1" s="660"/>
      <c r="HI1" s="660"/>
      <c r="HJ1" s="660"/>
      <c r="HK1" s="660"/>
      <c r="HL1" s="660"/>
      <c r="HM1" s="660"/>
      <c r="HN1" s="660"/>
      <c r="HO1" s="660"/>
      <c r="HP1" s="660"/>
      <c r="HQ1" s="660"/>
      <c r="HR1" s="660"/>
      <c r="HS1" s="660"/>
      <c r="HT1" s="660"/>
      <c r="HU1" s="660"/>
      <c r="HV1" s="660"/>
      <c r="HW1" s="660"/>
      <c r="HX1" s="660"/>
      <c r="HY1" s="660"/>
      <c r="HZ1" s="660"/>
      <c r="IA1" s="660"/>
      <c r="IB1" s="660"/>
      <c r="IC1" s="660"/>
      <c r="ID1" s="660"/>
      <c r="IE1" s="660"/>
      <c r="IF1" s="660"/>
      <c r="IG1" s="660"/>
      <c r="IH1" s="660"/>
      <c r="II1" s="660"/>
      <c r="IJ1" s="660"/>
      <c r="IK1" s="660"/>
      <c r="IL1" s="660"/>
      <c r="IM1" s="660"/>
      <c r="IN1" s="660"/>
      <c r="IO1" s="660"/>
      <c r="IP1" s="660"/>
      <c r="IQ1" s="660"/>
      <c r="IR1" s="660"/>
      <c r="IS1" s="660"/>
      <c r="IT1" s="660"/>
      <c r="IU1" s="660"/>
      <c r="IV1" s="660"/>
      <c r="IW1" s="660"/>
      <c r="IX1" s="660"/>
      <c r="IY1" s="660"/>
      <c r="IZ1" s="660"/>
      <c r="JA1" s="660"/>
      <c r="JB1" s="660"/>
      <c r="JC1" s="660"/>
      <c r="JD1" s="660"/>
      <c r="JE1" s="660"/>
      <c r="JF1" s="660"/>
      <c r="JG1" s="660"/>
      <c r="JH1" s="660"/>
      <c r="JI1" s="660"/>
      <c r="JJ1" s="660"/>
      <c r="JK1" s="660"/>
      <c r="JL1" s="660"/>
      <c r="JM1" s="660"/>
      <c r="JN1" s="660"/>
      <c r="JO1" s="660"/>
      <c r="JP1" s="660"/>
      <c r="JQ1" s="660"/>
      <c r="JR1" s="660"/>
      <c r="JS1" s="660"/>
      <c r="JT1" s="660"/>
      <c r="JU1" s="660"/>
      <c r="JV1" s="660"/>
      <c r="JW1" s="660"/>
      <c r="JX1" s="660"/>
      <c r="JY1" s="660"/>
      <c r="JZ1" s="660"/>
      <c r="KA1" s="660"/>
      <c r="KB1" s="660"/>
      <c r="KC1" s="660"/>
      <c r="KD1" s="660"/>
      <c r="KE1" s="660"/>
      <c r="KF1" s="660"/>
      <c r="KG1" s="660"/>
      <c r="KH1" s="660"/>
      <c r="KI1" s="660"/>
      <c r="KJ1" s="660"/>
      <c r="KK1" s="660"/>
      <c r="KL1" s="660"/>
      <c r="KM1" s="660"/>
      <c r="KN1" s="660"/>
      <c r="KO1" s="660"/>
      <c r="KP1" s="660"/>
      <c r="KQ1" s="660"/>
      <c r="KR1" s="660"/>
      <c r="KS1" s="660"/>
      <c r="KT1" s="660"/>
      <c r="KU1" s="660"/>
      <c r="KV1" s="660"/>
      <c r="KW1" s="660"/>
      <c r="KX1" s="660"/>
      <c r="KY1" s="660"/>
      <c r="KZ1" s="660"/>
      <c r="LA1" s="660"/>
      <c r="LB1" s="660"/>
      <c r="LC1" s="660"/>
      <c r="LD1" s="660"/>
      <c r="LE1" s="660"/>
      <c r="LF1" s="660"/>
      <c r="LG1" s="660"/>
      <c r="LH1" s="660"/>
      <c r="LI1" s="660"/>
      <c r="LJ1" s="660"/>
      <c r="LK1" s="660"/>
      <c r="LL1" s="660"/>
      <c r="LM1" s="660"/>
      <c r="LN1" s="660"/>
      <c r="LO1" s="660"/>
      <c r="LP1" s="660"/>
      <c r="LQ1" s="660"/>
      <c r="LR1" s="660"/>
      <c r="LS1" s="660"/>
      <c r="LT1" s="660"/>
      <c r="LU1" s="660"/>
      <c r="LV1" s="660"/>
      <c r="LW1" s="660"/>
      <c r="LX1" s="660"/>
      <c r="LY1" s="660"/>
      <c r="LZ1" s="660"/>
      <c r="MA1" s="660"/>
      <c r="MB1" s="660"/>
      <c r="MC1" s="660"/>
      <c r="MD1" s="660"/>
      <c r="ME1" s="660"/>
      <c r="MF1" s="660"/>
      <c r="MG1" s="660"/>
      <c r="MH1" s="660"/>
      <c r="MI1" s="660"/>
      <c r="MJ1" s="660"/>
      <c r="MK1" s="660"/>
      <c r="ML1" s="660"/>
      <c r="MM1" s="660"/>
      <c r="MN1" s="660"/>
      <c r="MO1" s="660"/>
      <c r="MP1" s="660"/>
      <c r="MQ1" s="660"/>
      <c r="MR1" s="660"/>
      <c r="MS1" s="660"/>
      <c r="MT1" s="660"/>
      <c r="MU1" s="660"/>
      <c r="MV1" s="660"/>
      <c r="MW1" s="660"/>
      <c r="MX1" s="660"/>
      <c r="MY1" s="660"/>
      <c r="MZ1" s="660"/>
      <c r="NA1" s="660"/>
      <c r="NB1" s="660"/>
      <c r="NC1" s="660"/>
      <c r="ND1" s="660"/>
      <c r="NE1" s="660"/>
      <c r="NF1" s="660"/>
      <c r="NG1" s="660"/>
      <c r="NH1" s="660"/>
      <c r="NI1" s="660"/>
      <c r="NJ1" s="660"/>
      <c r="NK1" s="660"/>
      <c r="NL1" s="660"/>
      <c r="NM1" s="660"/>
      <c r="NN1" s="660"/>
      <c r="NO1" s="660"/>
      <c r="NP1" s="660"/>
      <c r="NQ1" s="660"/>
      <c r="NR1" s="660"/>
      <c r="NS1" s="660"/>
      <c r="NT1" s="660"/>
      <c r="NU1" s="660"/>
      <c r="NV1" s="660"/>
      <c r="NW1" s="660"/>
      <c r="NX1" s="660"/>
      <c r="NY1" s="660"/>
      <c r="NZ1" s="660"/>
      <c r="OA1" s="660"/>
      <c r="OB1" s="660"/>
      <c r="OC1" s="660"/>
      <c r="OD1" s="660"/>
      <c r="OE1" s="660"/>
      <c r="OF1" s="660"/>
      <c r="OG1" s="660"/>
      <c r="OH1" s="660"/>
      <c r="OI1" s="660"/>
      <c r="OJ1" s="660"/>
      <c r="OK1" s="660"/>
      <c r="OL1" s="660"/>
      <c r="OM1" s="660"/>
      <c r="ON1" s="660"/>
      <c r="OO1" s="660"/>
      <c r="OP1" s="660"/>
      <c r="OQ1" s="660"/>
      <c r="OR1" s="660"/>
      <c r="OS1" s="660"/>
      <c r="OT1" s="660"/>
      <c r="OU1" s="660"/>
      <c r="OV1" s="660"/>
      <c r="OW1" s="660"/>
      <c r="OX1" s="660"/>
      <c r="OY1" s="660"/>
      <c r="OZ1" s="660"/>
      <c r="PA1" s="660"/>
      <c r="PB1" s="660"/>
      <c r="PC1" s="660"/>
      <c r="PD1" s="660"/>
      <c r="PE1" s="660"/>
      <c r="PF1" s="660"/>
      <c r="PG1" s="660"/>
      <c r="PH1" s="660"/>
      <c r="PI1" s="660"/>
      <c r="PJ1" s="660"/>
      <c r="PK1" s="660"/>
      <c r="PL1" s="660"/>
      <c r="PM1" s="660"/>
      <c r="PN1" s="660"/>
      <c r="PO1" s="660"/>
      <c r="PP1" s="660"/>
      <c r="PQ1" s="660"/>
      <c r="PR1" s="660"/>
      <c r="PS1" s="660"/>
      <c r="PT1" s="660"/>
      <c r="PU1" s="660"/>
      <c r="PV1" s="660"/>
      <c r="PW1" s="660"/>
      <c r="PX1" s="660"/>
      <c r="PY1" s="660"/>
      <c r="PZ1" s="660"/>
      <c r="QA1" s="660"/>
      <c r="QB1" s="660"/>
      <c r="QC1" s="660"/>
      <c r="QD1" s="660"/>
      <c r="QE1" s="660"/>
      <c r="QF1" s="660"/>
      <c r="QG1" s="660"/>
      <c r="QH1" s="660"/>
      <c r="QI1" s="660"/>
      <c r="QJ1" s="660"/>
      <c r="QK1" s="660"/>
      <c r="QL1" s="660"/>
      <c r="QM1" s="660"/>
      <c r="QN1" s="660"/>
      <c r="QO1" s="660"/>
      <c r="QP1" s="660"/>
      <c r="QQ1" s="660"/>
      <c r="QR1" s="660"/>
      <c r="QS1" s="660"/>
      <c r="QT1" s="660"/>
      <c r="QU1" s="660"/>
      <c r="QV1" s="660"/>
      <c r="QW1" s="660"/>
      <c r="QX1" s="660"/>
      <c r="QY1" s="660"/>
      <c r="QZ1" s="660"/>
      <c r="RA1" s="660"/>
      <c r="RB1" s="660"/>
      <c r="RC1" s="660"/>
      <c r="RD1" s="660"/>
      <c r="RE1" s="660"/>
      <c r="RF1" s="660"/>
      <c r="RG1" s="660"/>
      <c r="RH1" s="660"/>
      <c r="RI1" s="660"/>
      <c r="RJ1" s="660"/>
      <c r="RK1" s="660"/>
      <c r="RL1" s="660"/>
      <c r="RM1" s="660"/>
      <c r="RN1" s="660"/>
      <c r="RO1" s="660"/>
      <c r="RP1" s="660"/>
      <c r="RQ1" s="660"/>
      <c r="RR1" s="660"/>
      <c r="RS1" s="660"/>
      <c r="RT1" s="660"/>
      <c r="RU1" s="660"/>
      <c r="RV1" s="660"/>
      <c r="RW1" s="660"/>
      <c r="RX1" s="660"/>
      <c r="RY1" s="660"/>
      <c r="RZ1" s="660"/>
      <c r="SA1" s="660"/>
      <c r="SB1" s="660"/>
      <c r="SC1" s="660"/>
      <c r="SD1" s="660"/>
      <c r="SE1" s="660"/>
      <c r="SF1" s="660"/>
      <c r="SG1" s="660"/>
      <c r="SH1" s="660"/>
      <c r="SI1" s="660"/>
      <c r="SJ1" s="660"/>
      <c r="SK1" s="660"/>
      <c r="SL1" s="660"/>
      <c r="SM1" s="660"/>
      <c r="SN1" s="660"/>
      <c r="SO1" s="660"/>
      <c r="SP1" s="660"/>
      <c r="SQ1" s="660"/>
      <c r="SR1" s="660"/>
      <c r="SS1" s="660"/>
      <c r="ST1" s="660"/>
      <c r="SU1" s="660"/>
      <c r="SV1" s="660"/>
      <c r="SW1" s="660"/>
      <c r="SX1" s="660"/>
      <c r="SY1" s="660"/>
      <c r="SZ1" s="660"/>
      <c r="TA1" s="660"/>
      <c r="TB1" s="660"/>
      <c r="TC1" s="660"/>
      <c r="TD1" s="660"/>
      <c r="TE1" s="660"/>
      <c r="TF1" s="660"/>
      <c r="TG1" s="660"/>
      <c r="TH1" s="660"/>
      <c r="TI1" s="660"/>
      <c r="TJ1" s="660"/>
      <c r="TK1" s="660"/>
      <c r="TL1" s="660"/>
      <c r="TM1" s="660"/>
      <c r="TN1" s="660"/>
      <c r="TO1" s="660"/>
      <c r="TP1" s="660"/>
      <c r="TQ1" s="660"/>
      <c r="TR1" s="660"/>
      <c r="TS1" s="660"/>
      <c r="TT1" s="660"/>
      <c r="TU1" s="660"/>
      <c r="TV1" s="660"/>
      <c r="TW1" s="660"/>
      <c r="TX1" s="660"/>
      <c r="TY1" s="660"/>
      <c r="TZ1" s="660"/>
      <c r="UA1" s="660"/>
      <c r="UB1" s="660"/>
      <c r="UC1" s="660"/>
      <c r="UD1" s="660"/>
      <c r="UE1" s="660"/>
      <c r="UF1" s="660"/>
      <c r="UG1" s="660"/>
      <c r="UH1" s="660"/>
      <c r="UI1" s="660"/>
      <c r="UJ1" s="660"/>
      <c r="UK1" s="660"/>
      <c r="UL1" s="660"/>
      <c r="UM1" s="660"/>
      <c r="UN1" s="660"/>
      <c r="UO1" s="660"/>
      <c r="UP1" s="660"/>
      <c r="UQ1" s="660"/>
      <c r="UR1" s="660"/>
      <c r="US1" s="660"/>
      <c r="UT1" s="660"/>
      <c r="UU1" s="660"/>
      <c r="UV1" s="660"/>
      <c r="UW1" s="660"/>
      <c r="UX1" s="660"/>
      <c r="UY1" s="660"/>
      <c r="UZ1" s="660"/>
      <c r="VA1" s="660"/>
      <c r="VB1" s="660"/>
      <c r="VC1" s="660"/>
      <c r="VD1" s="660"/>
      <c r="VE1" s="660"/>
      <c r="VF1" s="660"/>
      <c r="VG1" s="660"/>
      <c r="VH1" s="660"/>
      <c r="VI1" s="660"/>
      <c r="VJ1" s="660"/>
      <c r="VK1" s="660"/>
      <c r="VL1" s="660"/>
      <c r="VM1" s="660"/>
      <c r="VN1" s="660"/>
      <c r="VO1" s="660"/>
      <c r="VP1" s="660"/>
      <c r="VQ1" s="660"/>
      <c r="VR1" s="660"/>
      <c r="VS1" s="660"/>
      <c r="VT1" s="660"/>
      <c r="VU1" s="660"/>
      <c r="VV1" s="660"/>
      <c r="VW1" s="660"/>
      <c r="VX1" s="660"/>
      <c r="VY1" s="660"/>
      <c r="VZ1" s="660"/>
      <c r="WA1" s="660"/>
      <c r="WB1" s="660"/>
      <c r="WC1" s="660"/>
      <c r="WD1" s="660"/>
      <c r="WE1" s="660"/>
      <c r="WF1" s="660"/>
      <c r="WG1" s="660"/>
      <c r="WH1" s="660"/>
      <c r="WI1" s="660"/>
      <c r="WJ1" s="660"/>
      <c r="WK1" s="660"/>
      <c r="WL1" s="660"/>
      <c r="WM1" s="660"/>
      <c r="WN1" s="660"/>
      <c r="WO1" s="660"/>
      <c r="WP1" s="660"/>
      <c r="WQ1" s="660"/>
      <c r="WR1" s="660"/>
      <c r="WS1" s="660"/>
      <c r="WT1" s="660"/>
      <c r="WU1" s="660"/>
      <c r="WV1" s="660"/>
      <c r="WW1" s="660"/>
      <c r="WX1" s="660"/>
      <c r="WY1" s="660"/>
      <c r="WZ1" s="660"/>
      <c r="XA1" s="660"/>
      <c r="XB1" s="660"/>
      <c r="XC1" s="660"/>
      <c r="XD1" s="660"/>
      <c r="XE1" s="660"/>
      <c r="XF1" s="660"/>
      <c r="XG1" s="660"/>
      <c r="XH1" s="660"/>
      <c r="XI1" s="660"/>
      <c r="XJ1" s="660"/>
      <c r="XK1" s="660"/>
      <c r="XL1" s="660"/>
      <c r="XM1" s="660"/>
      <c r="XN1" s="660"/>
      <c r="XO1" s="660"/>
      <c r="XP1" s="660"/>
      <c r="XQ1" s="660"/>
      <c r="XR1" s="660"/>
      <c r="XS1" s="660"/>
      <c r="XT1" s="660"/>
      <c r="XU1" s="660"/>
      <c r="XV1" s="660"/>
      <c r="XW1" s="660"/>
      <c r="XX1" s="660"/>
      <c r="XY1" s="660"/>
      <c r="XZ1" s="660"/>
      <c r="YA1" s="660"/>
      <c r="YB1" s="660"/>
      <c r="YC1" s="660"/>
      <c r="YD1" s="660"/>
      <c r="YE1" s="660"/>
      <c r="YF1" s="660"/>
      <c r="YG1" s="660"/>
      <c r="YH1" s="660"/>
      <c r="YI1" s="660"/>
      <c r="YJ1" s="660"/>
      <c r="YK1" s="660"/>
      <c r="YL1" s="660"/>
      <c r="YM1" s="660"/>
      <c r="YN1" s="660"/>
      <c r="YO1" s="660"/>
      <c r="YP1" s="660"/>
      <c r="YQ1" s="660"/>
      <c r="YR1" s="660"/>
      <c r="YS1" s="660"/>
      <c r="YT1" s="660"/>
      <c r="YU1" s="660"/>
      <c r="YV1" s="660"/>
      <c r="YW1" s="660"/>
      <c r="YX1" s="660"/>
      <c r="YY1" s="660"/>
      <c r="YZ1" s="660"/>
      <c r="ZA1" s="660"/>
      <c r="ZB1" s="660"/>
      <c r="ZC1" s="660"/>
      <c r="ZD1" s="660"/>
      <c r="ZE1" s="660"/>
      <c r="ZF1" s="660"/>
      <c r="ZG1" s="660"/>
      <c r="ZH1" s="660"/>
      <c r="ZI1" s="660"/>
      <c r="ZJ1" s="660"/>
      <c r="ZK1" s="660"/>
      <c r="ZL1" s="660"/>
      <c r="ZM1" s="660"/>
      <c r="ZN1" s="660"/>
      <c r="ZO1" s="660"/>
      <c r="ZP1" s="660"/>
      <c r="ZQ1" s="660"/>
      <c r="ZR1" s="660"/>
      <c r="ZS1" s="660"/>
      <c r="ZT1" s="660"/>
      <c r="ZU1" s="660"/>
      <c r="ZV1" s="660"/>
      <c r="ZW1" s="660"/>
      <c r="ZX1" s="660"/>
      <c r="ZY1" s="660"/>
      <c r="ZZ1" s="660"/>
      <c r="AAA1" s="660"/>
      <c r="AAB1" s="660"/>
      <c r="AAC1" s="660"/>
      <c r="AAD1" s="660"/>
      <c r="AAE1" s="660"/>
      <c r="AAF1" s="660"/>
      <c r="AAG1" s="660"/>
      <c r="AAH1" s="660"/>
      <c r="AAI1" s="660"/>
      <c r="AAJ1" s="660"/>
      <c r="AAK1" s="660"/>
      <c r="AAL1" s="660"/>
      <c r="AAM1" s="660"/>
      <c r="AAN1" s="660"/>
      <c r="AAO1" s="660"/>
      <c r="AAP1" s="660"/>
      <c r="AAQ1" s="660"/>
      <c r="AAR1" s="660"/>
      <c r="AAS1" s="660"/>
      <c r="AAT1" s="660"/>
      <c r="AAU1" s="660"/>
      <c r="AAV1" s="660"/>
      <c r="AAW1" s="660"/>
      <c r="AAX1" s="660"/>
      <c r="AAY1" s="660"/>
      <c r="AAZ1" s="660"/>
      <c r="ABA1" s="660"/>
      <c r="ABB1" s="660"/>
      <c r="ABC1" s="660"/>
      <c r="ABD1" s="660"/>
      <c r="ABE1" s="660"/>
      <c r="ABF1" s="660"/>
      <c r="ABG1" s="660"/>
      <c r="ABH1" s="660"/>
      <c r="ABI1" s="660"/>
      <c r="ABJ1" s="660"/>
      <c r="ABK1" s="660"/>
      <c r="ABL1" s="660"/>
      <c r="ABM1" s="660"/>
      <c r="ABN1" s="660"/>
      <c r="ABO1" s="660"/>
      <c r="ABP1" s="660"/>
      <c r="ABQ1" s="660"/>
      <c r="ABR1" s="660"/>
      <c r="ABS1" s="660"/>
      <c r="ABT1" s="660"/>
      <c r="ABU1" s="660"/>
      <c r="ABV1" s="660"/>
      <c r="ABW1" s="660"/>
      <c r="ABX1" s="660"/>
      <c r="ABY1" s="660"/>
      <c r="ABZ1" s="660"/>
      <c r="ACA1" s="660"/>
      <c r="ACB1" s="660"/>
      <c r="ACC1" s="660"/>
      <c r="ACD1" s="660"/>
      <c r="ACE1" s="660"/>
      <c r="ACF1" s="660"/>
      <c r="ACG1" s="660"/>
      <c r="ACH1" s="660"/>
      <c r="ACI1" s="660"/>
      <c r="ACJ1" s="660"/>
      <c r="ACK1" s="660"/>
      <c r="ACL1" s="660"/>
      <c r="ACM1" s="660"/>
      <c r="ACN1" s="660"/>
      <c r="ACO1" s="660"/>
      <c r="ACP1" s="660"/>
      <c r="ACQ1" s="660"/>
      <c r="ACR1" s="660"/>
      <c r="ACS1" s="660"/>
      <c r="ACT1" s="660"/>
      <c r="ACU1" s="660"/>
      <c r="ACV1" s="660"/>
      <c r="ACW1" s="660"/>
      <c r="ACX1" s="660"/>
      <c r="ACY1" s="660"/>
      <c r="ACZ1" s="660"/>
      <c r="ADA1" s="660"/>
      <c r="ADB1" s="660"/>
      <c r="ADC1" s="660"/>
      <c r="ADD1" s="660"/>
      <c r="ADE1" s="660"/>
      <c r="ADF1" s="660"/>
      <c r="ADG1" s="660"/>
      <c r="ADH1" s="660"/>
      <c r="ADI1" s="660"/>
      <c r="ADJ1" s="660"/>
      <c r="ADK1" s="660"/>
      <c r="ADL1" s="660"/>
      <c r="ADM1" s="660"/>
      <c r="ADN1" s="660"/>
      <c r="ADO1" s="660"/>
      <c r="ADP1" s="660"/>
      <c r="ADQ1" s="660"/>
      <c r="ADR1" s="660"/>
      <c r="ADS1" s="660"/>
      <c r="ADT1" s="660"/>
      <c r="ADU1" s="660"/>
      <c r="ADV1" s="660"/>
      <c r="ADW1" s="660"/>
      <c r="ADX1" s="660"/>
      <c r="ADY1" s="660"/>
      <c r="ADZ1" s="660"/>
      <c r="AEA1" s="660"/>
      <c r="AEB1" s="660"/>
      <c r="AEC1" s="660"/>
      <c r="AED1" s="660"/>
      <c r="AEE1" s="660"/>
      <c r="AEF1" s="660"/>
      <c r="AEG1" s="660"/>
      <c r="AEH1" s="660"/>
      <c r="AEI1" s="660"/>
      <c r="AEJ1" s="660"/>
      <c r="AEK1" s="660"/>
      <c r="AEL1" s="660"/>
      <c r="AEM1" s="660"/>
      <c r="AEN1" s="660"/>
      <c r="AEO1" s="660"/>
      <c r="AEP1" s="660"/>
      <c r="AEQ1" s="660"/>
      <c r="AER1" s="660"/>
      <c r="AES1" s="660"/>
      <c r="AET1" s="660"/>
      <c r="AEU1" s="660"/>
      <c r="AEV1" s="660"/>
      <c r="AEW1" s="660"/>
      <c r="AEX1" s="660"/>
      <c r="AEY1" s="660"/>
      <c r="AEZ1" s="660"/>
      <c r="AFA1" s="660"/>
      <c r="AFB1" s="660"/>
      <c r="AFC1" s="660"/>
      <c r="AFD1" s="660"/>
      <c r="AFE1" s="660"/>
      <c r="AFF1" s="660"/>
      <c r="AFG1" s="660"/>
      <c r="AFH1" s="660"/>
      <c r="AFI1" s="660"/>
      <c r="AFJ1" s="660"/>
      <c r="AFK1" s="660"/>
      <c r="AFL1" s="660"/>
      <c r="AFM1" s="660"/>
      <c r="AFN1" s="660"/>
      <c r="AFO1" s="660"/>
      <c r="AFP1" s="660"/>
      <c r="AFQ1" s="660"/>
      <c r="AFR1" s="660"/>
      <c r="AFS1" s="660"/>
      <c r="AFT1" s="660"/>
      <c r="AFU1" s="660"/>
      <c r="AFV1" s="660"/>
      <c r="AFW1" s="660"/>
      <c r="AFX1" s="660"/>
      <c r="AFY1" s="660"/>
      <c r="AFZ1" s="660"/>
      <c r="AGA1" s="660"/>
      <c r="AGB1" s="660"/>
      <c r="AGC1" s="660"/>
      <c r="AGD1" s="660"/>
      <c r="AGE1" s="660"/>
      <c r="AGF1" s="660"/>
      <c r="AGG1" s="660"/>
      <c r="AGH1" s="660"/>
      <c r="AGI1" s="660"/>
      <c r="AGJ1" s="660"/>
      <c r="AGK1" s="660"/>
      <c r="AGL1" s="660"/>
      <c r="AGM1" s="660"/>
      <c r="AGN1" s="660"/>
      <c r="AGO1" s="660"/>
      <c r="AGP1" s="660"/>
      <c r="AGQ1" s="660"/>
      <c r="AGR1" s="660"/>
      <c r="AGS1" s="660"/>
      <c r="AGT1" s="660"/>
      <c r="AGU1" s="660"/>
      <c r="AGV1" s="660"/>
      <c r="AGW1" s="660"/>
      <c r="AGX1" s="660"/>
      <c r="AGY1" s="660"/>
      <c r="AGZ1" s="660"/>
      <c r="AHA1" s="660"/>
      <c r="AHB1" s="660"/>
      <c r="AHC1" s="660"/>
      <c r="AHD1" s="660"/>
      <c r="AHE1" s="660"/>
      <c r="AHF1" s="660"/>
      <c r="AHG1" s="660"/>
      <c r="AHH1" s="660"/>
      <c r="AHI1" s="660"/>
      <c r="AHJ1" s="660"/>
      <c r="AHK1" s="660"/>
      <c r="AHL1" s="660"/>
      <c r="AHM1" s="660"/>
      <c r="AHN1" s="660"/>
      <c r="AHO1" s="660"/>
      <c r="AHP1" s="660"/>
      <c r="AHQ1" s="660"/>
      <c r="AHR1" s="660"/>
      <c r="AHS1" s="660"/>
      <c r="AHT1" s="660"/>
      <c r="AHU1" s="660"/>
      <c r="AHV1" s="660"/>
      <c r="AHW1" s="660"/>
      <c r="AHX1" s="660"/>
      <c r="AHY1" s="660"/>
      <c r="AHZ1" s="660"/>
      <c r="AIA1" s="660"/>
      <c r="AIB1" s="660"/>
      <c r="AIC1" s="660"/>
      <c r="AID1" s="660"/>
      <c r="AIE1" s="660"/>
      <c r="AIF1" s="660"/>
      <c r="AIG1" s="660"/>
      <c r="AIH1" s="660"/>
      <c r="AII1" s="660"/>
      <c r="AIJ1" s="660"/>
      <c r="AIK1" s="660"/>
      <c r="AIL1" s="660"/>
      <c r="AIM1" s="660"/>
      <c r="AIN1" s="660"/>
      <c r="AIO1" s="660"/>
      <c r="AIP1" s="660"/>
      <c r="AIQ1" s="660"/>
      <c r="AIR1" s="660"/>
      <c r="AIS1" s="660"/>
      <c r="AIT1" s="660"/>
      <c r="AIU1" s="660"/>
      <c r="AIV1" s="660"/>
      <c r="AIW1" s="660"/>
      <c r="AIX1" s="660"/>
      <c r="AIY1" s="660"/>
      <c r="AIZ1" s="660"/>
      <c r="AJA1" s="660"/>
      <c r="AJB1" s="660"/>
      <c r="AJC1" s="660"/>
      <c r="AJD1" s="660"/>
      <c r="AJE1" s="660"/>
      <c r="AJF1" s="660"/>
      <c r="AJG1" s="660"/>
      <c r="AJH1" s="660"/>
      <c r="AJI1" s="660"/>
      <c r="AJJ1" s="660"/>
      <c r="AJK1" s="660"/>
      <c r="AJL1" s="660"/>
      <c r="AJM1" s="660"/>
      <c r="AJN1" s="660"/>
      <c r="AJO1" s="660"/>
      <c r="AJP1" s="660"/>
      <c r="AJQ1" s="660"/>
      <c r="AJR1" s="660"/>
      <c r="AJS1" s="660"/>
      <c r="AJT1" s="660"/>
      <c r="AJU1" s="660"/>
      <c r="AJV1" s="660"/>
      <c r="AJW1" s="660"/>
      <c r="AJX1" s="660"/>
      <c r="AJY1" s="660"/>
      <c r="AJZ1" s="660"/>
      <c r="AKA1" s="660"/>
      <c r="AKB1" s="660"/>
      <c r="AKC1" s="660"/>
      <c r="AKD1" s="660"/>
      <c r="AKE1" s="660"/>
      <c r="AKF1" s="660"/>
      <c r="AKG1" s="660"/>
      <c r="AKH1" s="660"/>
      <c r="AKI1" s="660"/>
      <c r="AKJ1" s="660"/>
      <c r="AKK1" s="660"/>
      <c r="AKL1" s="660"/>
      <c r="AKM1" s="660"/>
      <c r="AKN1" s="660"/>
      <c r="AKO1" s="660"/>
      <c r="AKP1" s="660"/>
      <c r="AKQ1" s="660"/>
      <c r="AKR1" s="660"/>
      <c r="AKS1" s="660"/>
      <c r="AKT1" s="660"/>
      <c r="AKU1" s="660"/>
      <c r="AKV1" s="660"/>
      <c r="AKW1" s="660"/>
      <c r="AKX1" s="660"/>
      <c r="AKY1" s="660"/>
      <c r="AKZ1" s="660"/>
      <c r="ALA1" s="660"/>
      <c r="ALB1" s="660"/>
      <c r="ALC1" s="660"/>
      <c r="ALD1" s="660"/>
      <c r="ALE1" s="660"/>
      <c r="ALF1" s="660"/>
      <c r="ALG1" s="660"/>
      <c r="ALH1" s="660"/>
      <c r="ALI1" s="660"/>
      <c r="ALJ1" s="660"/>
      <c r="ALK1" s="660"/>
      <c r="ALL1" s="660"/>
      <c r="ALM1" s="660"/>
      <c r="ALN1" s="660"/>
      <c r="ALO1" s="660"/>
      <c r="ALP1" s="660"/>
      <c r="ALQ1" s="660"/>
      <c r="ALR1" s="660"/>
      <c r="ALS1" s="660"/>
      <c r="ALT1" s="660"/>
      <c r="ALU1" s="660"/>
      <c r="ALV1" s="660"/>
      <c r="ALW1" s="660"/>
      <c r="ALX1" s="660"/>
      <c r="ALY1" s="660"/>
      <c r="ALZ1" s="660"/>
      <c r="AMA1" s="660"/>
      <c r="AMB1" s="660"/>
      <c r="AMC1" s="660"/>
      <c r="AMD1" s="660"/>
      <c r="AME1" s="660"/>
      <c r="AMF1" s="660"/>
      <c r="AMG1" s="660"/>
      <c r="AMH1" s="660"/>
      <c r="AMI1" s="660"/>
      <c r="AMJ1" s="660"/>
      <c r="AMK1" s="660"/>
      <c r="AML1" s="660"/>
      <c r="AMM1" s="660"/>
      <c r="AMN1" s="660"/>
      <c r="AMO1" s="660"/>
      <c r="AMP1" s="660"/>
      <c r="AMQ1" s="660"/>
      <c r="AMR1" s="660"/>
      <c r="AMS1" s="660"/>
      <c r="AMT1" s="660"/>
      <c r="AMU1" s="660"/>
      <c r="AMV1" s="660"/>
      <c r="AMW1" s="660"/>
      <c r="AMX1" s="660"/>
      <c r="AMY1" s="660"/>
      <c r="AMZ1" s="660"/>
      <c r="ANA1" s="660"/>
      <c r="ANB1" s="660"/>
      <c r="ANC1" s="660"/>
      <c r="AND1" s="660"/>
      <c r="ANE1" s="660"/>
      <c r="ANF1" s="660"/>
      <c r="ANG1" s="660"/>
      <c r="ANH1" s="660"/>
      <c r="ANI1" s="660"/>
      <c r="ANJ1" s="660"/>
      <c r="ANK1" s="660"/>
      <c r="ANL1" s="660"/>
      <c r="ANM1" s="660"/>
      <c r="ANN1" s="660"/>
      <c r="ANO1" s="660"/>
      <c r="ANP1" s="660"/>
      <c r="ANQ1" s="660"/>
      <c r="ANR1" s="660"/>
      <c r="ANS1" s="660"/>
      <c r="ANT1" s="660"/>
      <c r="ANU1" s="660"/>
      <c r="ANV1" s="660"/>
      <c r="ANW1" s="660"/>
      <c r="ANX1" s="660"/>
      <c r="ANY1" s="660"/>
      <c r="ANZ1" s="660"/>
      <c r="AOA1" s="660"/>
      <c r="AOB1" s="660"/>
      <c r="AOC1" s="660"/>
      <c r="AOD1" s="660"/>
      <c r="AOE1" s="660"/>
      <c r="AOF1" s="660"/>
      <c r="AOG1" s="660"/>
      <c r="AOH1" s="660"/>
      <c r="AOI1" s="660"/>
      <c r="AOJ1" s="660"/>
      <c r="AOK1" s="660"/>
      <c r="AOL1" s="660"/>
      <c r="AOM1" s="660"/>
      <c r="AON1" s="660"/>
      <c r="AOO1" s="660"/>
      <c r="AOP1" s="660"/>
      <c r="AOQ1" s="660"/>
      <c r="AOR1" s="660"/>
      <c r="AOS1" s="660"/>
      <c r="AOT1" s="660"/>
      <c r="AOU1" s="660"/>
      <c r="AOV1" s="660"/>
      <c r="AOW1" s="660"/>
      <c r="AOX1" s="660"/>
      <c r="AOY1" s="660"/>
      <c r="AOZ1" s="660"/>
      <c r="APA1" s="660"/>
      <c r="APB1" s="660"/>
      <c r="APC1" s="660"/>
      <c r="APD1" s="660"/>
      <c r="APE1" s="660"/>
      <c r="APF1" s="660"/>
      <c r="APG1" s="660"/>
      <c r="APH1" s="660"/>
      <c r="API1" s="660"/>
      <c r="APJ1" s="660"/>
      <c r="APK1" s="660"/>
      <c r="APL1" s="660"/>
      <c r="APM1" s="660"/>
      <c r="APN1" s="660"/>
      <c r="APO1" s="660"/>
      <c r="APP1" s="660"/>
      <c r="APQ1" s="660"/>
      <c r="APR1" s="660"/>
      <c r="APS1" s="660"/>
      <c r="APT1" s="660"/>
      <c r="APU1" s="660"/>
      <c r="APV1" s="660"/>
      <c r="APW1" s="660"/>
      <c r="APX1" s="660"/>
      <c r="APY1" s="660"/>
      <c r="APZ1" s="660"/>
      <c r="AQA1" s="660"/>
      <c r="AQB1" s="660"/>
      <c r="AQC1" s="660"/>
      <c r="AQD1" s="660"/>
      <c r="AQE1" s="660"/>
      <c r="AQF1" s="660"/>
      <c r="AQG1" s="660"/>
      <c r="AQH1" s="660"/>
      <c r="AQI1" s="660"/>
      <c r="AQJ1" s="660"/>
      <c r="AQK1" s="660"/>
      <c r="AQL1" s="660"/>
      <c r="AQM1" s="660"/>
      <c r="AQN1" s="660"/>
      <c r="AQO1" s="660"/>
      <c r="AQP1" s="660"/>
      <c r="AQQ1" s="660"/>
      <c r="AQR1" s="660"/>
      <c r="AQS1" s="660"/>
      <c r="AQT1" s="660"/>
      <c r="AQU1" s="660"/>
      <c r="AQV1" s="660"/>
      <c r="AQW1" s="660"/>
      <c r="AQX1" s="660"/>
      <c r="AQY1" s="660"/>
      <c r="AQZ1" s="660"/>
      <c r="ARA1" s="660"/>
      <c r="ARB1" s="660"/>
      <c r="ARC1" s="660"/>
      <c r="ARD1" s="660"/>
      <c r="ARE1" s="660"/>
      <c r="ARF1" s="660"/>
      <c r="ARG1" s="660"/>
      <c r="ARH1" s="660"/>
      <c r="ARI1" s="660"/>
      <c r="ARJ1" s="660"/>
      <c r="ARK1" s="660"/>
      <c r="ARL1" s="660"/>
      <c r="ARM1" s="660"/>
      <c r="ARN1" s="660"/>
      <c r="ARO1" s="660"/>
      <c r="ARP1" s="660"/>
      <c r="ARQ1" s="660"/>
      <c r="ARR1" s="660"/>
      <c r="ARS1" s="660"/>
      <c r="ART1" s="660"/>
      <c r="ARU1" s="660"/>
      <c r="ARV1" s="660"/>
      <c r="ARW1" s="660"/>
      <c r="ARX1" s="660"/>
      <c r="ARY1" s="660"/>
      <c r="ARZ1" s="660"/>
      <c r="ASA1" s="660"/>
      <c r="ASB1" s="660"/>
      <c r="ASC1" s="660"/>
      <c r="ASD1" s="660"/>
      <c r="ASE1" s="660"/>
      <c r="ASF1" s="660"/>
      <c r="ASG1" s="660"/>
      <c r="ASH1" s="660"/>
      <c r="ASI1" s="660"/>
      <c r="ASJ1" s="660"/>
      <c r="ASK1" s="660"/>
      <c r="ASL1" s="660"/>
      <c r="ASM1" s="660"/>
      <c r="ASN1" s="660"/>
      <c r="ASO1" s="660"/>
      <c r="ASP1" s="660"/>
      <c r="ASQ1" s="660"/>
      <c r="ASR1" s="660"/>
      <c r="ASS1" s="660"/>
      <c r="AST1" s="660"/>
      <c r="ASU1" s="660"/>
      <c r="ASV1" s="660"/>
      <c r="ASW1" s="660"/>
      <c r="ASX1" s="660"/>
      <c r="ASY1" s="660"/>
      <c r="ASZ1" s="660"/>
      <c r="ATA1" s="660"/>
      <c r="ATB1" s="660"/>
      <c r="ATC1" s="660"/>
      <c r="ATD1" s="660"/>
      <c r="ATE1" s="660"/>
      <c r="ATF1" s="660"/>
      <c r="ATG1" s="660"/>
      <c r="ATH1" s="660"/>
      <c r="ATI1" s="660"/>
      <c r="ATJ1" s="660"/>
      <c r="ATK1" s="660"/>
      <c r="ATL1" s="660"/>
      <c r="ATM1" s="660"/>
      <c r="ATN1" s="660"/>
      <c r="ATO1" s="660"/>
      <c r="ATP1" s="660"/>
      <c r="ATQ1" s="660"/>
      <c r="ATR1" s="660"/>
      <c r="ATS1" s="660"/>
      <c r="ATT1" s="660"/>
      <c r="ATU1" s="660"/>
      <c r="ATV1" s="660"/>
      <c r="ATW1" s="660"/>
      <c r="ATX1" s="660"/>
      <c r="ATY1" s="660"/>
      <c r="ATZ1" s="660"/>
      <c r="AUA1" s="660"/>
      <c r="AUB1" s="660"/>
      <c r="AUC1" s="660"/>
      <c r="AUD1" s="660"/>
      <c r="AUE1" s="660"/>
      <c r="AUF1" s="660"/>
      <c r="AUG1" s="660"/>
      <c r="AUH1" s="660"/>
      <c r="AUI1" s="660"/>
      <c r="AUJ1" s="660"/>
      <c r="AUK1" s="660"/>
      <c r="AUL1" s="660"/>
      <c r="AUM1" s="660"/>
      <c r="AUN1" s="660"/>
      <c r="AUO1" s="660"/>
      <c r="AUP1" s="660"/>
      <c r="AUQ1" s="660"/>
      <c r="AUR1" s="660"/>
      <c r="AUS1" s="660"/>
      <c r="AUT1" s="660"/>
      <c r="AUU1" s="660"/>
      <c r="AUV1" s="660"/>
      <c r="AUW1" s="660"/>
      <c r="AUX1" s="660"/>
      <c r="AUY1" s="660"/>
      <c r="AUZ1" s="660"/>
      <c r="AVA1" s="660"/>
      <c r="AVB1" s="660"/>
      <c r="AVC1" s="660"/>
      <c r="AVD1" s="660"/>
      <c r="AVE1" s="660"/>
      <c r="AVF1" s="660"/>
      <c r="AVG1" s="660"/>
      <c r="AVH1" s="660"/>
      <c r="AVI1" s="660"/>
      <c r="AVJ1" s="660"/>
      <c r="AVK1" s="660"/>
      <c r="AVL1" s="660"/>
      <c r="AVM1" s="660"/>
      <c r="AVN1" s="660"/>
      <c r="AVO1" s="660"/>
      <c r="AVP1" s="660"/>
      <c r="AVQ1" s="660"/>
      <c r="AVR1" s="660"/>
      <c r="AVS1" s="660"/>
      <c r="AVT1" s="660"/>
      <c r="AVU1" s="660"/>
      <c r="AVV1" s="660"/>
      <c r="AVW1" s="660"/>
      <c r="AVX1" s="660"/>
      <c r="AVY1" s="660"/>
      <c r="AVZ1" s="660"/>
      <c r="AWA1" s="660"/>
      <c r="AWB1" s="660"/>
      <c r="AWC1" s="660"/>
      <c r="AWD1" s="660"/>
      <c r="AWE1" s="660"/>
      <c r="AWF1" s="660"/>
      <c r="AWG1" s="660"/>
      <c r="AWH1" s="660"/>
      <c r="AWI1" s="660"/>
      <c r="AWJ1" s="660"/>
      <c r="AWK1" s="660"/>
      <c r="AWL1" s="660"/>
      <c r="AWM1" s="660"/>
      <c r="AWN1" s="660"/>
      <c r="AWO1" s="660"/>
      <c r="AWP1" s="660"/>
      <c r="AWQ1" s="660"/>
      <c r="AWR1" s="660"/>
      <c r="AWS1" s="660"/>
      <c r="AWT1" s="660"/>
      <c r="AWU1" s="660"/>
      <c r="AWV1" s="660"/>
      <c r="AWW1" s="660"/>
      <c r="AWX1" s="660"/>
      <c r="AWY1" s="660"/>
      <c r="AWZ1" s="660"/>
      <c r="AXA1" s="660"/>
      <c r="AXB1" s="660"/>
      <c r="AXC1" s="660"/>
      <c r="AXD1" s="660"/>
      <c r="AXE1" s="660"/>
      <c r="AXF1" s="660"/>
      <c r="AXG1" s="660"/>
      <c r="AXH1" s="660"/>
      <c r="AXI1" s="660"/>
      <c r="AXJ1" s="660"/>
      <c r="AXK1" s="660"/>
      <c r="AXL1" s="660"/>
      <c r="AXM1" s="660"/>
      <c r="AXN1" s="660"/>
      <c r="AXO1" s="660"/>
      <c r="AXP1" s="660"/>
      <c r="AXQ1" s="660"/>
      <c r="AXR1" s="660"/>
      <c r="AXS1" s="660"/>
      <c r="AXT1" s="660"/>
      <c r="AXU1" s="660"/>
      <c r="AXV1" s="660"/>
      <c r="AXW1" s="660"/>
      <c r="AXX1" s="660"/>
      <c r="AXY1" s="660"/>
      <c r="AXZ1" s="660"/>
      <c r="AYA1" s="660"/>
      <c r="AYB1" s="660"/>
      <c r="AYC1" s="660"/>
      <c r="AYD1" s="660"/>
      <c r="AYE1" s="660"/>
      <c r="AYF1" s="660"/>
      <c r="AYG1" s="660"/>
      <c r="AYH1" s="660"/>
      <c r="AYI1" s="660"/>
      <c r="AYJ1" s="660"/>
      <c r="AYK1" s="660"/>
      <c r="AYL1" s="660"/>
      <c r="AYM1" s="660"/>
      <c r="AYN1" s="660"/>
      <c r="AYO1" s="660"/>
      <c r="AYP1" s="660"/>
      <c r="AYQ1" s="660"/>
      <c r="AYR1" s="660"/>
      <c r="AYS1" s="660"/>
      <c r="AYT1" s="660"/>
      <c r="AYU1" s="660"/>
      <c r="AYV1" s="660"/>
      <c r="AYW1" s="660"/>
      <c r="AYX1" s="660"/>
      <c r="AYY1" s="660"/>
      <c r="AYZ1" s="660"/>
      <c r="AZA1" s="660"/>
      <c r="AZB1" s="660"/>
      <c r="AZC1" s="660"/>
      <c r="AZD1" s="660"/>
      <c r="AZE1" s="660"/>
      <c r="AZF1" s="660"/>
      <c r="AZG1" s="660"/>
      <c r="AZH1" s="660"/>
      <c r="AZI1" s="660"/>
      <c r="AZJ1" s="660"/>
      <c r="AZK1" s="660"/>
      <c r="AZL1" s="660"/>
      <c r="AZM1" s="660"/>
      <c r="AZN1" s="660"/>
      <c r="AZO1" s="660"/>
      <c r="AZP1" s="660"/>
      <c r="AZQ1" s="660"/>
      <c r="AZR1" s="660"/>
      <c r="AZS1" s="660"/>
      <c r="AZT1" s="660"/>
      <c r="AZU1" s="660"/>
      <c r="AZV1" s="660"/>
      <c r="AZW1" s="660"/>
      <c r="AZX1" s="660"/>
      <c r="AZY1" s="660"/>
      <c r="AZZ1" s="660"/>
      <c r="BAA1" s="660"/>
      <c r="BAB1" s="660"/>
      <c r="BAC1" s="660"/>
      <c r="BAD1" s="660"/>
      <c r="BAE1" s="660"/>
      <c r="BAF1" s="660"/>
      <c r="BAG1" s="660"/>
      <c r="BAH1" s="660"/>
      <c r="BAI1" s="660"/>
      <c r="BAJ1" s="660"/>
      <c r="BAK1" s="660"/>
      <c r="BAL1" s="660"/>
      <c r="BAM1" s="660"/>
      <c r="BAN1" s="660"/>
      <c r="BAO1" s="660"/>
      <c r="BAP1" s="660"/>
      <c r="BAQ1" s="660"/>
      <c r="BAR1" s="660"/>
      <c r="BAS1" s="660"/>
      <c r="BAT1" s="660"/>
      <c r="BAU1" s="660"/>
      <c r="BAV1" s="660"/>
      <c r="BAW1" s="660"/>
      <c r="BAX1" s="660"/>
      <c r="BAY1" s="660"/>
      <c r="BAZ1" s="660"/>
      <c r="BBA1" s="660"/>
      <c r="BBB1" s="660"/>
      <c r="BBC1" s="660"/>
      <c r="BBD1" s="660"/>
      <c r="BBE1" s="660"/>
      <c r="BBF1" s="660"/>
      <c r="BBG1" s="660"/>
      <c r="BBH1" s="660"/>
      <c r="BBI1" s="660"/>
      <c r="BBJ1" s="660"/>
      <c r="BBK1" s="660"/>
      <c r="BBL1" s="660"/>
      <c r="BBM1" s="660"/>
      <c r="BBN1" s="660"/>
      <c r="BBO1" s="660"/>
      <c r="BBP1" s="660"/>
      <c r="BBQ1" s="660"/>
      <c r="BBR1" s="660"/>
      <c r="BBS1" s="660"/>
      <c r="BBT1" s="660"/>
      <c r="BBU1" s="660"/>
      <c r="BBV1" s="660"/>
      <c r="BBW1" s="660"/>
      <c r="BBX1" s="660"/>
      <c r="BBY1" s="660"/>
      <c r="BBZ1" s="660"/>
      <c r="BCA1" s="660"/>
      <c r="BCB1" s="660"/>
      <c r="BCC1" s="660"/>
      <c r="BCD1" s="660"/>
      <c r="BCE1" s="660"/>
      <c r="BCF1" s="660"/>
      <c r="BCG1" s="660"/>
      <c r="BCH1" s="660"/>
      <c r="BCI1" s="660"/>
      <c r="BCJ1" s="660"/>
      <c r="BCK1" s="660"/>
      <c r="BCL1" s="660"/>
      <c r="BCM1" s="660"/>
      <c r="BCN1" s="660"/>
      <c r="BCO1" s="660"/>
      <c r="BCP1" s="660"/>
      <c r="BCQ1" s="660"/>
      <c r="BCR1" s="660"/>
      <c r="BCS1" s="660"/>
      <c r="BCT1" s="660"/>
      <c r="BCU1" s="660"/>
      <c r="BCV1" s="660"/>
      <c r="BCW1" s="660"/>
      <c r="BCX1" s="660"/>
      <c r="BCY1" s="660"/>
      <c r="BCZ1" s="660"/>
      <c r="BDA1" s="660"/>
      <c r="BDB1" s="660"/>
      <c r="BDC1" s="660"/>
      <c r="BDD1" s="660"/>
      <c r="BDE1" s="660"/>
      <c r="BDF1" s="660"/>
      <c r="BDG1" s="660"/>
      <c r="BDH1" s="660"/>
      <c r="BDI1" s="660"/>
      <c r="BDJ1" s="660"/>
      <c r="BDK1" s="660"/>
      <c r="BDL1" s="660"/>
      <c r="BDM1" s="660"/>
      <c r="BDN1" s="660"/>
      <c r="BDO1" s="660"/>
      <c r="BDP1" s="660"/>
      <c r="BDQ1" s="660"/>
      <c r="BDR1" s="660"/>
      <c r="BDS1" s="660"/>
      <c r="BDT1" s="660"/>
      <c r="BDU1" s="660"/>
      <c r="BDV1" s="660"/>
      <c r="BDW1" s="660"/>
      <c r="BDX1" s="660"/>
      <c r="BDY1" s="660"/>
      <c r="BDZ1" s="660"/>
      <c r="BEA1" s="660"/>
      <c r="BEB1" s="660"/>
      <c r="BEC1" s="660"/>
      <c r="BED1" s="660"/>
      <c r="BEE1" s="660"/>
      <c r="BEF1" s="660"/>
      <c r="BEG1" s="660"/>
      <c r="BEH1" s="660"/>
      <c r="BEI1" s="660"/>
      <c r="BEJ1" s="660"/>
      <c r="BEK1" s="660"/>
      <c r="BEL1" s="660"/>
      <c r="BEM1" s="660"/>
      <c r="BEN1" s="660"/>
      <c r="BEO1" s="660"/>
      <c r="BEP1" s="660"/>
      <c r="BEQ1" s="660"/>
      <c r="BER1" s="660"/>
      <c r="BES1" s="660"/>
      <c r="BET1" s="660"/>
      <c r="BEU1" s="660"/>
      <c r="BEV1" s="660"/>
      <c r="BEW1" s="660"/>
      <c r="BEX1" s="660"/>
      <c r="BEY1" s="660"/>
      <c r="BEZ1" s="660"/>
      <c r="BFA1" s="660"/>
      <c r="BFB1" s="660"/>
      <c r="BFC1" s="660"/>
      <c r="BFD1" s="660"/>
      <c r="BFE1" s="660"/>
      <c r="BFF1" s="660"/>
      <c r="BFG1" s="660"/>
      <c r="BFH1" s="660"/>
      <c r="BFI1" s="660"/>
      <c r="BFJ1" s="660"/>
      <c r="BFK1" s="660"/>
      <c r="BFL1" s="660"/>
      <c r="BFM1" s="660"/>
      <c r="BFN1" s="660"/>
      <c r="BFO1" s="660"/>
      <c r="BFP1" s="660"/>
      <c r="BFQ1" s="660"/>
      <c r="BFR1" s="660"/>
      <c r="BFS1" s="660"/>
      <c r="BFT1" s="660"/>
      <c r="BFU1" s="660"/>
      <c r="BFV1" s="660"/>
      <c r="BFW1" s="660"/>
      <c r="BFX1" s="660"/>
      <c r="BFY1" s="660"/>
      <c r="BFZ1" s="660"/>
      <c r="BGA1" s="660"/>
      <c r="BGB1" s="660"/>
      <c r="BGC1" s="660"/>
      <c r="BGD1" s="660"/>
      <c r="BGE1" s="660"/>
      <c r="BGF1" s="660"/>
      <c r="BGG1" s="660"/>
      <c r="BGH1" s="660"/>
      <c r="BGI1" s="660"/>
      <c r="BGJ1" s="660"/>
      <c r="BGK1" s="660"/>
      <c r="BGL1" s="660"/>
      <c r="BGM1" s="660"/>
      <c r="BGN1" s="660"/>
      <c r="BGO1" s="660"/>
      <c r="BGP1" s="660"/>
      <c r="BGQ1" s="660"/>
      <c r="BGR1" s="660"/>
      <c r="BGS1" s="660"/>
      <c r="BGT1" s="660"/>
      <c r="BGU1" s="660"/>
      <c r="BGV1" s="660"/>
      <c r="BGW1" s="660"/>
      <c r="BGX1" s="660"/>
      <c r="BGY1" s="660"/>
      <c r="BGZ1" s="660"/>
      <c r="BHA1" s="660"/>
      <c r="BHB1" s="660"/>
      <c r="BHC1" s="660"/>
      <c r="BHD1" s="660"/>
      <c r="BHE1" s="660"/>
      <c r="BHF1" s="660"/>
      <c r="BHG1" s="660"/>
      <c r="BHH1" s="660"/>
      <c r="BHI1" s="660"/>
      <c r="BHJ1" s="660"/>
      <c r="BHK1" s="660"/>
      <c r="BHL1" s="660"/>
      <c r="BHM1" s="660"/>
      <c r="BHN1" s="660"/>
      <c r="BHO1" s="660"/>
      <c r="BHP1" s="660"/>
      <c r="BHQ1" s="660"/>
      <c r="BHR1" s="660"/>
      <c r="BHS1" s="660"/>
      <c r="BHT1" s="660"/>
      <c r="BHU1" s="660"/>
      <c r="BHV1" s="660"/>
      <c r="BHW1" s="660"/>
      <c r="BHX1" s="660"/>
      <c r="BHY1" s="660"/>
      <c r="BHZ1" s="660"/>
      <c r="BIA1" s="660"/>
      <c r="BIB1" s="660"/>
      <c r="BIC1" s="660"/>
      <c r="BID1" s="660"/>
      <c r="BIE1" s="660"/>
      <c r="BIF1" s="660"/>
      <c r="BIG1" s="660"/>
      <c r="BIH1" s="660"/>
      <c r="BII1" s="660"/>
      <c r="BIJ1" s="660"/>
      <c r="BIK1" s="660"/>
      <c r="BIL1" s="660"/>
      <c r="BIM1" s="660"/>
      <c r="BIN1" s="660"/>
      <c r="BIO1" s="660"/>
      <c r="BIP1" s="660"/>
      <c r="BIQ1" s="660"/>
      <c r="BIR1" s="660"/>
      <c r="BIS1" s="660"/>
      <c r="BIT1" s="660"/>
      <c r="BIU1" s="660"/>
      <c r="BIV1" s="660"/>
      <c r="BIW1" s="660"/>
      <c r="BIX1" s="660"/>
      <c r="BIY1" s="660"/>
      <c r="BIZ1" s="660"/>
      <c r="BJA1" s="660"/>
      <c r="BJB1" s="660"/>
      <c r="BJC1" s="660"/>
      <c r="BJD1" s="660"/>
      <c r="BJE1" s="660"/>
      <c r="BJF1" s="660"/>
      <c r="BJG1" s="660"/>
      <c r="BJH1" s="660"/>
      <c r="BJI1" s="660"/>
      <c r="BJJ1" s="660"/>
      <c r="BJK1" s="660"/>
      <c r="BJL1" s="660"/>
      <c r="BJM1" s="660"/>
      <c r="BJN1" s="660"/>
      <c r="BJO1" s="660"/>
      <c r="BJP1" s="660"/>
      <c r="BJQ1" s="660"/>
      <c r="BJR1" s="660"/>
      <c r="BJS1" s="660"/>
      <c r="BJT1" s="660"/>
      <c r="BJU1" s="660"/>
      <c r="BJV1" s="660"/>
      <c r="BJW1" s="660"/>
      <c r="BJX1" s="660"/>
      <c r="BJY1" s="660"/>
      <c r="BJZ1" s="660"/>
      <c r="BKA1" s="660"/>
      <c r="BKB1" s="660"/>
      <c r="BKC1" s="660"/>
      <c r="BKD1" s="660"/>
      <c r="BKE1" s="660"/>
      <c r="BKF1" s="660"/>
      <c r="BKG1" s="660"/>
      <c r="BKH1" s="660"/>
      <c r="BKI1" s="660"/>
      <c r="BKJ1" s="660"/>
      <c r="BKK1" s="660"/>
      <c r="BKL1" s="660"/>
      <c r="BKM1" s="660"/>
      <c r="BKN1" s="660"/>
      <c r="BKO1" s="660"/>
      <c r="BKP1" s="660"/>
      <c r="BKQ1" s="660"/>
      <c r="BKR1" s="660"/>
      <c r="BKS1" s="660"/>
      <c r="BKT1" s="660"/>
      <c r="BKU1" s="660"/>
      <c r="BKV1" s="660"/>
      <c r="BKW1" s="660"/>
      <c r="BKX1" s="660"/>
      <c r="BKY1" s="660"/>
      <c r="BKZ1" s="660"/>
      <c r="BLA1" s="660"/>
      <c r="BLB1" s="660"/>
      <c r="BLC1" s="660"/>
      <c r="BLD1" s="660"/>
      <c r="BLE1" s="660"/>
      <c r="BLF1" s="660"/>
      <c r="BLG1" s="660"/>
      <c r="BLH1" s="660"/>
      <c r="BLI1" s="660"/>
      <c r="BLJ1" s="660"/>
      <c r="BLK1" s="660"/>
      <c r="BLL1" s="660"/>
      <c r="BLM1" s="660"/>
      <c r="BLN1" s="660"/>
      <c r="BLO1" s="660"/>
      <c r="BLP1" s="660"/>
      <c r="BLQ1" s="660"/>
      <c r="BLR1" s="660"/>
      <c r="BLS1" s="660"/>
      <c r="BLT1" s="660"/>
      <c r="BLU1" s="660"/>
      <c r="BLV1" s="660"/>
      <c r="BLW1" s="660"/>
      <c r="BLX1" s="660"/>
      <c r="BLY1" s="660"/>
      <c r="BLZ1" s="660"/>
      <c r="BMA1" s="660"/>
      <c r="BMB1" s="660"/>
      <c r="BMC1" s="660"/>
      <c r="BMD1" s="660"/>
      <c r="BME1" s="660"/>
      <c r="BMF1" s="660"/>
      <c r="BMG1" s="660"/>
      <c r="BMH1" s="660"/>
      <c r="BMI1" s="660"/>
      <c r="BMJ1" s="660"/>
      <c r="BMK1" s="660"/>
      <c r="BML1" s="660"/>
      <c r="BMM1" s="660"/>
      <c r="BMN1" s="660"/>
      <c r="BMO1" s="660"/>
      <c r="BMP1" s="660"/>
      <c r="BMQ1" s="660"/>
      <c r="BMR1" s="660"/>
      <c r="BMS1" s="660"/>
      <c r="BMT1" s="660"/>
      <c r="BMU1" s="660"/>
      <c r="BMV1" s="660"/>
      <c r="BMW1" s="660"/>
      <c r="BMX1" s="660"/>
      <c r="BMY1" s="660"/>
      <c r="BMZ1" s="660"/>
      <c r="BNA1" s="660"/>
      <c r="BNB1" s="660"/>
      <c r="BNC1" s="660"/>
      <c r="BND1" s="660"/>
      <c r="BNE1" s="660"/>
      <c r="BNF1" s="660"/>
      <c r="BNG1" s="660"/>
      <c r="BNH1" s="660"/>
      <c r="BNI1" s="660"/>
      <c r="BNJ1" s="660"/>
      <c r="BNK1" s="660"/>
      <c r="BNL1" s="660"/>
      <c r="BNM1" s="660"/>
      <c r="BNN1" s="660"/>
      <c r="BNO1" s="660"/>
      <c r="BNP1" s="660"/>
      <c r="BNQ1" s="660"/>
      <c r="BNR1" s="660"/>
      <c r="BNS1" s="660"/>
      <c r="BNT1" s="660"/>
      <c r="BNU1" s="660"/>
      <c r="BNV1" s="660"/>
      <c r="BNW1" s="660"/>
      <c r="BNX1" s="660"/>
      <c r="BNY1" s="660"/>
      <c r="BNZ1" s="660"/>
      <c r="BOA1" s="660"/>
      <c r="BOB1" s="660"/>
      <c r="BOC1" s="660"/>
      <c r="BOD1" s="660"/>
      <c r="BOE1" s="660"/>
      <c r="BOF1" s="660"/>
      <c r="BOG1" s="660"/>
      <c r="BOH1" s="660"/>
      <c r="BOI1" s="660"/>
      <c r="BOJ1" s="660"/>
      <c r="BOK1" s="660"/>
      <c r="BOL1" s="660"/>
      <c r="BOM1" s="660"/>
      <c r="BON1" s="660"/>
      <c r="BOO1" s="660"/>
      <c r="BOP1" s="660"/>
      <c r="BOQ1" s="660"/>
      <c r="BOR1" s="660"/>
      <c r="BOS1" s="660"/>
      <c r="BOT1" s="660"/>
      <c r="BOU1" s="660"/>
      <c r="BOV1" s="660"/>
      <c r="BOW1" s="660"/>
      <c r="BOX1" s="660"/>
      <c r="BOY1" s="660"/>
      <c r="BOZ1" s="660"/>
      <c r="BPA1" s="660"/>
      <c r="BPB1" s="660"/>
      <c r="BPC1" s="660"/>
      <c r="BPD1" s="660"/>
      <c r="BPE1" s="660"/>
      <c r="BPF1" s="660"/>
      <c r="BPG1" s="660"/>
      <c r="BPH1" s="660"/>
      <c r="BPI1" s="660"/>
      <c r="BPJ1" s="660"/>
      <c r="BPK1" s="660"/>
      <c r="BPL1" s="660"/>
      <c r="BPM1" s="660"/>
      <c r="BPN1" s="660"/>
      <c r="BPO1" s="660"/>
      <c r="BPP1" s="660"/>
      <c r="BPQ1" s="660"/>
      <c r="BPR1" s="660"/>
      <c r="BPS1" s="660"/>
      <c r="BPT1" s="660"/>
      <c r="BPU1" s="660"/>
      <c r="BPV1" s="660"/>
      <c r="BPW1" s="660"/>
      <c r="BPX1" s="660"/>
      <c r="BPY1" s="660"/>
      <c r="BPZ1" s="660"/>
      <c r="BQA1" s="660"/>
      <c r="BQB1" s="660"/>
      <c r="BQC1" s="660"/>
      <c r="BQD1" s="660"/>
      <c r="BQE1" s="660"/>
      <c r="BQF1" s="660"/>
      <c r="BQG1" s="660"/>
      <c r="BQH1" s="660"/>
      <c r="BQI1" s="660"/>
      <c r="BQJ1" s="660"/>
      <c r="BQK1" s="660"/>
      <c r="BQL1" s="660"/>
      <c r="BQM1" s="660"/>
      <c r="BQN1" s="660"/>
      <c r="BQO1" s="660"/>
      <c r="BQP1" s="660"/>
      <c r="BQQ1" s="660"/>
      <c r="BQR1" s="660"/>
      <c r="BQS1" s="660"/>
      <c r="BQT1" s="660"/>
      <c r="BQU1" s="660"/>
      <c r="BQV1" s="660"/>
      <c r="BQW1" s="660"/>
      <c r="BQX1" s="660"/>
      <c r="BQY1" s="660"/>
      <c r="BQZ1" s="660"/>
      <c r="BRA1" s="660"/>
      <c r="BRB1" s="660"/>
      <c r="BRC1" s="660"/>
      <c r="BRD1" s="660"/>
      <c r="BRE1" s="660"/>
      <c r="BRF1" s="660"/>
      <c r="BRG1" s="660"/>
      <c r="BRH1" s="660"/>
      <c r="BRI1" s="660"/>
      <c r="BRJ1" s="660"/>
      <c r="BRK1" s="660"/>
      <c r="BRL1" s="660"/>
      <c r="BRM1" s="660"/>
      <c r="BRN1" s="660"/>
      <c r="BRO1" s="660"/>
      <c r="BRP1" s="660"/>
      <c r="BRQ1" s="660"/>
      <c r="BRR1" s="660"/>
      <c r="BRS1" s="660"/>
      <c r="BRT1" s="660"/>
      <c r="BRU1" s="660"/>
      <c r="BRV1" s="660"/>
      <c r="BRW1" s="660"/>
      <c r="BRX1" s="660"/>
      <c r="BRY1" s="660"/>
      <c r="BRZ1" s="660"/>
      <c r="BSA1" s="660"/>
      <c r="BSB1" s="660"/>
      <c r="BSC1" s="660"/>
      <c r="BSD1" s="660"/>
      <c r="BSE1" s="660"/>
      <c r="BSF1" s="660"/>
      <c r="BSG1" s="660"/>
      <c r="BSH1" s="660"/>
      <c r="BSI1" s="660"/>
      <c r="BSJ1" s="660"/>
      <c r="BSK1" s="660"/>
      <c r="BSL1" s="660"/>
      <c r="BSM1" s="660"/>
      <c r="BSN1" s="660"/>
      <c r="BSO1" s="660"/>
      <c r="BSP1" s="660"/>
      <c r="BSQ1" s="660"/>
      <c r="BSR1" s="660"/>
      <c r="BSS1" s="660"/>
      <c r="BST1" s="660"/>
      <c r="BSU1" s="660"/>
      <c r="BSV1" s="660"/>
      <c r="BSW1" s="660"/>
      <c r="BSX1" s="660"/>
      <c r="BSY1" s="660"/>
      <c r="BSZ1" s="660"/>
      <c r="BTA1" s="660"/>
      <c r="BTB1" s="660"/>
      <c r="BTC1" s="660"/>
      <c r="BTD1" s="660"/>
      <c r="BTE1" s="660"/>
      <c r="BTF1" s="660"/>
      <c r="BTG1" s="660"/>
      <c r="BTH1" s="660"/>
      <c r="BTI1" s="660"/>
      <c r="BTJ1" s="660"/>
      <c r="BTK1" s="660"/>
      <c r="BTL1" s="660"/>
      <c r="BTM1" s="660"/>
      <c r="BTN1" s="660"/>
      <c r="BTO1" s="660"/>
      <c r="BTP1" s="660"/>
      <c r="BTQ1" s="660"/>
      <c r="BTR1" s="660"/>
      <c r="BTS1" s="660"/>
      <c r="BTT1" s="660"/>
      <c r="BTU1" s="660"/>
      <c r="BTV1" s="660"/>
      <c r="BTW1" s="660"/>
      <c r="BTX1" s="660"/>
      <c r="BTY1" s="660"/>
      <c r="BTZ1" s="660"/>
      <c r="BUA1" s="660"/>
      <c r="BUB1" s="660"/>
      <c r="BUC1" s="660"/>
      <c r="BUD1" s="660"/>
      <c r="BUE1" s="660"/>
      <c r="BUF1" s="660"/>
      <c r="BUG1" s="660"/>
      <c r="BUH1" s="660"/>
      <c r="BUI1" s="660"/>
      <c r="BUJ1" s="660"/>
      <c r="BUK1" s="660"/>
      <c r="BUL1" s="660"/>
      <c r="BUM1" s="660"/>
      <c r="BUN1" s="660"/>
      <c r="BUO1" s="660"/>
      <c r="BUP1" s="660"/>
      <c r="BUQ1" s="660"/>
      <c r="BUR1" s="660"/>
      <c r="BUS1" s="660"/>
      <c r="BUT1" s="660"/>
      <c r="BUU1" s="660"/>
      <c r="BUV1" s="660"/>
      <c r="BUW1" s="660"/>
      <c r="BUX1" s="660"/>
      <c r="BUY1" s="660"/>
      <c r="BUZ1" s="660"/>
      <c r="BVA1" s="660"/>
      <c r="BVB1" s="660"/>
      <c r="BVC1" s="660"/>
      <c r="BVD1" s="660"/>
      <c r="BVE1" s="660"/>
      <c r="BVF1" s="660"/>
      <c r="BVG1" s="660"/>
      <c r="BVH1" s="660"/>
      <c r="BVI1" s="660"/>
      <c r="BVJ1" s="660"/>
      <c r="BVK1" s="660"/>
      <c r="BVL1" s="660"/>
      <c r="BVM1" s="660"/>
      <c r="BVN1" s="660"/>
      <c r="BVO1" s="660"/>
      <c r="BVP1" s="660"/>
      <c r="BVQ1" s="660"/>
      <c r="BVR1" s="660"/>
      <c r="BVS1" s="660"/>
      <c r="BVT1" s="660"/>
      <c r="BVU1" s="660"/>
      <c r="BVV1" s="660"/>
      <c r="BVW1" s="660"/>
      <c r="BVX1" s="660"/>
      <c r="BVY1" s="660"/>
      <c r="BVZ1" s="660"/>
      <c r="BWA1" s="660"/>
      <c r="BWB1" s="660"/>
      <c r="BWC1" s="660"/>
      <c r="BWD1" s="660"/>
      <c r="BWE1" s="660"/>
      <c r="BWF1" s="660"/>
      <c r="BWG1" s="660"/>
      <c r="BWH1" s="660"/>
      <c r="BWI1" s="660"/>
      <c r="BWJ1" s="660"/>
      <c r="BWK1" s="660"/>
      <c r="BWL1" s="660"/>
      <c r="BWM1" s="660"/>
      <c r="BWN1" s="660"/>
      <c r="BWO1" s="660"/>
      <c r="BWP1" s="660"/>
      <c r="BWQ1" s="660"/>
      <c r="BWR1" s="660"/>
      <c r="BWS1" s="660"/>
      <c r="BWT1" s="660"/>
      <c r="BWU1" s="660"/>
      <c r="BWV1" s="660"/>
      <c r="BWW1" s="660"/>
      <c r="BWX1" s="660"/>
      <c r="BWY1" s="660"/>
      <c r="BWZ1" s="660"/>
      <c r="BXA1" s="660"/>
      <c r="BXB1" s="660"/>
      <c r="BXC1" s="660"/>
      <c r="BXD1" s="660"/>
      <c r="BXE1" s="660"/>
      <c r="BXF1" s="660"/>
      <c r="BXG1" s="660"/>
      <c r="BXH1" s="660"/>
      <c r="BXI1" s="660"/>
      <c r="BXJ1" s="660"/>
      <c r="BXK1" s="660"/>
      <c r="BXL1" s="660"/>
      <c r="BXM1" s="660"/>
      <c r="BXN1" s="660"/>
      <c r="BXO1" s="660"/>
      <c r="BXP1" s="660"/>
      <c r="BXQ1" s="660"/>
      <c r="BXR1" s="660"/>
      <c r="BXS1" s="660"/>
      <c r="BXT1" s="660"/>
      <c r="BXU1" s="660"/>
      <c r="BXV1" s="660"/>
      <c r="BXW1" s="660"/>
      <c r="BXX1" s="660"/>
      <c r="BXY1" s="660"/>
      <c r="BXZ1" s="660"/>
      <c r="BYA1" s="660"/>
      <c r="BYB1" s="660"/>
      <c r="BYC1" s="660"/>
      <c r="BYD1" s="660"/>
      <c r="BYE1" s="660"/>
      <c r="BYF1" s="660"/>
      <c r="BYG1" s="660"/>
      <c r="BYH1" s="660"/>
      <c r="BYI1" s="660"/>
      <c r="BYJ1" s="660"/>
      <c r="BYK1" s="660"/>
      <c r="BYL1" s="660"/>
      <c r="BYM1" s="660"/>
      <c r="BYN1" s="660"/>
      <c r="BYO1" s="660"/>
      <c r="BYP1" s="660"/>
      <c r="BYQ1" s="660"/>
      <c r="BYR1" s="660"/>
      <c r="BYS1" s="660"/>
      <c r="BYT1" s="660"/>
      <c r="BYU1" s="660"/>
      <c r="BYV1" s="660"/>
      <c r="BYW1" s="660"/>
      <c r="BYX1" s="660"/>
      <c r="BYY1" s="660"/>
      <c r="BYZ1" s="660"/>
      <c r="BZA1" s="660"/>
      <c r="BZB1" s="660"/>
      <c r="BZC1" s="660"/>
      <c r="BZD1" s="660"/>
      <c r="BZE1" s="660"/>
      <c r="BZF1" s="660"/>
      <c r="BZG1" s="660"/>
      <c r="BZH1" s="660"/>
      <c r="BZI1" s="660"/>
      <c r="BZJ1" s="660"/>
      <c r="BZK1" s="660"/>
      <c r="BZL1" s="660"/>
      <c r="BZM1" s="660"/>
      <c r="BZN1" s="660"/>
      <c r="BZO1" s="660"/>
      <c r="BZP1" s="660"/>
      <c r="BZQ1" s="660"/>
      <c r="BZR1" s="660"/>
      <c r="BZS1" s="660"/>
      <c r="BZT1" s="660"/>
      <c r="BZU1" s="660"/>
      <c r="BZV1" s="660"/>
      <c r="BZW1" s="660"/>
      <c r="BZX1" s="660"/>
      <c r="BZY1" s="660"/>
      <c r="BZZ1" s="660"/>
      <c r="CAA1" s="660"/>
      <c r="CAB1" s="660"/>
      <c r="CAC1" s="660"/>
      <c r="CAD1" s="660"/>
      <c r="CAE1" s="660"/>
      <c r="CAF1" s="660"/>
      <c r="CAG1" s="660"/>
      <c r="CAH1" s="660"/>
      <c r="CAI1" s="660"/>
      <c r="CAJ1" s="660"/>
      <c r="CAK1" s="660"/>
      <c r="CAL1" s="660"/>
      <c r="CAM1" s="660"/>
      <c r="CAN1" s="660"/>
      <c r="CAO1" s="660"/>
      <c r="CAP1" s="660"/>
      <c r="CAQ1" s="660"/>
      <c r="CAR1" s="660"/>
      <c r="CAS1" s="660"/>
      <c r="CAT1" s="660"/>
      <c r="CAU1" s="660"/>
      <c r="CAV1" s="660"/>
      <c r="CAW1" s="660"/>
      <c r="CAX1" s="660"/>
      <c r="CAY1" s="660"/>
      <c r="CAZ1" s="660"/>
      <c r="CBA1" s="660"/>
      <c r="CBB1" s="660"/>
      <c r="CBC1" s="660"/>
      <c r="CBD1" s="660"/>
      <c r="CBE1" s="660"/>
      <c r="CBF1" s="660"/>
      <c r="CBG1" s="660"/>
      <c r="CBH1" s="660"/>
      <c r="CBI1" s="660"/>
      <c r="CBJ1" s="660"/>
      <c r="CBK1" s="660"/>
      <c r="CBL1" s="660"/>
      <c r="CBM1" s="660"/>
      <c r="CBN1" s="660"/>
      <c r="CBO1" s="660"/>
      <c r="CBP1" s="660"/>
      <c r="CBQ1" s="660"/>
      <c r="CBR1" s="660"/>
      <c r="CBS1" s="660"/>
      <c r="CBT1" s="660"/>
      <c r="CBU1" s="660"/>
      <c r="CBV1" s="660"/>
      <c r="CBW1" s="660"/>
      <c r="CBX1" s="660"/>
      <c r="CBY1" s="660"/>
      <c r="CBZ1" s="660"/>
      <c r="CCA1" s="660"/>
      <c r="CCB1" s="660"/>
      <c r="CCC1" s="660"/>
      <c r="CCD1" s="660"/>
      <c r="CCE1" s="660"/>
      <c r="CCF1" s="660"/>
      <c r="CCG1" s="660"/>
      <c r="CCH1" s="660"/>
      <c r="CCI1" s="660"/>
      <c r="CCJ1" s="660"/>
      <c r="CCK1" s="660"/>
      <c r="CCL1" s="660"/>
      <c r="CCM1" s="660"/>
      <c r="CCN1" s="660"/>
      <c r="CCO1" s="660"/>
      <c r="CCP1" s="660"/>
      <c r="CCQ1" s="660"/>
      <c r="CCR1" s="660"/>
      <c r="CCS1" s="660"/>
      <c r="CCT1" s="660"/>
      <c r="CCU1" s="660"/>
      <c r="CCV1" s="660"/>
      <c r="CCW1" s="660"/>
      <c r="CCX1" s="660"/>
      <c r="CCY1" s="660"/>
      <c r="CCZ1" s="660"/>
      <c r="CDA1" s="660"/>
      <c r="CDB1" s="660"/>
      <c r="CDC1" s="660"/>
      <c r="CDD1" s="660"/>
      <c r="CDE1" s="660"/>
      <c r="CDF1" s="660"/>
      <c r="CDG1" s="660"/>
      <c r="CDH1" s="660"/>
      <c r="CDI1" s="660"/>
      <c r="CDJ1" s="660"/>
      <c r="CDK1" s="660"/>
      <c r="CDL1" s="660"/>
      <c r="CDM1" s="660"/>
      <c r="CDN1" s="660"/>
      <c r="CDO1" s="660"/>
      <c r="CDP1" s="660"/>
      <c r="CDQ1" s="660"/>
      <c r="CDR1" s="660"/>
      <c r="CDS1" s="660"/>
      <c r="CDT1" s="660"/>
      <c r="CDU1" s="660"/>
      <c r="CDV1" s="660"/>
      <c r="CDW1" s="660"/>
      <c r="CDX1" s="660"/>
      <c r="CDY1" s="660"/>
      <c r="CDZ1" s="660"/>
      <c r="CEA1" s="660"/>
      <c r="CEB1" s="660"/>
      <c r="CEC1" s="660"/>
      <c r="CED1" s="660"/>
      <c r="CEE1" s="660"/>
      <c r="CEF1" s="660"/>
      <c r="CEG1" s="660"/>
      <c r="CEH1" s="660"/>
      <c r="CEI1" s="660"/>
      <c r="CEJ1" s="660"/>
      <c r="CEK1" s="660"/>
      <c r="CEL1" s="660"/>
      <c r="CEM1" s="660"/>
      <c r="CEN1" s="660"/>
      <c r="CEO1" s="660"/>
      <c r="CEP1" s="660"/>
      <c r="CEQ1" s="660"/>
      <c r="CER1" s="660"/>
      <c r="CES1" s="660"/>
      <c r="CET1" s="660"/>
      <c r="CEU1" s="660"/>
      <c r="CEV1" s="660"/>
      <c r="CEW1" s="660"/>
      <c r="CEX1" s="660"/>
      <c r="CEY1" s="660"/>
      <c r="CEZ1" s="660"/>
      <c r="CFA1" s="660"/>
      <c r="CFB1" s="660"/>
      <c r="CFC1" s="660"/>
      <c r="CFD1" s="660"/>
      <c r="CFE1" s="660"/>
      <c r="CFF1" s="660"/>
      <c r="CFG1" s="660"/>
      <c r="CFH1" s="660"/>
      <c r="CFI1" s="660"/>
      <c r="CFJ1" s="660"/>
      <c r="CFK1" s="660"/>
      <c r="CFL1" s="660"/>
      <c r="CFM1" s="660"/>
      <c r="CFN1" s="660"/>
      <c r="CFO1" s="660"/>
      <c r="CFP1" s="660"/>
      <c r="CFQ1" s="660"/>
      <c r="CFR1" s="660"/>
      <c r="CFS1" s="660"/>
      <c r="CFT1" s="660"/>
      <c r="CFU1" s="660"/>
      <c r="CFV1" s="660"/>
      <c r="CFW1" s="660"/>
      <c r="CFX1" s="660"/>
      <c r="CFY1" s="660"/>
      <c r="CFZ1" s="660"/>
      <c r="CGA1" s="660"/>
      <c r="CGB1" s="660"/>
      <c r="CGC1" s="660"/>
      <c r="CGD1" s="660"/>
      <c r="CGE1" s="660"/>
      <c r="CGF1" s="660"/>
      <c r="CGG1" s="660"/>
      <c r="CGH1" s="660"/>
      <c r="CGI1" s="660"/>
      <c r="CGJ1" s="660"/>
      <c r="CGK1" s="660"/>
      <c r="CGL1" s="660"/>
      <c r="CGM1" s="660"/>
      <c r="CGN1" s="660"/>
      <c r="CGO1" s="660"/>
      <c r="CGP1" s="660"/>
      <c r="CGQ1" s="660"/>
      <c r="CGR1" s="660"/>
      <c r="CGS1" s="660"/>
      <c r="CGT1" s="660"/>
      <c r="CGU1" s="660"/>
      <c r="CGV1" s="660"/>
      <c r="CGW1" s="660"/>
      <c r="CGX1" s="660"/>
      <c r="CGY1" s="660"/>
      <c r="CGZ1" s="660"/>
      <c r="CHA1" s="660"/>
      <c r="CHB1" s="660"/>
      <c r="CHC1" s="660"/>
      <c r="CHD1" s="660"/>
      <c r="CHE1" s="660"/>
      <c r="CHF1" s="660"/>
      <c r="CHG1" s="660"/>
      <c r="CHH1" s="660"/>
      <c r="CHI1" s="660"/>
      <c r="CHJ1" s="660"/>
      <c r="CHK1" s="660"/>
      <c r="CHL1" s="660"/>
      <c r="CHM1" s="660"/>
      <c r="CHN1" s="660"/>
      <c r="CHO1" s="660"/>
      <c r="CHP1" s="660"/>
      <c r="CHQ1" s="660"/>
      <c r="CHR1" s="660"/>
      <c r="CHS1" s="660"/>
      <c r="CHT1" s="660"/>
      <c r="CHU1" s="660"/>
      <c r="CHV1" s="660"/>
      <c r="CHW1" s="660"/>
      <c r="CHX1" s="660"/>
      <c r="CHY1" s="660"/>
      <c r="CHZ1" s="660"/>
      <c r="CIA1" s="660"/>
      <c r="CIB1" s="660"/>
      <c r="CIC1" s="660"/>
      <c r="CID1" s="660"/>
      <c r="CIE1" s="660"/>
      <c r="CIF1" s="660"/>
      <c r="CIG1" s="660"/>
      <c r="CIH1" s="660"/>
      <c r="CII1" s="660"/>
      <c r="CIJ1" s="660"/>
      <c r="CIK1" s="660"/>
      <c r="CIL1" s="660"/>
      <c r="CIM1" s="660"/>
      <c r="CIN1" s="660"/>
      <c r="CIO1" s="660"/>
      <c r="CIP1" s="660"/>
      <c r="CIQ1" s="660"/>
      <c r="CIR1" s="660"/>
      <c r="CIS1" s="660"/>
      <c r="CIT1" s="660"/>
      <c r="CIU1" s="660"/>
      <c r="CIV1" s="660"/>
      <c r="CIW1" s="660"/>
      <c r="CIX1" s="660"/>
      <c r="CIY1" s="660"/>
      <c r="CIZ1" s="660"/>
      <c r="CJA1" s="660"/>
      <c r="CJB1" s="660"/>
      <c r="CJC1" s="660"/>
      <c r="CJD1" s="660"/>
      <c r="CJE1" s="660"/>
      <c r="CJF1" s="660"/>
      <c r="CJG1" s="660"/>
      <c r="CJH1" s="660"/>
      <c r="CJI1" s="660"/>
      <c r="CJJ1" s="660"/>
      <c r="CJK1" s="660"/>
      <c r="CJL1" s="660"/>
      <c r="CJM1" s="660"/>
      <c r="CJN1" s="660"/>
      <c r="CJO1" s="660"/>
      <c r="CJP1" s="660"/>
      <c r="CJQ1" s="660"/>
      <c r="CJR1" s="660"/>
      <c r="CJS1" s="660"/>
      <c r="CJT1" s="660"/>
      <c r="CJU1" s="660"/>
      <c r="CJV1" s="660"/>
      <c r="CJW1" s="660"/>
      <c r="CJX1" s="660"/>
      <c r="CJY1" s="660"/>
      <c r="CJZ1" s="660"/>
      <c r="CKA1" s="660"/>
      <c r="CKB1" s="660"/>
      <c r="CKC1" s="660"/>
      <c r="CKD1" s="660"/>
      <c r="CKE1" s="660"/>
      <c r="CKF1" s="660"/>
      <c r="CKG1" s="660"/>
      <c r="CKH1" s="660"/>
      <c r="CKI1" s="660"/>
      <c r="CKJ1" s="660"/>
      <c r="CKK1" s="660"/>
      <c r="CKL1" s="660"/>
      <c r="CKM1" s="660"/>
      <c r="CKN1" s="660"/>
      <c r="CKO1" s="660"/>
      <c r="CKP1" s="660"/>
      <c r="CKQ1" s="660"/>
      <c r="CKR1" s="660"/>
      <c r="CKS1" s="660"/>
      <c r="CKT1" s="660"/>
      <c r="CKU1" s="660"/>
      <c r="CKV1" s="660"/>
      <c r="CKW1" s="660"/>
      <c r="CKX1" s="660"/>
      <c r="CKY1" s="660"/>
      <c r="CKZ1" s="660"/>
      <c r="CLA1" s="660"/>
      <c r="CLB1" s="660"/>
      <c r="CLC1" s="660"/>
      <c r="CLD1" s="660"/>
      <c r="CLE1" s="660"/>
      <c r="CLF1" s="660"/>
      <c r="CLG1" s="660"/>
      <c r="CLH1" s="660"/>
      <c r="CLI1" s="660"/>
      <c r="CLJ1" s="660"/>
      <c r="CLK1" s="660"/>
      <c r="CLL1" s="660"/>
      <c r="CLM1" s="660"/>
      <c r="CLN1" s="660"/>
      <c r="CLO1" s="660"/>
      <c r="CLP1" s="660"/>
      <c r="CLQ1" s="660"/>
      <c r="CLR1" s="660"/>
      <c r="CLS1" s="660"/>
      <c r="CLT1" s="660"/>
      <c r="CLU1" s="660"/>
      <c r="CLV1" s="660"/>
      <c r="CLW1" s="660"/>
      <c r="CLX1" s="660"/>
      <c r="CLY1" s="660"/>
      <c r="CLZ1" s="660"/>
      <c r="CMA1" s="660"/>
      <c r="CMB1" s="660"/>
      <c r="CMC1" s="660"/>
      <c r="CMD1" s="660"/>
      <c r="CME1" s="660"/>
      <c r="CMF1" s="660"/>
      <c r="CMG1" s="660"/>
      <c r="CMH1" s="660"/>
      <c r="CMI1" s="660"/>
      <c r="CMJ1" s="660"/>
      <c r="CMK1" s="660"/>
      <c r="CML1" s="660"/>
      <c r="CMM1" s="660"/>
      <c r="CMN1" s="660"/>
      <c r="CMO1" s="660"/>
      <c r="CMP1" s="660"/>
      <c r="CMQ1" s="660"/>
      <c r="CMR1" s="660"/>
      <c r="CMS1" s="660"/>
      <c r="CMT1" s="660"/>
      <c r="CMU1" s="660"/>
      <c r="CMV1" s="660"/>
      <c r="CMW1" s="660"/>
      <c r="CMX1" s="660"/>
      <c r="CMY1" s="660"/>
      <c r="CMZ1" s="660"/>
      <c r="CNA1" s="660"/>
      <c r="CNB1" s="660"/>
      <c r="CNC1" s="660"/>
      <c r="CND1" s="660"/>
      <c r="CNE1" s="660"/>
      <c r="CNF1" s="660"/>
      <c r="CNG1" s="660"/>
      <c r="CNH1" s="660"/>
      <c r="CNI1" s="660"/>
      <c r="CNJ1" s="660"/>
      <c r="CNK1" s="660"/>
      <c r="CNL1" s="660"/>
      <c r="CNM1" s="660"/>
      <c r="CNN1" s="660"/>
      <c r="CNO1" s="660"/>
      <c r="CNP1" s="660"/>
      <c r="CNQ1" s="660"/>
      <c r="CNR1" s="660"/>
      <c r="CNS1" s="660"/>
      <c r="CNT1" s="660"/>
      <c r="CNU1" s="660"/>
      <c r="CNV1" s="660"/>
      <c r="CNW1" s="660"/>
      <c r="CNX1" s="660"/>
      <c r="CNY1" s="660"/>
      <c r="CNZ1" s="660"/>
      <c r="COA1" s="660"/>
      <c r="COB1" s="660"/>
      <c r="COC1" s="660"/>
      <c r="COD1" s="660"/>
      <c r="COE1" s="660"/>
      <c r="COF1" s="660"/>
      <c r="COG1" s="660"/>
      <c r="COH1" s="660"/>
      <c r="COI1" s="660"/>
      <c r="COJ1" s="660"/>
      <c r="COK1" s="660"/>
      <c r="COL1" s="660"/>
      <c r="COM1" s="660"/>
      <c r="CON1" s="660"/>
      <c r="COO1" s="660"/>
      <c r="COP1" s="660"/>
      <c r="COQ1" s="660"/>
      <c r="COR1" s="660"/>
      <c r="COS1" s="660"/>
      <c r="COT1" s="660"/>
      <c r="COU1" s="660"/>
      <c r="COV1" s="660"/>
      <c r="COW1" s="660"/>
      <c r="COX1" s="660"/>
      <c r="COY1" s="660"/>
      <c r="COZ1" s="660"/>
      <c r="CPA1" s="660"/>
      <c r="CPB1" s="660"/>
      <c r="CPC1" s="660"/>
      <c r="CPD1" s="660"/>
      <c r="CPE1" s="660"/>
      <c r="CPF1" s="660"/>
      <c r="CPG1" s="660"/>
      <c r="CPH1" s="660"/>
      <c r="CPI1" s="660"/>
      <c r="CPJ1" s="660"/>
      <c r="CPK1" s="660"/>
      <c r="CPL1" s="660"/>
      <c r="CPM1" s="660"/>
      <c r="CPN1" s="660"/>
      <c r="CPO1" s="660"/>
      <c r="CPP1" s="660"/>
      <c r="CPQ1" s="660"/>
      <c r="CPR1" s="660"/>
      <c r="CPS1" s="660"/>
      <c r="CPT1" s="660"/>
      <c r="CPU1" s="660"/>
      <c r="CPV1" s="660"/>
      <c r="CPW1" s="660"/>
      <c r="CPX1" s="660"/>
      <c r="CPY1" s="660"/>
      <c r="CPZ1" s="660"/>
      <c r="CQA1" s="660"/>
      <c r="CQB1" s="660"/>
      <c r="CQC1" s="660"/>
      <c r="CQD1" s="660"/>
      <c r="CQE1" s="660"/>
      <c r="CQF1" s="660"/>
      <c r="CQG1" s="660"/>
      <c r="CQH1" s="660"/>
      <c r="CQI1" s="660"/>
      <c r="CQJ1" s="660"/>
      <c r="CQK1" s="660"/>
      <c r="CQL1" s="660"/>
      <c r="CQM1" s="660"/>
      <c r="CQN1" s="660"/>
      <c r="CQO1" s="660"/>
      <c r="CQP1" s="660"/>
      <c r="CQQ1" s="660"/>
      <c r="CQR1" s="660"/>
      <c r="CQS1" s="660"/>
      <c r="CQT1" s="660"/>
      <c r="CQU1" s="660"/>
      <c r="CQV1" s="660"/>
      <c r="CQW1" s="660"/>
      <c r="CQX1" s="660"/>
      <c r="CQY1" s="660"/>
      <c r="CQZ1" s="660"/>
      <c r="CRA1" s="660"/>
      <c r="CRB1" s="660"/>
      <c r="CRC1" s="660"/>
      <c r="CRD1" s="660"/>
      <c r="CRE1" s="660"/>
      <c r="CRF1" s="660"/>
      <c r="CRG1" s="660"/>
      <c r="CRH1" s="660"/>
      <c r="CRI1" s="660"/>
      <c r="CRJ1" s="660"/>
      <c r="CRK1" s="660"/>
      <c r="CRL1" s="660"/>
      <c r="CRM1" s="660"/>
      <c r="CRN1" s="660"/>
      <c r="CRO1" s="660"/>
      <c r="CRP1" s="660"/>
      <c r="CRQ1" s="660"/>
      <c r="CRR1" s="660"/>
      <c r="CRS1" s="660"/>
      <c r="CRT1" s="660"/>
      <c r="CRU1" s="660"/>
      <c r="CRV1" s="660"/>
      <c r="CRW1" s="660"/>
      <c r="CRX1" s="660"/>
      <c r="CRY1" s="660"/>
      <c r="CRZ1" s="660"/>
      <c r="CSA1" s="660"/>
      <c r="CSB1" s="660"/>
      <c r="CSC1" s="660"/>
      <c r="CSD1" s="660"/>
      <c r="CSE1" s="660"/>
      <c r="CSF1" s="660"/>
      <c r="CSG1" s="660"/>
      <c r="CSH1" s="660"/>
      <c r="CSI1" s="660"/>
      <c r="CSJ1" s="660"/>
      <c r="CSK1" s="660"/>
      <c r="CSL1" s="660"/>
      <c r="CSM1" s="660"/>
      <c r="CSN1" s="660"/>
      <c r="CSO1" s="660"/>
      <c r="CSP1" s="660"/>
      <c r="CSQ1" s="660"/>
      <c r="CSR1" s="660"/>
      <c r="CSS1" s="660"/>
      <c r="CST1" s="660"/>
      <c r="CSU1" s="660"/>
      <c r="CSV1" s="660"/>
      <c r="CSW1" s="660"/>
      <c r="CSX1" s="660"/>
      <c r="CSY1" s="660"/>
      <c r="CSZ1" s="660"/>
      <c r="CTA1" s="660"/>
      <c r="CTB1" s="660"/>
      <c r="CTC1" s="660"/>
      <c r="CTD1" s="660"/>
      <c r="CTE1" s="660"/>
      <c r="CTF1" s="660"/>
      <c r="CTG1" s="660"/>
      <c r="CTH1" s="660"/>
      <c r="CTI1" s="660"/>
      <c r="CTJ1" s="660"/>
      <c r="CTK1" s="660"/>
      <c r="CTL1" s="660"/>
      <c r="CTM1" s="660"/>
      <c r="CTN1" s="660"/>
      <c r="CTO1" s="660"/>
      <c r="CTP1" s="660"/>
      <c r="CTQ1" s="660"/>
      <c r="CTR1" s="660"/>
      <c r="CTS1" s="660"/>
      <c r="CTT1" s="660"/>
      <c r="CTU1" s="660"/>
      <c r="CTV1" s="660"/>
      <c r="CTW1" s="660"/>
      <c r="CTX1" s="660"/>
      <c r="CTY1" s="660"/>
      <c r="CTZ1" s="660"/>
      <c r="CUA1" s="660"/>
      <c r="CUB1" s="660"/>
      <c r="CUC1" s="660"/>
      <c r="CUD1" s="660"/>
      <c r="CUE1" s="660"/>
      <c r="CUF1" s="660"/>
      <c r="CUG1" s="660"/>
      <c r="CUH1" s="660"/>
      <c r="CUI1" s="660"/>
      <c r="CUJ1" s="660"/>
      <c r="CUK1" s="660"/>
      <c r="CUL1" s="660"/>
      <c r="CUM1" s="660"/>
      <c r="CUN1" s="660"/>
      <c r="CUO1" s="660"/>
      <c r="CUP1" s="660"/>
      <c r="CUQ1" s="660"/>
      <c r="CUR1" s="660"/>
      <c r="CUS1" s="660"/>
      <c r="CUT1" s="660"/>
      <c r="CUU1" s="660"/>
      <c r="CUV1" s="660"/>
      <c r="CUW1" s="660"/>
      <c r="CUX1" s="660"/>
      <c r="CUY1" s="660"/>
      <c r="CUZ1" s="660"/>
      <c r="CVA1" s="660"/>
      <c r="CVB1" s="660"/>
      <c r="CVC1" s="660"/>
      <c r="CVD1" s="660"/>
      <c r="CVE1" s="660"/>
      <c r="CVF1" s="660"/>
      <c r="CVG1" s="660"/>
      <c r="CVH1" s="660"/>
      <c r="CVI1" s="660"/>
      <c r="CVJ1" s="660"/>
      <c r="CVK1" s="660"/>
      <c r="CVL1" s="660"/>
      <c r="CVM1" s="660"/>
      <c r="CVN1" s="660"/>
      <c r="CVO1" s="660"/>
      <c r="CVP1" s="660"/>
      <c r="CVQ1" s="660"/>
      <c r="CVR1" s="660"/>
      <c r="CVS1" s="660"/>
      <c r="CVT1" s="660"/>
      <c r="CVU1" s="660"/>
      <c r="CVV1" s="660"/>
      <c r="CVW1" s="660"/>
      <c r="CVX1" s="660"/>
      <c r="CVY1" s="660"/>
      <c r="CVZ1" s="660"/>
      <c r="CWA1" s="660"/>
      <c r="CWB1" s="660"/>
      <c r="CWC1" s="660"/>
      <c r="CWD1" s="660"/>
      <c r="CWE1" s="660"/>
      <c r="CWF1" s="660"/>
      <c r="CWG1" s="660"/>
      <c r="CWH1" s="660"/>
      <c r="CWI1" s="660"/>
      <c r="CWJ1" s="660"/>
      <c r="CWK1" s="660"/>
      <c r="CWL1" s="660"/>
      <c r="CWM1" s="660"/>
      <c r="CWN1" s="660"/>
      <c r="CWO1" s="660"/>
      <c r="CWP1" s="660"/>
      <c r="CWQ1" s="660"/>
      <c r="CWR1" s="660"/>
      <c r="CWS1" s="660"/>
      <c r="CWT1" s="660"/>
      <c r="CWU1" s="660"/>
      <c r="CWV1" s="660"/>
      <c r="CWW1" s="660"/>
      <c r="CWX1" s="660"/>
      <c r="CWY1" s="660"/>
      <c r="CWZ1" s="660"/>
      <c r="CXA1" s="660"/>
      <c r="CXB1" s="660"/>
      <c r="CXC1" s="660"/>
      <c r="CXD1" s="660"/>
      <c r="CXE1" s="660"/>
      <c r="CXF1" s="660"/>
      <c r="CXG1" s="660"/>
      <c r="CXH1" s="660"/>
      <c r="CXI1" s="660"/>
      <c r="CXJ1" s="660"/>
      <c r="CXK1" s="660"/>
      <c r="CXL1" s="660"/>
      <c r="CXM1" s="660"/>
      <c r="CXN1" s="660"/>
      <c r="CXO1" s="660"/>
      <c r="CXP1" s="660"/>
      <c r="CXQ1" s="660"/>
      <c r="CXR1" s="660"/>
      <c r="CXS1" s="660"/>
      <c r="CXT1" s="660"/>
      <c r="CXU1" s="660"/>
      <c r="CXV1" s="660"/>
      <c r="CXW1" s="660"/>
      <c r="CXX1" s="660"/>
      <c r="CXY1" s="660"/>
      <c r="CXZ1" s="660"/>
      <c r="CYA1" s="660"/>
      <c r="CYB1" s="660"/>
      <c r="CYC1" s="660"/>
      <c r="CYD1" s="660"/>
      <c r="CYE1" s="660"/>
      <c r="CYF1" s="660"/>
      <c r="CYG1" s="660"/>
      <c r="CYH1" s="660"/>
      <c r="CYI1" s="660"/>
      <c r="CYJ1" s="660"/>
      <c r="CYK1" s="660"/>
      <c r="CYL1" s="660"/>
      <c r="CYM1" s="660"/>
      <c r="CYN1" s="660"/>
      <c r="CYO1" s="660"/>
      <c r="CYP1" s="660"/>
      <c r="CYQ1" s="660"/>
      <c r="CYR1" s="660"/>
      <c r="CYS1" s="660"/>
      <c r="CYT1" s="660"/>
      <c r="CYU1" s="660"/>
      <c r="CYV1" s="660"/>
      <c r="CYW1" s="660"/>
      <c r="CYX1" s="660"/>
      <c r="CYY1" s="660"/>
      <c r="CYZ1" s="660"/>
      <c r="CZA1" s="660"/>
      <c r="CZB1" s="660"/>
      <c r="CZC1" s="660"/>
      <c r="CZD1" s="660"/>
      <c r="CZE1" s="660"/>
      <c r="CZF1" s="660"/>
      <c r="CZG1" s="660"/>
      <c r="CZH1" s="660"/>
      <c r="CZI1" s="660"/>
      <c r="CZJ1" s="660"/>
      <c r="CZK1" s="660"/>
      <c r="CZL1" s="660"/>
      <c r="CZM1" s="660"/>
      <c r="CZN1" s="660"/>
      <c r="CZO1" s="660"/>
      <c r="CZP1" s="660"/>
      <c r="CZQ1" s="660"/>
      <c r="CZR1" s="660"/>
      <c r="CZS1" s="660"/>
      <c r="CZT1" s="660"/>
      <c r="CZU1" s="660"/>
      <c r="CZV1" s="660"/>
      <c r="CZW1" s="660"/>
      <c r="CZX1" s="660"/>
      <c r="CZY1" s="660"/>
      <c r="CZZ1" s="660"/>
      <c r="DAA1" s="660"/>
      <c r="DAB1" s="660"/>
      <c r="DAC1" s="660"/>
      <c r="DAD1" s="660"/>
      <c r="DAE1" s="660"/>
      <c r="DAF1" s="660"/>
      <c r="DAG1" s="660"/>
      <c r="DAH1" s="660"/>
      <c r="DAI1" s="660"/>
      <c r="DAJ1" s="660"/>
      <c r="DAK1" s="660"/>
      <c r="DAL1" s="660"/>
      <c r="DAM1" s="660"/>
      <c r="DAN1" s="660"/>
      <c r="DAO1" s="660"/>
      <c r="DAP1" s="660"/>
      <c r="DAQ1" s="660"/>
      <c r="DAR1" s="660"/>
      <c r="DAS1" s="660"/>
      <c r="DAT1" s="660"/>
      <c r="DAU1" s="660"/>
      <c r="DAV1" s="660"/>
      <c r="DAW1" s="660"/>
      <c r="DAX1" s="660"/>
      <c r="DAY1" s="660"/>
      <c r="DAZ1" s="660"/>
      <c r="DBA1" s="660"/>
      <c r="DBB1" s="660"/>
      <c r="DBC1" s="660"/>
      <c r="DBD1" s="660"/>
      <c r="DBE1" s="660"/>
      <c r="DBF1" s="660"/>
      <c r="DBG1" s="660"/>
      <c r="DBH1" s="660"/>
      <c r="DBI1" s="660"/>
      <c r="DBJ1" s="660"/>
      <c r="DBK1" s="660"/>
      <c r="DBL1" s="660"/>
      <c r="DBM1" s="660"/>
      <c r="DBN1" s="660"/>
      <c r="DBO1" s="660"/>
      <c r="DBP1" s="660"/>
      <c r="DBQ1" s="660"/>
      <c r="DBR1" s="660"/>
      <c r="DBS1" s="660"/>
      <c r="DBT1" s="660"/>
      <c r="DBU1" s="660"/>
      <c r="DBV1" s="660"/>
      <c r="DBW1" s="660"/>
      <c r="DBX1" s="660"/>
      <c r="DBY1" s="660"/>
      <c r="DBZ1" s="660"/>
      <c r="DCA1" s="660"/>
      <c r="DCB1" s="660"/>
      <c r="DCC1" s="660"/>
      <c r="DCD1" s="660"/>
      <c r="DCE1" s="660"/>
      <c r="DCF1" s="660"/>
      <c r="DCG1" s="660"/>
      <c r="DCH1" s="660"/>
      <c r="DCI1" s="660"/>
      <c r="DCJ1" s="660"/>
      <c r="DCK1" s="660"/>
      <c r="DCL1" s="660"/>
      <c r="DCM1" s="660"/>
      <c r="DCN1" s="660"/>
      <c r="DCO1" s="660"/>
      <c r="DCP1" s="660"/>
      <c r="DCQ1" s="660"/>
      <c r="DCR1" s="660"/>
      <c r="DCS1" s="660"/>
      <c r="DCT1" s="660"/>
      <c r="DCU1" s="660"/>
      <c r="DCV1" s="660"/>
      <c r="DCW1" s="660"/>
      <c r="DCX1" s="660"/>
      <c r="DCY1" s="660"/>
      <c r="DCZ1" s="660"/>
      <c r="DDA1" s="660"/>
      <c r="DDB1" s="660"/>
      <c r="DDC1" s="660"/>
      <c r="DDD1" s="660"/>
      <c r="DDE1" s="660"/>
      <c r="DDF1" s="660"/>
      <c r="DDG1" s="660"/>
      <c r="DDH1" s="660"/>
      <c r="DDI1" s="660"/>
      <c r="DDJ1" s="660"/>
      <c r="DDK1" s="660"/>
      <c r="DDL1" s="660"/>
      <c r="DDM1" s="660"/>
      <c r="DDN1" s="660"/>
      <c r="DDO1" s="660"/>
      <c r="DDP1" s="660"/>
      <c r="DDQ1" s="660"/>
      <c r="DDR1" s="660"/>
      <c r="DDS1" s="660"/>
      <c r="DDT1" s="660"/>
      <c r="DDU1" s="660"/>
      <c r="DDV1" s="660"/>
      <c r="DDW1" s="660"/>
      <c r="DDX1" s="660"/>
      <c r="DDY1" s="660"/>
      <c r="DDZ1" s="660"/>
      <c r="DEA1" s="660"/>
      <c r="DEB1" s="660"/>
      <c r="DEC1" s="660"/>
      <c r="DED1" s="660"/>
      <c r="DEE1" s="660"/>
      <c r="DEF1" s="660"/>
      <c r="DEG1" s="660"/>
      <c r="DEH1" s="660"/>
      <c r="DEI1" s="660"/>
      <c r="DEJ1" s="660"/>
      <c r="DEK1" s="660"/>
      <c r="DEL1" s="660"/>
      <c r="DEM1" s="660"/>
      <c r="DEN1" s="660"/>
      <c r="DEO1" s="660"/>
      <c r="DEP1" s="660"/>
      <c r="DEQ1" s="660"/>
      <c r="DER1" s="660"/>
      <c r="DES1" s="660"/>
      <c r="DET1" s="660"/>
      <c r="DEU1" s="660"/>
      <c r="DEV1" s="660"/>
      <c r="DEW1" s="660"/>
      <c r="DEX1" s="660"/>
      <c r="DEY1" s="660"/>
      <c r="DEZ1" s="660"/>
      <c r="DFA1" s="660"/>
      <c r="DFB1" s="660"/>
      <c r="DFC1" s="660"/>
      <c r="DFD1" s="660"/>
      <c r="DFE1" s="660"/>
      <c r="DFF1" s="660"/>
      <c r="DFG1" s="660"/>
      <c r="DFH1" s="660"/>
      <c r="DFI1" s="660"/>
      <c r="DFJ1" s="660"/>
      <c r="DFK1" s="660"/>
      <c r="DFL1" s="660"/>
      <c r="DFM1" s="660"/>
      <c r="DFN1" s="660"/>
      <c r="DFO1" s="660"/>
      <c r="DFP1" s="660"/>
      <c r="DFQ1" s="660"/>
      <c r="DFR1" s="660"/>
      <c r="DFS1" s="660"/>
      <c r="DFT1" s="660"/>
      <c r="DFU1" s="660"/>
      <c r="DFV1" s="660"/>
      <c r="DFW1" s="660"/>
      <c r="DFX1" s="660"/>
      <c r="DFY1" s="660"/>
      <c r="DFZ1" s="660"/>
      <c r="DGA1" s="660"/>
      <c r="DGB1" s="660"/>
      <c r="DGC1" s="660"/>
      <c r="DGD1" s="660"/>
      <c r="DGE1" s="660"/>
      <c r="DGF1" s="660"/>
      <c r="DGG1" s="660"/>
      <c r="DGH1" s="660"/>
      <c r="DGI1" s="660"/>
      <c r="DGJ1" s="660"/>
      <c r="DGK1" s="660"/>
      <c r="DGL1" s="660"/>
      <c r="DGM1" s="660"/>
      <c r="DGN1" s="660"/>
      <c r="DGO1" s="660"/>
      <c r="DGP1" s="660"/>
      <c r="DGQ1" s="660"/>
      <c r="DGR1" s="660"/>
      <c r="DGS1" s="660"/>
      <c r="DGT1" s="660"/>
      <c r="DGU1" s="660"/>
      <c r="DGV1" s="660"/>
      <c r="DGW1" s="660"/>
      <c r="DGX1" s="660"/>
      <c r="DGY1" s="660"/>
      <c r="DGZ1" s="660"/>
      <c r="DHA1" s="660"/>
      <c r="DHB1" s="660"/>
      <c r="DHC1" s="660"/>
      <c r="DHD1" s="660"/>
      <c r="DHE1" s="660"/>
      <c r="DHF1" s="660"/>
      <c r="DHG1" s="660"/>
      <c r="DHH1" s="660"/>
      <c r="DHI1" s="660"/>
      <c r="DHJ1" s="660"/>
      <c r="DHK1" s="660"/>
      <c r="DHL1" s="660"/>
      <c r="DHM1" s="660"/>
      <c r="DHN1" s="660"/>
      <c r="DHO1" s="660"/>
      <c r="DHP1" s="660"/>
      <c r="DHQ1" s="660"/>
      <c r="DHR1" s="660"/>
      <c r="DHS1" s="660"/>
      <c r="DHT1" s="660"/>
      <c r="DHU1" s="660"/>
      <c r="DHV1" s="660"/>
      <c r="DHW1" s="660"/>
      <c r="DHX1" s="660"/>
      <c r="DHY1" s="660"/>
      <c r="DHZ1" s="660"/>
      <c r="DIA1" s="660"/>
      <c r="DIB1" s="660"/>
      <c r="DIC1" s="660"/>
      <c r="DID1" s="660"/>
      <c r="DIE1" s="660"/>
      <c r="DIF1" s="660"/>
      <c r="DIG1" s="660"/>
      <c r="DIH1" s="660"/>
      <c r="DII1" s="660"/>
      <c r="DIJ1" s="660"/>
      <c r="DIK1" s="660"/>
      <c r="DIL1" s="660"/>
      <c r="DIM1" s="660"/>
      <c r="DIN1" s="660"/>
      <c r="DIO1" s="660"/>
      <c r="DIP1" s="660"/>
      <c r="DIQ1" s="660"/>
      <c r="DIR1" s="660"/>
      <c r="DIS1" s="660"/>
      <c r="DIT1" s="660"/>
      <c r="DIU1" s="660"/>
      <c r="DIV1" s="660"/>
      <c r="DIW1" s="660"/>
      <c r="DIX1" s="660"/>
      <c r="DIY1" s="660"/>
      <c r="DIZ1" s="660"/>
      <c r="DJA1" s="660"/>
      <c r="DJB1" s="660"/>
      <c r="DJC1" s="660"/>
      <c r="DJD1" s="660"/>
      <c r="DJE1" s="660"/>
      <c r="DJF1" s="660"/>
      <c r="DJG1" s="660"/>
      <c r="DJH1" s="660"/>
      <c r="DJI1" s="660"/>
      <c r="DJJ1" s="660"/>
      <c r="DJK1" s="660"/>
      <c r="DJL1" s="660"/>
      <c r="DJM1" s="660"/>
      <c r="DJN1" s="660"/>
      <c r="DJO1" s="660"/>
      <c r="DJP1" s="660"/>
      <c r="DJQ1" s="660"/>
      <c r="DJR1" s="660"/>
      <c r="DJS1" s="660"/>
      <c r="DJT1" s="660"/>
      <c r="DJU1" s="660"/>
      <c r="DJV1" s="660"/>
      <c r="DJW1" s="660"/>
      <c r="DJX1" s="660"/>
      <c r="DJY1" s="660"/>
      <c r="DJZ1" s="660"/>
      <c r="DKA1" s="660"/>
      <c r="DKB1" s="660"/>
      <c r="DKC1" s="660"/>
      <c r="DKD1" s="660"/>
      <c r="DKE1" s="660"/>
      <c r="DKF1" s="660"/>
      <c r="DKG1" s="660"/>
      <c r="DKH1" s="660"/>
      <c r="DKI1" s="660"/>
      <c r="DKJ1" s="660"/>
      <c r="DKK1" s="660"/>
      <c r="DKL1" s="660"/>
      <c r="DKM1" s="660"/>
      <c r="DKN1" s="660"/>
      <c r="DKO1" s="660"/>
      <c r="DKP1" s="660"/>
      <c r="DKQ1" s="660"/>
      <c r="DKR1" s="660"/>
      <c r="DKS1" s="660"/>
      <c r="DKT1" s="660"/>
      <c r="DKU1" s="660"/>
      <c r="DKV1" s="660"/>
      <c r="DKW1" s="660"/>
      <c r="DKX1" s="660"/>
      <c r="DKY1" s="660"/>
      <c r="DKZ1" s="660"/>
      <c r="DLA1" s="660"/>
      <c r="DLB1" s="660"/>
      <c r="DLC1" s="660"/>
      <c r="DLD1" s="660"/>
      <c r="DLE1" s="660"/>
      <c r="DLF1" s="660"/>
      <c r="DLG1" s="660"/>
      <c r="DLH1" s="660"/>
      <c r="DLI1" s="660"/>
      <c r="DLJ1" s="660"/>
      <c r="DLK1" s="660"/>
      <c r="DLL1" s="660"/>
      <c r="DLM1" s="660"/>
      <c r="DLN1" s="660"/>
      <c r="DLO1" s="660"/>
      <c r="DLP1" s="660"/>
      <c r="DLQ1" s="660"/>
      <c r="DLR1" s="660"/>
      <c r="DLS1" s="660"/>
      <c r="DLT1" s="660"/>
      <c r="DLU1" s="660"/>
      <c r="DLV1" s="660"/>
      <c r="DLW1" s="660"/>
      <c r="DLX1" s="660"/>
      <c r="DLY1" s="660"/>
      <c r="DLZ1" s="660"/>
      <c r="DMA1" s="660"/>
      <c r="DMB1" s="660"/>
      <c r="DMC1" s="660"/>
      <c r="DMD1" s="660"/>
      <c r="DME1" s="660"/>
      <c r="DMF1" s="660"/>
      <c r="DMG1" s="660"/>
      <c r="DMH1" s="660"/>
      <c r="DMI1" s="660"/>
      <c r="DMJ1" s="660"/>
      <c r="DMK1" s="660"/>
      <c r="DML1" s="660"/>
      <c r="DMM1" s="660"/>
      <c r="DMN1" s="660"/>
      <c r="DMO1" s="660"/>
      <c r="DMP1" s="660"/>
      <c r="DMQ1" s="660"/>
      <c r="DMR1" s="660"/>
      <c r="DMS1" s="660"/>
      <c r="DMT1" s="660"/>
      <c r="DMU1" s="660"/>
      <c r="DMV1" s="660"/>
      <c r="DMW1" s="660"/>
      <c r="DMX1" s="660"/>
      <c r="DMY1" s="660"/>
      <c r="DMZ1" s="660"/>
      <c r="DNA1" s="660"/>
      <c r="DNB1" s="660"/>
      <c r="DNC1" s="660"/>
      <c r="DND1" s="660"/>
      <c r="DNE1" s="660"/>
      <c r="DNF1" s="660"/>
      <c r="DNG1" s="660"/>
      <c r="DNH1" s="660"/>
      <c r="DNI1" s="660"/>
      <c r="DNJ1" s="660"/>
      <c r="DNK1" s="660"/>
      <c r="DNL1" s="660"/>
      <c r="DNM1" s="660"/>
      <c r="DNN1" s="660"/>
      <c r="DNO1" s="660"/>
      <c r="DNP1" s="660"/>
      <c r="DNQ1" s="660"/>
      <c r="DNR1" s="660"/>
      <c r="DNS1" s="660"/>
      <c r="DNT1" s="660"/>
      <c r="DNU1" s="660"/>
      <c r="DNV1" s="660"/>
      <c r="DNW1" s="660"/>
      <c r="DNX1" s="660"/>
      <c r="DNY1" s="660"/>
      <c r="DNZ1" s="660"/>
      <c r="DOA1" s="660"/>
      <c r="DOB1" s="660"/>
      <c r="DOC1" s="660"/>
      <c r="DOD1" s="660"/>
      <c r="DOE1" s="660"/>
      <c r="DOF1" s="660"/>
      <c r="DOG1" s="660"/>
      <c r="DOH1" s="660"/>
      <c r="DOI1" s="660"/>
      <c r="DOJ1" s="660"/>
      <c r="DOK1" s="660"/>
      <c r="DOL1" s="660"/>
      <c r="DOM1" s="660"/>
      <c r="DON1" s="660"/>
      <c r="DOO1" s="660"/>
      <c r="DOP1" s="660"/>
      <c r="DOQ1" s="660"/>
      <c r="DOR1" s="660"/>
      <c r="DOS1" s="660"/>
      <c r="DOT1" s="660"/>
      <c r="DOU1" s="660"/>
      <c r="DOV1" s="660"/>
      <c r="DOW1" s="660"/>
      <c r="DOX1" s="660"/>
      <c r="DOY1" s="660"/>
      <c r="DOZ1" s="660"/>
      <c r="DPA1" s="660"/>
      <c r="DPB1" s="660"/>
      <c r="DPC1" s="660"/>
      <c r="DPD1" s="660"/>
      <c r="DPE1" s="660"/>
      <c r="DPF1" s="660"/>
      <c r="DPG1" s="660"/>
      <c r="DPH1" s="660"/>
      <c r="DPI1" s="660"/>
      <c r="DPJ1" s="660"/>
      <c r="DPK1" s="660"/>
      <c r="DPL1" s="660"/>
      <c r="DPM1" s="660"/>
      <c r="DPN1" s="660"/>
      <c r="DPO1" s="660"/>
      <c r="DPP1" s="660"/>
      <c r="DPQ1" s="660"/>
      <c r="DPR1" s="660"/>
      <c r="DPS1" s="660"/>
      <c r="DPT1" s="660"/>
      <c r="DPU1" s="660"/>
      <c r="DPV1" s="660"/>
      <c r="DPW1" s="660"/>
      <c r="DPX1" s="660"/>
      <c r="DPY1" s="660"/>
      <c r="DPZ1" s="660"/>
      <c r="DQA1" s="660"/>
      <c r="DQB1" s="660"/>
      <c r="DQC1" s="660"/>
      <c r="DQD1" s="660"/>
      <c r="DQE1" s="660"/>
      <c r="DQF1" s="660"/>
      <c r="DQG1" s="660"/>
      <c r="DQH1" s="660"/>
      <c r="DQI1" s="660"/>
      <c r="DQJ1" s="660"/>
      <c r="DQK1" s="660"/>
      <c r="DQL1" s="660"/>
      <c r="DQM1" s="660"/>
      <c r="DQN1" s="660"/>
      <c r="DQO1" s="660"/>
      <c r="DQP1" s="660"/>
      <c r="DQQ1" s="660"/>
      <c r="DQR1" s="660"/>
      <c r="DQS1" s="660"/>
      <c r="DQT1" s="660"/>
      <c r="DQU1" s="660"/>
      <c r="DQV1" s="660"/>
      <c r="DQW1" s="660"/>
      <c r="DQX1" s="660"/>
      <c r="DQY1" s="660"/>
      <c r="DQZ1" s="660"/>
      <c r="DRA1" s="660"/>
      <c r="DRB1" s="660"/>
      <c r="DRC1" s="660"/>
      <c r="DRD1" s="660"/>
      <c r="DRE1" s="660"/>
      <c r="DRF1" s="660"/>
      <c r="DRG1" s="660"/>
      <c r="DRH1" s="660"/>
      <c r="DRI1" s="660"/>
      <c r="DRJ1" s="660"/>
      <c r="DRK1" s="660"/>
      <c r="DRL1" s="660"/>
      <c r="DRM1" s="660"/>
      <c r="DRN1" s="660"/>
      <c r="DRO1" s="660"/>
      <c r="DRP1" s="660"/>
      <c r="DRQ1" s="660"/>
      <c r="DRR1" s="660"/>
      <c r="DRS1" s="660"/>
      <c r="DRT1" s="660"/>
      <c r="DRU1" s="660"/>
      <c r="DRV1" s="660"/>
      <c r="DRW1" s="660"/>
      <c r="DRX1" s="660"/>
      <c r="DRY1" s="660"/>
      <c r="DRZ1" s="660"/>
      <c r="DSA1" s="660"/>
      <c r="DSB1" s="660"/>
      <c r="DSC1" s="660"/>
      <c r="DSD1" s="660"/>
      <c r="DSE1" s="660"/>
      <c r="DSF1" s="660"/>
      <c r="DSG1" s="660"/>
      <c r="DSH1" s="660"/>
      <c r="DSI1" s="660"/>
      <c r="DSJ1" s="660"/>
      <c r="DSK1" s="660"/>
      <c r="DSL1" s="660"/>
      <c r="DSM1" s="660"/>
      <c r="DSN1" s="660"/>
      <c r="DSO1" s="660"/>
      <c r="DSP1" s="660"/>
      <c r="DSQ1" s="660"/>
      <c r="DSR1" s="660"/>
      <c r="DSS1" s="660"/>
      <c r="DST1" s="660"/>
      <c r="DSU1" s="660"/>
      <c r="DSV1" s="660"/>
      <c r="DSW1" s="660"/>
      <c r="DSX1" s="660"/>
      <c r="DSY1" s="660"/>
      <c r="DSZ1" s="660"/>
      <c r="DTA1" s="660"/>
      <c r="DTB1" s="660"/>
      <c r="DTC1" s="660"/>
      <c r="DTD1" s="660"/>
      <c r="DTE1" s="660"/>
      <c r="DTF1" s="660"/>
      <c r="DTG1" s="660"/>
      <c r="DTH1" s="660"/>
      <c r="DTI1" s="660"/>
      <c r="DTJ1" s="660"/>
      <c r="DTK1" s="660"/>
      <c r="DTL1" s="660"/>
      <c r="DTM1" s="660"/>
      <c r="DTN1" s="660"/>
      <c r="DTO1" s="660"/>
      <c r="DTP1" s="660"/>
      <c r="DTQ1" s="660"/>
      <c r="DTR1" s="660"/>
      <c r="DTS1" s="660"/>
      <c r="DTT1" s="660"/>
      <c r="DTU1" s="660"/>
      <c r="DTV1" s="660"/>
      <c r="DTW1" s="660"/>
      <c r="DTX1" s="660"/>
      <c r="DTY1" s="660"/>
      <c r="DTZ1" s="660"/>
      <c r="DUA1" s="660"/>
      <c r="DUB1" s="660"/>
      <c r="DUC1" s="660"/>
      <c r="DUD1" s="660"/>
      <c r="DUE1" s="660"/>
      <c r="DUF1" s="660"/>
      <c r="DUG1" s="660"/>
      <c r="DUH1" s="660"/>
      <c r="DUI1" s="660"/>
      <c r="DUJ1" s="660"/>
      <c r="DUK1" s="660"/>
      <c r="DUL1" s="660"/>
      <c r="DUM1" s="660"/>
      <c r="DUN1" s="660"/>
      <c r="DUO1" s="660"/>
      <c r="DUP1" s="660"/>
      <c r="DUQ1" s="660"/>
      <c r="DUR1" s="660"/>
      <c r="DUS1" s="660"/>
      <c r="DUT1" s="660"/>
      <c r="DUU1" s="660"/>
      <c r="DUV1" s="660"/>
      <c r="DUW1" s="660"/>
      <c r="DUX1" s="660"/>
      <c r="DUY1" s="660"/>
      <c r="DUZ1" s="660"/>
      <c r="DVA1" s="660"/>
      <c r="DVB1" s="660"/>
      <c r="DVC1" s="660"/>
      <c r="DVD1" s="660"/>
      <c r="DVE1" s="660"/>
      <c r="DVF1" s="660"/>
      <c r="DVG1" s="660"/>
      <c r="DVH1" s="660"/>
      <c r="DVI1" s="660"/>
      <c r="DVJ1" s="660"/>
      <c r="DVK1" s="660"/>
      <c r="DVL1" s="660"/>
      <c r="DVM1" s="660"/>
      <c r="DVN1" s="660"/>
      <c r="DVO1" s="660"/>
      <c r="DVP1" s="660"/>
      <c r="DVQ1" s="660"/>
      <c r="DVR1" s="660"/>
      <c r="DVS1" s="660"/>
      <c r="DVT1" s="660"/>
      <c r="DVU1" s="660"/>
      <c r="DVV1" s="660"/>
      <c r="DVW1" s="660"/>
      <c r="DVX1" s="660"/>
      <c r="DVY1" s="660"/>
      <c r="DVZ1" s="660"/>
      <c r="DWA1" s="660"/>
      <c r="DWB1" s="660"/>
      <c r="DWC1" s="660"/>
      <c r="DWD1" s="660"/>
      <c r="DWE1" s="660"/>
      <c r="DWF1" s="660"/>
      <c r="DWG1" s="660"/>
      <c r="DWH1" s="660"/>
      <c r="DWI1" s="660"/>
      <c r="DWJ1" s="660"/>
      <c r="DWK1" s="660"/>
      <c r="DWL1" s="660"/>
      <c r="DWM1" s="660"/>
      <c r="DWN1" s="660"/>
      <c r="DWO1" s="660"/>
      <c r="DWP1" s="660"/>
      <c r="DWQ1" s="660"/>
      <c r="DWR1" s="660"/>
      <c r="DWS1" s="660"/>
      <c r="DWT1" s="660"/>
      <c r="DWU1" s="660"/>
      <c r="DWV1" s="660"/>
      <c r="DWW1" s="660"/>
      <c r="DWX1" s="660"/>
      <c r="DWY1" s="660"/>
      <c r="DWZ1" s="660"/>
      <c r="DXA1" s="660"/>
      <c r="DXB1" s="660"/>
      <c r="DXC1" s="660"/>
      <c r="DXD1" s="660"/>
      <c r="DXE1" s="660"/>
      <c r="DXF1" s="660"/>
      <c r="DXG1" s="660"/>
      <c r="DXH1" s="660"/>
      <c r="DXI1" s="660"/>
      <c r="DXJ1" s="660"/>
      <c r="DXK1" s="660"/>
      <c r="DXL1" s="660"/>
      <c r="DXM1" s="660"/>
      <c r="DXN1" s="660"/>
      <c r="DXO1" s="660"/>
      <c r="DXP1" s="660"/>
      <c r="DXQ1" s="660"/>
      <c r="DXR1" s="660"/>
      <c r="DXS1" s="660"/>
      <c r="DXT1" s="660"/>
      <c r="DXU1" s="660"/>
      <c r="DXV1" s="660"/>
      <c r="DXW1" s="660"/>
      <c r="DXX1" s="660"/>
      <c r="DXY1" s="660"/>
      <c r="DXZ1" s="660"/>
      <c r="DYA1" s="660"/>
      <c r="DYB1" s="660"/>
      <c r="DYC1" s="660"/>
      <c r="DYD1" s="660"/>
      <c r="DYE1" s="660"/>
      <c r="DYF1" s="660"/>
      <c r="DYG1" s="660"/>
      <c r="DYH1" s="660"/>
      <c r="DYI1" s="660"/>
      <c r="DYJ1" s="660"/>
      <c r="DYK1" s="660"/>
      <c r="DYL1" s="660"/>
      <c r="DYM1" s="660"/>
      <c r="DYN1" s="660"/>
      <c r="DYO1" s="660"/>
      <c r="DYP1" s="660"/>
      <c r="DYQ1" s="660"/>
      <c r="DYR1" s="660"/>
      <c r="DYS1" s="660"/>
      <c r="DYT1" s="660"/>
      <c r="DYU1" s="660"/>
      <c r="DYV1" s="660"/>
      <c r="DYW1" s="660"/>
      <c r="DYX1" s="660"/>
      <c r="DYY1" s="660"/>
      <c r="DYZ1" s="660"/>
      <c r="DZA1" s="660"/>
      <c r="DZB1" s="660"/>
      <c r="DZC1" s="660"/>
      <c r="DZD1" s="660"/>
      <c r="DZE1" s="660"/>
      <c r="DZF1" s="660"/>
      <c r="DZG1" s="660"/>
      <c r="DZH1" s="660"/>
      <c r="DZI1" s="660"/>
      <c r="DZJ1" s="660"/>
      <c r="DZK1" s="660"/>
      <c r="DZL1" s="660"/>
      <c r="DZM1" s="660"/>
      <c r="DZN1" s="660"/>
      <c r="DZO1" s="660"/>
      <c r="DZP1" s="660"/>
      <c r="DZQ1" s="660"/>
      <c r="DZR1" s="660"/>
      <c r="DZS1" s="660"/>
      <c r="DZT1" s="660"/>
      <c r="DZU1" s="660"/>
      <c r="DZV1" s="660"/>
      <c r="DZW1" s="660"/>
      <c r="DZX1" s="660"/>
      <c r="DZY1" s="660"/>
      <c r="DZZ1" s="660"/>
      <c r="EAA1" s="660"/>
      <c r="EAB1" s="660"/>
      <c r="EAC1" s="660"/>
      <c r="EAD1" s="660"/>
      <c r="EAE1" s="660"/>
      <c r="EAF1" s="660"/>
      <c r="EAG1" s="660"/>
      <c r="EAH1" s="660"/>
      <c r="EAI1" s="660"/>
      <c r="EAJ1" s="660"/>
      <c r="EAK1" s="660"/>
      <c r="EAL1" s="660"/>
      <c r="EAM1" s="660"/>
      <c r="EAN1" s="660"/>
      <c r="EAO1" s="660"/>
      <c r="EAP1" s="660"/>
      <c r="EAQ1" s="660"/>
      <c r="EAR1" s="660"/>
      <c r="EAS1" s="660"/>
      <c r="EAT1" s="660"/>
      <c r="EAU1" s="660"/>
      <c r="EAV1" s="660"/>
      <c r="EAW1" s="660"/>
      <c r="EAX1" s="660"/>
      <c r="EAY1" s="660"/>
      <c r="EAZ1" s="660"/>
      <c r="EBA1" s="660"/>
      <c r="EBB1" s="660"/>
      <c r="EBC1" s="660"/>
      <c r="EBD1" s="660"/>
      <c r="EBE1" s="660"/>
      <c r="EBF1" s="660"/>
      <c r="EBG1" s="660"/>
      <c r="EBH1" s="660"/>
      <c r="EBI1" s="660"/>
      <c r="EBJ1" s="660"/>
      <c r="EBK1" s="660"/>
      <c r="EBL1" s="660"/>
      <c r="EBM1" s="660"/>
      <c r="EBN1" s="660"/>
      <c r="EBO1" s="660"/>
      <c r="EBP1" s="660"/>
      <c r="EBQ1" s="660"/>
      <c r="EBR1" s="660"/>
      <c r="EBS1" s="660"/>
      <c r="EBT1" s="660"/>
      <c r="EBU1" s="660"/>
      <c r="EBV1" s="660"/>
      <c r="EBW1" s="660"/>
      <c r="EBX1" s="660"/>
      <c r="EBY1" s="660"/>
      <c r="EBZ1" s="660"/>
      <c r="ECA1" s="660"/>
      <c r="ECB1" s="660"/>
      <c r="ECC1" s="660"/>
      <c r="ECD1" s="660"/>
      <c r="ECE1" s="660"/>
      <c r="ECF1" s="660"/>
      <c r="ECG1" s="660"/>
      <c r="ECH1" s="660"/>
      <c r="ECI1" s="660"/>
      <c r="ECJ1" s="660"/>
      <c r="ECK1" s="660"/>
      <c r="ECL1" s="660"/>
      <c r="ECM1" s="660"/>
      <c r="ECN1" s="660"/>
      <c r="ECO1" s="660"/>
      <c r="ECP1" s="660"/>
      <c r="ECQ1" s="660"/>
      <c r="ECR1" s="660"/>
      <c r="ECS1" s="660"/>
      <c r="ECT1" s="660"/>
      <c r="ECU1" s="660"/>
      <c r="ECV1" s="660"/>
      <c r="ECW1" s="660"/>
      <c r="ECX1" s="660"/>
      <c r="ECY1" s="660"/>
      <c r="ECZ1" s="660"/>
      <c r="EDA1" s="660"/>
      <c r="EDB1" s="660"/>
      <c r="EDC1" s="660"/>
      <c r="EDD1" s="660"/>
      <c r="EDE1" s="660"/>
      <c r="EDF1" s="660"/>
      <c r="EDG1" s="660"/>
      <c r="EDH1" s="660"/>
      <c r="EDI1" s="660"/>
      <c r="EDJ1" s="660"/>
      <c r="EDK1" s="660"/>
      <c r="EDL1" s="660"/>
      <c r="EDM1" s="660"/>
      <c r="EDN1" s="660"/>
      <c r="EDO1" s="660"/>
      <c r="EDP1" s="660"/>
      <c r="EDQ1" s="660"/>
      <c r="EDR1" s="660"/>
      <c r="EDS1" s="660"/>
      <c r="EDT1" s="660"/>
      <c r="EDU1" s="660"/>
      <c r="EDV1" s="660"/>
      <c r="EDW1" s="660"/>
      <c r="EDX1" s="660"/>
      <c r="EDY1" s="660"/>
      <c r="EDZ1" s="660"/>
      <c r="EEA1" s="660"/>
      <c r="EEB1" s="660"/>
      <c r="EEC1" s="660"/>
      <c r="EED1" s="660"/>
      <c r="EEE1" s="660"/>
      <c r="EEF1" s="660"/>
      <c r="EEG1" s="660"/>
      <c r="EEH1" s="660"/>
      <c r="EEI1" s="660"/>
      <c r="EEJ1" s="660"/>
      <c r="EEK1" s="660"/>
      <c r="EEL1" s="660"/>
      <c r="EEM1" s="660"/>
      <c r="EEN1" s="660"/>
      <c r="EEO1" s="660"/>
      <c r="EEP1" s="660"/>
      <c r="EEQ1" s="660"/>
      <c r="EER1" s="660"/>
      <c r="EES1" s="660"/>
      <c r="EET1" s="660"/>
      <c r="EEU1" s="660"/>
      <c r="EEV1" s="660"/>
      <c r="EEW1" s="660"/>
      <c r="EEX1" s="660"/>
      <c r="EEY1" s="660"/>
      <c r="EEZ1" s="660"/>
      <c r="EFA1" s="660"/>
      <c r="EFB1" s="660"/>
      <c r="EFC1" s="660"/>
      <c r="EFD1" s="660"/>
      <c r="EFE1" s="660"/>
      <c r="EFF1" s="660"/>
      <c r="EFG1" s="660"/>
      <c r="EFH1" s="660"/>
      <c r="EFI1" s="660"/>
      <c r="EFJ1" s="660"/>
      <c r="EFK1" s="660"/>
      <c r="EFL1" s="660"/>
      <c r="EFM1" s="660"/>
      <c r="EFN1" s="660"/>
      <c r="EFO1" s="660"/>
      <c r="EFP1" s="660"/>
      <c r="EFQ1" s="660"/>
      <c r="EFR1" s="660"/>
      <c r="EFS1" s="660"/>
      <c r="EFT1" s="660"/>
      <c r="EFU1" s="660"/>
      <c r="EFV1" s="660"/>
      <c r="EFW1" s="660"/>
      <c r="EFX1" s="660"/>
      <c r="EFY1" s="660"/>
      <c r="EFZ1" s="660"/>
      <c r="EGA1" s="660"/>
      <c r="EGB1" s="660"/>
      <c r="EGC1" s="660"/>
      <c r="EGD1" s="660"/>
      <c r="EGE1" s="660"/>
      <c r="EGF1" s="660"/>
      <c r="EGG1" s="660"/>
      <c r="EGH1" s="660"/>
      <c r="EGI1" s="660"/>
      <c r="EGJ1" s="660"/>
      <c r="EGK1" s="660"/>
      <c r="EGL1" s="660"/>
      <c r="EGM1" s="660"/>
      <c r="EGN1" s="660"/>
      <c r="EGO1" s="660"/>
      <c r="EGP1" s="660"/>
      <c r="EGQ1" s="660"/>
      <c r="EGR1" s="660"/>
      <c r="EGS1" s="660"/>
      <c r="EGT1" s="660"/>
      <c r="EGU1" s="660"/>
      <c r="EGV1" s="660"/>
      <c r="EGW1" s="660"/>
      <c r="EGX1" s="660"/>
      <c r="EGY1" s="660"/>
      <c r="EGZ1" s="660"/>
      <c r="EHA1" s="660"/>
      <c r="EHB1" s="660"/>
      <c r="EHC1" s="660"/>
      <c r="EHD1" s="660"/>
      <c r="EHE1" s="660"/>
      <c r="EHF1" s="660"/>
      <c r="EHG1" s="660"/>
      <c r="EHH1" s="660"/>
      <c r="EHI1" s="660"/>
      <c r="EHJ1" s="660"/>
      <c r="EHK1" s="660"/>
      <c r="EHL1" s="660"/>
      <c r="EHM1" s="660"/>
      <c r="EHN1" s="660"/>
      <c r="EHO1" s="660"/>
      <c r="EHP1" s="660"/>
      <c r="EHQ1" s="660"/>
      <c r="EHR1" s="660"/>
      <c r="EHS1" s="660"/>
      <c r="EHT1" s="660"/>
      <c r="EHU1" s="660"/>
      <c r="EHV1" s="660"/>
      <c r="EHW1" s="660"/>
      <c r="EHX1" s="660"/>
      <c r="EHY1" s="660"/>
      <c r="EHZ1" s="660"/>
      <c r="EIA1" s="660"/>
      <c r="EIB1" s="660"/>
      <c r="EIC1" s="660"/>
      <c r="EID1" s="660"/>
      <c r="EIE1" s="660"/>
      <c r="EIF1" s="660"/>
      <c r="EIG1" s="660"/>
      <c r="EIH1" s="660"/>
      <c r="EII1" s="660"/>
      <c r="EIJ1" s="660"/>
      <c r="EIK1" s="660"/>
      <c r="EIL1" s="660"/>
      <c r="EIM1" s="660"/>
      <c r="EIN1" s="660"/>
      <c r="EIO1" s="660"/>
      <c r="EIP1" s="660"/>
      <c r="EIQ1" s="660"/>
      <c r="EIR1" s="660"/>
      <c r="EIS1" s="660"/>
      <c r="EIT1" s="660"/>
      <c r="EIU1" s="660"/>
      <c r="EIV1" s="660"/>
      <c r="EIW1" s="660"/>
      <c r="EIX1" s="660"/>
      <c r="EIY1" s="660"/>
      <c r="EIZ1" s="660"/>
      <c r="EJA1" s="660"/>
      <c r="EJB1" s="660"/>
      <c r="EJC1" s="660"/>
      <c r="EJD1" s="660"/>
      <c r="EJE1" s="660"/>
      <c r="EJF1" s="660"/>
      <c r="EJG1" s="660"/>
      <c r="EJH1" s="660"/>
      <c r="EJI1" s="660"/>
      <c r="EJJ1" s="660"/>
      <c r="EJK1" s="660"/>
      <c r="EJL1" s="660"/>
      <c r="EJM1" s="660"/>
      <c r="EJN1" s="660"/>
      <c r="EJO1" s="660"/>
      <c r="EJP1" s="660"/>
      <c r="EJQ1" s="660"/>
      <c r="EJR1" s="660"/>
      <c r="EJS1" s="660"/>
      <c r="EJT1" s="660"/>
      <c r="EJU1" s="660"/>
      <c r="EJV1" s="660"/>
      <c r="EJW1" s="660"/>
      <c r="EJX1" s="660"/>
      <c r="EJY1" s="660"/>
      <c r="EJZ1" s="660"/>
      <c r="EKA1" s="660"/>
      <c r="EKB1" s="660"/>
      <c r="EKC1" s="660"/>
      <c r="EKD1" s="660"/>
      <c r="EKE1" s="660"/>
      <c r="EKF1" s="660"/>
      <c r="EKG1" s="660"/>
      <c r="EKH1" s="660"/>
      <c r="EKI1" s="660"/>
      <c r="EKJ1" s="660"/>
      <c r="EKK1" s="660"/>
      <c r="EKL1" s="660"/>
      <c r="EKM1" s="660"/>
      <c r="EKN1" s="660"/>
      <c r="EKO1" s="660"/>
      <c r="EKP1" s="660"/>
      <c r="EKQ1" s="660"/>
      <c r="EKR1" s="660"/>
      <c r="EKS1" s="660"/>
      <c r="EKT1" s="660"/>
      <c r="EKU1" s="660"/>
      <c r="EKV1" s="660"/>
      <c r="EKW1" s="660"/>
      <c r="EKX1" s="660"/>
      <c r="EKY1" s="660"/>
      <c r="EKZ1" s="660"/>
      <c r="ELA1" s="660"/>
      <c r="ELB1" s="660"/>
      <c r="ELC1" s="660"/>
      <c r="ELD1" s="660"/>
      <c r="ELE1" s="660"/>
      <c r="ELF1" s="660"/>
      <c r="ELG1" s="660"/>
      <c r="ELH1" s="660"/>
      <c r="ELI1" s="660"/>
      <c r="ELJ1" s="660"/>
      <c r="ELK1" s="660"/>
      <c r="ELL1" s="660"/>
      <c r="ELM1" s="660"/>
      <c r="ELN1" s="660"/>
      <c r="ELO1" s="660"/>
      <c r="ELP1" s="660"/>
      <c r="ELQ1" s="660"/>
      <c r="ELR1" s="660"/>
      <c r="ELS1" s="660"/>
      <c r="ELT1" s="660"/>
      <c r="ELU1" s="660"/>
      <c r="ELV1" s="660"/>
      <c r="ELW1" s="660"/>
      <c r="ELX1" s="660"/>
      <c r="ELY1" s="660"/>
      <c r="ELZ1" s="660"/>
      <c r="EMA1" s="660"/>
      <c r="EMB1" s="660"/>
      <c r="EMC1" s="660"/>
      <c r="EMD1" s="660"/>
      <c r="EME1" s="660"/>
      <c r="EMF1" s="660"/>
      <c r="EMG1" s="660"/>
      <c r="EMH1" s="660"/>
      <c r="EMI1" s="660"/>
      <c r="EMJ1" s="660"/>
      <c r="EMK1" s="660"/>
      <c r="EML1" s="660"/>
      <c r="EMM1" s="660"/>
      <c r="EMN1" s="660"/>
      <c r="EMO1" s="660"/>
      <c r="EMP1" s="660"/>
      <c r="EMQ1" s="660"/>
      <c r="EMR1" s="660"/>
      <c r="EMS1" s="660"/>
      <c r="EMT1" s="660"/>
      <c r="EMU1" s="660"/>
      <c r="EMV1" s="660"/>
      <c r="EMW1" s="660"/>
      <c r="EMX1" s="660"/>
      <c r="EMY1" s="660"/>
      <c r="EMZ1" s="660"/>
      <c r="ENA1" s="660"/>
      <c r="ENB1" s="660"/>
      <c r="ENC1" s="660"/>
      <c r="END1" s="660"/>
      <c r="ENE1" s="660"/>
      <c r="ENF1" s="660"/>
      <c r="ENG1" s="660"/>
      <c r="ENH1" s="660"/>
      <c r="ENI1" s="660"/>
      <c r="ENJ1" s="660"/>
      <c r="ENK1" s="660"/>
      <c r="ENL1" s="660"/>
      <c r="ENM1" s="660"/>
      <c r="ENN1" s="660"/>
      <c r="ENO1" s="660"/>
      <c r="ENP1" s="660"/>
      <c r="ENQ1" s="660"/>
      <c r="ENR1" s="660"/>
      <c r="ENS1" s="660"/>
      <c r="ENT1" s="660"/>
      <c r="ENU1" s="660"/>
      <c r="ENV1" s="660"/>
      <c r="ENW1" s="660"/>
      <c r="ENX1" s="660"/>
      <c r="ENY1" s="660"/>
      <c r="ENZ1" s="660"/>
      <c r="EOA1" s="660"/>
      <c r="EOB1" s="660"/>
      <c r="EOC1" s="660"/>
      <c r="EOD1" s="660"/>
      <c r="EOE1" s="660"/>
      <c r="EOF1" s="660"/>
      <c r="EOG1" s="660"/>
      <c r="EOH1" s="660"/>
      <c r="EOI1" s="660"/>
      <c r="EOJ1" s="660"/>
      <c r="EOK1" s="660"/>
      <c r="EOL1" s="660"/>
      <c r="EOM1" s="660"/>
      <c r="EON1" s="660"/>
      <c r="EOO1" s="660"/>
      <c r="EOP1" s="660"/>
      <c r="EOQ1" s="660"/>
      <c r="EOR1" s="660"/>
      <c r="EOS1" s="660"/>
      <c r="EOT1" s="660"/>
      <c r="EOU1" s="660"/>
      <c r="EOV1" s="660"/>
      <c r="EOW1" s="660"/>
      <c r="EOX1" s="660"/>
      <c r="EOY1" s="660"/>
      <c r="EOZ1" s="660"/>
      <c r="EPA1" s="660"/>
      <c r="EPB1" s="660"/>
      <c r="EPC1" s="660"/>
      <c r="EPD1" s="660"/>
      <c r="EPE1" s="660"/>
      <c r="EPF1" s="660"/>
      <c r="EPG1" s="660"/>
      <c r="EPH1" s="660"/>
      <c r="EPI1" s="660"/>
      <c r="EPJ1" s="660"/>
      <c r="EPK1" s="660"/>
      <c r="EPL1" s="660"/>
      <c r="EPM1" s="660"/>
      <c r="EPN1" s="660"/>
      <c r="EPO1" s="660"/>
      <c r="EPP1" s="660"/>
      <c r="EPQ1" s="660"/>
      <c r="EPR1" s="660"/>
      <c r="EPS1" s="660"/>
      <c r="EPT1" s="660"/>
      <c r="EPU1" s="660"/>
      <c r="EPV1" s="660"/>
      <c r="EPW1" s="660"/>
      <c r="EPX1" s="660"/>
      <c r="EPY1" s="660"/>
      <c r="EPZ1" s="660"/>
      <c r="EQA1" s="660"/>
      <c r="EQB1" s="660"/>
      <c r="EQC1" s="660"/>
      <c r="EQD1" s="660"/>
      <c r="EQE1" s="660"/>
      <c r="EQF1" s="660"/>
      <c r="EQG1" s="660"/>
      <c r="EQH1" s="660"/>
      <c r="EQI1" s="660"/>
      <c r="EQJ1" s="660"/>
      <c r="EQK1" s="660"/>
      <c r="EQL1" s="660"/>
      <c r="EQM1" s="660"/>
      <c r="EQN1" s="660"/>
      <c r="EQO1" s="660"/>
      <c r="EQP1" s="660"/>
      <c r="EQQ1" s="660"/>
      <c r="EQR1" s="660"/>
      <c r="EQS1" s="660"/>
      <c r="EQT1" s="660"/>
      <c r="EQU1" s="660"/>
      <c r="EQV1" s="660"/>
      <c r="EQW1" s="660"/>
      <c r="EQX1" s="660"/>
      <c r="EQY1" s="660"/>
      <c r="EQZ1" s="660"/>
      <c r="ERA1" s="660"/>
      <c r="ERB1" s="660"/>
      <c r="ERC1" s="660"/>
      <c r="ERD1" s="660"/>
      <c r="ERE1" s="660"/>
      <c r="ERF1" s="660"/>
      <c r="ERG1" s="660"/>
      <c r="ERH1" s="660"/>
      <c r="ERI1" s="660"/>
      <c r="ERJ1" s="660"/>
      <c r="ERK1" s="660"/>
      <c r="ERL1" s="660"/>
      <c r="ERM1" s="660"/>
      <c r="ERN1" s="660"/>
      <c r="ERO1" s="660"/>
      <c r="ERP1" s="660"/>
      <c r="ERQ1" s="660"/>
      <c r="ERR1" s="660"/>
      <c r="ERS1" s="660"/>
      <c r="ERT1" s="660"/>
      <c r="ERU1" s="660"/>
      <c r="ERV1" s="660"/>
      <c r="ERW1" s="660"/>
      <c r="ERX1" s="660"/>
      <c r="ERY1" s="660"/>
      <c r="ERZ1" s="660"/>
      <c r="ESA1" s="660"/>
      <c r="ESB1" s="660"/>
      <c r="ESC1" s="660"/>
      <c r="ESD1" s="660"/>
      <c r="ESE1" s="660"/>
      <c r="ESF1" s="660"/>
      <c r="ESG1" s="660"/>
      <c r="ESH1" s="660"/>
      <c r="ESI1" s="660"/>
      <c r="ESJ1" s="660"/>
      <c r="ESK1" s="660"/>
      <c r="ESL1" s="660"/>
      <c r="ESM1" s="660"/>
      <c r="ESN1" s="660"/>
      <c r="ESO1" s="660"/>
      <c r="ESP1" s="660"/>
      <c r="ESQ1" s="660"/>
      <c r="ESR1" s="660"/>
      <c r="ESS1" s="660"/>
      <c r="EST1" s="660"/>
      <c r="ESU1" s="660"/>
      <c r="ESV1" s="660"/>
      <c r="ESW1" s="660"/>
      <c r="ESX1" s="660"/>
      <c r="ESY1" s="660"/>
      <c r="ESZ1" s="660"/>
      <c r="ETA1" s="660"/>
      <c r="ETB1" s="660"/>
      <c r="ETC1" s="660"/>
      <c r="ETD1" s="660"/>
      <c r="ETE1" s="660"/>
      <c r="ETF1" s="660"/>
      <c r="ETG1" s="660"/>
      <c r="ETH1" s="660"/>
      <c r="ETI1" s="660"/>
      <c r="ETJ1" s="660"/>
      <c r="ETK1" s="660"/>
      <c r="ETL1" s="660"/>
      <c r="ETM1" s="660"/>
      <c r="ETN1" s="660"/>
      <c r="ETO1" s="660"/>
      <c r="ETP1" s="660"/>
      <c r="ETQ1" s="660"/>
      <c r="ETR1" s="660"/>
      <c r="ETS1" s="660"/>
      <c r="ETT1" s="660"/>
      <c r="ETU1" s="660"/>
      <c r="ETV1" s="660"/>
      <c r="ETW1" s="660"/>
      <c r="ETX1" s="660"/>
      <c r="ETY1" s="660"/>
      <c r="ETZ1" s="660"/>
      <c r="EUA1" s="660"/>
      <c r="EUB1" s="660"/>
      <c r="EUC1" s="660"/>
      <c r="EUD1" s="660"/>
      <c r="EUE1" s="660"/>
      <c r="EUF1" s="660"/>
      <c r="EUG1" s="660"/>
      <c r="EUH1" s="660"/>
      <c r="EUI1" s="660"/>
      <c r="EUJ1" s="660"/>
      <c r="EUK1" s="660"/>
      <c r="EUL1" s="660"/>
      <c r="EUM1" s="660"/>
      <c r="EUN1" s="660"/>
      <c r="EUO1" s="660"/>
      <c r="EUP1" s="660"/>
      <c r="EUQ1" s="660"/>
      <c r="EUR1" s="660"/>
      <c r="EUS1" s="660"/>
      <c r="EUT1" s="660"/>
      <c r="EUU1" s="660"/>
      <c r="EUV1" s="660"/>
      <c r="EUW1" s="660"/>
      <c r="EUX1" s="660"/>
      <c r="EUY1" s="660"/>
      <c r="EUZ1" s="660"/>
      <c r="EVA1" s="660"/>
      <c r="EVB1" s="660"/>
      <c r="EVC1" s="660"/>
      <c r="EVD1" s="660"/>
      <c r="EVE1" s="660"/>
      <c r="EVF1" s="660"/>
      <c r="EVG1" s="660"/>
      <c r="EVH1" s="660"/>
      <c r="EVI1" s="660"/>
      <c r="EVJ1" s="660"/>
      <c r="EVK1" s="660"/>
      <c r="EVL1" s="660"/>
      <c r="EVM1" s="660"/>
      <c r="EVN1" s="660"/>
      <c r="EVO1" s="660"/>
      <c r="EVP1" s="660"/>
      <c r="EVQ1" s="660"/>
      <c r="EVR1" s="660"/>
      <c r="EVS1" s="660"/>
      <c r="EVT1" s="660"/>
      <c r="EVU1" s="660"/>
      <c r="EVV1" s="660"/>
      <c r="EVW1" s="660"/>
      <c r="EVX1" s="660"/>
      <c r="EVY1" s="660"/>
      <c r="EVZ1" s="660"/>
      <c r="EWA1" s="660"/>
      <c r="EWB1" s="660"/>
      <c r="EWC1" s="660"/>
      <c r="EWD1" s="660"/>
      <c r="EWE1" s="660"/>
      <c r="EWF1" s="660"/>
      <c r="EWG1" s="660"/>
      <c r="EWH1" s="660"/>
      <c r="EWI1" s="660"/>
      <c r="EWJ1" s="660"/>
      <c r="EWK1" s="660"/>
      <c r="EWL1" s="660"/>
      <c r="EWM1" s="660"/>
      <c r="EWN1" s="660"/>
      <c r="EWO1" s="660"/>
      <c r="EWP1" s="660"/>
      <c r="EWQ1" s="660"/>
      <c r="EWR1" s="660"/>
      <c r="EWS1" s="660"/>
      <c r="EWT1" s="660"/>
      <c r="EWU1" s="660"/>
      <c r="EWV1" s="660"/>
      <c r="EWW1" s="660"/>
      <c r="EWX1" s="660"/>
      <c r="EWY1" s="660"/>
      <c r="EWZ1" s="660"/>
      <c r="EXA1" s="660"/>
      <c r="EXB1" s="660"/>
      <c r="EXC1" s="660"/>
      <c r="EXD1" s="660"/>
      <c r="EXE1" s="660"/>
      <c r="EXF1" s="660"/>
      <c r="EXG1" s="660"/>
      <c r="EXH1" s="660"/>
      <c r="EXI1" s="660"/>
      <c r="EXJ1" s="660"/>
      <c r="EXK1" s="660"/>
      <c r="EXL1" s="660"/>
      <c r="EXM1" s="660"/>
      <c r="EXN1" s="660"/>
      <c r="EXO1" s="660"/>
      <c r="EXP1" s="660"/>
      <c r="EXQ1" s="660"/>
      <c r="EXR1" s="660"/>
      <c r="EXS1" s="660"/>
      <c r="EXT1" s="660"/>
      <c r="EXU1" s="660"/>
      <c r="EXV1" s="660"/>
      <c r="EXW1" s="660"/>
      <c r="EXX1" s="660"/>
      <c r="EXY1" s="660"/>
      <c r="EXZ1" s="660"/>
      <c r="EYA1" s="660"/>
      <c r="EYB1" s="660"/>
      <c r="EYC1" s="660"/>
      <c r="EYD1" s="660"/>
      <c r="EYE1" s="660"/>
      <c r="EYF1" s="660"/>
      <c r="EYG1" s="660"/>
      <c r="EYH1" s="660"/>
      <c r="EYI1" s="660"/>
      <c r="EYJ1" s="660"/>
      <c r="EYK1" s="660"/>
      <c r="EYL1" s="660"/>
      <c r="EYM1" s="660"/>
      <c r="EYN1" s="660"/>
      <c r="EYO1" s="660"/>
      <c r="EYP1" s="660"/>
      <c r="EYQ1" s="660"/>
      <c r="EYR1" s="660"/>
      <c r="EYS1" s="660"/>
      <c r="EYT1" s="660"/>
      <c r="EYU1" s="660"/>
      <c r="EYV1" s="660"/>
      <c r="EYW1" s="660"/>
      <c r="EYX1" s="660"/>
      <c r="EYY1" s="660"/>
      <c r="EYZ1" s="660"/>
      <c r="EZA1" s="660"/>
      <c r="EZB1" s="660"/>
      <c r="EZC1" s="660"/>
      <c r="EZD1" s="660"/>
      <c r="EZE1" s="660"/>
      <c r="EZF1" s="660"/>
      <c r="EZG1" s="660"/>
      <c r="EZH1" s="660"/>
      <c r="EZI1" s="660"/>
      <c r="EZJ1" s="660"/>
      <c r="EZK1" s="660"/>
      <c r="EZL1" s="660"/>
      <c r="EZM1" s="660"/>
      <c r="EZN1" s="660"/>
      <c r="EZO1" s="660"/>
      <c r="EZP1" s="660"/>
      <c r="EZQ1" s="660"/>
      <c r="EZR1" s="660"/>
      <c r="EZS1" s="660"/>
      <c r="EZT1" s="660"/>
      <c r="EZU1" s="660"/>
      <c r="EZV1" s="660"/>
      <c r="EZW1" s="660"/>
      <c r="EZX1" s="660"/>
      <c r="EZY1" s="660"/>
      <c r="EZZ1" s="660"/>
      <c r="FAA1" s="660"/>
      <c r="FAB1" s="660"/>
      <c r="FAC1" s="660"/>
      <c r="FAD1" s="660"/>
      <c r="FAE1" s="660"/>
      <c r="FAF1" s="660"/>
      <c r="FAG1" s="660"/>
      <c r="FAH1" s="660"/>
      <c r="FAI1" s="660"/>
      <c r="FAJ1" s="660"/>
      <c r="FAK1" s="660"/>
      <c r="FAL1" s="660"/>
      <c r="FAM1" s="660"/>
      <c r="FAN1" s="660"/>
      <c r="FAO1" s="660"/>
      <c r="FAP1" s="660"/>
      <c r="FAQ1" s="660"/>
      <c r="FAR1" s="660"/>
      <c r="FAS1" s="660"/>
      <c r="FAT1" s="660"/>
      <c r="FAU1" s="660"/>
      <c r="FAV1" s="660"/>
      <c r="FAW1" s="660"/>
      <c r="FAX1" s="660"/>
      <c r="FAY1" s="660"/>
      <c r="FAZ1" s="660"/>
      <c r="FBA1" s="660"/>
      <c r="FBB1" s="660"/>
      <c r="FBC1" s="660"/>
      <c r="FBD1" s="660"/>
      <c r="FBE1" s="660"/>
      <c r="FBF1" s="660"/>
      <c r="FBG1" s="660"/>
      <c r="FBH1" s="660"/>
      <c r="FBI1" s="660"/>
      <c r="FBJ1" s="660"/>
      <c r="FBK1" s="660"/>
      <c r="FBL1" s="660"/>
      <c r="FBM1" s="660"/>
      <c r="FBN1" s="660"/>
      <c r="FBO1" s="660"/>
      <c r="FBP1" s="660"/>
      <c r="FBQ1" s="660"/>
      <c r="FBR1" s="660"/>
      <c r="FBS1" s="660"/>
      <c r="FBT1" s="660"/>
      <c r="FBU1" s="660"/>
      <c r="FBV1" s="660"/>
      <c r="FBW1" s="660"/>
      <c r="FBX1" s="660"/>
      <c r="FBY1" s="660"/>
      <c r="FBZ1" s="660"/>
      <c r="FCA1" s="660"/>
      <c r="FCB1" s="660"/>
      <c r="FCC1" s="660"/>
      <c r="FCD1" s="660"/>
      <c r="FCE1" s="660"/>
      <c r="FCF1" s="660"/>
      <c r="FCG1" s="660"/>
      <c r="FCH1" s="660"/>
      <c r="FCI1" s="660"/>
      <c r="FCJ1" s="660"/>
      <c r="FCK1" s="660"/>
      <c r="FCL1" s="660"/>
      <c r="FCM1" s="660"/>
      <c r="FCN1" s="660"/>
      <c r="FCO1" s="660"/>
      <c r="FCP1" s="660"/>
      <c r="FCQ1" s="660"/>
      <c r="FCR1" s="660"/>
      <c r="FCS1" s="660"/>
      <c r="FCT1" s="660"/>
      <c r="FCU1" s="660"/>
      <c r="FCV1" s="660"/>
      <c r="FCW1" s="660"/>
      <c r="FCX1" s="660"/>
      <c r="FCY1" s="660"/>
      <c r="FCZ1" s="660"/>
      <c r="FDA1" s="660"/>
      <c r="FDB1" s="660"/>
      <c r="FDC1" s="660"/>
      <c r="FDD1" s="660"/>
      <c r="FDE1" s="660"/>
      <c r="FDF1" s="660"/>
      <c r="FDG1" s="660"/>
      <c r="FDH1" s="660"/>
      <c r="FDI1" s="660"/>
      <c r="FDJ1" s="660"/>
      <c r="FDK1" s="660"/>
      <c r="FDL1" s="660"/>
      <c r="FDM1" s="660"/>
      <c r="FDN1" s="660"/>
      <c r="FDO1" s="660"/>
      <c r="FDP1" s="660"/>
      <c r="FDQ1" s="660"/>
      <c r="FDR1" s="660"/>
      <c r="FDS1" s="660"/>
      <c r="FDT1" s="660"/>
      <c r="FDU1" s="660"/>
      <c r="FDV1" s="660"/>
      <c r="FDW1" s="660"/>
      <c r="FDX1" s="660"/>
      <c r="FDY1" s="660"/>
      <c r="FDZ1" s="660"/>
      <c r="FEA1" s="660"/>
      <c r="FEB1" s="660"/>
      <c r="FEC1" s="660"/>
      <c r="FED1" s="660"/>
      <c r="FEE1" s="660"/>
      <c r="FEF1" s="660"/>
      <c r="FEG1" s="660"/>
      <c r="FEH1" s="660"/>
      <c r="FEI1" s="660"/>
      <c r="FEJ1" s="660"/>
      <c r="FEK1" s="660"/>
      <c r="FEL1" s="660"/>
      <c r="FEM1" s="660"/>
      <c r="FEN1" s="660"/>
      <c r="FEO1" s="660"/>
      <c r="FEP1" s="660"/>
      <c r="FEQ1" s="660"/>
      <c r="FER1" s="660"/>
      <c r="FES1" s="660"/>
      <c r="FET1" s="660"/>
      <c r="FEU1" s="660"/>
      <c r="FEV1" s="660"/>
      <c r="FEW1" s="660"/>
      <c r="FEX1" s="660"/>
      <c r="FEY1" s="660"/>
      <c r="FEZ1" s="660"/>
      <c r="FFA1" s="660"/>
      <c r="FFB1" s="660"/>
      <c r="FFC1" s="660"/>
      <c r="FFD1" s="660"/>
      <c r="FFE1" s="660"/>
      <c r="FFF1" s="660"/>
      <c r="FFG1" s="660"/>
      <c r="FFH1" s="660"/>
      <c r="FFI1" s="660"/>
      <c r="FFJ1" s="660"/>
      <c r="FFK1" s="660"/>
      <c r="FFL1" s="660"/>
      <c r="FFM1" s="660"/>
      <c r="FFN1" s="660"/>
      <c r="FFO1" s="660"/>
      <c r="FFP1" s="660"/>
      <c r="FFQ1" s="660"/>
      <c r="FFR1" s="660"/>
      <c r="FFS1" s="660"/>
      <c r="FFT1" s="660"/>
      <c r="FFU1" s="660"/>
      <c r="FFV1" s="660"/>
      <c r="FFW1" s="660"/>
      <c r="FFX1" s="660"/>
      <c r="FFY1" s="660"/>
      <c r="FFZ1" s="660"/>
      <c r="FGA1" s="660"/>
      <c r="FGB1" s="660"/>
      <c r="FGC1" s="660"/>
      <c r="FGD1" s="660"/>
      <c r="FGE1" s="660"/>
      <c r="FGF1" s="660"/>
      <c r="FGG1" s="660"/>
      <c r="FGH1" s="660"/>
      <c r="FGI1" s="660"/>
      <c r="FGJ1" s="660"/>
      <c r="FGK1" s="660"/>
      <c r="FGL1" s="660"/>
      <c r="FGM1" s="660"/>
      <c r="FGN1" s="660"/>
      <c r="FGO1" s="660"/>
      <c r="FGP1" s="660"/>
      <c r="FGQ1" s="660"/>
      <c r="FGR1" s="660"/>
      <c r="FGS1" s="660"/>
      <c r="FGT1" s="660"/>
      <c r="FGU1" s="660"/>
      <c r="FGV1" s="660"/>
      <c r="FGW1" s="660"/>
      <c r="FGX1" s="660"/>
      <c r="FGY1" s="660"/>
      <c r="FGZ1" s="660"/>
      <c r="FHA1" s="660"/>
      <c r="FHB1" s="660"/>
      <c r="FHC1" s="660"/>
      <c r="FHD1" s="660"/>
      <c r="FHE1" s="660"/>
      <c r="FHF1" s="660"/>
      <c r="FHG1" s="660"/>
      <c r="FHH1" s="660"/>
      <c r="FHI1" s="660"/>
      <c r="FHJ1" s="660"/>
      <c r="FHK1" s="660"/>
      <c r="FHL1" s="660"/>
      <c r="FHM1" s="660"/>
      <c r="FHN1" s="660"/>
      <c r="FHO1" s="660"/>
      <c r="FHP1" s="660"/>
      <c r="FHQ1" s="660"/>
      <c r="FHR1" s="660"/>
      <c r="FHS1" s="660"/>
      <c r="FHT1" s="660"/>
      <c r="FHU1" s="660"/>
      <c r="FHV1" s="660"/>
      <c r="FHW1" s="660"/>
      <c r="FHX1" s="660"/>
      <c r="FHY1" s="660"/>
      <c r="FHZ1" s="660"/>
      <c r="FIA1" s="660"/>
      <c r="FIB1" s="660"/>
      <c r="FIC1" s="660"/>
      <c r="FID1" s="660"/>
      <c r="FIE1" s="660"/>
      <c r="FIF1" s="660"/>
      <c r="FIG1" s="660"/>
      <c r="FIH1" s="660"/>
      <c r="FII1" s="660"/>
      <c r="FIJ1" s="660"/>
      <c r="FIK1" s="660"/>
      <c r="FIL1" s="660"/>
      <c r="FIM1" s="660"/>
      <c r="FIN1" s="660"/>
      <c r="FIO1" s="660"/>
      <c r="FIP1" s="660"/>
      <c r="FIQ1" s="660"/>
      <c r="FIR1" s="660"/>
      <c r="FIS1" s="660"/>
      <c r="FIT1" s="660"/>
      <c r="FIU1" s="660"/>
      <c r="FIV1" s="660"/>
      <c r="FIW1" s="660"/>
      <c r="FIX1" s="660"/>
      <c r="FIY1" s="660"/>
      <c r="FIZ1" s="660"/>
      <c r="FJA1" s="660"/>
      <c r="FJB1" s="660"/>
      <c r="FJC1" s="660"/>
      <c r="FJD1" s="660"/>
      <c r="FJE1" s="660"/>
      <c r="FJF1" s="660"/>
      <c r="FJG1" s="660"/>
      <c r="FJH1" s="660"/>
      <c r="FJI1" s="660"/>
      <c r="FJJ1" s="660"/>
      <c r="FJK1" s="660"/>
      <c r="FJL1" s="660"/>
      <c r="FJM1" s="660"/>
      <c r="FJN1" s="660"/>
      <c r="FJO1" s="660"/>
      <c r="FJP1" s="660"/>
      <c r="FJQ1" s="660"/>
      <c r="FJR1" s="660"/>
      <c r="FJS1" s="660"/>
      <c r="FJT1" s="660"/>
      <c r="FJU1" s="660"/>
      <c r="FJV1" s="660"/>
      <c r="FJW1" s="660"/>
      <c r="FJX1" s="660"/>
      <c r="FJY1" s="660"/>
      <c r="FJZ1" s="660"/>
      <c r="FKA1" s="660"/>
      <c r="FKB1" s="660"/>
      <c r="FKC1" s="660"/>
      <c r="FKD1" s="660"/>
      <c r="FKE1" s="660"/>
      <c r="FKF1" s="660"/>
      <c r="FKG1" s="660"/>
      <c r="FKH1" s="660"/>
      <c r="FKI1" s="660"/>
      <c r="FKJ1" s="660"/>
      <c r="FKK1" s="660"/>
      <c r="FKL1" s="660"/>
      <c r="FKM1" s="660"/>
      <c r="FKN1" s="660"/>
      <c r="FKO1" s="660"/>
      <c r="FKP1" s="660"/>
      <c r="FKQ1" s="660"/>
      <c r="FKR1" s="660"/>
      <c r="FKS1" s="660"/>
      <c r="FKT1" s="660"/>
      <c r="FKU1" s="660"/>
      <c r="FKV1" s="660"/>
      <c r="FKW1" s="660"/>
      <c r="FKX1" s="660"/>
      <c r="FKY1" s="660"/>
      <c r="FKZ1" s="660"/>
      <c r="FLA1" s="660"/>
      <c r="FLB1" s="660"/>
      <c r="FLC1" s="660"/>
      <c r="FLD1" s="660"/>
      <c r="FLE1" s="660"/>
      <c r="FLF1" s="660"/>
      <c r="FLG1" s="660"/>
      <c r="FLH1" s="660"/>
      <c r="FLI1" s="660"/>
      <c r="FLJ1" s="660"/>
      <c r="FLK1" s="660"/>
      <c r="FLL1" s="660"/>
      <c r="FLM1" s="660"/>
      <c r="FLN1" s="660"/>
      <c r="FLO1" s="660"/>
      <c r="FLP1" s="660"/>
      <c r="FLQ1" s="660"/>
      <c r="FLR1" s="660"/>
      <c r="FLS1" s="660"/>
      <c r="FLT1" s="660"/>
      <c r="FLU1" s="660"/>
      <c r="FLV1" s="660"/>
      <c r="FLW1" s="660"/>
      <c r="FLX1" s="660"/>
      <c r="FLY1" s="660"/>
      <c r="FLZ1" s="660"/>
      <c r="FMA1" s="660"/>
      <c r="FMB1" s="660"/>
      <c r="FMC1" s="660"/>
      <c r="FMD1" s="660"/>
      <c r="FME1" s="660"/>
      <c r="FMF1" s="660"/>
      <c r="FMG1" s="660"/>
      <c r="FMH1" s="660"/>
      <c r="FMI1" s="660"/>
      <c r="FMJ1" s="660"/>
      <c r="FMK1" s="660"/>
      <c r="FML1" s="660"/>
      <c r="FMM1" s="660"/>
      <c r="FMN1" s="660"/>
      <c r="FMO1" s="660"/>
      <c r="FMP1" s="660"/>
      <c r="FMQ1" s="660"/>
      <c r="FMR1" s="660"/>
      <c r="FMS1" s="660"/>
      <c r="FMT1" s="660"/>
      <c r="FMU1" s="660"/>
      <c r="FMV1" s="660"/>
      <c r="FMW1" s="660"/>
      <c r="FMX1" s="660"/>
      <c r="FMY1" s="660"/>
      <c r="FMZ1" s="660"/>
      <c r="FNA1" s="660"/>
      <c r="FNB1" s="660"/>
      <c r="FNC1" s="660"/>
      <c r="FND1" s="660"/>
      <c r="FNE1" s="660"/>
      <c r="FNF1" s="660"/>
      <c r="FNG1" s="660"/>
      <c r="FNH1" s="660"/>
      <c r="FNI1" s="660"/>
      <c r="FNJ1" s="660"/>
      <c r="FNK1" s="660"/>
      <c r="FNL1" s="660"/>
      <c r="FNM1" s="660"/>
      <c r="FNN1" s="660"/>
      <c r="FNO1" s="660"/>
      <c r="FNP1" s="660"/>
      <c r="FNQ1" s="660"/>
      <c r="FNR1" s="660"/>
      <c r="FNS1" s="660"/>
      <c r="FNT1" s="660"/>
      <c r="FNU1" s="660"/>
      <c r="FNV1" s="660"/>
      <c r="FNW1" s="660"/>
      <c r="FNX1" s="660"/>
      <c r="FNY1" s="660"/>
      <c r="FNZ1" s="660"/>
      <c r="FOA1" s="660"/>
      <c r="FOB1" s="660"/>
      <c r="FOC1" s="660"/>
      <c r="FOD1" s="660"/>
      <c r="FOE1" s="660"/>
      <c r="FOF1" s="660"/>
      <c r="FOG1" s="660"/>
      <c r="FOH1" s="660"/>
      <c r="FOI1" s="660"/>
      <c r="FOJ1" s="660"/>
      <c r="FOK1" s="660"/>
      <c r="FOL1" s="660"/>
      <c r="FOM1" s="660"/>
      <c r="FON1" s="660"/>
      <c r="FOO1" s="660"/>
      <c r="FOP1" s="660"/>
      <c r="FOQ1" s="660"/>
      <c r="FOR1" s="660"/>
      <c r="FOS1" s="660"/>
      <c r="FOT1" s="660"/>
      <c r="FOU1" s="660"/>
      <c r="FOV1" s="660"/>
      <c r="FOW1" s="660"/>
      <c r="FOX1" s="660"/>
      <c r="FOY1" s="660"/>
      <c r="FOZ1" s="660"/>
      <c r="FPA1" s="660"/>
      <c r="FPB1" s="660"/>
      <c r="FPC1" s="660"/>
      <c r="FPD1" s="660"/>
      <c r="FPE1" s="660"/>
      <c r="FPF1" s="660"/>
      <c r="FPG1" s="660"/>
      <c r="FPH1" s="660"/>
      <c r="FPI1" s="660"/>
      <c r="FPJ1" s="660"/>
      <c r="FPK1" s="660"/>
      <c r="FPL1" s="660"/>
      <c r="FPM1" s="660"/>
      <c r="FPN1" s="660"/>
      <c r="FPO1" s="660"/>
      <c r="FPP1" s="660"/>
      <c r="FPQ1" s="660"/>
      <c r="FPR1" s="660"/>
      <c r="FPS1" s="660"/>
      <c r="FPT1" s="660"/>
      <c r="FPU1" s="660"/>
      <c r="FPV1" s="660"/>
      <c r="FPW1" s="660"/>
      <c r="FPX1" s="660"/>
      <c r="FPY1" s="660"/>
      <c r="FPZ1" s="660"/>
      <c r="FQA1" s="660"/>
      <c r="FQB1" s="660"/>
      <c r="FQC1" s="660"/>
      <c r="FQD1" s="660"/>
      <c r="FQE1" s="660"/>
      <c r="FQF1" s="660"/>
      <c r="FQG1" s="660"/>
      <c r="FQH1" s="660"/>
      <c r="FQI1" s="660"/>
      <c r="FQJ1" s="660"/>
      <c r="FQK1" s="660"/>
      <c r="FQL1" s="660"/>
      <c r="FQM1" s="660"/>
      <c r="FQN1" s="660"/>
      <c r="FQO1" s="660"/>
      <c r="FQP1" s="660"/>
      <c r="FQQ1" s="660"/>
      <c r="FQR1" s="660"/>
      <c r="FQS1" s="660"/>
      <c r="FQT1" s="660"/>
      <c r="FQU1" s="660"/>
      <c r="FQV1" s="660"/>
      <c r="FQW1" s="660"/>
      <c r="FQX1" s="660"/>
      <c r="FQY1" s="660"/>
      <c r="FQZ1" s="660"/>
      <c r="FRA1" s="660"/>
      <c r="FRB1" s="660"/>
      <c r="FRC1" s="660"/>
      <c r="FRD1" s="660"/>
      <c r="FRE1" s="660"/>
      <c r="FRF1" s="660"/>
      <c r="FRG1" s="660"/>
      <c r="FRH1" s="660"/>
      <c r="FRI1" s="660"/>
      <c r="FRJ1" s="660"/>
      <c r="FRK1" s="660"/>
      <c r="FRL1" s="660"/>
      <c r="FRM1" s="660"/>
      <c r="FRN1" s="660"/>
      <c r="FRO1" s="660"/>
      <c r="FRP1" s="660"/>
      <c r="FRQ1" s="660"/>
      <c r="FRR1" s="660"/>
      <c r="FRS1" s="660"/>
      <c r="FRT1" s="660"/>
      <c r="FRU1" s="660"/>
      <c r="FRV1" s="660"/>
      <c r="FRW1" s="660"/>
      <c r="FRX1" s="660"/>
      <c r="FRY1" s="660"/>
      <c r="FRZ1" s="660"/>
      <c r="FSA1" s="660"/>
      <c r="FSB1" s="660"/>
      <c r="FSC1" s="660"/>
      <c r="FSD1" s="660"/>
      <c r="FSE1" s="660"/>
      <c r="FSF1" s="660"/>
      <c r="FSG1" s="660"/>
      <c r="FSH1" s="660"/>
      <c r="FSI1" s="660"/>
      <c r="FSJ1" s="660"/>
      <c r="FSK1" s="660"/>
      <c r="FSL1" s="660"/>
      <c r="FSM1" s="660"/>
      <c r="FSN1" s="660"/>
      <c r="FSO1" s="660"/>
      <c r="FSP1" s="660"/>
      <c r="FSQ1" s="660"/>
      <c r="FSR1" s="660"/>
      <c r="FSS1" s="660"/>
      <c r="FST1" s="660"/>
      <c r="FSU1" s="660"/>
      <c r="FSV1" s="660"/>
      <c r="FSW1" s="660"/>
      <c r="FSX1" s="660"/>
      <c r="FSY1" s="660"/>
      <c r="FSZ1" s="660"/>
      <c r="FTA1" s="660"/>
      <c r="FTB1" s="660"/>
      <c r="FTC1" s="660"/>
      <c r="FTD1" s="660"/>
      <c r="FTE1" s="660"/>
      <c r="FTF1" s="660"/>
      <c r="FTG1" s="660"/>
      <c r="FTH1" s="660"/>
      <c r="FTI1" s="660"/>
      <c r="FTJ1" s="660"/>
      <c r="FTK1" s="660"/>
      <c r="FTL1" s="660"/>
      <c r="FTM1" s="660"/>
      <c r="FTN1" s="660"/>
      <c r="FTO1" s="660"/>
      <c r="FTP1" s="660"/>
      <c r="FTQ1" s="660"/>
      <c r="FTR1" s="660"/>
      <c r="FTS1" s="660"/>
      <c r="FTT1" s="660"/>
      <c r="FTU1" s="660"/>
      <c r="FTV1" s="660"/>
      <c r="FTW1" s="660"/>
      <c r="FTX1" s="660"/>
      <c r="FTY1" s="660"/>
      <c r="FTZ1" s="660"/>
      <c r="FUA1" s="660"/>
      <c r="FUB1" s="660"/>
      <c r="FUC1" s="660"/>
      <c r="FUD1" s="660"/>
      <c r="FUE1" s="660"/>
      <c r="FUF1" s="660"/>
      <c r="FUG1" s="660"/>
      <c r="FUH1" s="660"/>
      <c r="FUI1" s="660"/>
      <c r="FUJ1" s="660"/>
      <c r="FUK1" s="660"/>
      <c r="FUL1" s="660"/>
      <c r="FUM1" s="660"/>
      <c r="FUN1" s="660"/>
      <c r="FUO1" s="660"/>
      <c r="FUP1" s="660"/>
      <c r="FUQ1" s="660"/>
      <c r="FUR1" s="660"/>
      <c r="FUS1" s="660"/>
      <c r="FUT1" s="660"/>
      <c r="FUU1" s="660"/>
      <c r="FUV1" s="660"/>
      <c r="FUW1" s="660"/>
      <c r="FUX1" s="660"/>
      <c r="FUY1" s="660"/>
      <c r="FUZ1" s="660"/>
      <c r="FVA1" s="660"/>
      <c r="FVB1" s="660"/>
      <c r="FVC1" s="660"/>
      <c r="FVD1" s="660"/>
      <c r="FVE1" s="660"/>
      <c r="FVF1" s="660"/>
      <c r="FVG1" s="660"/>
      <c r="FVH1" s="660"/>
      <c r="FVI1" s="660"/>
      <c r="FVJ1" s="660"/>
      <c r="FVK1" s="660"/>
      <c r="FVL1" s="660"/>
      <c r="FVM1" s="660"/>
      <c r="FVN1" s="660"/>
      <c r="FVO1" s="660"/>
      <c r="FVP1" s="660"/>
      <c r="FVQ1" s="660"/>
      <c r="FVR1" s="660"/>
      <c r="FVS1" s="660"/>
      <c r="FVT1" s="660"/>
      <c r="FVU1" s="660"/>
      <c r="FVV1" s="660"/>
      <c r="FVW1" s="660"/>
      <c r="FVX1" s="660"/>
      <c r="FVY1" s="660"/>
      <c r="FVZ1" s="660"/>
      <c r="FWA1" s="660"/>
      <c r="FWB1" s="660"/>
      <c r="FWC1" s="660"/>
      <c r="FWD1" s="660"/>
      <c r="FWE1" s="660"/>
      <c r="FWF1" s="660"/>
      <c r="FWG1" s="660"/>
      <c r="FWH1" s="660"/>
      <c r="FWI1" s="660"/>
      <c r="FWJ1" s="660"/>
      <c r="FWK1" s="660"/>
      <c r="FWL1" s="660"/>
      <c r="FWM1" s="660"/>
      <c r="FWN1" s="660"/>
      <c r="FWO1" s="660"/>
      <c r="FWP1" s="660"/>
      <c r="FWQ1" s="660"/>
      <c r="FWR1" s="660"/>
      <c r="FWS1" s="660"/>
      <c r="FWT1" s="660"/>
      <c r="FWU1" s="660"/>
      <c r="FWV1" s="660"/>
      <c r="FWW1" s="660"/>
      <c r="FWX1" s="660"/>
      <c r="FWY1" s="660"/>
      <c r="FWZ1" s="660"/>
      <c r="FXA1" s="660"/>
      <c r="FXB1" s="660"/>
      <c r="FXC1" s="660"/>
      <c r="FXD1" s="660"/>
      <c r="FXE1" s="660"/>
      <c r="FXF1" s="660"/>
      <c r="FXG1" s="660"/>
      <c r="FXH1" s="660"/>
      <c r="FXI1" s="660"/>
      <c r="FXJ1" s="660"/>
      <c r="FXK1" s="660"/>
      <c r="FXL1" s="660"/>
      <c r="FXM1" s="660"/>
      <c r="FXN1" s="660"/>
      <c r="FXO1" s="660"/>
      <c r="FXP1" s="660"/>
      <c r="FXQ1" s="660"/>
      <c r="FXR1" s="660"/>
      <c r="FXS1" s="660"/>
      <c r="FXT1" s="660"/>
      <c r="FXU1" s="660"/>
      <c r="FXV1" s="660"/>
      <c r="FXW1" s="660"/>
      <c r="FXX1" s="660"/>
      <c r="FXY1" s="660"/>
      <c r="FXZ1" s="660"/>
      <c r="FYA1" s="660"/>
      <c r="FYB1" s="660"/>
      <c r="FYC1" s="660"/>
      <c r="FYD1" s="660"/>
      <c r="FYE1" s="660"/>
      <c r="FYF1" s="660"/>
      <c r="FYG1" s="660"/>
      <c r="FYH1" s="660"/>
      <c r="FYI1" s="660"/>
      <c r="FYJ1" s="660"/>
      <c r="FYK1" s="660"/>
      <c r="FYL1" s="660"/>
      <c r="FYM1" s="660"/>
      <c r="FYN1" s="660"/>
      <c r="FYO1" s="660"/>
      <c r="FYP1" s="660"/>
      <c r="FYQ1" s="660"/>
      <c r="FYR1" s="660"/>
      <c r="FYS1" s="660"/>
      <c r="FYT1" s="660"/>
      <c r="FYU1" s="660"/>
      <c r="FYV1" s="660"/>
      <c r="FYW1" s="660"/>
      <c r="FYX1" s="660"/>
      <c r="FYY1" s="660"/>
      <c r="FYZ1" s="660"/>
      <c r="FZA1" s="660"/>
      <c r="FZB1" s="660"/>
      <c r="FZC1" s="660"/>
      <c r="FZD1" s="660"/>
      <c r="FZE1" s="660"/>
      <c r="FZF1" s="660"/>
      <c r="FZG1" s="660"/>
      <c r="FZH1" s="660"/>
      <c r="FZI1" s="660"/>
      <c r="FZJ1" s="660"/>
      <c r="FZK1" s="660"/>
      <c r="FZL1" s="660"/>
      <c r="FZM1" s="660"/>
      <c r="FZN1" s="660"/>
      <c r="FZO1" s="660"/>
      <c r="FZP1" s="660"/>
      <c r="FZQ1" s="660"/>
      <c r="FZR1" s="660"/>
      <c r="FZS1" s="660"/>
      <c r="FZT1" s="660"/>
      <c r="FZU1" s="660"/>
      <c r="FZV1" s="660"/>
      <c r="FZW1" s="660"/>
      <c r="FZX1" s="660"/>
      <c r="FZY1" s="660"/>
      <c r="FZZ1" s="660"/>
      <c r="GAA1" s="660"/>
      <c r="GAB1" s="660"/>
      <c r="GAC1" s="660"/>
      <c r="GAD1" s="660"/>
      <c r="GAE1" s="660"/>
      <c r="GAF1" s="660"/>
      <c r="GAG1" s="660"/>
      <c r="GAH1" s="660"/>
      <c r="GAI1" s="660"/>
      <c r="GAJ1" s="660"/>
      <c r="GAK1" s="660"/>
      <c r="GAL1" s="660"/>
      <c r="GAM1" s="660"/>
      <c r="GAN1" s="660"/>
      <c r="GAO1" s="660"/>
      <c r="GAP1" s="660"/>
      <c r="GAQ1" s="660"/>
      <c r="GAR1" s="660"/>
      <c r="GAS1" s="660"/>
      <c r="GAT1" s="660"/>
      <c r="GAU1" s="660"/>
      <c r="GAV1" s="660"/>
      <c r="GAW1" s="660"/>
      <c r="GAX1" s="660"/>
      <c r="GAY1" s="660"/>
      <c r="GAZ1" s="660"/>
      <c r="GBA1" s="660"/>
      <c r="GBB1" s="660"/>
      <c r="GBC1" s="660"/>
      <c r="GBD1" s="660"/>
      <c r="GBE1" s="660"/>
      <c r="GBF1" s="660"/>
      <c r="GBG1" s="660"/>
      <c r="GBH1" s="660"/>
      <c r="GBI1" s="660"/>
      <c r="GBJ1" s="660"/>
      <c r="GBK1" s="660"/>
      <c r="GBL1" s="660"/>
      <c r="GBM1" s="660"/>
      <c r="GBN1" s="660"/>
      <c r="GBO1" s="660"/>
      <c r="GBP1" s="660"/>
      <c r="GBQ1" s="660"/>
      <c r="GBR1" s="660"/>
      <c r="GBS1" s="660"/>
      <c r="GBT1" s="660"/>
      <c r="GBU1" s="660"/>
      <c r="GBV1" s="660"/>
      <c r="GBW1" s="660"/>
      <c r="GBX1" s="660"/>
      <c r="GBY1" s="660"/>
      <c r="GBZ1" s="660"/>
      <c r="GCA1" s="660"/>
      <c r="GCB1" s="660"/>
      <c r="GCC1" s="660"/>
      <c r="GCD1" s="660"/>
      <c r="GCE1" s="660"/>
      <c r="GCF1" s="660"/>
      <c r="GCG1" s="660"/>
      <c r="GCH1" s="660"/>
      <c r="GCI1" s="660"/>
      <c r="GCJ1" s="660"/>
      <c r="GCK1" s="660"/>
      <c r="GCL1" s="660"/>
      <c r="GCM1" s="660"/>
      <c r="GCN1" s="660"/>
      <c r="GCO1" s="660"/>
      <c r="GCP1" s="660"/>
      <c r="GCQ1" s="660"/>
      <c r="GCR1" s="660"/>
      <c r="GCS1" s="660"/>
      <c r="GCT1" s="660"/>
      <c r="GCU1" s="660"/>
      <c r="GCV1" s="660"/>
      <c r="GCW1" s="660"/>
      <c r="GCX1" s="660"/>
      <c r="GCY1" s="660"/>
      <c r="GCZ1" s="660"/>
      <c r="GDA1" s="660"/>
      <c r="GDB1" s="660"/>
      <c r="GDC1" s="660"/>
      <c r="GDD1" s="660"/>
      <c r="GDE1" s="660"/>
      <c r="GDF1" s="660"/>
      <c r="GDG1" s="660"/>
      <c r="GDH1" s="660"/>
      <c r="GDI1" s="660"/>
      <c r="GDJ1" s="660"/>
      <c r="GDK1" s="660"/>
      <c r="GDL1" s="660"/>
      <c r="GDM1" s="660"/>
      <c r="GDN1" s="660"/>
      <c r="GDO1" s="660"/>
      <c r="GDP1" s="660"/>
      <c r="GDQ1" s="660"/>
      <c r="GDR1" s="660"/>
      <c r="GDS1" s="660"/>
      <c r="GDT1" s="660"/>
      <c r="GDU1" s="660"/>
      <c r="GDV1" s="660"/>
      <c r="GDW1" s="660"/>
      <c r="GDX1" s="660"/>
      <c r="GDY1" s="660"/>
      <c r="GDZ1" s="660"/>
      <c r="GEA1" s="660"/>
      <c r="GEB1" s="660"/>
      <c r="GEC1" s="660"/>
      <c r="GED1" s="660"/>
      <c r="GEE1" s="660"/>
      <c r="GEF1" s="660"/>
      <c r="GEG1" s="660"/>
      <c r="GEH1" s="660"/>
      <c r="GEI1" s="660"/>
      <c r="GEJ1" s="660"/>
      <c r="GEK1" s="660"/>
      <c r="GEL1" s="660"/>
      <c r="GEM1" s="660"/>
      <c r="GEN1" s="660"/>
      <c r="GEO1" s="660"/>
      <c r="GEP1" s="660"/>
      <c r="GEQ1" s="660"/>
      <c r="GER1" s="660"/>
      <c r="GES1" s="660"/>
      <c r="GET1" s="660"/>
      <c r="GEU1" s="660"/>
      <c r="GEV1" s="660"/>
      <c r="GEW1" s="660"/>
      <c r="GEX1" s="660"/>
      <c r="GEY1" s="660"/>
      <c r="GEZ1" s="660"/>
      <c r="GFA1" s="660"/>
      <c r="GFB1" s="660"/>
      <c r="GFC1" s="660"/>
      <c r="GFD1" s="660"/>
      <c r="GFE1" s="660"/>
      <c r="GFF1" s="660"/>
      <c r="GFG1" s="660"/>
      <c r="GFH1" s="660"/>
      <c r="GFI1" s="660"/>
      <c r="GFJ1" s="660"/>
      <c r="GFK1" s="660"/>
      <c r="GFL1" s="660"/>
      <c r="GFM1" s="660"/>
      <c r="GFN1" s="660"/>
      <c r="GFO1" s="660"/>
      <c r="GFP1" s="660"/>
      <c r="GFQ1" s="660"/>
      <c r="GFR1" s="660"/>
      <c r="GFS1" s="660"/>
      <c r="GFT1" s="660"/>
      <c r="GFU1" s="660"/>
      <c r="GFV1" s="660"/>
      <c r="GFW1" s="660"/>
      <c r="GFX1" s="660"/>
      <c r="GFY1" s="660"/>
      <c r="GFZ1" s="660"/>
      <c r="GGA1" s="660"/>
      <c r="GGB1" s="660"/>
      <c r="GGC1" s="660"/>
      <c r="GGD1" s="660"/>
      <c r="GGE1" s="660"/>
      <c r="GGF1" s="660"/>
      <c r="GGG1" s="660"/>
      <c r="GGH1" s="660"/>
      <c r="GGI1" s="660"/>
      <c r="GGJ1" s="660"/>
      <c r="GGK1" s="660"/>
      <c r="GGL1" s="660"/>
      <c r="GGM1" s="660"/>
      <c r="GGN1" s="660"/>
      <c r="GGO1" s="660"/>
      <c r="GGP1" s="660"/>
      <c r="GGQ1" s="660"/>
      <c r="GGR1" s="660"/>
      <c r="GGS1" s="660"/>
      <c r="GGT1" s="660"/>
      <c r="GGU1" s="660"/>
      <c r="GGV1" s="660"/>
      <c r="GGW1" s="660"/>
      <c r="GGX1" s="660"/>
      <c r="GGY1" s="660"/>
      <c r="GGZ1" s="660"/>
      <c r="GHA1" s="660"/>
      <c r="GHB1" s="660"/>
      <c r="GHC1" s="660"/>
      <c r="GHD1" s="660"/>
      <c r="GHE1" s="660"/>
      <c r="GHF1" s="660"/>
      <c r="GHG1" s="660"/>
      <c r="GHH1" s="660"/>
      <c r="GHI1" s="660"/>
      <c r="GHJ1" s="660"/>
      <c r="GHK1" s="660"/>
      <c r="GHL1" s="660"/>
      <c r="GHM1" s="660"/>
      <c r="GHN1" s="660"/>
      <c r="GHO1" s="660"/>
      <c r="GHP1" s="660"/>
      <c r="GHQ1" s="660"/>
      <c r="GHR1" s="660"/>
      <c r="GHS1" s="660"/>
      <c r="GHT1" s="660"/>
      <c r="GHU1" s="660"/>
      <c r="GHV1" s="660"/>
      <c r="GHW1" s="660"/>
      <c r="GHX1" s="660"/>
      <c r="GHY1" s="660"/>
      <c r="GHZ1" s="660"/>
      <c r="GIA1" s="660"/>
      <c r="GIB1" s="660"/>
      <c r="GIC1" s="660"/>
      <c r="GID1" s="660"/>
      <c r="GIE1" s="660"/>
      <c r="GIF1" s="660"/>
      <c r="GIG1" s="660"/>
      <c r="GIH1" s="660"/>
      <c r="GII1" s="660"/>
      <c r="GIJ1" s="660"/>
      <c r="GIK1" s="660"/>
      <c r="GIL1" s="660"/>
      <c r="GIM1" s="660"/>
      <c r="GIN1" s="660"/>
      <c r="GIO1" s="660"/>
      <c r="GIP1" s="660"/>
      <c r="GIQ1" s="660"/>
      <c r="GIR1" s="660"/>
      <c r="GIS1" s="660"/>
      <c r="GIT1" s="660"/>
      <c r="GIU1" s="660"/>
      <c r="GIV1" s="660"/>
      <c r="GIW1" s="660"/>
      <c r="GIX1" s="660"/>
      <c r="GIY1" s="660"/>
      <c r="GIZ1" s="660"/>
      <c r="GJA1" s="660"/>
      <c r="GJB1" s="660"/>
      <c r="GJC1" s="660"/>
      <c r="GJD1" s="660"/>
      <c r="GJE1" s="660"/>
      <c r="GJF1" s="660"/>
      <c r="GJG1" s="660"/>
      <c r="GJH1" s="660"/>
      <c r="GJI1" s="660"/>
      <c r="GJJ1" s="660"/>
      <c r="GJK1" s="660"/>
      <c r="GJL1" s="660"/>
      <c r="GJM1" s="660"/>
      <c r="GJN1" s="660"/>
      <c r="GJO1" s="660"/>
      <c r="GJP1" s="660"/>
      <c r="GJQ1" s="660"/>
      <c r="GJR1" s="660"/>
      <c r="GJS1" s="660"/>
      <c r="GJT1" s="660"/>
      <c r="GJU1" s="660"/>
      <c r="GJV1" s="660"/>
      <c r="GJW1" s="660"/>
      <c r="GJX1" s="660"/>
      <c r="GJY1" s="660"/>
      <c r="GJZ1" s="660"/>
      <c r="GKA1" s="660"/>
      <c r="GKB1" s="660"/>
      <c r="GKC1" s="660"/>
      <c r="GKD1" s="660"/>
      <c r="GKE1" s="660"/>
      <c r="GKF1" s="660"/>
      <c r="GKG1" s="660"/>
      <c r="GKH1" s="660"/>
      <c r="GKI1" s="660"/>
      <c r="GKJ1" s="660"/>
      <c r="GKK1" s="660"/>
      <c r="GKL1" s="660"/>
      <c r="GKM1" s="660"/>
      <c r="GKN1" s="660"/>
      <c r="GKO1" s="660"/>
      <c r="GKP1" s="660"/>
      <c r="GKQ1" s="660"/>
      <c r="GKR1" s="660"/>
      <c r="GKS1" s="660"/>
      <c r="GKT1" s="660"/>
      <c r="GKU1" s="660"/>
      <c r="GKV1" s="660"/>
      <c r="GKW1" s="660"/>
      <c r="GKX1" s="660"/>
      <c r="GKY1" s="660"/>
      <c r="GKZ1" s="660"/>
      <c r="GLA1" s="660"/>
      <c r="GLB1" s="660"/>
      <c r="GLC1" s="660"/>
      <c r="GLD1" s="660"/>
      <c r="GLE1" s="660"/>
      <c r="GLF1" s="660"/>
      <c r="GLG1" s="660"/>
      <c r="GLH1" s="660"/>
      <c r="GLI1" s="660"/>
      <c r="GLJ1" s="660"/>
      <c r="GLK1" s="660"/>
      <c r="GLL1" s="660"/>
      <c r="GLM1" s="660"/>
      <c r="GLN1" s="660"/>
      <c r="GLO1" s="660"/>
      <c r="GLP1" s="660"/>
      <c r="GLQ1" s="660"/>
      <c r="GLR1" s="660"/>
      <c r="GLS1" s="660"/>
      <c r="GLT1" s="660"/>
      <c r="GLU1" s="660"/>
      <c r="GLV1" s="660"/>
      <c r="GLW1" s="660"/>
      <c r="GLX1" s="660"/>
      <c r="GLY1" s="660"/>
      <c r="GLZ1" s="660"/>
      <c r="GMA1" s="660"/>
      <c r="GMB1" s="660"/>
      <c r="GMC1" s="660"/>
      <c r="GMD1" s="660"/>
      <c r="GME1" s="660"/>
      <c r="GMF1" s="660"/>
      <c r="GMG1" s="660"/>
      <c r="GMH1" s="660"/>
      <c r="GMI1" s="660"/>
      <c r="GMJ1" s="660"/>
      <c r="GMK1" s="660"/>
      <c r="GML1" s="660"/>
      <c r="GMM1" s="660"/>
      <c r="GMN1" s="660"/>
      <c r="GMO1" s="660"/>
      <c r="GMP1" s="660"/>
      <c r="GMQ1" s="660"/>
      <c r="GMR1" s="660"/>
      <c r="GMS1" s="660"/>
      <c r="GMT1" s="660"/>
      <c r="GMU1" s="660"/>
      <c r="GMV1" s="660"/>
      <c r="GMW1" s="660"/>
      <c r="GMX1" s="660"/>
      <c r="GMY1" s="660"/>
      <c r="GMZ1" s="660"/>
      <c r="GNA1" s="660"/>
      <c r="GNB1" s="660"/>
      <c r="GNC1" s="660"/>
      <c r="GND1" s="660"/>
      <c r="GNE1" s="660"/>
      <c r="GNF1" s="660"/>
      <c r="GNG1" s="660"/>
      <c r="GNH1" s="660"/>
      <c r="GNI1" s="660"/>
      <c r="GNJ1" s="660"/>
      <c r="GNK1" s="660"/>
      <c r="GNL1" s="660"/>
      <c r="GNM1" s="660"/>
      <c r="GNN1" s="660"/>
      <c r="GNO1" s="660"/>
      <c r="GNP1" s="660"/>
      <c r="GNQ1" s="660"/>
      <c r="GNR1" s="660"/>
      <c r="GNS1" s="660"/>
      <c r="GNT1" s="660"/>
      <c r="GNU1" s="660"/>
      <c r="GNV1" s="660"/>
      <c r="GNW1" s="660"/>
      <c r="GNX1" s="660"/>
      <c r="GNY1" s="660"/>
      <c r="GNZ1" s="660"/>
      <c r="GOA1" s="660"/>
      <c r="GOB1" s="660"/>
      <c r="GOC1" s="660"/>
      <c r="GOD1" s="660"/>
      <c r="GOE1" s="660"/>
      <c r="GOF1" s="660"/>
      <c r="GOG1" s="660"/>
      <c r="GOH1" s="660"/>
      <c r="GOI1" s="660"/>
      <c r="GOJ1" s="660"/>
      <c r="GOK1" s="660"/>
      <c r="GOL1" s="660"/>
      <c r="GOM1" s="660"/>
      <c r="GON1" s="660"/>
      <c r="GOO1" s="660"/>
      <c r="GOP1" s="660"/>
      <c r="GOQ1" s="660"/>
      <c r="GOR1" s="660"/>
      <c r="GOS1" s="660"/>
      <c r="GOT1" s="660"/>
      <c r="GOU1" s="660"/>
      <c r="GOV1" s="660"/>
      <c r="GOW1" s="660"/>
      <c r="GOX1" s="660"/>
      <c r="GOY1" s="660"/>
      <c r="GOZ1" s="660"/>
      <c r="GPA1" s="660"/>
      <c r="GPB1" s="660"/>
      <c r="GPC1" s="660"/>
      <c r="GPD1" s="660"/>
      <c r="GPE1" s="660"/>
      <c r="GPF1" s="660"/>
      <c r="GPG1" s="660"/>
      <c r="GPH1" s="660"/>
      <c r="GPI1" s="660"/>
      <c r="GPJ1" s="660"/>
      <c r="GPK1" s="660"/>
      <c r="GPL1" s="660"/>
      <c r="GPM1" s="660"/>
      <c r="GPN1" s="660"/>
      <c r="GPO1" s="660"/>
      <c r="GPP1" s="660"/>
      <c r="GPQ1" s="660"/>
      <c r="GPR1" s="660"/>
      <c r="GPS1" s="660"/>
      <c r="GPT1" s="660"/>
      <c r="GPU1" s="660"/>
      <c r="GPV1" s="660"/>
      <c r="GPW1" s="660"/>
      <c r="GPX1" s="660"/>
      <c r="GPY1" s="660"/>
      <c r="GPZ1" s="660"/>
      <c r="GQA1" s="660"/>
      <c r="GQB1" s="660"/>
      <c r="GQC1" s="660"/>
      <c r="GQD1" s="660"/>
      <c r="GQE1" s="660"/>
      <c r="GQF1" s="660"/>
      <c r="GQG1" s="660"/>
      <c r="GQH1" s="660"/>
      <c r="GQI1" s="660"/>
      <c r="GQJ1" s="660"/>
      <c r="GQK1" s="660"/>
      <c r="GQL1" s="660"/>
      <c r="GQM1" s="660"/>
      <c r="GQN1" s="660"/>
      <c r="GQO1" s="660"/>
      <c r="GQP1" s="660"/>
      <c r="GQQ1" s="660"/>
      <c r="GQR1" s="660"/>
      <c r="GQS1" s="660"/>
      <c r="GQT1" s="660"/>
      <c r="GQU1" s="660"/>
      <c r="GQV1" s="660"/>
      <c r="GQW1" s="660"/>
      <c r="GQX1" s="660"/>
      <c r="GQY1" s="660"/>
      <c r="GQZ1" s="660"/>
      <c r="GRA1" s="660"/>
      <c r="GRB1" s="660"/>
      <c r="GRC1" s="660"/>
      <c r="GRD1" s="660"/>
      <c r="GRE1" s="660"/>
      <c r="GRF1" s="660"/>
      <c r="GRG1" s="660"/>
      <c r="GRH1" s="660"/>
      <c r="GRI1" s="660"/>
      <c r="GRJ1" s="660"/>
      <c r="GRK1" s="660"/>
      <c r="GRL1" s="660"/>
      <c r="GRM1" s="660"/>
      <c r="GRN1" s="660"/>
      <c r="GRO1" s="660"/>
      <c r="GRP1" s="660"/>
      <c r="GRQ1" s="660"/>
      <c r="GRR1" s="660"/>
      <c r="GRS1" s="660"/>
      <c r="GRT1" s="660"/>
      <c r="GRU1" s="660"/>
      <c r="GRV1" s="660"/>
      <c r="GRW1" s="660"/>
      <c r="GRX1" s="660"/>
      <c r="GRY1" s="660"/>
      <c r="GRZ1" s="660"/>
      <c r="GSA1" s="660"/>
      <c r="GSB1" s="660"/>
      <c r="GSC1" s="660"/>
      <c r="GSD1" s="660"/>
      <c r="GSE1" s="660"/>
      <c r="GSF1" s="660"/>
      <c r="GSG1" s="660"/>
      <c r="GSH1" s="660"/>
      <c r="GSI1" s="660"/>
      <c r="GSJ1" s="660"/>
      <c r="GSK1" s="660"/>
      <c r="GSL1" s="660"/>
      <c r="GSM1" s="660"/>
      <c r="GSN1" s="660"/>
      <c r="GSO1" s="660"/>
      <c r="GSP1" s="660"/>
      <c r="GSQ1" s="660"/>
      <c r="GSR1" s="660"/>
      <c r="GSS1" s="660"/>
      <c r="GST1" s="660"/>
      <c r="GSU1" s="660"/>
      <c r="GSV1" s="660"/>
      <c r="GSW1" s="660"/>
      <c r="GSX1" s="660"/>
      <c r="GSY1" s="660"/>
      <c r="GSZ1" s="660"/>
      <c r="GTA1" s="660"/>
      <c r="GTB1" s="660"/>
      <c r="GTC1" s="660"/>
      <c r="GTD1" s="660"/>
      <c r="GTE1" s="660"/>
      <c r="GTF1" s="660"/>
      <c r="GTG1" s="660"/>
      <c r="GTH1" s="660"/>
      <c r="GTI1" s="660"/>
      <c r="GTJ1" s="660"/>
      <c r="GTK1" s="660"/>
      <c r="GTL1" s="660"/>
      <c r="GTM1" s="660"/>
      <c r="GTN1" s="660"/>
      <c r="GTO1" s="660"/>
      <c r="GTP1" s="660"/>
      <c r="GTQ1" s="660"/>
      <c r="GTR1" s="660"/>
      <c r="GTS1" s="660"/>
      <c r="GTT1" s="660"/>
      <c r="GTU1" s="660"/>
      <c r="GTV1" s="660"/>
      <c r="GTW1" s="660"/>
      <c r="GTX1" s="660"/>
      <c r="GTY1" s="660"/>
      <c r="GTZ1" s="660"/>
      <c r="GUA1" s="660"/>
      <c r="GUB1" s="660"/>
      <c r="GUC1" s="660"/>
      <c r="GUD1" s="660"/>
      <c r="GUE1" s="660"/>
      <c r="GUF1" s="660"/>
      <c r="GUG1" s="660"/>
      <c r="GUH1" s="660"/>
      <c r="GUI1" s="660"/>
      <c r="GUJ1" s="660"/>
      <c r="GUK1" s="660"/>
      <c r="GUL1" s="660"/>
      <c r="GUM1" s="660"/>
      <c r="GUN1" s="660"/>
      <c r="GUO1" s="660"/>
      <c r="GUP1" s="660"/>
      <c r="GUQ1" s="660"/>
      <c r="GUR1" s="660"/>
      <c r="GUS1" s="660"/>
      <c r="GUT1" s="660"/>
      <c r="GUU1" s="660"/>
      <c r="GUV1" s="660"/>
      <c r="GUW1" s="660"/>
      <c r="GUX1" s="660"/>
      <c r="GUY1" s="660"/>
      <c r="GUZ1" s="660"/>
      <c r="GVA1" s="660"/>
      <c r="GVB1" s="660"/>
      <c r="GVC1" s="660"/>
      <c r="GVD1" s="660"/>
      <c r="GVE1" s="660"/>
      <c r="GVF1" s="660"/>
      <c r="GVG1" s="660"/>
      <c r="GVH1" s="660"/>
      <c r="GVI1" s="660"/>
      <c r="GVJ1" s="660"/>
      <c r="GVK1" s="660"/>
      <c r="GVL1" s="660"/>
      <c r="GVM1" s="660"/>
      <c r="GVN1" s="660"/>
      <c r="GVO1" s="660"/>
      <c r="GVP1" s="660"/>
      <c r="GVQ1" s="660"/>
      <c r="GVR1" s="660"/>
      <c r="GVS1" s="660"/>
      <c r="GVT1" s="660"/>
      <c r="GVU1" s="660"/>
      <c r="GVV1" s="660"/>
      <c r="GVW1" s="660"/>
      <c r="GVX1" s="660"/>
      <c r="GVY1" s="660"/>
      <c r="GVZ1" s="660"/>
      <c r="GWA1" s="660"/>
      <c r="GWB1" s="660"/>
      <c r="GWC1" s="660"/>
      <c r="GWD1" s="660"/>
      <c r="GWE1" s="660"/>
      <c r="GWF1" s="660"/>
      <c r="GWG1" s="660"/>
      <c r="GWH1" s="660"/>
      <c r="GWI1" s="660"/>
      <c r="GWJ1" s="660"/>
      <c r="GWK1" s="660"/>
      <c r="GWL1" s="660"/>
      <c r="GWM1" s="660"/>
      <c r="GWN1" s="660"/>
      <c r="GWO1" s="660"/>
      <c r="GWP1" s="660"/>
      <c r="GWQ1" s="660"/>
      <c r="GWR1" s="660"/>
      <c r="GWS1" s="660"/>
      <c r="GWT1" s="660"/>
      <c r="GWU1" s="660"/>
      <c r="GWV1" s="660"/>
      <c r="GWW1" s="660"/>
      <c r="GWX1" s="660"/>
      <c r="GWY1" s="660"/>
      <c r="GWZ1" s="660"/>
      <c r="GXA1" s="660"/>
      <c r="GXB1" s="660"/>
      <c r="GXC1" s="660"/>
      <c r="GXD1" s="660"/>
      <c r="GXE1" s="660"/>
      <c r="GXF1" s="660"/>
      <c r="GXG1" s="660"/>
      <c r="GXH1" s="660"/>
      <c r="GXI1" s="660"/>
      <c r="GXJ1" s="660"/>
      <c r="GXK1" s="660"/>
      <c r="GXL1" s="660"/>
      <c r="GXM1" s="660"/>
      <c r="GXN1" s="660"/>
      <c r="GXO1" s="660"/>
      <c r="GXP1" s="660"/>
      <c r="GXQ1" s="660"/>
      <c r="GXR1" s="660"/>
      <c r="GXS1" s="660"/>
      <c r="GXT1" s="660"/>
      <c r="GXU1" s="660"/>
      <c r="GXV1" s="660"/>
      <c r="GXW1" s="660"/>
      <c r="GXX1" s="660"/>
      <c r="GXY1" s="660"/>
      <c r="GXZ1" s="660"/>
      <c r="GYA1" s="660"/>
      <c r="GYB1" s="660"/>
      <c r="GYC1" s="660"/>
      <c r="GYD1" s="660"/>
      <c r="GYE1" s="660"/>
      <c r="GYF1" s="660"/>
      <c r="GYG1" s="660"/>
      <c r="GYH1" s="660"/>
      <c r="GYI1" s="660"/>
      <c r="GYJ1" s="660"/>
      <c r="GYK1" s="660"/>
      <c r="GYL1" s="660"/>
      <c r="GYM1" s="660"/>
      <c r="GYN1" s="660"/>
      <c r="GYO1" s="660"/>
      <c r="GYP1" s="660"/>
      <c r="GYQ1" s="660"/>
      <c r="GYR1" s="660"/>
      <c r="GYS1" s="660"/>
      <c r="GYT1" s="660"/>
      <c r="GYU1" s="660"/>
      <c r="GYV1" s="660"/>
      <c r="GYW1" s="660"/>
      <c r="GYX1" s="660"/>
      <c r="GYY1" s="660"/>
      <c r="GYZ1" s="660"/>
      <c r="GZA1" s="660"/>
      <c r="GZB1" s="660"/>
      <c r="GZC1" s="660"/>
      <c r="GZD1" s="660"/>
      <c r="GZE1" s="660"/>
      <c r="GZF1" s="660"/>
      <c r="GZG1" s="660"/>
      <c r="GZH1" s="660"/>
      <c r="GZI1" s="660"/>
      <c r="GZJ1" s="660"/>
      <c r="GZK1" s="660"/>
      <c r="GZL1" s="660"/>
      <c r="GZM1" s="660"/>
      <c r="GZN1" s="660"/>
      <c r="GZO1" s="660"/>
      <c r="GZP1" s="660"/>
      <c r="GZQ1" s="660"/>
      <c r="GZR1" s="660"/>
      <c r="GZS1" s="660"/>
      <c r="GZT1" s="660"/>
      <c r="GZU1" s="660"/>
      <c r="GZV1" s="660"/>
      <c r="GZW1" s="660"/>
      <c r="GZX1" s="660"/>
      <c r="GZY1" s="660"/>
      <c r="GZZ1" s="660"/>
      <c r="HAA1" s="660"/>
      <c r="HAB1" s="660"/>
      <c r="HAC1" s="660"/>
      <c r="HAD1" s="660"/>
      <c r="HAE1" s="660"/>
      <c r="HAF1" s="660"/>
      <c r="HAG1" s="660"/>
      <c r="HAH1" s="660"/>
      <c r="HAI1" s="660"/>
      <c r="HAJ1" s="660"/>
      <c r="HAK1" s="660"/>
      <c r="HAL1" s="660"/>
      <c r="HAM1" s="660"/>
      <c r="HAN1" s="660"/>
      <c r="HAO1" s="660"/>
      <c r="HAP1" s="660"/>
      <c r="HAQ1" s="660"/>
      <c r="HAR1" s="660"/>
      <c r="HAS1" s="660"/>
      <c r="HAT1" s="660"/>
      <c r="HAU1" s="660"/>
      <c r="HAV1" s="660"/>
      <c r="HAW1" s="660"/>
      <c r="HAX1" s="660"/>
      <c r="HAY1" s="660"/>
      <c r="HAZ1" s="660"/>
      <c r="HBA1" s="660"/>
      <c r="HBB1" s="660"/>
      <c r="HBC1" s="660"/>
      <c r="HBD1" s="660"/>
      <c r="HBE1" s="660"/>
      <c r="HBF1" s="660"/>
      <c r="HBG1" s="660"/>
      <c r="HBH1" s="660"/>
      <c r="HBI1" s="660"/>
      <c r="HBJ1" s="660"/>
      <c r="HBK1" s="660"/>
      <c r="HBL1" s="660"/>
      <c r="HBM1" s="660"/>
      <c r="HBN1" s="660"/>
      <c r="HBO1" s="660"/>
      <c r="HBP1" s="660"/>
      <c r="HBQ1" s="660"/>
      <c r="HBR1" s="660"/>
      <c r="HBS1" s="660"/>
      <c r="HBT1" s="660"/>
      <c r="HBU1" s="660"/>
      <c r="HBV1" s="660"/>
      <c r="HBW1" s="660"/>
      <c r="HBX1" s="660"/>
      <c r="HBY1" s="660"/>
      <c r="HBZ1" s="660"/>
      <c r="HCA1" s="660"/>
      <c r="HCB1" s="660"/>
      <c r="HCC1" s="660"/>
      <c r="HCD1" s="660"/>
      <c r="HCE1" s="660"/>
      <c r="HCF1" s="660"/>
      <c r="HCG1" s="660"/>
      <c r="HCH1" s="660"/>
      <c r="HCI1" s="660"/>
      <c r="HCJ1" s="660"/>
      <c r="HCK1" s="660"/>
      <c r="HCL1" s="660"/>
      <c r="HCM1" s="660"/>
      <c r="HCN1" s="660"/>
      <c r="HCO1" s="660"/>
      <c r="HCP1" s="660"/>
      <c r="HCQ1" s="660"/>
      <c r="HCR1" s="660"/>
      <c r="HCS1" s="660"/>
      <c r="HCT1" s="660"/>
      <c r="HCU1" s="660"/>
      <c r="HCV1" s="660"/>
      <c r="HCW1" s="660"/>
      <c r="HCX1" s="660"/>
      <c r="HCY1" s="660"/>
      <c r="HCZ1" s="660"/>
      <c r="HDA1" s="660"/>
      <c r="HDB1" s="660"/>
      <c r="HDC1" s="660"/>
      <c r="HDD1" s="660"/>
      <c r="HDE1" s="660"/>
      <c r="HDF1" s="660"/>
      <c r="HDG1" s="660"/>
      <c r="HDH1" s="660"/>
      <c r="HDI1" s="660"/>
      <c r="HDJ1" s="660"/>
      <c r="HDK1" s="660"/>
      <c r="HDL1" s="660"/>
      <c r="HDM1" s="660"/>
      <c r="HDN1" s="660"/>
      <c r="HDO1" s="660"/>
      <c r="HDP1" s="660"/>
      <c r="HDQ1" s="660"/>
      <c r="HDR1" s="660"/>
      <c r="HDS1" s="660"/>
      <c r="HDT1" s="660"/>
      <c r="HDU1" s="660"/>
      <c r="HDV1" s="660"/>
      <c r="HDW1" s="660"/>
      <c r="HDX1" s="660"/>
      <c r="HDY1" s="660"/>
      <c r="HDZ1" s="660"/>
      <c r="HEA1" s="660"/>
      <c r="HEB1" s="660"/>
      <c r="HEC1" s="660"/>
      <c r="HED1" s="660"/>
      <c r="HEE1" s="660"/>
      <c r="HEF1" s="660"/>
      <c r="HEG1" s="660"/>
      <c r="HEH1" s="660"/>
      <c r="HEI1" s="660"/>
      <c r="HEJ1" s="660"/>
      <c r="HEK1" s="660"/>
      <c r="HEL1" s="660"/>
      <c r="HEM1" s="660"/>
      <c r="HEN1" s="660"/>
      <c r="HEO1" s="660"/>
      <c r="HEP1" s="660"/>
      <c r="HEQ1" s="660"/>
      <c r="HER1" s="660"/>
      <c r="HES1" s="660"/>
      <c r="HET1" s="660"/>
      <c r="HEU1" s="660"/>
      <c r="HEV1" s="660"/>
      <c r="HEW1" s="660"/>
      <c r="HEX1" s="660"/>
      <c r="HEY1" s="660"/>
      <c r="HEZ1" s="660"/>
      <c r="HFA1" s="660"/>
      <c r="HFB1" s="660"/>
      <c r="HFC1" s="660"/>
      <c r="HFD1" s="660"/>
      <c r="HFE1" s="660"/>
      <c r="HFF1" s="660"/>
      <c r="HFG1" s="660"/>
      <c r="HFH1" s="660"/>
      <c r="HFI1" s="660"/>
      <c r="HFJ1" s="660"/>
      <c r="HFK1" s="660"/>
      <c r="HFL1" s="660"/>
      <c r="HFM1" s="660"/>
      <c r="HFN1" s="660"/>
      <c r="HFO1" s="660"/>
      <c r="HFP1" s="660"/>
      <c r="HFQ1" s="660"/>
      <c r="HFR1" s="660"/>
      <c r="HFS1" s="660"/>
      <c r="HFT1" s="660"/>
      <c r="HFU1" s="660"/>
      <c r="HFV1" s="660"/>
      <c r="HFW1" s="660"/>
      <c r="HFX1" s="660"/>
      <c r="HFY1" s="660"/>
      <c r="HFZ1" s="660"/>
      <c r="HGA1" s="660"/>
      <c r="HGB1" s="660"/>
      <c r="HGC1" s="660"/>
      <c r="HGD1" s="660"/>
      <c r="HGE1" s="660"/>
      <c r="HGF1" s="660"/>
      <c r="HGG1" s="660"/>
      <c r="HGH1" s="660"/>
      <c r="HGI1" s="660"/>
      <c r="HGJ1" s="660"/>
      <c r="HGK1" s="660"/>
      <c r="HGL1" s="660"/>
      <c r="HGM1" s="660"/>
      <c r="HGN1" s="660"/>
      <c r="HGO1" s="660"/>
      <c r="HGP1" s="660"/>
      <c r="HGQ1" s="660"/>
      <c r="HGR1" s="660"/>
      <c r="HGS1" s="660"/>
      <c r="HGT1" s="660"/>
      <c r="HGU1" s="660"/>
      <c r="HGV1" s="660"/>
      <c r="HGW1" s="660"/>
      <c r="HGX1" s="660"/>
      <c r="HGY1" s="660"/>
      <c r="HGZ1" s="660"/>
      <c r="HHA1" s="660"/>
      <c r="HHB1" s="660"/>
      <c r="HHC1" s="660"/>
      <c r="HHD1" s="660"/>
      <c r="HHE1" s="660"/>
      <c r="HHF1" s="660"/>
      <c r="HHG1" s="660"/>
      <c r="HHH1" s="660"/>
      <c r="HHI1" s="660"/>
      <c r="HHJ1" s="660"/>
      <c r="HHK1" s="660"/>
      <c r="HHL1" s="660"/>
      <c r="HHM1" s="660"/>
      <c r="HHN1" s="660"/>
      <c r="HHO1" s="660"/>
      <c r="HHP1" s="660"/>
      <c r="HHQ1" s="660"/>
      <c r="HHR1" s="660"/>
      <c r="HHS1" s="660"/>
      <c r="HHT1" s="660"/>
      <c r="HHU1" s="660"/>
      <c r="HHV1" s="660"/>
      <c r="HHW1" s="660"/>
      <c r="HHX1" s="660"/>
      <c r="HHY1" s="660"/>
      <c r="HHZ1" s="660"/>
      <c r="HIA1" s="660"/>
      <c r="HIB1" s="660"/>
      <c r="HIC1" s="660"/>
      <c r="HID1" s="660"/>
      <c r="HIE1" s="660"/>
      <c r="HIF1" s="660"/>
      <c r="HIG1" s="660"/>
      <c r="HIH1" s="660"/>
      <c r="HII1" s="660"/>
      <c r="HIJ1" s="660"/>
      <c r="HIK1" s="660"/>
      <c r="HIL1" s="660"/>
      <c r="HIM1" s="660"/>
      <c r="HIN1" s="660"/>
      <c r="HIO1" s="660"/>
      <c r="HIP1" s="660"/>
      <c r="HIQ1" s="660"/>
      <c r="HIR1" s="660"/>
      <c r="HIS1" s="660"/>
      <c r="HIT1" s="660"/>
      <c r="HIU1" s="660"/>
      <c r="HIV1" s="660"/>
      <c r="HIW1" s="660"/>
      <c r="HIX1" s="660"/>
      <c r="HIY1" s="660"/>
      <c r="HIZ1" s="660"/>
      <c r="HJA1" s="660"/>
      <c r="HJB1" s="660"/>
      <c r="HJC1" s="660"/>
      <c r="HJD1" s="660"/>
      <c r="HJE1" s="660"/>
      <c r="HJF1" s="660"/>
      <c r="HJG1" s="660"/>
      <c r="HJH1" s="660"/>
      <c r="HJI1" s="660"/>
      <c r="HJJ1" s="660"/>
      <c r="HJK1" s="660"/>
      <c r="HJL1" s="660"/>
      <c r="HJM1" s="660"/>
      <c r="HJN1" s="660"/>
      <c r="HJO1" s="660"/>
      <c r="HJP1" s="660"/>
      <c r="HJQ1" s="660"/>
      <c r="HJR1" s="660"/>
      <c r="HJS1" s="660"/>
      <c r="HJT1" s="660"/>
      <c r="HJU1" s="660"/>
      <c r="HJV1" s="660"/>
      <c r="HJW1" s="660"/>
      <c r="HJX1" s="660"/>
      <c r="HJY1" s="660"/>
      <c r="HJZ1" s="660"/>
      <c r="HKA1" s="660"/>
      <c r="HKB1" s="660"/>
      <c r="HKC1" s="660"/>
      <c r="HKD1" s="660"/>
      <c r="HKE1" s="660"/>
      <c r="HKF1" s="660"/>
      <c r="HKG1" s="660"/>
      <c r="HKH1" s="660"/>
      <c r="HKI1" s="660"/>
      <c r="HKJ1" s="660"/>
      <c r="HKK1" s="660"/>
      <c r="HKL1" s="660"/>
      <c r="HKM1" s="660"/>
      <c r="HKN1" s="660"/>
      <c r="HKO1" s="660"/>
      <c r="HKP1" s="660"/>
      <c r="HKQ1" s="660"/>
      <c r="HKR1" s="660"/>
      <c r="HKS1" s="660"/>
      <c r="HKT1" s="660"/>
      <c r="HKU1" s="660"/>
      <c r="HKV1" s="660"/>
      <c r="HKW1" s="660"/>
      <c r="HKX1" s="660"/>
      <c r="HKY1" s="660"/>
      <c r="HKZ1" s="660"/>
      <c r="HLA1" s="660"/>
      <c r="HLB1" s="660"/>
      <c r="HLC1" s="660"/>
      <c r="HLD1" s="660"/>
      <c r="HLE1" s="660"/>
      <c r="HLF1" s="660"/>
      <c r="HLG1" s="660"/>
      <c r="HLH1" s="660"/>
      <c r="HLI1" s="660"/>
      <c r="HLJ1" s="660"/>
      <c r="HLK1" s="660"/>
      <c r="HLL1" s="660"/>
      <c r="HLM1" s="660"/>
      <c r="HLN1" s="660"/>
      <c r="HLO1" s="660"/>
      <c r="HLP1" s="660"/>
      <c r="HLQ1" s="660"/>
      <c r="HLR1" s="660"/>
      <c r="HLS1" s="660"/>
      <c r="HLT1" s="660"/>
      <c r="HLU1" s="660"/>
      <c r="HLV1" s="660"/>
      <c r="HLW1" s="660"/>
      <c r="HLX1" s="660"/>
      <c r="HLY1" s="660"/>
      <c r="HLZ1" s="660"/>
      <c r="HMA1" s="660"/>
      <c r="HMB1" s="660"/>
      <c r="HMC1" s="660"/>
      <c r="HMD1" s="660"/>
      <c r="HME1" s="660"/>
      <c r="HMF1" s="660"/>
      <c r="HMG1" s="660"/>
      <c r="HMH1" s="660"/>
      <c r="HMI1" s="660"/>
      <c r="HMJ1" s="660"/>
      <c r="HMK1" s="660"/>
      <c r="HML1" s="660"/>
      <c r="HMM1" s="660"/>
      <c r="HMN1" s="660"/>
      <c r="HMO1" s="660"/>
      <c r="HMP1" s="660"/>
      <c r="HMQ1" s="660"/>
      <c r="HMR1" s="660"/>
      <c r="HMS1" s="660"/>
      <c r="HMT1" s="660"/>
      <c r="HMU1" s="660"/>
      <c r="HMV1" s="660"/>
      <c r="HMW1" s="660"/>
      <c r="HMX1" s="660"/>
      <c r="HMY1" s="660"/>
      <c r="HMZ1" s="660"/>
      <c r="HNA1" s="660"/>
      <c r="HNB1" s="660"/>
      <c r="HNC1" s="660"/>
      <c r="HND1" s="660"/>
      <c r="HNE1" s="660"/>
      <c r="HNF1" s="660"/>
      <c r="HNG1" s="660"/>
      <c r="HNH1" s="660"/>
      <c r="HNI1" s="660"/>
      <c r="HNJ1" s="660"/>
      <c r="HNK1" s="660"/>
      <c r="HNL1" s="660"/>
      <c r="HNM1" s="660"/>
      <c r="HNN1" s="660"/>
      <c r="HNO1" s="660"/>
      <c r="HNP1" s="660"/>
      <c r="HNQ1" s="660"/>
      <c r="HNR1" s="660"/>
      <c r="HNS1" s="660"/>
      <c r="HNT1" s="660"/>
      <c r="HNU1" s="660"/>
      <c r="HNV1" s="660"/>
      <c r="HNW1" s="660"/>
      <c r="HNX1" s="660"/>
      <c r="HNY1" s="660"/>
      <c r="HNZ1" s="660"/>
      <c r="HOA1" s="660"/>
      <c r="HOB1" s="660"/>
      <c r="HOC1" s="660"/>
      <c r="HOD1" s="660"/>
      <c r="HOE1" s="660"/>
      <c r="HOF1" s="660"/>
      <c r="HOG1" s="660"/>
      <c r="HOH1" s="660"/>
      <c r="HOI1" s="660"/>
      <c r="HOJ1" s="660"/>
      <c r="HOK1" s="660"/>
      <c r="HOL1" s="660"/>
      <c r="HOM1" s="660"/>
      <c r="HON1" s="660"/>
      <c r="HOO1" s="660"/>
      <c r="HOP1" s="660"/>
      <c r="HOQ1" s="660"/>
      <c r="HOR1" s="660"/>
      <c r="HOS1" s="660"/>
      <c r="HOT1" s="660"/>
      <c r="HOU1" s="660"/>
      <c r="HOV1" s="660"/>
      <c r="HOW1" s="660"/>
      <c r="HOX1" s="660"/>
      <c r="HOY1" s="660"/>
      <c r="HOZ1" s="660"/>
      <c r="HPA1" s="660"/>
      <c r="HPB1" s="660"/>
      <c r="HPC1" s="660"/>
      <c r="HPD1" s="660"/>
      <c r="HPE1" s="660"/>
      <c r="HPF1" s="660"/>
      <c r="HPG1" s="660"/>
      <c r="HPH1" s="660"/>
      <c r="HPI1" s="660"/>
      <c r="HPJ1" s="660"/>
      <c r="HPK1" s="660"/>
      <c r="HPL1" s="660"/>
      <c r="HPM1" s="660"/>
      <c r="HPN1" s="660"/>
      <c r="HPO1" s="660"/>
      <c r="HPP1" s="660"/>
      <c r="HPQ1" s="660"/>
      <c r="HPR1" s="660"/>
      <c r="HPS1" s="660"/>
      <c r="HPT1" s="660"/>
      <c r="HPU1" s="660"/>
      <c r="HPV1" s="660"/>
      <c r="HPW1" s="660"/>
      <c r="HPX1" s="660"/>
      <c r="HPY1" s="660"/>
      <c r="HPZ1" s="660"/>
      <c r="HQA1" s="660"/>
      <c r="HQB1" s="660"/>
      <c r="HQC1" s="660"/>
      <c r="HQD1" s="660"/>
      <c r="HQE1" s="660"/>
      <c r="HQF1" s="660"/>
      <c r="HQG1" s="660"/>
      <c r="HQH1" s="660"/>
      <c r="HQI1" s="660"/>
      <c r="HQJ1" s="660"/>
      <c r="HQK1" s="660"/>
      <c r="HQL1" s="660"/>
      <c r="HQM1" s="660"/>
      <c r="HQN1" s="660"/>
      <c r="HQO1" s="660"/>
      <c r="HQP1" s="660"/>
      <c r="HQQ1" s="660"/>
      <c r="HQR1" s="660"/>
      <c r="HQS1" s="660"/>
      <c r="HQT1" s="660"/>
      <c r="HQU1" s="660"/>
      <c r="HQV1" s="660"/>
      <c r="HQW1" s="660"/>
      <c r="HQX1" s="660"/>
      <c r="HQY1" s="660"/>
      <c r="HQZ1" s="660"/>
      <c r="HRA1" s="660"/>
      <c r="HRB1" s="660"/>
      <c r="HRC1" s="660"/>
      <c r="HRD1" s="660"/>
      <c r="HRE1" s="660"/>
      <c r="HRF1" s="660"/>
      <c r="HRG1" s="660"/>
      <c r="HRH1" s="660"/>
      <c r="HRI1" s="660"/>
      <c r="HRJ1" s="660"/>
      <c r="HRK1" s="660"/>
      <c r="HRL1" s="660"/>
      <c r="HRM1" s="660"/>
      <c r="HRN1" s="660"/>
      <c r="HRO1" s="660"/>
      <c r="HRP1" s="660"/>
      <c r="HRQ1" s="660"/>
      <c r="HRR1" s="660"/>
      <c r="HRS1" s="660"/>
      <c r="HRT1" s="660"/>
      <c r="HRU1" s="660"/>
      <c r="HRV1" s="660"/>
      <c r="HRW1" s="660"/>
      <c r="HRX1" s="660"/>
      <c r="HRY1" s="660"/>
      <c r="HRZ1" s="660"/>
      <c r="HSA1" s="660"/>
      <c r="HSB1" s="660"/>
      <c r="HSC1" s="660"/>
      <c r="HSD1" s="660"/>
      <c r="HSE1" s="660"/>
      <c r="HSF1" s="660"/>
      <c r="HSG1" s="660"/>
      <c r="HSH1" s="660"/>
      <c r="HSI1" s="660"/>
      <c r="HSJ1" s="660"/>
      <c r="HSK1" s="660"/>
      <c r="HSL1" s="660"/>
      <c r="HSM1" s="660"/>
      <c r="HSN1" s="660"/>
      <c r="HSO1" s="660"/>
      <c r="HSP1" s="660"/>
      <c r="HSQ1" s="660"/>
      <c r="HSR1" s="660"/>
      <c r="HSS1" s="660"/>
      <c r="HST1" s="660"/>
      <c r="HSU1" s="660"/>
      <c r="HSV1" s="660"/>
      <c r="HSW1" s="660"/>
      <c r="HSX1" s="660"/>
      <c r="HSY1" s="660"/>
      <c r="HSZ1" s="660"/>
      <c r="HTA1" s="660"/>
      <c r="HTB1" s="660"/>
      <c r="HTC1" s="660"/>
      <c r="HTD1" s="660"/>
      <c r="HTE1" s="660"/>
      <c r="HTF1" s="660"/>
      <c r="HTG1" s="660"/>
      <c r="HTH1" s="660"/>
      <c r="HTI1" s="660"/>
      <c r="HTJ1" s="660"/>
      <c r="HTK1" s="660"/>
      <c r="HTL1" s="660"/>
      <c r="HTM1" s="660"/>
      <c r="HTN1" s="660"/>
      <c r="HTO1" s="660"/>
      <c r="HTP1" s="660"/>
      <c r="HTQ1" s="660"/>
      <c r="HTR1" s="660"/>
      <c r="HTS1" s="660"/>
      <c r="HTT1" s="660"/>
      <c r="HTU1" s="660"/>
      <c r="HTV1" s="660"/>
      <c r="HTW1" s="660"/>
      <c r="HTX1" s="660"/>
      <c r="HTY1" s="660"/>
      <c r="HTZ1" s="660"/>
      <c r="HUA1" s="660"/>
      <c r="HUB1" s="660"/>
      <c r="HUC1" s="660"/>
      <c r="HUD1" s="660"/>
      <c r="HUE1" s="660"/>
      <c r="HUF1" s="660"/>
      <c r="HUG1" s="660"/>
      <c r="HUH1" s="660"/>
      <c r="HUI1" s="660"/>
      <c r="HUJ1" s="660"/>
      <c r="HUK1" s="660"/>
      <c r="HUL1" s="660"/>
      <c r="HUM1" s="660"/>
      <c r="HUN1" s="660"/>
      <c r="HUO1" s="660"/>
      <c r="HUP1" s="660"/>
      <c r="HUQ1" s="660"/>
      <c r="HUR1" s="660"/>
      <c r="HUS1" s="660"/>
      <c r="HUT1" s="660"/>
      <c r="HUU1" s="660"/>
      <c r="HUV1" s="660"/>
      <c r="HUW1" s="660"/>
      <c r="HUX1" s="660"/>
      <c r="HUY1" s="660"/>
      <c r="HUZ1" s="660"/>
      <c r="HVA1" s="660"/>
      <c r="HVB1" s="660"/>
      <c r="HVC1" s="660"/>
      <c r="HVD1" s="660"/>
      <c r="HVE1" s="660"/>
      <c r="HVF1" s="660"/>
      <c r="HVG1" s="660"/>
      <c r="HVH1" s="660"/>
      <c r="HVI1" s="660"/>
      <c r="HVJ1" s="660"/>
      <c r="HVK1" s="660"/>
      <c r="HVL1" s="660"/>
      <c r="HVM1" s="660"/>
      <c r="HVN1" s="660"/>
      <c r="HVO1" s="660"/>
      <c r="HVP1" s="660"/>
      <c r="HVQ1" s="660"/>
      <c r="HVR1" s="660"/>
      <c r="HVS1" s="660"/>
      <c r="HVT1" s="660"/>
      <c r="HVU1" s="660"/>
      <c r="HVV1" s="660"/>
      <c r="HVW1" s="660"/>
      <c r="HVX1" s="660"/>
      <c r="HVY1" s="660"/>
      <c r="HVZ1" s="660"/>
      <c r="HWA1" s="660"/>
      <c r="HWB1" s="660"/>
      <c r="HWC1" s="660"/>
      <c r="HWD1" s="660"/>
      <c r="HWE1" s="660"/>
      <c r="HWF1" s="660"/>
      <c r="HWG1" s="660"/>
      <c r="HWH1" s="660"/>
      <c r="HWI1" s="660"/>
      <c r="HWJ1" s="660"/>
      <c r="HWK1" s="660"/>
      <c r="HWL1" s="660"/>
      <c r="HWM1" s="660"/>
      <c r="HWN1" s="660"/>
      <c r="HWO1" s="660"/>
      <c r="HWP1" s="660"/>
      <c r="HWQ1" s="660"/>
      <c r="HWR1" s="660"/>
      <c r="HWS1" s="660"/>
      <c r="HWT1" s="660"/>
      <c r="HWU1" s="660"/>
      <c r="HWV1" s="660"/>
      <c r="HWW1" s="660"/>
      <c r="HWX1" s="660"/>
      <c r="HWY1" s="660"/>
      <c r="HWZ1" s="660"/>
      <c r="HXA1" s="660"/>
      <c r="HXB1" s="660"/>
      <c r="HXC1" s="660"/>
      <c r="HXD1" s="660"/>
      <c r="HXE1" s="660"/>
      <c r="HXF1" s="660"/>
      <c r="HXG1" s="660"/>
      <c r="HXH1" s="660"/>
      <c r="HXI1" s="660"/>
      <c r="HXJ1" s="660"/>
      <c r="HXK1" s="660"/>
      <c r="HXL1" s="660"/>
      <c r="HXM1" s="660"/>
      <c r="HXN1" s="660"/>
      <c r="HXO1" s="660"/>
      <c r="HXP1" s="660"/>
      <c r="HXQ1" s="660"/>
      <c r="HXR1" s="660"/>
      <c r="HXS1" s="660"/>
      <c r="HXT1" s="660"/>
      <c r="HXU1" s="660"/>
      <c r="HXV1" s="660"/>
      <c r="HXW1" s="660"/>
      <c r="HXX1" s="660"/>
      <c r="HXY1" s="660"/>
      <c r="HXZ1" s="660"/>
      <c r="HYA1" s="660"/>
      <c r="HYB1" s="660"/>
      <c r="HYC1" s="660"/>
      <c r="HYD1" s="660"/>
      <c r="HYE1" s="660"/>
      <c r="HYF1" s="660"/>
      <c r="HYG1" s="660"/>
      <c r="HYH1" s="660"/>
      <c r="HYI1" s="660"/>
      <c r="HYJ1" s="660"/>
      <c r="HYK1" s="660"/>
      <c r="HYL1" s="660"/>
      <c r="HYM1" s="660"/>
      <c r="HYN1" s="660"/>
      <c r="HYO1" s="660"/>
      <c r="HYP1" s="660"/>
      <c r="HYQ1" s="660"/>
      <c r="HYR1" s="660"/>
      <c r="HYS1" s="660"/>
      <c r="HYT1" s="660"/>
      <c r="HYU1" s="660"/>
      <c r="HYV1" s="660"/>
      <c r="HYW1" s="660"/>
      <c r="HYX1" s="660"/>
      <c r="HYY1" s="660"/>
      <c r="HYZ1" s="660"/>
      <c r="HZA1" s="660"/>
      <c r="HZB1" s="660"/>
      <c r="HZC1" s="660"/>
      <c r="HZD1" s="660"/>
      <c r="HZE1" s="660"/>
      <c r="HZF1" s="660"/>
      <c r="HZG1" s="660"/>
      <c r="HZH1" s="660"/>
      <c r="HZI1" s="660"/>
      <c r="HZJ1" s="660"/>
      <c r="HZK1" s="660"/>
      <c r="HZL1" s="660"/>
      <c r="HZM1" s="660"/>
      <c r="HZN1" s="660"/>
      <c r="HZO1" s="660"/>
      <c r="HZP1" s="660"/>
      <c r="HZQ1" s="660"/>
      <c r="HZR1" s="660"/>
      <c r="HZS1" s="660"/>
      <c r="HZT1" s="660"/>
      <c r="HZU1" s="660"/>
      <c r="HZV1" s="660"/>
      <c r="HZW1" s="660"/>
      <c r="HZX1" s="660"/>
      <c r="HZY1" s="660"/>
      <c r="HZZ1" s="660"/>
      <c r="IAA1" s="660"/>
      <c r="IAB1" s="660"/>
      <c r="IAC1" s="660"/>
      <c r="IAD1" s="660"/>
      <c r="IAE1" s="660"/>
      <c r="IAF1" s="660"/>
      <c r="IAG1" s="660"/>
      <c r="IAH1" s="660"/>
      <c r="IAI1" s="660"/>
      <c r="IAJ1" s="660"/>
      <c r="IAK1" s="660"/>
      <c r="IAL1" s="660"/>
      <c r="IAM1" s="660"/>
      <c r="IAN1" s="660"/>
      <c r="IAO1" s="660"/>
      <c r="IAP1" s="660"/>
      <c r="IAQ1" s="660"/>
      <c r="IAR1" s="660"/>
      <c r="IAS1" s="660"/>
      <c r="IAT1" s="660"/>
      <c r="IAU1" s="660"/>
      <c r="IAV1" s="660"/>
      <c r="IAW1" s="660"/>
      <c r="IAX1" s="660"/>
      <c r="IAY1" s="660"/>
      <c r="IAZ1" s="660"/>
      <c r="IBA1" s="660"/>
      <c r="IBB1" s="660"/>
      <c r="IBC1" s="660"/>
      <c r="IBD1" s="660"/>
      <c r="IBE1" s="660"/>
      <c r="IBF1" s="660"/>
      <c r="IBG1" s="660"/>
      <c r="IBH1" s="660"/>
      <c r="IBI1" s="660"/>
      <c r="IBJ1" s="660"/>
      <c r="IBK1" s="660"/>
      <c r="IBL1" s="660"/>
      <c r="IBM1" s="660"/>
      <c r="IBN1" s="660"/>
      <c r="IBO1" s="660"/>
      <c r="IBP1" s="660"/>
      <c r="IBQ1" s="660"/>
      <c r="IBR1" s="660"/>
      <c r="IBS1" s="660"/>
      <c r="IBT1" s="660"/>
      <c r="IBU1" s="660"/>
      <c r="IBV1" s="660"/>
      <c r="IBW1" s="660"/>
      <c r="IBX1" s="660"/>
      <c r="IBY1" s="660"/>
      <c r="IBZ1" s="660"/>
      <c r="ICA1" s="660"/>
      <c r="ICB1" s="660"/>
      <c r="ICC1" s="660"/>
      <c r="ICD1" s="660"/>
      <c r="ICE1" s="660"/>
      <c r="ICF1" s="660"/>
      <c r="ICG1" s="660"/>
      <c r="ICH1" s="660"/>
      <c r="ICI1" s="660"/>
      <c r="ICJ1" s="660"/>
      <c r="ICK1" s="660"/>
      <c r="ICL1" s="660"/>
      <c r="ICM1" s="660"/>
      <c r="ICN1" s="660"/>
      <c r="ICO1" s="660"/>
      <c r="ICP1" s="660"/>
      <c r="ICQ1" s="660"/>
      <c r="ICR1" s="660"/>
      <c r="ICS1" s="660"/>
      <c r="ICT1" s="660"/>
      <c r="ICU1" s="660"/>
      <c r="ICV1" s="660"/>
      <c r="ICW1" s="660"/>
      <c r="ICX1" s="660"/>
      <c r="ICY1" s="660"/>
      <c r="ICZ1" s="660"/>
      <c r="IDA1" s="660"/>
      <c r="IDB1" s="660"/>
      <c r="IDC1" s="660"/>
      <c r="IDD1" s="660"/>
      <c r="IDE1" s="660"/>
      <c r="IDF1" s="660"/>
      <c r="IDG1" s="660"/>
      <c r="IDH1" s="660"/>
      <c r="IDI1" s="660"/>
      <c r="IDJ1" s="660"/>
      <c r="IDK1" s="660"/>
      <c r="IDL1" s="660"/>
      <c r="IDM1" s="660"/>
      <c r="IDN1" s="660"/>
      <c r="IDO1" s="660"/>
      <c r="IDP1" s="660"/>
      <c r="IDQ1" s="660"/>
      <c r="IDR1" s="660"/>
      <c r="IDS1" s="660"/>
      <c r="IDT1" s="660"/>
      <c r="IDU1" s="660"/>
      <c r="IDV1" s="660"/>
      <c r="IDW1" s="660"/>
      <c r="IDX1" s="660"/>
      <c r="IDY1" s="660"/>
      <c r="IDZ1" s="660"/>
      <c r="IEA1" s="660"/>
      <c r="IEB1" s="660"/>
      <c r="IEC1" s="660"/>
      <c r="IED1" s="660"/>
      <c r="IEE1" s="660"/>
      <c r="IEF1" s="660"/>
      <c r="IEG1" s="660"/>
      <c r="IEH1" s="660"/>
      <c r="IEI1" s="660"/>
      <c r="IEJ1" s="660"/>
      <c r="IEK1" s="660"/>
      <c r="IEL1" s="660"/>
      <c r="IEM1" s="660"/>
      <c r="IEN1" s="660"/>
      <c r="IEO1" s="660"/>
      <c r="IEP1" s="660"/>
      <c r="IEQ1" s="660"/>
      <c r="IER1" s="660"/>
      <c r="IES1" s="660"/>
      <c r="IET1" s="660"/>
      <c r="IEU1" s="660"/>
      <c r="IEV1" s="660"/>
      <c r="IEW1" s="660"/>
      <c r="IEX1" s="660"/>
      <c r="IEY1" s="660"/>
      <c r="IEZ1" s="660"/>
      <c r="IFA1" s="660"/>
      <c r="IFB1" s="660"/>
      <c r="IFC1" s="660"/>
      <c r="IFD1" s="660"/>
      <c r="IFE1" s="660"/>
      <c r="IFF1" s="660"/>
      <c r="IFG1" s="660"/>
      <c r="IFH1" s="660"/>
      <c r="IFI1" s="660"/>
      <c r="IFJ1" s="660"/>
      <c r="IFK1" s="660"/>
      <c r="IFL1" s="660"/>
      <c r="IFM1" s="660"/>
      <c r="IFN1" s="660"/>
      <c r="IFO1" s="660"/>
      <c r="IFP1" s="660"/>
      <c r="IFQ1" s="660"/>
      <c r="IFR1" s="660"/>
      <c r="IFS1" s="660"/>
      <c r="IFT1" s="660"/>
      <c r="IFU1" s="660"/>
      <c r="IFV1" s="660"/>
      <c r="IFW1" s="660"/>
      <c r="IFX1" s="660"/>
      <c r="IFY1" s="660"/>
      <c r="IFZ1" s="660"/>
      <c r="IGA1" s="660"/>
      <c r="IGB1" s="660"/>
      <c r="IGC1" s="660"/>
      <c r="IGD1" s="660"/>
      <c r="IGE1" s="660"/>
      <c r="IGF1" s="660"/>
      <c r="IGG1" s="660"/>
      <c r="IGH1" s="660"/>
      <c r="IGI1" s="660"/>
      <c r="IGJ1" s="660"/>
      <c r="IGK1" s="660"/>
      <c r="IGL1" s="660"/>
      <c r="IGM1" s="660"/>
      <c r="IGN1" s="660"/>
      <c r="IGO1" s="660"/>
      <c r="IGP1" s="660"/>
      <c r="IGQ1" s="660"/>
      <c r="IGR1" s="660"/>
      <c r="IGS1" s="660"/>
      <c r="IGT1" s="660"/>
      <c r="IGU1" s="660"/>
      <c r="IGV1" s="660"/>
      <c r="IGW1" s="660"/>
      <c r="IGX1" s="660"/>
      <c r="IGY1" s="660"/>
      <c r="IGZ1" s="660"/>
      <c r="IHA1" s="660"/>
      <c r="IHB1" s="660"/>
      <c r="IHC1" s="660"/>
      <c r="IHD1" s="660"/>
      <c r="IHE1" s="660"/>
      <c r="IHF1" s="660"/>
      <c r="IHG1" s="660"/>
      <c r="IHH1" s="660"/>
      <c r="IHI1" s="660"/>
      <c r="IHJ1" s="660"/>
      <c r="IHK1" s="660"/>
      <c r="IHL1" s="660"/>
      <c r="IHM1" s="660"/>
      <c r="IHN1" s="660"/>
      <c r="IHO1" s="660"/>
      <c r="IHP1" s="660"/>
      <c r="IHQ1" s="660"/>
      <c r="IHR1" s="660"/>
      <c r="IHS1" s="660"/>
      <c r="IHT1" s="660"/>
      <c r="IHU1" s="660"/>
      <c r="IHV1" s="660"/>
      <c r="IHW1" s="660"/>
      <c r="IHX1" s="660"/>
      <c r="IHY1" s="660"/>
      <c r="IHZ1" s="660"/>
      <c r="IIA1" s="660"/>
      <c r="IIB1" s="660"/>
      <c r="IIC1" s="660"/>
      <c r="IID1" s="660"/>
      <c r="IIE1" s="660"/>
      <c r="IIF1" s="660"/>
      <c r="IIG1" s="660"/>
      <c r="IIH1" s="660"/>
      <c r="III1" s="660"/>
      <c r="IIJ1" s="660"/>
      <c r="IIK1" s="660"/>
      <c r="IIL1" s="660"/>
      <c r="IIM1" s="660"/>
      <c r="IIN1" s="660"/>
      <c r="IIO1" s="660"/>
      <c r="IIP1" s="660"/>
      <c r="IIQ1" s="660"/>
      <c r="IIR1" s="660"/>
      <c r="IIS1" s="660"/>
      <c r="IIT1" s="660"/>
      <c r="IIU1" s="660"/>
      <c r="IIV1" s="660"/>
      <c r="IIW1" s="660"/>
      <c r="IIX1" s="660"/>
      <c r="IIY1" s="660"/>
      <c r="IIZ1" s="660"/>
      <c r="IJA1" s="660"/>
      <c r="IJB1" s="660"/>
      <c r="IJC1" s="660"/>
      <c r="IJD1" s="660"/>
      <c r="IJE1" s="660"/>
      <c r="IJF1" s="660"/>
      <c r="IJG1" s="660"/>
      <c r="IJH1" s="660"/>
      <c r="IJI1" s="660"/>
      <c r="IJJ1" s="660"/>
      <c r="IJK1" s="660"/>
      <c r="IJL1" s="660"/>
      <c r="IJM1" s="660"/>
      <c r="IJN1" s="660"/>
      <c r="IJO1" s="660"/>
      <c r="IJP1" s="660"/>
      <c r="IJQ1" s="660"/>
      <c r="IJR1" s="660"/>
      <c r="IJS1" s="660"/>
      <c r="IJT1" s="660"/>
      <c r="IJU1" s="660"/>
      <c r="IJV1" s="660"/>
      <c r="IJW1" s="660"/>
      <c r="IJX1" s="660"/>
      <c r="IJY1" s="660"/>
      <c r="IJZ1" s="660"/>
      <c r="IKA1" s="660"/>
      <c r="IKB1" s="660"/>
      <c r="IKC1" s="660"/>
      <c r="IKD1" s="660"/>
      <c r="IKE1" s="660"/>
      <c r="IKF1" s="660"/>
      <c r="IKG1" s="660"/>
      <c r="IKH1" s="660"/>
      <c r="IKI1" s="660"/>
      <c r="IKJ1" s="660"/>
      <c r="IKK1" s="660"/>
      <c r="IKL1" s="660"/>
      <c r="IKM1" s="660"/>
      <c r="IKN1" s="660"/>
      <c r="IKO1" s="660"/>
      <c r="IKP1" s="660"/>
      <c r="IKQ1" s="660"/>
      <c r="IKR1" s="660"/>
      <c r="IKS1" s="660"/>
      <c r="IKT1" s="660"/>
      <c r="IKU1" s="660"/>
      <c r="IKV1" s="660"/>
      <c r="IKW1" s="660"/>
      <c r="IKX1" s="660"/>
      <c r="IKY1" s="660"/>
      <c r="IKZ1" s="660"/>
      <c r="ILA1" s="660"/>
      <c r="ILB1" s="660"/>
      <c r="ILC1" s="660"/>
      <c r="ILD1" s="660"/>
      <c r="ILE1" s="660"/>
      <c r="ILF1" s="660"/>
      <c r="ILG1" s="660"/>
      <c r="ILH1" s="660"/>
      <c r="ILI1" s="660"/>
      <c r="ILJ1" s="660"/>
      <c r="ILK1" s="660"/>
      <c r="ILL1" s="660"/>
      <c r="ILM1" s="660"/>
      <c r="ILN1" s="660"/>
      <c r="ILO1" s="660"/>
      <c r="ILP1" s="660"/>
      <c r="ILQ1" s="660"/>
      <c r="ILR1" s="660"/>
      <c r="ILS1" s="660"/>
      <c r="ILT1" s="660"/>
      <c r="ILU1" s="660"/>
      <c r="ILV1" s="660"/>
      <c r="ILW1" s="660"/>
      <c r="ILX1" s="660"/>
      <c r="ILY1" s="660"/>
      <c r="ILZ1" s="660"/>
      <c r="IMA1" s="660"/>
      <c r="IMB1" s="660"/>
      <c r="IMC1" s="660"/>
      <c r="IMD1" s="660"/>
      <c r="IME1" s="660"/>
      <c r="IMF1" s="660"/>
      <c r="IMG1" s="660"/>
      <c r="IMH1" s="660"/>
      <c r="IMI1" s="660"/>
      <c r="IMJ1" s="660"/>
      <c r="IMK1" s="660"/>
      <c r="IML1" s="660"/>
      <c r="IMM1" s="660"/>
      <c r="IMN1" s="660"/>
      <c r="IMO1" s="660"/>
      <c r="IMP1" s="660"/>
      <c r="IMQ1" s="660"/>
      <c r="IMR1" s="660"/>
      <c r="IMS1" s="660"/>
      <c r="IMT1" s="660"/>
      <c r="IMU1" s="660"/>
      <c r="IMV1" s="660"/>
      <c r="IMW1" s="660"/>
      <c r="IMX1" s="660"/>
      <c r="IMY1" s="660"/>
      <c r="IMZ1" s="660"/>
      <c r="INA1" s="660"/>
      <c r="INB1" s="660"/>
      <c r="INC1" s="660"/>
      <c r="IND1" s="660"/>
      <c r="INE1" s="660"/>
      <c r="INF1" s="660"/>
      <c r="ING1" s="660"/>
      <c r="INH1" s="660"/>
      <c r="INI1" s="660"/>
      <c r="INJ1" s="660"/>
      <c r="INK1" s="660"/>
      <c r="INL1" s="660"/>
      <c r="INM1" s="660"/>
      <c r="INN1" s="660"/>
      <c r="INO1" s="660"/>
      <c r="INP1" s="660"/>
      <c r="INQ1" s="660"/>
      <c r="INR1" s="660"/>
      <c r="INS1" s="660"/>
      <c r="INT1" s="660"/>
      <c r="INU1" s="660"/>
      <c r="INV1" s="660"/>
      <c r="INW1" s="660"/>
      <c r="INX1" s="660"/>
      <c r="INY1" s="660"/>
      <c r="INZ1" s="660"/>
      <c r="IOA1" s="660"/>
      <c r="IOB1" s="660"/>
      <c r="IOC1" s="660"/>
      <c r="IOD1" s="660"/>
      <c r="IOE1" s="660"/>
      <c r="IOF1" s="660"/>
      <c r="IOG1" s="660"/>
      <c r="IOH1" s="660"/>
      <c r="IOI1" s="660"/>
      <c r="IOJ1" s="660"/>
      <c r="IOK1" s="660"/>
      <c r="IOL1" s="660"/>
      <c r="IOM1" s="660"/>
      <c r="ION1" s="660"/>
      <c r="IOO1" s="660"/>
      <c r="IOP1" s="660"/>
      <c r="IOQ1" s="660"/>
      <c r="IOR1" s="660"/>
      <c r="IOS1" s="660"/>
      <c r="IOT1" s="660"/>
      <c r="IOU1" s="660"/>
      <c r="IOV1" s="660"/>
      <c r="IOW1" s="660"/>
      <c r="IOX1" s="660"/>
      <c r="IOY1" s="660"/>
      <c r="IOZ1" s="660"/>
      <c r="IPA1" s="660"/>
      <c r="IPB1" s="660"/>
      <c r="IPC1" s="660"/>
      <c r="IPD1" s="660"/>
      <c r="IPE1" s="660"/>
      <c r="IPF1" s="660"/>
      <c r="IPG1" s="660"/>
      <c r="IPH1" s="660"/>
      <c r="IPI1" s="660"/>
      <c r="IPJ1" s="660"/>
      <c r="IPK1" s="660"/>
      <c r="IPL1" s="660"/>
      <c r="IPM1" s="660"/>
      <c r="IPN1" s="660"/>
      <c r="IPO1" s="660"/>
      <c r="IPP1" s="660"/>
      <c r="IPQ1" s="660"/>
      <c r="IPR1" s="660"/>
      <c r="IPS1" s="660"/>
      <c r="IPT1" s="660"/>
      <c r="IPU1" s="660"/>
      <c r="IPV1" s="660"/>
      <c r="IPW1" s="660"/>
      <c r="IPX1" s="660"/>
      <c r="IPY1" s="660"/>
      <c r="IPZ1" s="660"/>
      <c r="IQA1" s="660"/>
      <c r="IQB1" s="660"/>
      <c r="IQC1" s="660"/>
      <c r="IQD1" s="660"/>
      <c r="IQE1" s="660"/>
      <c r="IQF1" s="660"/>
      <c r="IQG1" s="660"/>
      <c r="IQH1" s="660"/>
      <c r="IQI1" s="660"/>
      <c r="IQJ1" s="660"/>
      <c r="IQK1" s="660"/>
      <c r="IQL1" s="660"/>
      <c r="IQM1" s="660"/>
      <c r="IQN1" s="660"/>
      <c r="IQO1" s="660"/>
      <c r="IQP1" s="660"/>
      <c r="IQQ1" s="660"/>
      <c r="IQR1" s="660"/>
      <c r="IQS1" s="660"/>
      <c r="IQT1" s="660"/>
      <c r="IQU1" s="660"/>
      <c r="IQV1" s="660"/>
      <c r="IQW1" s="660"/>
      <c r="IQX1" s="660"/>
      <c r="IQY1" s="660"/>
      <c r="IQZ1" s="660"/>
      <c r="IRA1" s="660"/>
      <c r="IRB1" s="660"/>
      <c r="IRC1" s="660"/>
      <c r="IRD1" s="660"/>
      <c r="IRE1" s="660"/>
      <c r="IRF1" s="660"/>
      <c r="IRG1" s="660"/>
      <c r="IRH1" s="660"/>
      <c r="IRI1" s="660"/>
      <c r="IRJ1" s="660"/>
      <c r="IRK1" s="660"/>
      <c r="IRL1" s="660"/>
      <c r="IRM1" s="660"/>
      <c r="IRN1" s="660"/>
      <c r="IRO1" s="660"/>
      <c r="IRP1" s="660"/>
      <c r="IRQ1" s="660"/>
      <c r="IRR1" s="660"/>
      <c r="IRS1" s="660"/>
      <c r="IRT1" s="660"/>
      <c r="IRU1" s="660"/>
      <c r="IRV1" s="660"/>
      <c r="IRW1" s="660"/>
      <c r="IRX1" s="660"/>
      <c r="IRY1" s="660"/>
      <c r="IRZ1" s="660"/>
      <c r="ISA1" s="660"/>
      <c r="ISB1" s="660"/>
      <c r="ISC1" s="660"/>
      <c r="ISD1" s="660"/>
      <c r="ISE1" s="660"/>
      <c r="ISF1" s="660"/>
      <c r="ISG1" s="660"/>
      <c r="ISH1" s="660"/>
      <c r="ISI1" s="660"/>
      <c r="ISJ1" s="660"/>
      <c r="ISK1" s="660"/>
      <c r="ISL1" s="660"/>
      <c r="ISM1" s="660"/>
      <c r="ISN1" s="660"/>
      <c r="ISO1" s="660"/>
      <c r="ISP1" s="660"/>
      <c r="ISQ1" s="660"/>
      <c r="ISR1" s="660"/>
      <c r="ISS1" s="660"/>
      <c r="IST1" s="660"/>
      <c r="ISU1" s="660"/>
      <c r="ISV1" s="660"/>
      <c r="ISW1" s="660"/>
      <c r="ISX1" s="660"/>
      <c r="ISY1" s="660"/>
      <c r="ISZ1" s="660"/>
      <c r="ITA1" s="660"/>
      <c r="ITB1" s="660"/>
      <c r="ITC1" s="660"/>
      <c r="ITD1" s="660"/>
      <c r="ITE1" s="660"/>
      <c r="ITF1" s="660"/>
      <c r="ITG1" s="660"/>
      <c r="ITH1" s="660"/>
      <c r="ITI1" s="660"/>
      <c r="ITJ1" s="660"/>
      <c r="ITK1" s="660"/>
      <c r="ITL1" s="660"/>
      <c r="ITM1" s="660"/>
      <c r="ITN1" s="660"/>
      <c r="ITO1" s="660"/>
      <c r="ITP1" s="660"/>
      <c r="ITQ1" s="660"/>
      <c r="ITR1" s="660"/>
      <c r="ITS1" s="660"/>
      <c r="ITT1" s="660"/>
      <c r="ITU1" s="660"/>
      <c r="ITV1" s="660"/>
      <c r="ITW1" s="660"/>
      <c r="ITX1" s="660"/>
      <c r="ITY1" s="660"/>
      <c r="ITZ1" s="660"/>
      <c r="IUA1" s="660"/>
      <c r="IUB1" s="660"/>
      <c r="IUC1" s="660"/>
      <c r="IUD1" s="660"/>
      <c r="IUE1" s="660"/>
      <c r="IUF1" s="660"/>
      <c r="IUG1" s="660"/>
      <c r="IUH1" s="660"/>
      <c r="IUI1" s="660"/>
      <c r="IUJ1" s="660"/>
      <c r="IUK1" s="660"/>
      <c r="IUL1" s="660"/>
      <c r="IUM1" s="660"/>
      <c r="IUN1" s="660"/>
      <c r="IUO1" s="660"/>
      <c r="IUP1" s="660"/>
      <c r="IUQ1" s="660"/>
      <c r="IUR1" s="660"/>
      <c r="IUS1" s="660"/>
      <c r="IUT1" s="660"/>
      <c r="IUU1" s="660"/>
      <c r="IUV1" s="660"/>
      <c r="IUW1" s="660"/>
      <c r="IUX1" s="660"/>
      <c r="IUY1" s="660"/>
      <c r="IUZ1" s="660"/>
      <c r="IVA1" s="660"/>
      <c r="IVB1" s="660"/>
      <c r="IVC1" s="660"/>
      <c r="IVD1" s="660"/>
      <c r="IVE1" s="660"/>
      <c r="IVF1" s="660"/>
      <c r="IVG1" s="660"/>
      <c r="IVH1" s="660"/>
      <c r="IVI1" s="660"/>
      <c r="IVJ1" s="660"/>
      <c r="IVK1" s="660"/>
      <c r="IVL1" s="660"/>
      <c r="IVM1" s="660"/>
      <c r="IVN1" s="660"/>
      <c r="IVO1" s="660"/>
      <c r="IVP1" s="660"/>
      <c r="IVQ1" s="660"/>
      <c r="IVR1" s="660"/>
      <c r="IVS1" s="660"/>
      <c r="IVT1" s="660"/>
      <c r="IVU1" s="660"/>
      <c r="IVV1" s="660"/>
      <c r="IVW1" s="660"/>
      <c r="IVX1" s="660"/>
      <c r="IVY1" s="660"/>
      <c r="IVZ1" s="660"/>
      <c r="IWA1" s="660"/>
      <c r="IWB1" s="660"/>
      <c r="IWC1" s="660"/>
      <c r="IWD1" s="660"/>
      <c r="IWE1" s="660"/>
      <c r="IWF1" s="660"/>
      <c r="IWG1" s="660"/>
      <c r="IWH1" s="660"/>
      <c r="IWI1" s="660"/>
      <c r="IWJ1" s="660"/>
      <c r="IWK1" s="660"/>
      <c r="IWL1" s="660"/>
      <c r="IWM1" s="660"/>
      <c r="IWN1" s="660"/>
      <c r="IWO1" s="660"/>
      <c r="IWP1" s="660"/>
      <c r="IWQ1" s="660"/>
      <c r="IWR1" s="660"/>
      <c r="IWS1" s="660"/>
      <c r="IWT1" s="660"/>
      <c r="IWU1" s="660"/>
      <c r="IWV1" s="660"/>
      <c r="IWW1" s="660"/>
      <c r="IWX1" s="660"/>
      <c r="IWY1" s="660"/>
      <c r="IWZ1" s="660"/>
      <c r="IXA1" s="660"/>
      <c r="IXB1" s="660"/>
      <c r="IXC1" s="660"/>
      <c r="IXD1" s="660"/>
      <c r="IXE1" s="660"/>
      <c r="IXF1" s="660"/>
      <c r="IXG1" s="660"/>
      <c r="IXH1" s="660"/>
      <c r="IXI1" s="660"/>
      <c r="IXJ1" s="660"/>
      <c r="IXK1" s="660"/>
      <c r="IXL1" s="660"/>
      <c r="IXM1" s="660"/>
      <c r="IXN1" s="660"/>
      <c r="IXO1" s="660"/>
      <c r="IXP1" s="660"/>
      <c r="IXQ1" s="660"/>
      <c r="IXR1" s="660"/>
      <c r="IXS1" s="660"/>
      <c r="IXT1" s="660"/>
      <c r="IXU1" s="660"/>
      <c r="IXV1" s="660"/>
      <c r="IXW1" s="660"/>
      <c r="IXX1" s="660"/>
      <c r="IXY1" s="660"/>
      <c r="IXZ1" s="660"/>
      <c r="IYA1" s="660"/>
      <c r="IYB1" s="660"/>
      <c r="IYC1" s="660"/>
      <c r="IYD1" s="660"/>
      <c r="IYE1" s="660"/>
      <c r="IYF1" s="660"/>
      <c r="IYG1" s="660"/>
      <c r="IYH1" s="660"/>
      <c r="IYI1" s="660"/>
      <c r="IYJ1" s="660"/>
      <c r="IYK1" s="660"/>
      <c r="IYL1" s="660"/>
      <c r="IYM1" s="660"/>
      <c r="IYN1" s="660"/>
      <c r="IYO1" s="660"/>
      <c r="IYP1" s="660"/>
      <c r="IYQ1" s="660"/>
      <c r="IYR1" s="660"/>
      <c r="IYS1" s="660"/>
      <c r="IYT1" s="660"/>
      <c r="IYU1" s="660"/>
      <c r="IYV1" s="660"/>
      <c r="IYW1" s="660"/>
      <c r="IYX1" s="660"/>
      <c r="IYY1" s="660"/>
      <c r="IYZ1" s="660"/>
      <c r="IZA1" s="660"/>
      <c r="IZB1" s="660"/>
      <c r="IZC1" s="660"/>
      <c r="IZD1" s="660"/>
      <c r="IZE1" s="660"/>
      <c r="IZF1" s="660"/>
      <c r="IZG1" s="660"/>
      <c r="IZH1" s="660"/>
      <c r="IZI1" s="660"/>
      <c r="IZJ1" s="660"/>
      <c r="IZK1" s="660"/>
      <c r="IZL1" s="660"/>
      <c r="IZM1" s="660"/>
      <c r="IZN1" s="660"/>
      <c r="IZO1" s="660"/>
      <c r="IZP1" s="660"/>
      <c r="IZQ1" s="660"/>
      <c r="IZR1" s="660"/>
      <c r="IZS1" s="660"/>
      <c r="IZT1" s="660"/>
      <c r="IZU1" s="660"/>
      <c r="IZV1" s="660"/>
      <c r="IZW1" s="660"/>
      <c r="IZX1" s="660"/>
      <c r="IZY1" s="660"/>
      <c r="IZZ1" s="660"/>
      <c r="JAA1" s="660"/>
      <c r="JAB1" s="660"/>
      <c r="JAC1" s="660"/>
      <c r="JAD1" s="660"/>
      <c r="JAE1" s="660"/>
      <c r="JAF1" s="660"/>
      <c r="JAG1" s="660"/>
      <c r="JAH1" s="660"/>
      <c r="JAI1" s="660"/>
      <c r="JAJ1" s="660"/>
      <c r="JAK1" s="660"/>
      <c r="JAL1" s="660"/>
      <c r="JAM1" s="660"/>
      <c r="JAN1" s="660"/>
      <c r="JAO1" s="660"/>
      <c r="JAP1" s="660"/>
      <c r="JAQ1" s="660"/>
      <c r="JAR1" s="660"/>
      <c r="JAS1" s="660"/>
      <c r="JAT1" s="660"/>
      <c r="JAU1" s="660"/>
      <c r="JAV1" s="660"/>
      <c r="JAW1" s="660"/>
      <c r="JAX1" s="660"/>
      <c r="JAY1" s="660"/>
      <c r="JAZ1" s="660"/>
      <c r="JBA1" s="660"/>
      <c r="JBB1" s="660"/>
      <c r="JBC1" s="660"/>
      <c r="JBD1" s="660"/>
      <c r="JBE1" s="660"/>
      <c r="JBF1" s="660"/>
      <c r="JBG1" s="660"/>
      <c r="JBH1" s="660"/>
      <c r="JBI1" s="660"/>
      <c r="JBJ1" s="660"/>
      <c r="JBK1" s="660"/>
      <c r="JBL1" s="660"/>
      <c r="JBM1" s="660"/>
      <c r="JBN1" s="660"/>
      <c r="JBO1" s="660"/>
      <c r="JBP1" s="660"/>
      <c r="JBQ1" s="660"/>
      <c r="JBR1" s="660"/>
      <c r="JBS1" s="660"/>
      <c r="JBT1" s="660"/>
      <c r="JBU1" s="660"/>
      <c r="JBV1" s="660"/>
      <c r="JBW1" s="660"/>
      <c r="JBX1" s="660"/>
      <c r="JBY1" s="660"/>
      <c r="JBZ1" s="660"/>
      <c r="JCA1" s="660"/>
      <c r="JCB1" s="660"/>
      <c r="JCC1" s="660"/>
      <c r="JCD1" s="660"/>
      <c r="JCE1" s="660"/>
      <c r="JCF1" s="660"/>
      <c r="JCG1" s="660"/>
      <c r="JCH1" s="660"/>
      <c r="JCI1" s="660"/>
      <c r="JCJ1" s="660"/>
      <c r="JCK1" s="660"/>
      <c r="JCL1" s="660"/>
      <c r="JCM1" s="660"/>
      <c r="JCN1" s="660"/>
      <c r="JCO1" s="660"/>
      <c r="JCP1" s="660"/>
      <c r="JCQ1" s="660"/>
      <c r="JCR1" s="660"/>
      <c r="JCS1" s="660"/>
      <c r="JCT1" s="660"/>
      <c r="JCU1" s="660"/>
      <c r="JCV1" s="660"/>
      <c r="JCW1" s="660"/>
      <c r="JCX1" s="660"/>
      <c r="JCY1" s="660"/>
      <c r="JCZ1" s="660"/>
      <c r="JDA1" s="660"/>
      <c r="JDB1" s="660"/>
      <c r="JDC1" s="660"/>
      <c r="JDD1" s="660"/>
      <c r="JDE1" s="660"/>
      <c r="JDF1" s="660"/>
      <c r="JDG1" s="660"/>
      <c r="JDH1" s="660"/>
      <c r="JDI1" s="660"/>
      <c r="JDJ1" s="660"/>
      <c r="JDK1" s="660"/>
      <c r="JDL1" s="660"/>
      <c r="JDM1" s="660"/>
      <c r="JDN1" s="660"/>
      <c r="JDO1" s="660"/>
      <c r="JDP1" s="660"/>
      <c r="JDQ1" s="660"/>
      <c r="JDR1" s="660"/>
      <c r="JDS1" s="660"/>
      <c r="JDT1" s="660"/>
      <c r="JDU1" s="660"/>
      <c r="JDV1" s="660"/>
      <c r="JDW1" s="660"/>
      <c r="JDX1" s="660"/>
      <c r="JDY1" s="660"/>
      <c r="JDZ1" s="660"/>
      <c r="JEA1" s="660"/>
      <c r="JEB1" s="660"/>
      <c r="JEC1" s="660"/>
      <c r="JED1" s="660"/>
      <c r="JEE1" s="660"/>
      <c r="JEF1" s="660"/>
      <c r="JEG1" s="660"/>
      <c r="JEH1" s="660"/>
      <c r="JEI1" s="660"/>
      <c r="JEJ1" s="660"/>
      <c r="JEK1" s="660"/>
      <c r="JEL1" s="660"/>
      <c r="JEM1" s="660"/>
      <c r="JEN1" s="660"/>
      <c r="JEO1" s="660"/>
      <c r="JEP1" s="660"/>
      <c r="JEQ1" s="660"/>
      <c r="JER1" s="660"/>
      <c r="JES1" s="660"/>
      <c r="JET1" s="660"/>
      <c r="JEU1" s="660"/>
      <c r="JEV1" s="660"/>
      <c r="JEW1" s="660"/>
      <c r="JEX1" s="660"/>
      <c r="JEY1" s="660"/>
      <c r="JEZ1" s="660"/>
      <c r="JFA1" s="660"/>
      <c r="JFB1" s="660"/>
      <c r="JFC1" s="660"/>
      <c r="JFD1" s="660"/>
      <c r="JFE1" s="660"/>
      <c r="JFF1" s="660"/>
      <c r="JFG1" s="660"/>
      <c r="JFH1" s="660"/>
      <c r="JFI1" s="660"/>
      <c r="JFJ1" s="660"/>
      <c r="JFK1" s="660"/>
      <c r="JFL1" s="660"/>
      <c r="JFM1" s="660"/>
      <c r="JFN1" s="660"/>
      <c r="JFO1" s="660"/>
      <c r="JFP1" s="660"/>
      <c r="JFQ1" s="660"/>
      <c r="JFR1" s="660"/>
      <c r="JFS1" s="660"/>
      <c r="JFT1" s="660"/>
      <c r="JFU1" s="660"/>
      <c r="JFV1" s="660"/>
      <c r="JFW1" s="660"/>
      <c r="JFX1" s="660"/>
      <c r="JFY1" s="660"/>
      <c r="JFZ1" s="660"/>
      <c r="JGA1" s="660"/>
      <c r="JGB1" s="660"/>
      <c r="JGC1" s="660"/>
      <c r="JGD1" s="660"/>
      <c r="JGE1" s="660"/>
      <c r="JGF1" s="660"/>
      <c r="JGG1" s="660"/>
      <c r="JGH1" s="660"/>
      <c r="JGI1" s="660"/>
      <c r="JGJ1" s="660"/>
      <c r="JGK1" s="660"/>
      <c r="JGL1" s="660"/>
      <c r="JGM1" s="660"/>
      <c r="JGN1" s="660"/>
      <c r="JGO1" s="660"/>
      <c r="JGP1" s="660"/>
      <c r="JGQ1" s="660"/>
      <c r="JGR1" s="660"/>
      <c r="JGS1" s="660"/>
      <c r="JGT1" s="660"/>
      <c r="JGU1" s="660"/>
      <c r="JGV1" s="660"/>
      <c r="JGW1" s="660"/>
      <c r="JGX1" s="660"/>
      <c r="JGY1" s="660"/>
      <c r="JGZ1" s="660"/>
      <c r="JHA1" s="660"/>
      <c r="JHB1" s="660"/>
      <c r="JHC1" s="660"/>
      <c r="JHD1" s="660"/>
      <c r="JHE1" s="660"/>
      <c r="JHF1" s="660"/>
      <c r="JHG1" s="660"/>
      <c r="JHH1" s="660"/>
      <c r="JHI1" s="660"/>
      <c r="JHJ1" s="660"/>
      <c r="JHK1" s="660"/>
      <c r="JHL1" s="660"/>
      <c r="JHM1" s="660"/>
      <c r="JHN1" s="660"/>
      <c r="JHO1" s="660"/>
      <c r="JHP1" s="660"/>
      <c r="JHQ1" s="660"/>
      <c r="JHR1" s="660"/>
      <c r="JHS1" s="660"/>
      <c r="JHT1" s="660"/>
      <c r="JHU1" s="660"/>
      <c r="JHV1" s="660"/>
      <c r="JHW1" s="660"/>
      <c r="JHX1" s="660"/>
      <c r="JHY1" s="660"/>
      <c r="JHZ1" s="660"/>
      <c r="JIA1" s="660"/>
      <c r="JIB1" s="660"/>
      <c r="JIC1" s="660"/>
      <c r="JID1" s="660"/>
      <c r="JIE1" s="660"/>
      <c r="JIF1" s="660"/>
      <c r="JIG1" s="660"/>
      <c r="JIH1" s="660"/>
      <c r="JII1" s="660"/>
      <c r="JIJ1" s="660"/>
      <c r="JIK1" s="660"/>
      <c r="JIL1" s="660"/>
      <c r="JIM1" s="660"/>
      <c r="JIN1" s="660"/>
      <c r="JIO1" s="660"/>
      <c r="JIP1" s="660"/>
      <c r="JIQ1" s="660"/>
      <c r="JIR1" s="660"/>
      <c r="JIS1" s="660"/>
      <c r="JIT1" s="660"/>
      <c r="JIU1" s="660"/>
      <c r="JIV1" s="660"/>
      <c r="JIW1" s="660"/>
      <c r="JIX1" s="660"/>
      <c r="JIY1" s="660"/>
      <c r="JIZ1" s="660"/>
      <c r="JJA1" s="660"/>
      <c r="JJB1" s="660"/>
      <c r="JJC1" s="660"/>
      <c r="JJD1" s="660"/>
      <c r="JJE1" s="660"/>
      <c r="JJF1" s="660"/>
      <c r="JJG1" s="660"/>
      <c r="JJH1" s="660"/>
      <c r="JJI1" s="660"/>
      <c r="JJJ1" s="660"/>
      <c r="JJK1" s="660"/>
      <c r="JJL1" s="660"/>
      <c r="JJM1" s="660"/>
      <c r="JJN1" s="660"/>
      <c r="JJO1" s="660"/>
      <c r="JJP1" s="660"/>
      <c r="JJQ1" s="660"/>
      <c r="JJR1" s="660"/>
      <c r="JJS1" s="660"/>
      <c r="JJT1" s="660"/>
      <c r="JJU1" s="660"/>
      <c r="JJV1" s="660"/>
      <c r="JJW1" s="660"/>
      <c r="JJX1" s="660"/>
      <c r="JJY1" s="660"/>
      <c r="JJZ1" s="660"/>
      <c r="JKA1" s="660"/>
      <c r="JKB1" s="660"/>
      <c r="JKC1" s="660"/>
      <c r="JKD1" s="660"/>
      <c r="JKE1" s="660"/>
      <c r="JKF1" s="660"/>
      <c r="JKG1" s="660"/>
      <c r="JKH1" s="660"/>
      <c r="JKI1" s="660"/>
      <c r="JKJ1" s="660"/>
      <c r="JKK1" s="660"/>
      <c r="JKL1" s="660"/>
      <c r="JKM1" s="660"/>
      <c r="JKN1" s="660"/>
      <c r="JKO1" s="660"/>
      <c r="JKP1" s="660"/>
      <c r="JKQ1" s="660"/>
      <c r="JKR1" s="660"/>
      <c r="JKS1" s="660"/>
      <c r="JKT1" s="660"/>
      <c r="JKU1" s="660"/>
      <c r="JKV1" s="660"/>
      <c r="JKW1" s="660"/>
      <c r="JKX1" s="660"/>
      <c r="JKY1" s="660"/>
      <c r="JKZ1" s="660"/>
      <c r="JLA1" s="660"/>
      <c r="JLB1" s="660"/>
      <c r="JLC1" s="660"/>
      <c r="JLD1" s="660"/>
      <c r="JLE1" s="660"/>
      <c r="JLF1" s="660"/>
      <c r="JLG1" s="660"/>
      <c r="JLH1" s="660"/>
      <c r="JLI1" s="660"/>
      <c r="JLJ1" s="660"/>
      <c r="JLK1" s="660"/>
      <c r="JLL1" s="660"/>
      <c r="JLM1" s="660"/>
      <c r="JLN1" s="660"/>
      <c r="JLO1" s="660"/>
      <c r="JLP1" s="660"/>
      <c r="JLQ1" s="660"/>
      <c r="JLR1" s="660"/>
      <c r="JLS1" s="660"/>
      <c r="JLT1" s="660"/>
      <c r="JLU1" s="660"/>
      <c r="JLV1" s="660"/>
      <c r="JLW1" s="660"/>
      <c r="JLX1" s="660"/>
      <c r="JLY1" s="660"/>
      <c r="JLZ1" s="660"/>
      <c r="JMA1" s="660"/>
      <c r="JMB1" s="660"/>
      <c r="JMC1" s="660"/>
      <c r="JMD1" s="660"/>
      <c r="JME1" s="660"/>
      <c r="JMF1" s="660"/>
      <c r="JMG1" s="660"/>
      <c r="JMH1" s="660"/>
      <c r="JMI1" s="660"/>
      <c r="JMJ1" s="660"/>
      <c r="JMK1" s="660"/>
      <c r="JML1" s="660"/>
      <c r="JMM1" s="660"/>
      <c r="JMN1" s="660"/>
      <c r="JMO1" s="660"/>
      <c r="JMP1" s="660"/>
      <c r="JMQ1" s="660"/>
      <c r="JMR1" s="660"/>
      <c r="JMS1" s="660"/>
      <c r="JMT1" s="660"/>
      <c r="JMU1" s="660"/>
      <c r="JMV1" s="660"/>
      <c r="JMW1" s="660"/>
      <c r="JMX1" s="660"/>
      <c r="JMY1" s="660"/>
      <c r="JMZ1" s="660"/>
      <c r="JNA1" s="660"/>
      <c r="JNB1" s="660"/>
      <c r="JNC1" s="660"/>
      <c r="JND1" s="660"/>
      <c r="JNE1" s="660"/>
      <c r="JNF1" s="660"/>
      <c r="JNG1" s="660"/>
      <c r="JNH1" s="660"/>
      <c r="JNI1" s="660"/>
      <c r="JNJ1" s="660"/>
      <c r="JNK1" s="660"/>
      <c r="JNL1" s="660"/>
      <c r="JNM1" s="660"/>
      <c r="JNN1" s="660"/>
      <c r="JNO1" s="660"/>
      <c r="JNP1" s="660"/>
      <c r="JNQ1" s="660"/>
      <c r="JNR1" s="660"/>
      <c r="JNS1" s="660"/>
      <c r="JNT1" s="660"/>
      <c r="JNU1" s="660"/>
      <c r="JNV1" s="660"/>
      <c r="JNW1" s="660"/>
      <c r="JNX1" s="660"/>
      <c r="JNY1" s="660"/>
      <c r="JNZ1" s="660"/>
      <c r="JOA1" s="660"/>
      <c r="JOB1" s="660"/>
      <c r="JOC1" s="660"/>
      <c r="JOD1" s="660"/>
      <c r="JOE1" s="660"/>
      <c r="JOF1" s="660"/>
      <c r="JOG1" s="660"/>
      <c r="JOH1" s="660"/>
      <c r="JOI1" s="660"/>
      <c r="JOJ1" s="660"/>
      <c r="JOK1" s="660"/>
      <c r="JOL1" s="660"/>
      <c r="JOM1" s="660"/>
      <c r="JON1" s="660"/>
      <c r="JOO1" s="660"/>
      <c r="JOP1" s="660"/>
      <c r="JOQ1" s="660"/>
      <c r="JOR1" s="660"/>
      <c r="JOS1" s="660"/>
      <c r="JOT1" s="660"/>
      <c r="JOU1" s="660"/>
      <c r="JOV1" s="660"/>
      <c r="JOW1" s="660"/>
      <c r="JOX1" s="660"/>
      <c r="JOY1" s="660"/>
      <c r="JOZ1" s="660"/>
      <c r="JPA1" s="660"/>
      <c r="JPB1" s="660"/>
      <c r="JPC1" s="660"/>
      <c r="JPD1" s="660"/>
      <c r="JPE1" s="660"/>
      <c r="JPF1" s="660"/>
      <c r="JPG1" s="660"/>
      <c r="JPH1" s="660"/>
      <c r="JPI1" s="660"/>
      <c r="JPJ1" s="660"/>
      <c r="JPK1" s="660"/>
      <c r="JPL1" s="660"/>
      <c r="JPM1" s="660"/>
      <c r="JPN1" s="660"/>
      <c r="JPO1" s="660"/>
      <c r="JPP1" s="660"/>
      <c r="JPQ1" s="660"/>
      <c r="JPR1" s="660"/>
      <c r="JPS1" s="660"/>
      <c r="JPT1" s="660"/>
      <c r="JPU1" s="660"/>
      <c r="JPV1" s="660"/>
      <c r="JPW1" s="660"/>
      <c r="JPX1" s="660"/>
      <c r="JPY1" s="660"/>
      <c r="JPZ1" s="660"/>
      <c r="JQA1" s="660"/>
      <c r="JQB1" s="660"/>
      <c r="JQC1" s="660"/>
      <c r="JQD1" s="660"/>
      <c r="JQE1" s="660"/>
      <c r="JQF1" s="660"/>
      <c r="JQG1" s="660"/>
      <c r="JQH1" s="660"/>
      <c r="JQI1" s="660"/>
      <c r="JQJ1" s="660"/>
      <c r="JQK1" s="660"/>
      <c r="JQL1" s="660"/>
      <c r="JQM1" s="660"/>
      <c r="JQN1" s="660"/>
      <c r="JQO1" s="660"/>
      <c r="JQP1" s="660"/>
      <c r="JQQ1" s="660"/>
      <c r="JQR1" s="660"/>
      <c r="JQS1" s="660"/>
      <c r="JQT1" s="660"/>
      <c r="JQU1" s="660"/>
      <c r="JQV1" s="660"/>
      <c r="JQW1" s="660"/>
      <c r="JQX1" s="660"/>
      <c r="JQY1" s="660"/>
      <c r="JQZ1" s="660"/>
      <c r="JRA1" s="660"/>
      <c r="JRB1" s="660"/>
      <c r="JRC1" s="660"/>
      <c r="JRD1" s="660"/>
      <c r="JRE1" s="660"/>
      <c r="JRF1" s="660"/>
      <c r="JRG1" s="660"/>
      <c r="JRH1" s="660"/>
      <c r="JRI1" s="660"/>
      <c r="JRJ1" s="660"/>
      <c r="JRK1" s="660"/>
      <c r="JRL1" s="660"/>
      <c r="JRM1" s="660"/>
      <c r="JRN1" s="660"/>
      <c r="JRO1" s="660"/>
      <c r="JRP1" s="660"/>
      <c r="JRQ1" s="660"/>
      <c r="JRR1" s="660"/>
      <c r="JRS1" s="660"/>
      <c r="JRT1" s="660"/>
      <c r="JRU1" s="660"/>
      <c r="JRV1" s="660"/>
      <c r="JRW1" s="660"/>
      <c r="JRX1" s="660"/>
      <c r="JRY1" s="660"/>
      <c r="JRZ1" s="660"/>
      <c r="JSA1" s="660"/>
      <c r="JSB1" s="660"/>
      <c r="JSC1" s="660"/>
      <c r="JSD1" s="660"/>
      <c r="JSE1" s="660"/>
      <c r="JSF1" s="660"/>
      <c r="JSG1" s="660"/>
      <c r="JSH1" s="660"/>
      <c r="JSI1" s="660"/>
      <c r="JSJ1" s="660"/>
      <c r="JSK1" s="660"/>
      <c r="JSL1" s="660"/>
      <c r="JSM1" s="660"/>
      <c r="JSN1" s="660"/>
      <c r="JSO1" s="660"/>
      <c r="JSP1" s="660"/>
      <c r="JSQ1" s="660"/>
      <c r="JSR1" s="660"/>
      <c r="JSS1" s="660"/>
      <c r="JST1" s="660"/>
      <c r="JSU1" s="660"/>
      <c r="JSV1" s="660"/>
      <c r="JSW1" s="660"/>
      <c r="JSX1" s="660"/>
      <c r="JSY1" s="660"/>
      <c r="JSZ1" s="660"/>
      <c r="JTA1" s="660"/>
      <c r="JTB1" s="660"/>
      <c r="JTC1" s="660"/>
      <c r="JTD1" s="660"/>
      <c r="JTE1" s="660"/>
      <c r="JTF1" s="660"/>
      <c r="JTG1" s="660"/>
      <c r="JTH1" s="660"/>
      <c r="JTI1" s="660"/>
      <c r="JTJ1" s="660"/>
      <c r="JTK1" s="660"/>
      <c r="JTL1" s="660"/>
      <c r="JTM1" s="660"/>
      <c r="JTN1" s="660"/>
      <c r="JTO1" s="660"/>
      <c r="JTP1" s="660"/>
      <c r="JTQ1" s="660"/>
      <c r="JTR1" s="660"/>
      <c r="JTS1" s="660"/>
      <c r="JTT1" s="660"/>
      <c r="JTU1" s="660"/>
      <c r="JTV1" s="660"/>
      <c r="JTW1" s="660"/>
      <c r="JTX1" s="660"/>
      <c r="JTY1" s="660"/>
      <c r="JTZ1" s="660"/>
      <c r="JUA1" s="660"/>
      <c r="JUB1" s="660"/>
      <c r="JUC1" s="660"/>
      <c r="JUD1" s="660"/>
      <c r="JUE1" s="660"/>
      <c r="JUF1" s="660"/>
      <c r="JUG1" s="660"/>
      <c r="JUH1" s="660"/>
      <c r="JUI1" s="660"/>
      <c r="JUJ1" s="660"/>
      <c r="JUK1" s="660"/>
      <c r="JUL1" s="660"/>
      <c r="JUM1" s="660"/>
      <c r="JUN1" s="660"/>
      <c r="JUO1" s="660"/>
      <c r="JUP1" s="660"/>
      <c r="JUQ1" s="660"/>
      <c r="JUR1" s="660"/>
      <c r="JUS1" s="660"/>
      <c r="JUT1" s="660"/>
      <c r="JUU1" s="660"/>
      <c r="JUV1" s="660"/>
      <c r="JUW1" s="660"/>
      <c r="JUX1" s="660"/>
      <c r="JUY1" s="660"/>
      <c r="JUZ1" s="660"/>
      <c r="JVA1" s="660"/>
      <c r="JVB1" s="660"/>
      <c r="JVC1" s="660"/>
      <c r="JVD1" s="660"/>
      <c r="JVE1" s="660"/>
      <c r="JVF1" s="660"/>
      <c r="JVG1" s="660"/>
      <c r="JVH1" s="660"/>
      <c r="JVI1" s="660"/>
      <c r="JVJ1" s="660"/>
      <c r="JVK1" s="660"/>
      <c r="JVL1" s="660"/>
      <c r="JVM1" s="660"/>
      <c r="JVN1" s="660"/>
      <c r="JVO1" s="660"/>
      <c r="JVP1" s="660"/>
      <c r="JVQ1" s="660"/>
      <c r="JVR1" s="660"/>
      <c r="JVS1" s="660"/>
      <c r="JVT1" s="660"/>
      <c r="JVU1" s="660"/>
      <c r="JVV1" s="660"/>
      <c r="JVW1" s="660"/>
      <c r="JVX1" s="660"/>
      <c r="JVY1" s="660"/>
      <c r="JVZ1" s="660"/>
      <c r="JWA1" s="660"/>
      <c r="JWB1" s="660"/>
      <c r="JWC1" s="660"/>
      <c r="JWD1" s="660"/>
      <c r="JWE1" s="660"/>
      <c r="JWF1" s="660"/>
      <c r="JWG1" s="660"/>
      <c r="JWH1" s="660"/>
      <c r="JWI1" s="660"/>
      <c r="JWJ1" s="660"/>
      <c r="JWK1" s="660"/>
      <c r="JWL1" s="660"/>
      <c r="JWM1" s="660"/>
      <c r="JWN1" s="660"/>
      <c r="JWO1" s="660"/>
      <c r="JWP1" s="660"/>
      <c r="JWQ1" s="660"/>
      <c r="JWR1" s="660"/>
      <c r="JWS1" s="660"/>
      <c r="JWT1" s="660"/>
      <c r="JWU1" s="660"/>
      <c r="JWV1" s="660"/>
      <c r="JWW1" s="660"/>
      <c r="JWX1" s="660"/>
      <c r="JWY1" s="660"/>
      <c r="JWZ1" s="660"/>
      <c r="JXA1" s="660"/>
      <c r="JXB1" s="660"/>
      <c r="JXC1" s="660"/>
      <c r="JXD1" s="660"/>
      <c r="JXE1" s="660"/>
      <c r="JXF1" s="660"/>
      <c r="JXG1" s="660"/>
      <c r="JXH1" s="660"/>
      <c r="JXI1" s="660"/>
      <c r="JXJ1" s="660"/>
      <c r="JXK1" s="660"/>
      <c r="JXL1" s="660"/>
      <c r="JXM1" s="660"/>
      <c r="JXN1" s="660"/>
      <c r="JXO1" s="660"/>
      <c r="JXP1" s="660"/>
      <c r="JXQ1" s="660"/>
      <c r="JXR1" s="660"/>
      <c r="JXS1" s="660"/>
      <c r="JXT1" s="660"/>
      <c r="JXU1" s="660"/>
      <c r="JXV1" s="660"/>
      <c r="JXW1" s="660"/>
      <c r="JXX1" s="660"/>
      <c r="JXY1" s="660"/>
      <c r="JXZ1" s="660"/>
      <c r="JYA1" s="660"/>
      <c r="JYB1" s="660"/>
      <c r="JYC1" s="660"/>
      <c r="JYD1" s="660"/>
      <c r="JYE1" s="660"/>
      <c r="JYF1" s="660"/>
      <c r="JYG1" s="660"/>
      <c r="JYH1" s="660"/>
      <c r="JYI1" s="660"/>
      <c r="JYJ1" s="660"/>
      <c r="JYK1" s="660"/>
      <c r="JYL1" s="660"/>
      <c r="JYM1" s="660"/>
      <c r="JYN1" s="660"/>
      <c r="JYO1" s="660"/>
      <c r="JYP1" s="660"/>
      <c r="JYQ1" s="660"/>
      <c r="JYR1" s="660"/>
      <c r="JYS1" s="660"/>
      <c r="JYT1" s="660"/>
      <c r="JYU1" s="660"/>
      <c r="JYV1" s="660"/>
      <c r="JYW1" s="660"/>
      <c r="JYX1" s="660"/>
      <c r="JYY1" s="660"/>
      <c r="JYZ1" s="660"/>
      <c r="JZA1" s="660"/>
      <c r="JZB1" s="660"/>
      <c r="JZC1" s="660"/>
      <c r="JZD1" s="660"/>
      <c r="JZE1" s="660"/>
      <c r="JZF1" s="660"/>
      <c r="JZG1" s="660"/>
      <c r="JZH1" s="660"/>
      <c r="JZI1" s="660"/>
      <c r="JZJ1" s="660"/>
      <c r="JZK1" s="660"/>
      <c r="JZL1" s="660"/>
      <c r="JZM1" s="660"/>
      <c r="JZN1" s="660"/>
      <c r="JZO1" s="660"/>
      <c r="JZP1" s="660"/>
      <c r="JZQ1" s="660"/>
      <c r="JZR1" s="660"/>
      <c r="JZS1" s="660"/>
      <c r="JZT1" s="660"/>
      <c r="JZU1" s="660"/>
      <c r="JZV1" s="660"/>
      <c r="JZW1" s="660"/>
      <c r="JZX1" s="660"/>
      <c r="JZY1" s="660"/>
      <c r="JZZ1" s="660"/>
      <c r="KAA1" s="660"/>
      <c r="KAB1" s="660"/>
      <c r="KAC1" s="660"/>
      <c r="KAD1" s="660"/>
      <c r="KAE1" s="660"/>
      <c r="KAF1" s="660"/>
      <c r="KAG1" s="660"/>
      <c r="KAH1" s="660"/>
      <c r="KAI1" s="660"/>
      <c r="KAJ1" s="660"/>
      <c r="KAK1" s="660"/>
      <c r="KAL1" s="660"/>
      <c r="KAM1" s="660"/>
      <c r="KAN1" s="660"/>
      <c r="KAO1" s="660"/>
      <c r="KAP1" s="660"/>
      <c r="KAQ1" s="660"/>
      <c r="KAR1" s="660"/>
      <c r="KAS1" s="660"/>
      <c r="KAT1" s="660"/>
      <c r="KAU1" s="660"/>
      <c r="KAV1" s="660"/>
      <c r="KAW1" s="660"/>
      <c r="KAX1" s="660"/>
      <c r="KAY1" s="660"/>
      <c r="KAZ1" s="660"/>
      <c r="KBA1" s="660"/>
      <c r="KBB1" s="660"/>
      <c r="KBC1" s="660"/>
      <c r="KBD1" s="660"/>
      <c r="KBE1" s="660"/>
      <c r="KBF1" s="660"/>
      <c r="KBG1" s="660"/>
      <c r="KBH1" s="660"/>
      <c r="KBI1" s="660"/>
      <c r="KBJ1" s="660"/>
      <c r="KBK1" s="660"/>
      <c r="KBL1" s="660"/>
      <c r="KBM1" s="660"/>
      <c r="KBN1" s="660"/>
      <c r="KBO1" s="660"/>
      <c r="KBP1" s="660"/>
      <c r="KBQ1" s="660"/>
      <c r="KBR1" s="660"/>
      <c r="KBS1" s="660"/>
      <c r="KBT1" s="660"/>
      <c r="KBU1" s="660"/>
      <c r="KBV1" s="660"/>
      <c r="KBW1" s="660"/>
      <c r="KBX1" s="660"/>
      <c r="KBY1" s="660"/>
      <c r="KBZ1" s="660"/>
      <c r="KCA1" s="660"/>
      <c r="KCB1" s="660"/>
      <c r="KCC1" s="660"/>
      <c r="KCD1" s="660"/>
      <c r="KCE1" s="660"/>
      <c r="KCF1" s="660"/>
      <c r="KCG1" s="660"/>
      <c r="KCH1" s="660"/>
      <c r="KCI1" s="660"/>
      <c r="KCJ1" s="660"/>
      <c r="KCK1" s="660"/>
      <c r="KCL1" s="660"/>
      <c r="KCM1" s="660"/>
      <c r="KCN1" s="660"/>
      <c r="KCO1" s="660"/>
      <c r="KCP1" s="660"/>
      <c r="KCQ1" s="660"/>
      <c r="KCR1" s="660"/>
      <c r="KCS1" s="660"/>
      <c r="KCT1" s="660"/>
      <c r="KCU1" s="660"/>
      <c r="KCV1" s="660"/>
      <c r="KCW1" s="660"/>
      <c r="KCX1" s="660"/>
      <c r="KCY1" s="660"/>
      <c r="KCZ1" s="660"/>
      <c r="KDA1" s="660"/>
      <c r="KDB1" s="660"/>
      <c r="KDC1" s="660"/>
      <c r="KDD1" s="660"/>
      <c r="KDE1" s="660"/>
      <c r="KDF1" s="660"/>
      <c r="KDG1" s="660"/>
      <c r="KDH1" s="660"/>
      <c r="KDI1" s="660"/>
      <c r="KDJ1" s="660"/>
      <c r="KDK1" s="660"/>
      <c r="KDL1" s="660"/>
      <c r="KDM1" s="660"/>
      <c r="KDN1" s="660"/>
      <c r="KDO1" s="660"/>
      <c r="KDP1" s="660"/>
      <c r="KDQ1" s="660"/>
      <c r="KDR1" s="660"/>
      <c r="KDS1" s="660"/>
      <c r="KDT1" s="660"/>
      <c r="KDU1" s="660"/>
      <c r="KDV1" s="660"/>
      <c r="KDW1" s="660"/>
      <c r="KDX1" s="660"/>
      <c r="KDY1" s="660"/>
      <c r="KDZ1" s="660"/>
      <c r="KEA1" s="660"/>
      <c r="KEB1" s="660"/>
      <c r="KEC1" s="660"/>
      <c r="KED1" s="660"/>
      <c r="KEE1" s="660"/>
      <c r="KEF1" s="660"/>
      <c r="KEG1" s="660"/>
      <c r="KEH1" s="660"/>
      <c r="KEI1" s="660"/>
      <c r="KEJ1" s="660"/>
      <c r="KEK1" s="660"/>
      <c r="KEL1" s="660"/>
      <c r="KEM1" s="660"/>
      <c r="KEN1" s="660"/>
      <c r="KEO1" s="660"/>
      <c r="KEP1" s="660"/>
      <c r="KEQ1" s="660"/>
      <c r="KER1" s="660"/>
      <c r="KES1" s="660"/>
      <c r="KET1" s="660"/>
      <c r="KEU1" s="660"/>
      <c r="KEV1" s="660"/>
      <c r="KEW1" s="660"/>
      <c r="KEX1" s="660"/>
      <c r="KEY1" s="660"/>
      <c r="KEZ1" s="660"/>
      <c r="KFA1" s="660"/>
      <c r="KFB1" s="660"/>
      <c r="KFC1" s="660"/>
      <c r="KFD1" s="660"/>
      <c r="KFE1" s="660"/>
      <c r="KFF1" s="660"/>
      <c r="KFG1" s="660"/>
      <c r="KFH1" s="660"/>
      <c r="KFI1" s="660"/>
      <c r="KFJ1" s="660"/>
      <c r="KFK1" s="660"/>
      <c r="KFL1" s="660"/>
      <c r="KFM1" s="660"/>
      <c r="KFN1" s="660"/>
      <c r="KFO1" s="660"/>
      <c r="KFP1" s="660"/>
      <c r="KFQ1" s="660"/>
      <c r="KFR1" s="660"/>
      <c r="KFS1" s="660"/>
      <c r="KFT1" s="660"/>
      <c r="KFU1" s="660"/>
      <c r="KFV1" s="660"/>
      <c r="KFW1" s="660"/>
      <c r="KFX1" s="660"/>
      <c r="KFY1" s="660"/>
      <c r="KFZ1" s="660"/>
      <c r="KGA1" s="660"/>
      <c r="KGB1" s="660"/>
      <c r="KGC1" s="660"/>
      <c r="KGD1" s="660"/>
      <c r="KGE1" s="660"/>
      <c r="KGF1" s="660"/>
      <c r="KGG1" s="660"/>
      <c r="KGH1" s="660"/>
      <c r="KGI1" s="660"/>
      <c r="KGJ1" s="660"/>
      <c r="KGK1" s="660"/>
      <c r="KGL1" s="660"/>
      <c r="KGM1" s="660"/>
      <c r="KGN1" s="660"/>
      <c r="KGO1" s="660"/>
      <c r="KGP1" s="660"/>
      <c r="KGQ1" s="660"/>
      <c r="KGR1" s="660"/>
      <c r="KGS1" s="660"/>
      <c r="KGT1" s="660"/>
      <c r="KGU1" s="660"/>
      <c r="KGV1" s="660"/>
      <c r="KGW1" s="660"/>
      <c r="KGX1" s="660"/>
      <c r="KGY1" s="660"/>
      <c r="KGZ1" s="660"/>
      <c r="KHA1" s="660"/>
      <c r="KHB1" s="660"/>
      <c r="KHC1" s="660"/>
      <c r="KHD1" s="660"/>
      <c r="KHE1" s="660"/>
      <c r="KHF1" s="660"/>
      <c r="KHG1" s="660"/>
      <c r="KHH1" s="660"/>
      <c r="KHI1" s="660"/>
      <c r="KHJ1" s="660"/>
      <c r="KHK1" s="660"/>
      <c r="KHL1" s="660"/>
      <c r="KHM1" s="660"/>
      <c r="KHN1" s="660"/>
      <c r="KHO1" s="660"/>
      <c r="KHP1" s="660"/>
      <c r="KHQ1" s="660"/>
      <c r="KHR1" s="660"/>
      <c r="KHS1" s="660"/>
      <c r="KHT1" s="660"/>
      <c r="KHU1" s="660"/>
      <c r="KHV1" s="660"/>
      <c r="KHW1" s="660"/>
      <c r="KHX1" s="660"/>
      <c r="KHY1" s="660"/>
      <c r="KHZ1" s="660"/>
      <c r="KIA1" s="660"/>
      <c r="KIB1" s="660"/>
      <c r="KIC1" s="660"/>
      <c r="KID1" s="660"/>
      <c r="KIE1" s="660"/>
      <c r="KIF1" s="660"/>
      <c r="KIG1" s="660"/>
      <c r="KIH1" s="660"/>
      <c r="KII1" s="660"/>
      <c r="KIJ1" s="660"/>
      <c r="KIK1" s="660"/>
      <c r="KIL1" s="660"/>
      <c r="KIM1" s="660"/>
      <c r="KIN1" s="660"/>
      <c r="KIO1" s="660"/>
      <c r="KIP1" s="660"/>
      <c r="KIQ1" s="660"/>
      <c r="KIR1" s="660"/>
      <c r="KIS1" s="660"/>
      <c r="KIT1" s="660"/>
      <c r="KIU1" s="660"/>
      <c r="KIV1" s="660"/>
      <c r="KIW1" s="660"/>
      <c r="KIX1" s="660"/>
      <c r="KIY1" s="660"/>
      <c r="KIZ1" s="660"/>
      <c r="KJA1" s="660"/>
      <c r="KJB1" s="660"/>
      <c r="KJC1" s="660"/>
      <c r="KJD1" s="660"/>
      <c r="KJE1" s="660"/>
      <c r="KJF1" s="660"/>
      <c r="KJG1" s="660"/>
      <c r="KJH1" s="660"/>
      <c r="KJI1" s="660"/>
      <c r="KJJ1" s="660"/>
      <c r="KJK1" s="660"/>
      <c r="KJL1" s="660"/>
      <c r="KJM1" s="660"/>
      <c r="KJN1" s="660"/>
      <c r="KJO1" s="660"/>
      <c r="KJP1" s="660"/>
      <c r="KJQ1" s="660"/>
      <c r="KJR1" s="660"/>
      <c r="KJS1" s="660"/>
      <c r="KJT1" s="660"/>
      <c r="KJU1" s="660"/>
      <c r="KJV1" s="660"/>
      <c r="KJW1" s="660"/>
      <c r="KJX1" s="660"/>
      <c r="KJY1" s="660"/>
      <c r="KJZ1" s="660"/>
      <c r="KKA1" s="660"/>
      <c r="KKB1" s="660"/>
      <c r="KKC1" s="660"/>
      <c r="KKD1" s="660"/>
      <c r="KKE1" s="660"/>
      <c r="KKF1" s="660"/>
      <c r="KKG1" s="660"/>
      <c r="KKH1" s="660"/>
      <c r="KKI1" s="660"/>
      <c r="KKJ1" s="660"/>
      <c r="KKK1" s="660"/>
      <c r="KKL1" s="660"/>
      <c r="KKM1" s="660"/>
      <c r="KKN1" s="660"/>
      <c r="KKO1" s="660"/>
      <c r="KKP1" s="660"/>
      <c r="KKQ1" s="660"/>
      <c r="KKR1" s="660"/>
      <c r="KKS1" s="660"/>
      <c r="KKT1" s="660"/>
      <c r="KKU1" s="660"/>
      <c r="KKV1" s="660"/>
      <c r="KKW1" s="660"/>
      <c r="KKX1" s="660"/>
      <c r="KKY1" s="660"/>
      <c r="KKZ1" s="660"/>
      <c r="KLA1" s="660"/>
      <c r="KLB1" s="660"/>
      <c r="KLC1" s="660"/>
      <c r="KLD1" s="660"/>
      <c r="KLE1" s="660"/>
      <c r="KLF1" s="660"/>
      <c r="KLG1" s="660"/>
      <c r="KLH1" s="660"/>
      <c r="KLI1" s="660"/>
      <c r="KLJ1" s="660"/>
      <c r="KLK1" s="660"/>
      <c r="KLL1" s="660"/>
      <c r="KLM1" s="660"/>
      <c r="KLN1" s="660"/>
      <c r="KLO1" s="660"/>
      <c r="KLP1" s="660"/>
      <c r="KLQ1" s="660"/>
      <c r="KLR1" s="660"/>
      <c r="KLS1" s="660"/>
      <c r="KLT1" s="660"/>
      <c r="KLU1" s="660"/>
      <c r="KLV1" s="660"/>
      <c r="KLW1" s="660"/>
      <c r="KLX1" s="660"/>
      <c r="KLY1" s="660"/>
      <c r="KLZ1" s="660"/>
      <c r="KMA1" s="660"/>
      <c r="KMB1" s="660"/>
      <c r="KMC1" s="660"/>
      <c r="KMD1" s="660"/>
      <c r="KME1" s="660"/>
      <c r="KMF1" s="660"/>
      <c r="KMG1" s="660"/>
      <c r="KMH1" s="660"/>
      <c r="KMI1" s="660"/>
      <c r="KMJ1" s="660"/>
      <c r="KMK1" s="660"/>
      <c r="KML1" s="660"/>
      <c r="KMM1" s="660"/>
      <c r="KMN1" s="660"/>
      <c r="KMO1" s="660"/>
      <c r="KMP1" s="660"/>
      <c r="KMQ1" s="660"/>
      <c r="KMR1" s="660"/>
      <c r="KMS1" s="660"/>
      <c r="KMT1" s="660"/>
      <c r="KMU1" s="660"/>
      <c r="KMV1" s="660"/>
      <c r="KMW1" s="660"/>
      <c r="KMX1" s="660"/>
      <c r="KMY1" s="660"/>
      <c r="KMZ1" s="660"/>
      <c r="KNA1" s="660"/>
      <c r="KNB1" s="660"/>
      <c r="KNC1" s="660"/>
      <c r="KND1" s="660"/>
      <c r="KNE1" s="660"/>
      <c r="KNF1" s="660"/>
      <c r="KNG1" s="660"/>
      <c r="KNH1" s="660"/>
      <c r="KNI1" s="660"/>
      <c r="KNJ1" s="660"/>
      <c r="KNK1" s="660"/>
      <c r="KNL1" s="660"/>
      <c r="KNM1" s="660"/>
      <c r="KNN1" s="660"/>
      <c r="KNO1" s="660"/>
      <c r="KNP1" s="660"/>
      <c r="KNQ1" s="660"/>
      <c r="KNR1" s="660"/>
      <c r="KNS1" s="660"/>
      <c r="KNT1" s="660"/>
      <c r="KNU1" s="660"/>
      <c r="KNV1" s="660"/>
      <c r="KNW1" s="660"/>
      <c r="KNX1" s="660"/>
      <c r="KNY1" s="660"/>
      <c r="KNZ1" s="660"/>
      <c r="KOA1" s="660"/>
      <c r="KOB1" s="660"/>
      <c r="KOC1" s="660"/>
      <c r="KOD1" s="660"/>
      <c r="KOE1" s="660"/>
      <c r="KOF1" s="660"/>
      <c r="KOG1" s="660"/>
      <c r="KOH1" s="660"/>
      <c r="KOI1" s="660"/>
      <c r="KOJ1" s="660"/>
      <c r="KOK1" s="660"/>
      <c r="KOL1" s="660"/>
      <c r="KOM1" s="660"/>
      <c r="KON1" s="660"/>
      <c r="KOO1" s="660"/>
      <c r="KOP1" s="660"/>
      <c r="KOQ1" s="660"/>
      <c r="KOR1" s="660"/>
      <c r="KOS1" s="660"/>
      <c r="KOT1" s="660"/>
      <c r="KOU1" s="660"/>
      <c r="KOV1" s="660"/>
      <c r="KOW1" s="660"/>
      <c r="KOX1" s="660"/>
      <c r="KOY1" s="660"/>
      <c r="KOZ1" s="660"/>
      <c r="KPA1" s="660"/>
      <c r="KPB1" s="660"/>
      <c r="KPC1" s="660"/>
      <c r="KPD1" s="660"/>
      <c r="KPE1" s="660"/>
      <c r="KPF1" s="660"/>
      <c r="KPG1" s="660"/>
      <c r="KPH1" s="660"/>
      <c r="KPI1" s="660"/>
      <c r="KPJ1" s="660"/>
      <c r="KPK1" s="660"/>
      <c r="KPL1" s="660"/>
      <c r="KPM1" s="660"/>
      <c r="KPN1" s="660"/>
      <c r="KPO1" s="660"/>
      <c r="KPP1" s="660"/>
      <c r="KPQ1" s="660"/>
      <c r="KPR1" s="660"/>
      <c r="KPS1" s="660"/>
      <c r="KPT1" s="660"/>
      <c r="KPU1" s="660"/>
      <c r="KPV1" s="660"/>
      <c r="KPW1" s="660"/>
      <c r="KPX1" s="660"/>
      <c r="KPY1" s="660"/>
      <c r="KPZ1" s="660"/>
      <c r="KQA1" s="660"/>
      <c r="KQB1" s="660"/>
      <c r="KQC1" s="660"/>
      <c r="KQD1" s="660"/>
      <c r="KQE1" s="660"/>
      <c r="KQF1" s="660"/>
      <c r="KQG1" s="660"/>
      <c r="KQH1" s="660"/>
      <c r="KQI1" s="660"/>
      <c r="KQJ1" s="660"/>
      <c r="KQK1" s="660"/>
      <c r="KQL1" s="660"/>
      <c r="KQM1" s="660"/>
      <c r="KQN1" s="660"/>
      <c r="KQO1" s="660"/>
      <c r="KQP1" s="660"/>
      <c r="KQQ1" s="660"/>
      <c r="KQR1" s="660"/>
      <c r="KQS1" s="660"/>
      <c r="KQT1" s="660"/>
      <c r="KQU1" s="660"/>
      <c r="KQV1" s="660"/>
      <c r="KQW1" s="660"/>
      <c r="KQX1" s="660"/>
      <c r="KQY1" s="660"/>
      <c r="KQZ1" s="660"/>
      <c r="KRA1" s="660"/>
      <c r="KRB1" s="660"/>
      <c r="KRC1" s="660"/>
      <c r="KRD1" s="660"/>
      <c r="KRE1" s="660"/>
      <c r="KRF1" s="660"/>
      <c r="KRG1" s="660"/>
      <c r="KRH1" s="660"/>
      <c r="KRI1" s="660"/>
      <c r="KRJ1" s="660"/>
      <c r="KRK1" s="660"/>
      <c r="KRL1" s="660"/>
      <c r="KRM1" s="660"/>
      <c r="KRN1" s="660"/>
      <c r="KRO1" s="660"/>
      <c r="KRP1" s="660"/>
      <c r="KRQ1" s="660"/>
      <c r="KRR1" s="660"/>
      <c r="KRS1" s="660"/>
      <c r="KRT1" s="660"/>
      <c r="KRU1" s="660"/>
      <c r="KRV1" s="660"/>
      <c r="KRW1" s="660"/>
      <c r="KRX1" s="660"/>
      <c r="KRY1" s="660"/>
      <c r="KRZ1" s="660"/>
      <c r="KSA1" s="660"/>
      <c r="KSB1" s="660"/>
      <c r="KSC1" s="660"/>
      <c r="KSD1" s="660"/>
      <c r="KSE1" s="660"/>
      <c r="KSF1" s="660"/>
      <c r="KSG1" s="660"/>
      <c r="KSH1" s="660"/>
      <c r="KSI1" s="660"/>
      <c r="KSJ1" s="660"/>
      <c r="KSK1" s="660"/>
      <c r="KSL1" s="660"/>
      <c r="KSM1" s="660"/>
      <c r="KSN1" s="660"/>
      <c r="KSO1" s="660"/>
      <c r="KSP1" s="660"/>
      <c r="KSQ1" s="660"/>
      <c r="KSR1" s="660"/>
      <c r="KSS1" s="660"/>
      <c r="KST1" s="660"/>
      <c r="KSU1" s="660"/>
      <c r="KSV1" s="660"/>
      <c r="KSW1" s="660"/>
      <c r="KSX1" s="660"/>
      <c r="KSY1" s="660"/>
      <c r="KSZ1" s="660"/>
      <c r="KTA1" s="660"/>
      <c r="KTB1" s="660"/>
      <c r="KTC1" s="660"/>
      <c r="KTD1" s="660"/>
      <c r="KTE1" s="660"/>
      <c r="KTF1" s="660"/>
      <c r="KTG1" s="660"/>
      <c r="KTH1" s="660"/>
      <c r="KTI1" s="660"/>
      <c r="KTJ1" s="660"/>
      <c r="KTK1" s="660"/>
      <c r="KTL1" s="660"/>
      <c r="KTM1" s="660"/>
      <c r="KTN1" s="660"/>
      <c r="KTO1" s="660"/>
      <c r="KTP1" s="660"/>
      <c r="KTQ1" s="660"/>
      <c r="KTR1" s="660"/>
      <c r="KTS1" s="660"/>
      <c r="KTT1" s="660"/>
      <c r="KTU1" s="660"/>
      <c r="KTV1" s="660"/>
      <c r="KTW1" s="660"/>
      <c r="KTX1" s="660"/>
      <c r="KTY1" s="660"/>
      <c r="KTZ1" s="660"/>
      <c r="KUA1" s="660"/>
      <c r="KUB1" s="660"/>
      <c r="KUC1" s="660"/>
      <c r="KUD1" s="660"/>
      <c r="KUE1" s="660"/>
      <c r="KUF1" s="660"/>
      <c r="KUG1" s="660"/>
      <c r="KUH1" s="660"/>
      <c r="KUI1" s="660"/>
      <c r="KUJ1" s="660"/>
      <c r="KUK1" s="660"/>
      <c r="KUL1" s="660"/>
      <c r="KUM1" s="660"/>
      <c r="KUN1" s="660"/>
      <c r="KUO1" s="660"/>
      <c r="KUP1" s="660"/>
      <c r="KUQ1" s="660"/>
      <c r="KUR1" s="660"/>
      <c r="KUS1" s="660"/>
      <c r="KUT1" s="660"/>
      <c r="KUU1" s="660"/>
      <c r="KUV1" s="660"/>
      <c r="KUW1" s="660"/>
      <c r="KUX1" s="660"/>
      <c r="KUY1" s="660"/>
      <c r="KUZ1" s="660"/>
      <c r="KVA1" s="660"/>
      <c r="KVB1" s="660"/>
      <c r="KVC1" s="660"/>
      <c r="KVD1" s="660"/>
      <c r="KVE1" s="660"/>
      <c r="KVF1" s="660"/>
      <c r="KVG1" s="660"/>
      <c r="KVH1" s="660"/>
      <c r="KVI1" s="660"/>
      <c r="KVJ1" s="660"/>
      <c r="KVK1" s="660"/>
      <c r="KVL1" s="660"/>
      <c r="KVM1" s="660"/>
      <c r="KVN1" s="660"/>
      <c r="KVO1" s="660"/>
      <c r="KVP1" s="660"/>
      <c r="KVQ1" s="660"/>
      <c r="KVR1" s="660"/>
      <c r="KVS1" s="660"/>
      <c r="KVT1" s="660"/>
      <c r="KVU1" s="660"/>
      <c r="KVV1" s="660"/>
      <c r="KVW1" s="660"/>
      <c r="KVX1" s="660"/>
      <c r="KVY1" s="660"/>
      <c r="KVZ1" s="660"/>
      <c r="KWA1" s="660"/>
      <c r="KWB1" s="660"/>
      <c r="KWC1" s="660"/>
      <c r="KWD1" s="660"/>
      <c r="KWE1" s="660"/>
      <c r="KWF1" s="660"/>
      <c r="KWG1" s="660"/>
      <c r="KWH1" s="660"/>
      <c r="KWI1" s="660"/>
      <c r="KWJ1" s="660"/>
      <c r="KWK1" s="660"/>
      <c r="KWL1" s="660"/>
      <c r="KWM1" s="660"/>
      <c r="KWN1" s="660"/>
      <c r="KWO1" s="660"/>
      <c r="KWP1" s="660"/>
      <c r="KWQ1" s="660"/>
      <c r="KWR1" s="660"/>
      <c r="KWS1" s="660"/>
      <c r="KWT1" s="660"/>
      <c r="KWU1" s="660"/>
      <c r="KWV1" s="660"/>
      <c r="KWW1" s="660"/>
      <c r="KWX1" s="660"/>
      <c r="KWY1" s="660"/>
      <c r="KWZ1" s="660"/>
      <c r="KXA1" s="660"/>
      <c r="KXB1" s="660"/>
      <c r="KXC1" s="660"/>
      <c r="KXD1" s="660"/>
      <c r="KXE1" s="660"/>
      <c r="KXF1" s="660"/>
      <c r="KXG1" s="660"/>
      <c r="KXH1" s="660"/>
      <c r="KXI1" s="660"/>
      <c r="KXJ1" s="660"/>
      <c r="KXK1" s="660"/>
      <c r="KXL1" s="660"/>
      <c r="KXM1" s="660"/>
      <c r="KXN1" s="660"/>
      <c r="KXO1" s="660"/>
      <c r="KXP1" s="660"/>
      <c r="KXQ1" s="660"/>
      <c r="KXR1" s="660"/>
      <c r="KXS1" s="660"/>
      <c r="KXT1" s="660"/>
      <c r="KXU1" s="660"/>
      <c r="KXV1" s="660"/>
      <c r="KXW1" s="660"/>
      <c r="KXX1" s="660"/>
      <c r="KXY1" s="660"/>
      <c r="KXZ1" s="660"/>
      <c r="KYA1" s="660"/>
      <c r="KYB1" s="660"/>
      <c r="KYC1" s="660"/>
      <c r="KYD1" s="660"/>
      <c r="KYE1" s="660"/>
      <c r="KYF1" s="660"/>
      <c r="KYG1" s="660"/>
      <c r="KYH1" s="660"/>
      <c r="KYI1" s="660"/>
      <c r="KYJ1" s="660"/>
      <c r="KYK1" s="660"/>
      <c r="KYL1" s="660"/>
      <c r="KYM1" s="660"/>
      <c r="KYN1" s="660"/>
      <c r="KYO1" s="660"/>
      <c r="KYP1" s="660"/>
      <c r="KYQ1" s="660"/>
      <c r="KYR1" s="660"/>
      <c r="KYS1" s="660"/>
      <c r="KYT1" s="660"/>
      <c r="KYU1" s="660"/>
      <c r="KYV1" s="660"/>
      <c r="KYW1" s="660"/>
      <c r="KYX1" s="660"/>
      <c r="KYY1" s="660"/>
      <c r="KYZ1" s="660"/>
      <c r="KZA1" s="660"/>
      <c r="KZB1" s="660"/>
      <c r="KZC1" s="660"/>
      <c r="KZD1" s="660"/>
      <c r="KZE1" s="660"/>
      <c r="KZF1" s="660"/>
      <c r="KZG1" s="660"/>
      <c r="KZH1" s="660"/>
      <c r="KZI1" s="660"/>
      <c r="KZJ1" s="660"/>
      <c r="KZK1" s="660"/>
      <c r="KZL1" s="660"/>
      <c r="KZM1" s="660"/>
      <c r="KZN1" s="660"/>
      <c r="KZO1" s="660"/>
      <c r="KZP1" s="660"/>
      <c r="KZQ1" s="660"/>
      <c r="KZR1" s="660"/>
      <c r="KZS1" s="660"/>
      <c r="KZT1" s="660"/>
      <c r="KZU1" s="660"/>
      <c r="KZV1" s="660"/>
      <c r="KZW1" s="660"/>
      <c r="KZX1" s="660"/>
      <c r="KZY1" s="660"/>
      <c r="KZZ1" s="660"/>
      <c r="LAA1" s="660"/>
      <c r="LAB1" s="660"/>
      <c r="LAC1" s="660"/>
      <c r="LAD1" s="660"/>
      <c r="LAE1" s="660"/>
      <c r="LAF1" s="660"/>
      <c r="LAG1" s="660"/>
      <c r="LAH1" s="660"/>
      <c r="LAI1" s="660"/>
      <c r="LAJ1" s="660"/>
      <c r="LAK1" s="660"/>
      <c r="LAL1" s="660"/>
      <c r="LAM1" s="660"/>
      <c r="LAN1" s="660"/>
      <c r="LAO1" s="660"/>
      <c r="LAP1" s="660"/>
      <c r="LAQ1" s="660"/>
      <c r="LAR1" s="660"/>
      <c r="LAS1" s="660"/>
      <c r="LAT1" s="660"/>
      <c r="LAU1" s="660"/>
      <c r="LAV1" s="660"/>
      <c r="LAW1" s="660"/>
      <c r="LAX1" s="660"/>
      <c r="LAY1" s="660"/>
      <c r="LAZ1" s="660"/>
      <c r="LBA1" s="660"/>
      <c r="LBB1" s="660"/>
      <c r="LBC1" s="660"/>
      <c r="LBD1" s="660"/>
      <c r="LBE1" s="660"/>
      <c r="LBF1" s="660"/>
      <c r="LBG1" s="660"/>
      <c r="LBH1" s="660"/>
      <c r="LBI1" s="660"/>
      <c r="LBJ1" s="660"/>
      <c r="LBK1" s="660"/>
      <c r="LBL1" s="660"/>
      <c r="LBM1" s="660"/>
      <c r="LBN1" s="660"/>
      <c r="LBO1" s="660"/>
      <c r="LBP1" s="660"/>
      <c r="LBQ1" s="660"/>
      <c r="LBR1" s="660"/>
      <c r="LBS1" s="660"/>
      <c r="LBT1" s="660"/>
      <c r="LBU1" s="660"/>
      <c r="LBV1" s="660"/>
      <c r="LBW1" s="660"/>
      <c r="LBX1" s="660"/>
      <c r="LBY1" s="660"/>
      <c r="LBZ1" s="660"/>
      <c r="LCA1" s="660"/>
      <c r="LCB1" s="660"/>
      <c r="LCC1" s="660"/>
      <c r="LCD1" s="660"/>
      <c r="LCE1" s="660"/>
      <c r="LCF1" s="660"/>
      <c r="LCG1" s="660"/>
      <c r="LCH1" s="660"/>
      <c r="LCI1" s="660"/>
      <c r="LCJ1" s="660"/>
      <c r="LCK1" s="660"/>
      <c r="LCL1" s="660"/>
      <c r="LCM1" s="660"/>
      <c r="LCN1" s="660"/>
      <c r="LCO1" s="660"/>
      <c r="LCP1" s="660"/>
      <c r="LCQ1" s="660"/>
      <c r="LCR1" s="660"/>
      <c r="LCS1" s="660"/>
      <c r="LCT1" s="660"/>
      <c r="LCU1" s="660"/>
      <c r="LCV1" s="660"/>
      <c r="LCW1" s="660"/>
      <c r="LCX1" s="660"/>
      <c r="LCY1" s="660"/>
      <c r="LCZ1" s="660"/>
      <c r="LDA1" s="660"/>
      <c r="LDB1" s="660"/>
      <c r="LDC1" s="660"/>
      <c r="LDD1" s="660"/>
      <c r="LDE1" s="660"/>
      <c r="LDF1" s="660"/>
      <c r="LDG1" s="660"/>
      <c r="LDH1" s="660"/>
      <c r="LDI1" s="660"/>
      <c r="LDJ1" s="660"/>
      <c r="LDK1" s="660"/>
      <c r="LDL1" s="660"/>
      <c r="LDM1" s="660"/>
      <c r="LDN1" s="660"/>
      <c r="LDO1" s="660"/>
      <c r="LDP1" s="660"/>
      <c r="LDQ1" s="660"/>
      <c r="LDR1" s="660"/>
      <c r="LDS1" s="660"/>
      <c r="LDT1" s="660"/>
      <c r="LDU1" s="660"/>
      <c r="LDV1" s="660"/>
      <c r="LDW1" s="660"/>
      <c r="LDX1" s="660"/>
      <c r="LDY1" s="660"/>
      <c r="LDZ1" s="660"/>
      <c r="LEA1" s="660"/>
      <c r="LEB1" s="660"/>
      <c r="LEC1" s="660"/>
      <c r="LED1" s="660"/>
      <c r="LEE1" s="660"/>
      <c r="LEF1" s="660"/>
      <c r="LEG1" s="660"/>
      <c r="LEH1" s="660"/>
      <c r="LEI1" s="660"/>
      <c r="LEJ1" s="660"/>
      <c r="LEK1" s="660"/>
      <c r="LEL1" s="660"/>
      <c r="LEM1" s="660"/>
      <c r="LEN1" s="660"/>
      <c r="LEO1" s="660"/>
      <c r="LEP1" s="660"/>
      <c r="LEQ1" s="660"/>
      <c r="LER1" s="660"/>
      <c r="LES1" s="660"/>
      <c r="LET1" s="660"/>
      <c r="LEU1" s="660"/>
      <c r="LEV1" s="660"/>
      <c r="LEW1" s="660"/>
      <c r="LEX1" s="660"/>
      <c r="LEY1" s="660"/>
      <c r="LEZ1" s="660"/>
      <c r="LFA1" s="660"/>
      <c r="LFB1" s="660"/>
      <c r="LFC1" s="660"/>
      <c r="LFD1" s="660"/>
      <c r="LFE1" s="660"/>
      <c r="LFF1" s="660"/>
      <c r="LFG1" s="660"/>
      <c r="LFH1" s="660"/>
      <c r="LFI1" s="660"/>
      <c r="LFJ1" s="660"/>
      <c r="LFK1" s="660"/>
      <c r="LFL1" s="660"/>
      <c r="LFM1" s="660"/>
      <c r="LFN1" s="660"/>
      <c r="LFO1" s="660"/>
      <c r="LFP1" s="660"/>
      <c r="LFQ1" s="660"/>
      <c r="LFR1" s="660"/>
      <c r="LFS1" s="660"/>
      <c r="LFT1" s="660"/>
      <c r="LFU1" s="660"/>
      <c r="LFV1" s="660"/>
      <c r="LFW1" s="660"/>
      <c r="LFX1" s="660"/>
      <c r="LFY1" s="660"/>
      <c r="LFZ1" s="660"/>
      <c r="LGA1" s="660"/>
      <c r="LGB1" s="660"/>
      <c r="LGC1" s="660"/>
      <c r="LGD1" s="660"/>
      <c r="LGE1" s="660"/>
      <c r="LGF1" s="660"/>
      <c r="LGG1" s="660"/>
      <c r="LGH1" s="660"/>
      <c r="LGI1" s="660"/>
      <c r="LGJ1" s="660"/>
      <c r="LGK1" s="660"/>
      <c r="LGL1" s="660"/>
      <c r="LGM1" s="660"/>
      <c r="LGN1" s="660"/>
      <c r="LGO1" s="660"/>
      <c r="LGP1" s="660"/>
      <c r="LGQ1" s="660"/>
      <c r="LGR1" s="660"/>
      <c r="LGS1" s="660"/>
      <c r="LGT1" s="660"/>
      <c r="LGU1" s="660"/>
      <c r="LGV1" s="660"/>
      <c r="LGW1" s="660"/>
      <c r="LGX1" s="660"/>
      <c r="LGY1" s="660"/>
      <c r="LGZ1" s="660"/>
      <c r="LHA1" s="660"/>
      <c r="LHB1" s="660"/>
      <c r="LHC1" s="660"/>
      <c r="LHD1" s="660"/>
      <c r="LHE1" s="660"/>
      <c r="LHF1" s="660"/>
      <c r="LHG1" s="660"/>
      <c r="LHH1" s="660"/>
      <c r="LHI1" s="660"/>
      <c r="LHJ1" s="660"/>
      <c r="LHK1" s="660"/>
      <c r="LHL1" s="660"/>
      <c r="LHM1" s="660"/>
      <c r="LHN1" s="660"/>
      <c r="LHO1" s="660"/>
      <c r="LHP1" s="660"/>
      <c r="LHQ1" s="660"/>
      <c r="LHR1" s="660"/>
      <c r="LHS1" s="660"/>
      <c r="LHT1" s="660"/>
      <c r="LHU1" s="660"/>
      <c r="LHV1" s="660"/>
      <c r="LHW1" s="660"/>
      <c r="LHX1" s="660"/>
      <c r="LHY1" s="660"/>
      <c r="LHZ1" s="660"/>
      <c r="LIA1" s="660"/>
      <c r="LIB1" s="660"/>
      <c r="LIC1" s="660"/>
      <c r="LID1" s="660"/>
      <c r="LIE1" s="660"/>
      <c r="LIF1" s="660"/>
      <c r="LIG1" s="660"/>
      <c r="LIH1" s="660"/>
      <c r="LII1" s="660"/>
      <c r="LIJ1" s="660"/>
      <c r="LIK1" s="660"/>
      <c r="LIL1" s="660"/>
      <c r="LIM1" s="660"/>
      <c r="LIN1" s="660"/>
      <c r="LIO1" s="660"/>
      <c r="LIP1" s="660"/>
      <c r="LIQ1" s="660"/>
      <c r="LIR1" s="660"/>
      <c r="LIS1" s="660"/>
      <c r="LIT1" s="660"/>
      <c r="LIU1" s="660"/>
      <c r="LIV1" s="660"/>
      <c r="LIW1" s="660"/>
      <c r="LIX1" s="660"/>
      <c r="LIY1" s="660"/>
      <c r="LIZ1" s="660"/>
      <c r="LJA1" s="660"/>
      <c r="LJB1" s="660"/>
      <c r="LJC1" s="660"/>
      <c r="LJD1" s="660"/>
      <c r="LJE1" s="660"/>
      <c r="LJF1" s="660"/>
      <c r="LJG1" s="660"/>
      <c r="LJH1" s="660"/>
      <c r="LJI1" s="660"/>
      <c r="LJJ1" s="660"/>
      <c r="LJK1" s="660"/>
      <c r="LJL1" s="660"/>
      <c r="LJM1" s="660"/>
      <c r="LJN1" s="660"/>
      <c r="LJO1" s="660"/>
      <c r="LJP1" s="660"/>
      <c r="LJQ1" s="660"/>
      <c r="LJR1" s="660"/>
      <c r="LJS1" s="660"/>
      <c r="LJT1" s="660"/>
      <c r="LJU1" s="660"/>
      <c r="LJV1" s="660"/>
      <c r="LJW1" s="660"/>
      <c r="LJX1" s="660"/>
      <c r="LJY1" s="660"/>
      <c r="LJZ1" s="660"/>
      <c r="LKA1" s="660"/>
      <c r="LKB1" s="660"/>
      <c r="LKC1" s="660"/>
      <c r="LKD1" s="660"/>
      <c r="LKE1" s="660"/>
      <c r="LKF1" s="660"/>
      <c r="LKG1" s="660"/>
      <c r="LKH1" s="660"/>
      <c r="LKI1" s="660"/>
      <c r="LKJ1" s="660"/>
      <c r="LKK1" s="660"/>
      <c r="LKL1" s="660"/>
      <c r="LKM1" s="660"/>
      <c r="LKN1" s="660"/>
      <c r="LKO1" s="660"/>
      <c r="LKP1" s="660"/>
      <c r="LKQ1" s="660"/>
      <c r="LKR1" s="660"/>
      <c r="LKS1" s="660"/>
      <c r="LKT1" s="660"/>
      <c r="LKU1" s="660"/>
      <c r="LKV1" s="660"/>
      <c r="LKW1" s="660"/>
      <c r="LKX1" s="660"/>
      <c r="LKY1" s="660"/>
      <c r="LKZ1" s="660"/>
      <c r="LLA1" s="660"/>
      <c r="LLB1" s="660"/>
      <c r="LLC1" s="660"/>
      <c r="LLD1" s="660"/>
      <c r="LLE1" s="660"/>
      <c r="LLF1" s="660"/>
      <c r="LLG1" s="660"/>
      <c r="LLH1" s="660"/>
      <c r="LLI1" s="660"/>
      <c r="LLJ1" s="660"/>
      <c r="LLK1" s="660"/>
      <c r="LLL1" s="660"/>
      <c r="LLM1" s="660"/>
      <c r="LLN1" s="660"/>
      <c r="LLO1" s="660"/>
      <c r="LLP1" s="660"/>
      <c r="LLQ1" s="660"/>
      <c r="LLR1" s="660"/>
      <c r="LLS1" s="660"/>
      <c r="LLT1" s="660"/>
      <c r="LLU1" s="660"/>
      <c r="LLV1" s="660"/>
      <c r="LLW1" s="660"/>
      <c r="LLX1" s="660"/>
      <c r="LLY1" s="660"/>
      <c r="LLZ1" s="660"/>
      <c r="LMA1" s="660"/>
      <c r="LMB1" s="660"/>
      <c r="LMC1" s="660"/>
      <c r="LMD1" s="660"/>
      <c r="LME1" s="660"/>
      <c r="LMF1" s="660"/>
      <c r="LMG1" s="660"/>
      <c r="LMH1" s="660"/>
      <c r="LMI1" s="660"/>
      <c r="LMJ1" s="660"/>
      <c r="LMK1" s="660"/>
      <c r="LML1" s="660"/>
      <c r="LMM1" s="660"/>
      <c r="LMN1" s="660"/>
      <c r="LMO1" s="660"/>
      <c r="LMP1" s="660"/>
      <c r="LMQ1" s="660"/>
      <c r="LMR1" s="660"/>
      <c r="LMS1" s="660"/>
      <c r="LMT1" s="660"/>
      <c r="LMU1" s="660"/>
      <c r="LMV1" s="660"/>
      <c r="LMW1" s="660"/>
      <c r="LMX1" s="660"/>
      <c r="LMY1" s="660"/>
      <c r="LMZ1" s="660"/>
      <c r="LNA1" s="660"/>
      <c r="LNB1" s="660"/>
      <c r="LNC1" s="660"/>
      <c r="LND1" s="660"/>
      <c r="LNE1" s="660"/>
      <c r="LNF1" s="660"/>
      <c r="LNG1" s="660"/>
      <c r="LNH1" s="660"/>
      <c r="LNI1" s="660"/>
      <c r="LNJ1" s="660"/>
      <c r="LNK1" s="660"/>
      <c r="LNL1" s="660"/>
      <c r="LNM1" s="660"/>
      <c r="LNN1" s="660"/>
      <c r="LNO1" s="660"/>
      <c r="LNP1" s="660"/>
      <c r="LNQ1" s="660"/>
      <c r="LNR1" s="660"/>
      <c r="LNS1" s="660"/>
      <c r="LNT1" s="660"/>
      <c r="LNU1" s="660"/>
      <c r="LNV1" s="660"/>
      <c r="LNW1" s="660"/>
      <c r="LNX1" s="660"/>
      <c r="LNY1" s="660"/>
      <c r="LNZ1" s="660"/>
      <c r="LOA1" s="660"/>
      <c r="LOB1" s="660"/>
      <c r="LOC1" s="660"/>
      <c r="LOD1" s="660"/>
      <c r="LOE1" s="660"/>
      <c r="LOF1" s="660"/>
      <c r="LOG1" s="660"/>
      <c r="LOH1" s="660"/>
      <c r="LOI1" s="660"/>
      <c r="LOJ1" s="660"/>
      <c r="LOK1" s="660"/>
      <c r="LOL1" s="660"/>
      <c r="LOM1" s="660"/>
      <c r="LON1" s="660"/>
      <c r="LOO1" s="660"/>
      <c r="LOP1" s="660"/>
      <c r="LOQ1" s="660"/>
      <c r="LOR1" s="660"/>
      <c r="LOS1" s="660"/>
      <c r="LOT1" s="660"/>
      <c r="LOU1" s="660"/>
      <c r="LOV1" s="660"/>
      <c r="LOW1" s="660"/>
      <c r="LOX1" s="660"/>
      <c r="LOY1" s="660"/>
      <c r="LOZ1" s="660"/>
      <c r="LPA1" s="660"/>
      <c r="LPB1" s="660"/>
      <c r="LPC1" s="660"/>
      <c r="LPD1" s="660"/>
      <c r="LPE1" s="660"/>
      <c r="LPF1" s="660"/>
      <c r="LPG1" s="660"/>
      <c r="LPH1" s="660"/>
      <c r="LPI1" s="660"/>
      <c r="LPJ1" s="660"/>
      <c r="LPK1" s="660"/>
      <c r="LPL1" s="660"/>
      <c r="LPM1" s="660"/>
      <c r="LPN1" s="660"/>
      <c r="LPO1" s="660"/>
      <c r="LPP1" s="660"/>
      <c r="LPQ1" s="660"/>
      <c r="LPR1" s="660"/>
      <c r="LPS1" s="660"/>
      <c r="LPT1" s="660"/>
      <c r="LPU1" s="660"/>
      <c r="LPV1" s="660"/>
      <c r="LPW1" s="660"/>
      <c r="LPX1" s="660"/>
      <c r="LPY1" s="660"/>
      <c r="LPZ1" s="660"/>
      <c r="LQA1" s="660"/>
      <c r="LQB1" s="660"/>
      <c r="LQC1" s="660"/>
      <c r="LQD1" s="660"/>
      <c r="LQE1" s="660"/>
      <c r="LQF1" s="660"/>
      <c r="LQG1" s="660"/>
      <c r="LQH1" s="660"/>
      <c r="LQI1" s="660"/>
      <c r="LQJ1" s="660"/>
      <c r="LQK1" s="660"/>
      <c r="LQL1" s="660"/>
      <c r="LQM1" s="660"/>
      <c r="LQN1" s="660"/>
      <c r="LQO1" s="660"/>
      <c r="LQP1" s="660"/>
      <c r="LQQ1" s="660"/>
      <c r="LQR1" s="660"/>
      <c r="LQS1" s="660"/>
      <c r="LQT1" s="660"/>
      <c r="LQU1" s="660"/>
      <c r="LQV1" s="660"/>
      <c r="LQW1" s="660"/>
      <c r="LQX1" s="660"/>
      <c r="LQY1" s="660"/>
      <c r="LQZ1" s="660"/>
      <c r="LRA1" s="660"/>
      <c r="LRB1" s="660"/>
      <c r="LRC1" s="660"/>
      <c r="LRD1" s="660"/>
      <c r="LRE1" s="660"/>
      <c r="LRF1" s="660"/>
      <c r="LRG1" s="660"/>
      <c r="LRH1" s="660"/>
      <c r="LRI1" s="660"/>
      <c r="LRJ1" s="660"/>
      <c r="LRK1" s="660"/>
      <c r="LRL1" s="660"/>
      <c r="LRM1" s="660"/>
      <c r="LRN1" s="660"/>
      <c r="LRO1" s="660"/>
      <c r="LRP1" s="660"/>
      <c r="LRQ1" s="660"/>
      <c r="LRR1" s="660"/>
      <c r="LRS1" s="660"/>
      <c r="LRT1" s="660"/>
      <c r="LRU1" s="660"/>
      <c r="LRV1" s="660"/>
      <c r="LRW1" s="660"/>
      <c r="LRX1" s="660"/>
      <c r="LRY1" s="660"/>
      <c r="LRZ1" s="660"/>
      <c r="LSA1" s="660"/>
      <c r="LSB1" s="660"/>
      <c r="LSC1" s="660"/>
      <c r="LSD1" s="660"/>
      <c r="LSE1" s="660"/>
      <c r="LSF1" s="660"/>
      <c r="LSG1" s="660"/>
      <c r="LSH1" s="660"/>
      <c r="LSI1" s="660"/>
      <c r="LSJ1" s="660"/>
      <c r="LSK1" s="660"/>
      <c r="LSL1" s="660"/>
      <c r="LSM1" s="660"/>
      <c r="LSN1" s="660"/>
      <c r="LSO1" s="660"/>
      <c r="LSP1" s="660"/>
      <c r="LSQ1" s="660"/>
      <c r="LSR1" s="660"/>
      <c r="LSS1" s="660"/>
      <c r="LST1" s="660"/>
      <c r="LSU1" s="660"/>
      <c r="LSV1" s="660"/>
      <c r="LSW1" s="660"/>
      <c r="LSX1" s="660"/>
      <c r="LSY1" s="660"/>
      <c r="LSZ1" s="660"/>
      <c r="LTA1" s="660"/>
      <c r="LTB1" s="660"/>
      <c r="LTC1" s="660"/>
      <c r="LTD1" s="660"/>
      <c r="LTE1" s="660"/>
      <c r="LTF1" s="660"/>
      <c r="LTG1" s="660"/>
      <c r="LTH1" s="660"/>
      <c r="LTI1" s="660"/>
      <c r="LTJ1" s="660"/>
      <c r="LTK1" s="660"/>
      <c r="LTL1" s="660"/>
      <c r="LTM1" s="660"/>
      <c r="LTN1" s="660"/>
      <c r="LTO1" s="660"/>
      <c r="LTP1" s="660"/>
      <c r="LTQ1" s="660"/>
      <c r="LTR1" s="660"/>
      <c r="LTS1" s="660"/>
      <c r="LTT1" s="660"/>
      <c r="LTU1" s="660"/>
      <c r="LTV1" s="660"/>
      <c r="LTW1" s="660"/>
      <c r="LTX1" s="660"/>
      <c r="LTY1" s="660"/>
      <c r="LTZ1" s="660"/>
      <c r="LUA1" s="660"/>
      <c r="LUB1" s="660"/>
      <c r="LUC1" s="660"/>
      <c r="LUD1" s="660"/>
      <c r="LUE1" s="660"/>
      <c r="LUF1" s="660"/>
      <c r="LUG1" s="660"/>
      <c r="LUH1" s="660"/>
      <c r="LUI1" s="660"/>
      <c r="LUJ1" s="660"/>
      <c r="LUK1" s="660"/>
      <c r="LUL1" s="660"/>
      <c r="LUM1" s="660"/>
      <c r="LUN1" s="660"/>
      <c r="LUO1" s="660"/>
      <c r="LUP1" s="660"/>
      <c r="LUQ1" s="660"/>
      <c r="LUR1" s="660"/>
      <c r="LUS1" s="660"/>
      <c r="LUT1" s="660"/>
      <c r="LUU1" s="660"/>
      <c r="LUV1" s="660"/>
      <c r="LUW1" s="660"/>
      <c r="LUX1" s="660"/>
      <c r="LUY1" s="660"/>
      <c r="LUZ1" s="660"/>
      <c r="LVA1" s="660"/>
      <c r="LVB1" s="660"/>
      <c r="LVC1" s="660"/>
      <c r="LVD1" s="660"/>
      <c r="LVE1" s="660"/>
      <c r="LVF1" s="660"/>
      <c r="LVG1" s="660"/>
      <c r="LVH1" s="660"/>
      <c r="LVI1" s="660"/>
      <c r="LVJ1" s="660"/>
      <c r="LVK1" s="660"/>
      <c r="LVL1" s="660"/>
      <c r="LVM1" s="660"/>
      <c r="LVN1" s="660"/>
      <c r="LVO1" s="660"/>
      <c r="LVP1" s="660"/>
      <c r="LVQ1" s="660"/>
      <c r="LVR1" s="660"/>
      <c r="LVS1" s="660"/>
      <c r="LVT1" s="660"/>
      <c r="LVU1" s="660"/>
      <c r="LVV1" s="660"/>
      <c r="LVW1" s="660"/>
      <c r="LVX1" s="660"/>
      <c r="LVY1" s="660"/>
      <c r="LVZ1" s="660"/>
      <c r="LWA1" s="660"/>
      <c r="LWB1" s="660"/>
      <c r="LWC1" s="660"/>
      <c r="LWD1" s="660"/>
      <c r="LWE1" s="660"/>
      <c r="LWF1" s="660"/>
      <c r="LWG1" s="660"/>
      <c r="LWH1" s="660"/>
      <c r="LWI1" s="660"/>
      <c r="LWJ1" s="660"/>
      <c r="LWK1" s="660"/>
      <c r="LWL1" s="660"/>
      <c r="LWM1" s="660"/>
      <c r="LWN1" s="660"/>
      <c r="LWO1" s="660"/>
      <c r="LWP1" s="660"/>
      <c r="LWQ1" s="660"/>
      <c r="LWR1" s="660"/>
      <c r="LWS1" s="660"/>
      <c r="LWT1" s="660"/>
      <c r="LWU1" s="660"/>
      <c r="LWV1" s="660"/>
      <c r="LWW1" s="660"/>
      <c r="LWX1" s="660"/>
      <c r="LWY1" s="660"/>
      <c r="LWZ1" s="660"/>
      <c r="LXA1" s="660"/>
      <c r="LXB1" s="660"/>
      <c r="LXC1" s="660"/>
      <c r="LXD1" s="660"/>
      <c r="LXE1" s="660"/>
      <c r="LXF1" s="660"/>
      <c r="LXG1" s="660"/>
      <c r="LXH1" s="660"/>
      <c r="LXI1" s="660"/>
      <c r="LXJ1" s="660"/>
      <c r="LXK1" s="660"/>
      <c r="LXL1" s="660"/>
      <c r="LXM1" s="660"/>
      <c r="LXN1" s="660"/>
      <c r="LXO1" s="660"/>
      <c r="LXP1" s="660"/>
      <c r="LXQ1" s="660"/>
      <c r="LXR1" s="660"/>
      <c r="LXS1" s="660"/>
      <c r="LXT1" s="660"/>
      <c r="LXU1" s="660"/>
      <c r="LXV1" s="660"/>
      <c r="LXW1" s="660"/>
      <c r="LXX1" s="660"/>
      <c r="LXY1" s="660"/>
      <c r="LXZ1" s="660"/>
      <c r="LYA1" s="660"/>
      <c r="LYB1" s="660"/>
      <c r="LYC1" s="660"/>
      <c r="LYD1" s="660"/>
      <c r="LYE1" s="660"/>
      <c r="LYF1" s="660"/>
      <c r="LYG1" s="660"/>
      <c r="LYH1" s="660"/>
      <c r="LYI1" s="660"/>
      <c r="LYJ1" s="660"/>
      <c r="LYK1" s="660"/>
      <c r="LYL1" s="660"/>
      <c r="LYM1" s="660"/>
      <c r="LYN1" s="660"/>
      <c r="LYO1" s="660"/>
      <c r="LYP1" s="660"/>
      <c r="LYQ1" s="660"/>
      <c r="LYR1" s="660"/>
      <c r="LYS1" s="660"/>
      <c r="LYT1" s="660"/>
      <c r="LYU1" s="660"/>
      <c r="LYV1" s="660"/>
      <c r="LYW1" s="660"/>
      <c r="LYX1" s="660"/>
      <c r="LYY1" s="660"/>
      <c r="LYZ1" s="660"/>
      <c r="LZA1" s="660"/>
      <c r="LZB1" s="660"/>
      <c r="LZC1" s="660"/>
      <c r="LZD1" s="660"/>
      <c r="LZE1" s="660"/>
      <c r="LZF1" s="660"/>
      <c r="LZG1" s="660"/>
      <c r="LZH1" s="660"/>
      <c r="LZI1" s="660"/>
      <c r="LZJ1" s="660"/>
      <c r="LZK1" s="660"/>
      <c r="LZL1" s="660"/>
      <c r="LZM1" s="660"/>
      <c r="LZN1" s="660"/>
      <c r="LZO1" s="660"/>
      <c r="LZP1" s="660"/>
      <c r="LZQ1" s="660"/>
      <c r="LZR1" s="660"/>
      <c r="LZS1" s="660"/>
      <c r="LZT1" s="660"/>
      <c r="LZU1" s="660"/>
      <c r="LZV1" s="660"/>
      <c r="LZW1" s="660"/>
      <c r="LZX1" s="660"/>
      <c r="LZY1" s="660"/>
      <c r="LZZ1" s="660"/>
      <c r="MAA1" s="660"/>
      <c r="MAB1" s="660"/>
      <c r="MAC1" s="660"/>
      <c r="MAD1" s="660"/>
      <c r="MAE1" s="660"/>
      <c r="MAF1" s="660"/>
      <c r="MAG1" s="660"/>
      <c r="MAH1" s="660"/>
      <c r="MAI1" s="660"/>
      <c r="MAJ1" s="660"/>
      <c r="MAK1" s="660"/>
      <c r="MAL1" s="660"/>
      <c r="MAM1" s="660"/>
      <c r="MAN1" s="660"/>
      <c r="MAO1" s="660"/>
      <c r="MAP1" s="660"/>
      <c r="MAQ1" s="660"/>
      <c r="MAR1" s="660"/>
      <c r="MAS1" s="660"/>
      <c r="MAT1" s="660"/>
      <c r="MAU1" s="660"/>
      <c r="MAV1" s="660"/>
      <c r="MAW1" s="660"/>
      <c r="MAX1" s="660"/>
      <c r="MAY1" s="660"/>
      <c r="MAZ1" s="660"/>
      <c r="MBA1" s="660"/>
      <c r="MBB1" s="660"/>
      <c r="MBC1" s="660"/>
      <c r="MBD1" s="660"/>
      <c r="MBE1" s="660"/>
      <c r="MBF1" s="660"/>
      <c r="MBG1" s="660"/>
      <c r="MBH1" s="660"/>
      <c r="MBI1" s="660"/>
      <c r="MBJ1" s="660"/>
      <c r="MBK1" s="660"/>
      <c r="MBL1" s="660"/>
      <c r="MBM1" s="660"/>
      <c r="MBN1" s="660"/>
      <c r="MBO1" s="660"/>
      <c r="MBP1" s="660"/>
      <c r="MBQ1" s="660"/>
      <c r="MBR1" s="660"/>
      <c r="MBS1" s="660"/>
      <c r="MBT1" s="660"/>
      <c r="MBU1" s="660"/>
      <c r="MBV1" s="660"/>
      <c r="MBW1" s="660"/>
      <c r="MBX1" s="660"/>
      <c r="MBY1" s="660"/>
      <c r="MBZ1" s="660"/>
      <c r="MCA1" s="660"/>
      <c r="MCB1" s="660"/>
      <c r="MCC1" s="660"/>
      <c r="MCD1" s="660"/>
      <c r="MCE1" s="660"/>
      <c r="MCF1" s="660"/>
      <c r="MCG1" s="660"/>
      <c r="MCH1" s="660"/>
      <c r="MCI1" s="660"/>
      <c r="MCJ1" s="660"/>
      <c r="MCK1" s="660"/>
      <c r="MCL1" s="660"/>
      <c r="MCM1" s="660"/>
      <c r="MCN1" s="660"/>
      <c r="MCO1" s="660"/>
      <c r="MCP1" s="660"/>
      <c r="MCQ1" s="660"/>
      <c r="MCR1" s="660"/>
      <c r="MCS1" s="660"/>
      <c r="MCT1" s="660"/>
      <c r="MCU1" s="660"/>
      <c r="MCV1" s="660"/>
      <c r="MCW1" s="660"/>
      <c r="MCX1" s="660"/>
      <c r="MCY1" s="660"/>
      <c r="MCZ1" s="660"/>
      <c r="MDA1" s="660"/>
      <c r="MDB1" s="660"/>
      <c r="MDC1" s="660"/>
      <c r="MDD1" s="660"/>
      <c r="MDE1" s="660"/>
      <c r="MDF1" s="660"/>
      <c r="MDG1" s="660"/>
      <c r="MDH1" s="660"/>
      <c r="MDI1" s="660"/>
      <c r="MDJ1" s="660"/>
      <c r="MDK1" s="660"/>
      <c r="MDL1" s="660"/>
      <c r="MDM1" s="660"/>
      <c r="MDN1" s="660"/>
      <c r="MDO1" s="660"/>
      <c r="MDP1" s="660"/>
      <c r="MDQ1" s="660"/>
      <c r="MDR1" s="660"/>
      <c r="MDS1" s="660"/>
      <c r="MDT1" s="660"/>
      <c r="MDU1" s="660"/>
      <c r="MDV1" s="660"/>
      <c r="MDW1" s="660"/>
      <c r="MDX1" s="660"/>
      <c r="MDY1" s="660"/>
      <c r="MDZ1" s="660"/>
      <c r="MEA1" s="660"/>
      <c r="MEB1" s="660"/>
      <c r="MEC1" s="660"/>
      <c r="MED1" s="660"/>
      <c r="MEE1" s="660"/>
      <c r="MEF1" s="660"/>
      <c r="MEG1" s="660"/>
      <c r="MEH1" s="660"/>
      <c r="MEI1" s="660"/>
      <c r="MEJ1" s="660"/>
      <c r="MEK1" s="660"/>
      <c r="MEL1" s="660"/>
      <c r="MEM1" s="660"/>
      <c r="MEN1" s="660"/>
      <c r="MEO1" s="660"/>
      <c r="MEP1" s="660"/>
      <c r="MEQ1" s="660"/>
      <c r="MER1" s="660"/>
      <c r="MES1" s="660"/>
      <c r="MET1" s="660"/>
      <c r="MEU1" s="660"/>
      <c r="MEV1" s="660"/>
      <c r="MEW1" s="660"/>
      <c r="MEX1" s="660"/>
      <c r="MEY1" s="660"/>
      <c r="MEZ1" s="660"/>
      <c r="MFA1" s="660"/>
      <c r="MFB1" s="660"/>
      <c r="MFC1" s="660"/>
      <c r="MFD1" s="660"/>
      <c r="MFE1" s="660"/>
      <c r="MFF1" s="660"/>
      <c r="MFG1" s="660"/>
      <c r="MFH1" s="660"/>
      <c r="MFI1" s="660"/>
      <c r="MFJ1" s="660"/>
      <c r="MFK1" s="660"/>
      <c r="MFL1" s="660"/>
      <c r="MFM1" s="660"/>
      <c r="MFN1" s="660"/>
      <c r="MFO1" s="660"/>
      <c r="MFP1" s="660"/>
      <c r="MFQ1" s="660"/>
      <c r="MFR1" s="660"/>
      <c r="MFS1" s="660"/>
      <c r="MFT1" s="660"/>
      <c r="MFU1" s="660"/>
      <c r="MFV1" s="660"/>
      <c r="MFW1" s="660"/>
      <c r="MFX1" s="660"/>
      <c r="MFY1" s="660"/>
      <c r="MFZ1" s="660"/>
      <c r="MGA1" s="660"/>
      <c r="MGB1" s="660"/>
      <c r="MGC1" s="660"/>
      <c r="MGD1" s="660"/>
      <c r="MGE1" s="660"/>
      <c r="MGF1" s="660"/>
      <c r="MGG1" s="660"/>
      <c r="MGH1" s="660"/>
      <c r="MGI1" s="660"/>
      <c r="MGJ1" s="660"/>
      <c r="MGK1" s="660"/>
      <c r="MGL1" s="660"/>
      <c r="MGM1" s="660"/>
      <c r="MGN1" s="660"/>
      <c r="MGO1" s="660"/>
      <c r="MGP1" s="660"/>
      <c r="MGQ1" s="660"/>
      <c r="MGR1" s="660"/>
      <c r="MGS1" s="660"/>
      <c r="MGT1" s="660"/>
      <c r="MGU1" s="660"/>
      <c r="MGV1" s="660"/>
      <c r="MGW1" s="660"/>
      <c r="MGX1" s="660"/>
      <c r="MGY1" s="660"/>
      <c r="MGZ1" s="660"/>
      <c r="MHA1" s="660"/>
      <c r="MHB1" s="660"/>
      <c r="MHC1" s="660"/>
      <c r="MHD1" s="660"/>
      <c r="MHE1" s="660"/>
      <c r="MHF1" s="660"/>
      <c r="MHG1" s="660"/>
      <c r="MHH1" s="660"/>
      <c r="MHI1" s="660"/>
      <c r="MHJ1" s="660"/>
      <c r="MHK1" s="660"/>
      <c r="MHL1" s="660"/>
      <c r="MHM1" s="660"/>
      <c r="MHN1" s="660"/>
      <c r="MHO1" s="660"/>
      <c r="MHP1" s="660"/>
      <c r="MHQ1" s="660"/>
      <c r="MHR1" s="660"/>
      <c r="MHS1" s="660"/>
      <c r="MHT1" s="660"/>
      <c r="MHU1" s="660"/>
      <c r="MHV1" s="660"/>
      <c r="MHW1" s="660"/>
      <c r="MHX1" s="660"/>
      <c r="MHY1" s="660"/>
      <c r="MHZ1" s="660"/>
      <c r="MIA1" s="660"/>
      <c r="MIB1" s="660"/>
      <c r="MIC1" s="660"/>
      <c r="MID1" s="660"/>
      <c r="MIE1" s="660"/>
      <c r="MIF1" s="660"/>
      <c r="MIG1" s="660"/>
      <c r="MIH1" s="660"/>
      <c r="MII1" s="660"/>
      <c r="MIJ1" s="660"/>
      <c r="MIK1" s="660"/>
      <c r="MIL1" s="660"/>
      <c r="MIM1" s="660"/>
      <c r="MIN1" s="660"/>
      <c r="MIO1" s="660"/>
      <c r="MIP1" s="660"/>
      <c r="MIQ1" s="660"/>
      <c r="MIR1" s="660"/>
      <c r="MIS1" s="660"/>
      <c r="MIT1" s="660"/>
      <c r="MIU1" s="660"/>
      <c r="MIV1" s="660"/>
      <c r="MIW1" s="660"/>
      <c r="MIX1" s="660"/>
      <c r="MIY1" s="660"/>
      <c r="MIZ1" s="660"/>
      <c r="MJA1" s="660"/>
      <c r="MJB1" s="660"/>
      <c r="MJC1" s="660"/>
      <c r="MJD1" s="660"/>
      <c r="MJE1" s="660"/>
      <c r="MJF1" s="660"/>
      <c r="MJG1" s="660"/>
      <c r="MJH1" s="660"/>
      <c r="MJI1" s="660"/>
      <c r="MJJ1" s="660"/>
      <c r="MJK1" s="660"/>
      <c r="MJL1" s="660"/>
      <c r="MJM1" s="660"/>
      <c r="MJN1" s="660"/>
      <c r="MJO1" s="660"/>
      <c r="MJP1" s="660"/>
      <c r="MJQ1" s="660"/>
      <c r="MJR1" s="660"/>
      <c r="MJS1" s="660"/>
      <c r="MJT1" s="660"/>
      <c r="MJU1" s="660"/>
      <c r="MJV1" s="660"/>
      <c r="MJW1" s="660"/>
      <c r="MJX1" s="660"/>
      <c r="MJY1" s="660"/>
      <c r="MJZ1" s="660"/>
      <c r="MKA1" s="660"/>
      <c r="MKB1" s="660"/>
      <c r="MKC1" s="660"/>
      <c r="MKD1" s="660"/>
      <c r="MKE1" s="660"/>
      <c r="MKF1" s="660"/>
      <c r="MKG1" s="660"/>
      <c r="MKH1" s="660"/>
      <c r="MKI1" s="660"/>
      <c r="MKJ1" s="660"/>
      <c r="MKK1" s="660"/>
      <c r="MKL1" s="660"/>
      <c r="MKM1" s="660"/>
      <c r="MKN1" s="660"/>
      <c r="MKO1" s="660"/>
      <c r="MKP1" s="660"/>
      <c r="MKQ1" s="660"/>
      <c r="MKR1" s="660"/>
      <c r="MKS1" s="660"/>
      <c r="MKT1" s="660"/>
      <c r="MKU1" s="660"/>
      <c r="MKV1" s="660"/>
      <c r="MKW1" s="660"/>
      <c r="MKX1" s="660"/>
      <c r="MKY1" s="660"/>
      <c r="MKZ1" s="660"/>
      <c r="MLA1" s="660"/>
      <c r="MLB1" s="660"/>
      <c r="MLC1" s="660"/>
      <c r="MLD1" s="660"/>
      <c r="MLE1" s="660"/>
      <c r="MLF1" s="660"/>
      <c r="MLG1" s="660"/>
      <c r="MLH1" s="660"/>
      <c r="MLI1" s="660"/>
      <c r="MLJ1" s="660"/>
      <c r="MLK1" s="660"/>
      <c r="MLL1" s="660"/>
      <c r="MLM1" s="660"/>
      <c r="MLN1" s="660"/>
      <c r="MLO1" s="660"/>
      <c r="MLP1" s="660"/>
      <c r="MLQ1" s="660"/>
      <c r="MLR1" s="660"/>
      <c r="MLS1" s="660"/>
      <c r="MLT1" s="660"/>
      <c r="MLU1" s="660"/>
      <c r="MLV1" s="660"/>
      <c r="MLW1" s="660"/>
      <c r="MLX1" s="660"/>
      <c r="MLY1" s="660"/>
      <c r="MLZ1" s="660"/>
      <c r="MMA1" s="660"/>
      <c r="MMB1" s="660"/>
      <c r="MMC1" s="660"/>
      <c r="MMD1" s="660"/>
      <c r="MME1" s="660"/>
      <c r="MMF1" s="660"/>
      <c r="MMG1" s="660"/>
      <c r="MMH1" s="660"/>
      <c r="MMI1" s="660"/>
      <c r="MMJ1" s="660"/>
      <c r="MMK1" s="660"/>
      <c r="MML1" s="660"/>
      <c r="MMM1" s="660"/>
      <c r="MMN1" s="660"/>
      <c r="MMO1" s="660"/>
      <c r="MMP1" s="660"/>
      <c r="MMQ1" s="660"/>
      <c r="MMR1" s="660"/>
      <c r="MMS1" s="660"/>
      <c r="MMT1" s="660"/>
      <c r="MMU1" s="660"/>
      <c r="MMV1" s="660"/>
      <c r="MMW1" s="660"/>
      <c r="MMX1" s="660"/>
      <c r="MMY1" s="660"/>
      <c r="MMZ1" s="660"/>
      <c r="MNA1" s="660"/>
      <c r="MNB1" s="660"/>
      <c r="MNC1" s="660"/>
      <c r="MND1" s="660"/>
      <c r="MNE1" s="660"/>
      <c r="MNF1" s="660"/>
      <c r="MNG1" s="660"/>
      <c r="MNH1" s="660"/>
      <c r="MNI1" s="660"/>
      <c r="MNJ1" s="660"/>
      <c r="MNK1" s="660"/>
      <c r="MNL1" s="660"/>
      <c r="MNM1" s="660"/>
      <c r="MNN1" s="660"/>
      <c r="MNO1" s="660"/>
      <c r="MNP1" s="660"/>
      <c r="MNQ1" s="660"/>
      <c r="MNR1" s="660"/>
      <c r="MNS1" s="660"/>
      <c r="MNT1" s="660"/>
      <c r="MNU1" s="660"/>
      <c r="MNV1" s="660"/>
      <c r="MNW1" s="660"/>
      <c r="MNX1" s="660"/>
      <c r="MNY1" s="660"/>
      <c r="MNZ1" s="660"/>
      <c r="MOA1" s="660"/>
      <c r="MOB1" s="660"/>
      <c r="MOC1" s="660"/>
      <c r="MOD1" s="660"/>
      <c r="MOE1" s="660"/>
      <c r="MOF1" s="660"/>
      <c r="MOG1" s="660"/>
      <c r="MOH1" s="660"/>
      <c r="MOI1" s="660"/>
      <c r="MOJ1" s="660"/>
      <c r="MOK1" s="660"/>
      <c r="MOL1" s="660"/>
      <c r="MOM1" s="660"/>
      <c r="MON1" s="660"/>
      <c r="MOO1" s="660"/>
      <c r="MOP1" s="660"/>
      <c r="MOQ1" s="660"/>
      <c r="MOR1" s="660"/>
      <c r="MOS1" s="660"/>
      <c r="MOT1" s="660"/>
      <c r="MOU1" s="660"/>
      <c r="MOV1" s="660"/>
      <c r="MOW1" s="660"/>
      <c r="MOX1" s="660"/>
      <c r="MOY1" s="660"/>
      <c r="MOZ1" s="660"/>
      <c r="MPA1" s="660"/>
      <c r="MPB1" s="660"/>
      <c r="MPC1" s="660"/>
      <c r="MPD1" s="660"/>
      <c r="MPE1" s="660"/>
      <c r="MPF1" s="660"/>
      <c r="MPG1" s="660"/>
      <c r="MPH1" s="660"/>
      <c r="MPI1" s="660"/>
      <c r="MPJ1" s="660"/>
      <c r="MPK1" s="660"/>
      <c r="MPL1" s="660"/>
      <c r="MPM1" s="660"/>
      <c r="MPN1" s="660"/>
      <c r="MPO1" s="660"/>
      <c r="MPP1" s="660"/>
      <c r="MPQ1" s="660"/>
      <c r="MPR1" s="660"/>
      <c r="MPS1" s="660"/>
      <c r="MPT1" s="660"/>
      <c r="MPU1" s="660"/>
      <c r="MPV1" s="660"/>
      <c r="MPW1" s="660"/>
      <c r="MPX1" s="660"/>
      <c r="MPY1" s="660"/>
      <c r="MPZ1" s="660"/>
      <c r="MQA1" s="660"/>
      <c r="MQB1" s="660"/>
      <c r="MQC1" s="660"/>
      <c r="MQD1" s="660"/>
      <c r="MQE1" s="660"/>
      <c r="MQF1" s="660"/>
      <c r="MQG1" s="660"/>
      <c r="MQH1" s="660"/>
      <c r="MQI1" s="660"/>
      <c r="MQJ1" s="660"/>
      <c r="MQK1" s="660"/>
      <c r="MQL1" s="660"/>
      <c r="MQM1" s="660"/>
      <c r="MQN1" s="660"/>
      <c r="MQO1" s="660"/>
      <c r="MQP1" s="660"/>
      <c r="MQQ1" s="660"/>
      <c r="MQR1" s="660"/>
      <c r="MQS1" s="660"/>
      <c r="MQT1" s="660"/>
      <c r="MQU1" s="660"/>
      <c r="MQV1" s="660"/>
      <c r="MQW1" s="660"/>
      <c r="MQX1" s="660"/>
      <c r="MQY1" s="660"/>
      <c r="MQZ1" s="660"/>
      <c r="MRA1" s="660"/>
      <c r="MRB1" s="660"/>
      <c r="MRC1" s="660"/>
      <c r="MRD1" s="660"/>
      <c r="MRE1" s="660"/>
      <c r="MRF1" s="660"/>
      <c r="MRG1" s="660"/>
      <c r="MRH1" s="660"/>
      <c r="MRI1" s="660"/>
      <c r="MRJ1" s="660"/>
      <c r="MRK1" s="660"/>
      <c r="MRL1" s="660"/>
      <c r="MRM1" s="660"/>
      <c r="MRN1" s="660"/>
      <c r="MRO1" s="660"/>
      <c r="MRP1" s="660"/>
      <c r="MRQ1" s="660"/>
      <c r="MRR1" s="660"/>
      <c r="MRS1" s="660"/>
      <c r="MRT1" s="660"/>
      <c r="MRU1" s="660"/>
      <c r="MRV1" s="660"/>
      <c r="MRW1" s="660"/>
      <c r="MRX1" s="660"/>
      <c r="MRY1" s="660"/>
      <c r="MRZ1" s="660"/>
      <c r="MSA1" s="660"/>
      <c r="MSB1" s="660"/>
      <c r="MSC1" s="660"/>
      <c r="MSD1" s="660"/>
      <c r="MSE1" s="660"/>
      <c r="MSF1" s="660"/>
      <c r="MSG1" s="660"/>
      <c r="MSH1" s="660"/>
      <c r="MSI1" s="660"/>
      <c r="MSJ1" s="660"/>
      <c r="MSK1" s="660"/>
      <c r="MSL1" s="660"/>
      <c r="MSM1" s="660"/>
      <c r="MSN1" s="660"/>
      <c r="MSO1" s="660"/>
      <c r="MSP1" s="660"/>
      <c r="MSQ1" s="660"/>
      <c r="MSR1" s="660"/>
      <c r="MSS1" s="660"/>
      <c r="MST1" s="660"/>
      <c r="MSU1" s="660"/>
      <c r="MSV1" s="660"/>
      <c r="MSW1" s="660"/>
      <c r="MSX1" s="660"/>
      <c r="MSY1" s="660"/>
      <c r="MSZ1" s="660"/>
      <c r="MTA1" s="660"/>
      <c r="MTB1" s="660"/>
      <c r="MTC1" s="660"/>
      <c r="MTD1" s="660"/>
      <c r="MTE1" s="660"/>
      <c r="MTF1" s="660"/>
      <c r="MTG1" s="660"/>
      <c r="MTH1" s="660"/>
      <c r="MTI1" s="660"/>
      <c r="MTJ1" s="660"/>
      <c r="MTK1" s="660"/>
      <c r="MTL1" s="660"/>
      <c r="MTM1" s="660"/>
      <c r="MTN1" s="660"/>
      <c r="MTO1" s="660"/>
      <c r="MTP1" s="660"/>
      <c r="MTQ1" s="660"/>
      <c r="MTR1" s="660"/>
      <c r="MTS1" s="660"/>
      <c r="MTT1" s="660"/>
      <c r="MTU1" s="660"/>
      <c r="MTV1" s="660"/>
      <c r="MTW1" s="660"/>
      <c r="MTX1" s="660"/>
      <c r="MTY1" s="660"/>
      <c r="MTZ1" s="660"/>
      <c r="MUA1" s="660"/>
      <c r="MUB1" s="660"/>
      <c r="MUC1" s="660"/>
      <c r="MUD1" s="660"/>
      <c r="MUE1" s="660"/>
      <c r="MUF1" s="660"/>
      <c r="MUG1" s="660"/>
      <c r="MUH1" s="660"/>
      <c r="MUI1" s="660"/>
      <c r="MUJ1" s="660"/>
      <c r="MUK1" s="660"/>
      <c r="MUL1" s="660"/>
      <c r="MUM1" s="660"/>
      <c r="MUN1" s="660"/>
      <c r="MUO1" s="660"/>
      <c r="MUP1" s="660"/>
      <c r="MUQ1" s="660"/>
      <c r="MUR1" s="660"/>
      <c r="MUS1" s="660"/>
      <c r="MUT1" s="660"/>
      <c r="MUU1" s="660"/>
      <c r="MUV1" s="660"/>
      <c r="MUW1" s="660"/>
      <c r="MUX1" s="660"/>
      <c r="MUY1" s="660"/>
      <c r="MUZ1" s="660"/>
      <c r="MVA1" s="660"/>
      <c r="MVB1" s="660"/>
      <c r="MVC1" s="660"/>
      <c r="MVD1" s="660"/>
      <c r="MVE1" s="660"/>
      <c r="MVF1" s="660"/>
      <c r="MVG1" s="660"/>
      <c r="MVH1" s="660"/>
      <c r="MVI1" s="660"/>
      <c r="MVJ1" s="660"/>
      <c r="MVK1" s="660"/>
      <c r="MVL1" s="660"/>
      <c r="MVM1" s="660"/>
      <c r="MVN1" s="660"/>
      <c r="MVO1" s="660"/>
      <c r="MVP1" s="660"/>
      <c r="MVQ1" s="660"/>
      <c r="MVR1" s="660"/>
      <c r="MVS1" s="660"/>
      <c r="MVT1" s="660"/>
      <c r="MVU1" s="660"/>
      <c r="MVV1" s="660"/>
      <c r="MVW1" s="660"/>
      <c r="MVX1" s="660"/>
      <c r="MVY1" s="660"/>
      <c r="MVZ1" s="660"/>
      <c r="MWA1" s="660"/>
      <c r="MWB1" s="660"/>
      <c r="MWC1" s="660"/>
      <c r="MWD1" s="660"/>
      <c r="MWE1" s="660"/>
      <c r="MWF1" s="660"/>
      <c r="MWG1" s="660"/>
      <c r="MWH1" s="660"/>
      <c r="MWI1" s="660"/>
      <c r="MWJ1" s="660"/>
      <c r="MWK1" s="660"/>
      <c r="MWL1" s="660"/>
      <c r="MWM1" s="660"/>
      <c r="MWN1" s="660"/>
      <c r="MWO1" s="660"/>
      <c r="MWP1" s="660"/>
      <c r="MWQ1" s="660"/>
      <c r="MWR1" s="660"/>
      <c r="MWS1" s="660"/>
      <c r="MWT1" s="660"/>
      <c r="MWU1" s="660"/>
      <c r="MWV1" s="660"/>
      <c r="MWW1" s="660"/>
      <c r="MWX1" s="660"/>
      <c r="MWY1" s="660"/>
      <c r="MWZ1" s="660"/>
      <c r="MXA1" s="660"/>
      <c r="MXB1" s="660"/>
      <c r="MXC1" s="660"/>
      <c r="MXD1" s="660"/>
      <c r="MXE1" s="660"/>
      <c r="MXF1" s="660"/>
      <c r="MXG1" s="660"/>
      <c r="MXH1" s="660"/>
      <c r="MXI1" s="660"/>
      <c r="MXJ1" s="660"/>
      <c r="MXK1" s="660"/>
      <c r="MXL1" s="660"/>
      <c r="MXM1" s="660"/>
      <c r="MXN1" s="660"/>
      <c r="MXO1" s="660"/>
      <c r="MXP1" s="660"/>
      <c r="MXQ1" s="660"/>
      <c r="MXR1" s="660"/>
      <c r="MXS1" s="660"/>
      <c r="MXT1" s="660"/>
      <c r="MXU1" s="660"/>
      <c r="MXV1" s="660"/>
      <c r="MXW1" s="660"/>
      <c r="MXX1" s="660"/>
      <c r="MXY1" s="660"/>
      <c r="MXZ1" s="660"/>
      <c r="MYA1" s="660"/>
      <c r="MYB1" s="660"/>
      <c r="MYC1" s="660"/>
      <c r="MYD1" s="660"/>
      <c r="MYE1" s="660"/>
      <c r="MYF1" s="660"/>
      <c r="MYG1" s="660"/>
      <c r="MYH1" s="660"/>
      <c r="MYI1" s="660"/>
      <c r="MYJ1" s="660"/>
      <c r="MYK1" s="660"/>
      <c r="MYL1" s="660"/>
      <c r="MYM1" s="660"/>
      <c r="MYN1" s="660"/>
      <c r="MYO1" s="660"/>
      <c r="MYP1" s="660"/>
      <c r="MYQ1" s="660"/>
      <c r="MYR1" s="660"/>
      <c r="MYS1" s="660"/>
      <c r="MYT1" s="660"/>
      <c r="MYU1" s="660"/>
      <c r="MYV1" s="660"/>
      <c r="MYW1" s="660"/>
      <c r="MYX1" s="660"/>
      <c r="MYY1" s="660"/>
      <c r="MYZ1" s="660"/>
      <c r="MZA1" s="660"/>
      <c r="MZB1" s="660"/>
      <c r="MZC1" s="660"/>
      <c r="MZD1" s="660"/>
      <c r="MZE1" s="660"/>
      <c r="MZF1" s="660"/>
      <c r="MZG1" s="660"/>
      <c r="MZH1" s="660"/>
      <c r="MZI1" s="660"/>
      <c r="MZJ1" s="660"/>
      <c r="MZK1" s="660"/>
      <c r="MZL1" s="660"/>
      <c r="MZM1" s="660"/>
      <c r="MZN1" s="660"/>
      <c r="MZO1" s="660"/>
      <c r="MZP1" s="660"/>
      <c r="MZQ1" s="660"/>
      <c r="MZR1" s="660"/>
      <c r="MZS1" s="660"/>
      <c r="MZT1" s="660"/>
      <c r="MZU1" s="660"/>
      <c r="MZV1" s="660"/>
      <c r="MZW1" s="660"/>
      <c r="MZX1" s="660"/>
      <c r="MZY1" s="660"/>
      <c r="MZZ1" s="660"/>
      <c r="NAA1" s="660"/>
      <c r="NAB1" s="660"/>
      <c r="NAC1" s="660"/>
      <c r="NAD1" s="660"/>
      <c r="NAE1" s="660"/>
      <c r="NAF1" s="660"/>
      <c r="NAG1" s="660"/>
      <c r="NAH1" s="660"/>
      <c r="NAI1" s="660"/>
      <c r="NAJ1" s="660"/>
      <c r="NAK1" s="660"/>
      <c r="NAL1" s="660"/>
      <c r="NAM1" s="660"/>
      <c r="NAN1" s="660"/>
      <c r="NAO1" s="660"/>
      <c r="NAP1" s="660"/>
      <c r="NAQ1" s="660"/>
      <c r="NAR1" s="660"/>
      <c r="NAS1" s="660"/>
      <c r="NAT1" s="660"/>
      <c r="NAU1" s="660"/>
      <c r="NAV1" s="660"/>
      <c r="NAW1" s="660"/>
      <c r="NAX1" s="660"/>
      <c r="NAY1" s="660"/>
      <c r="NAZ1" s="660"/>
      <c r="NBA1" s="660"/>
      <c r="NBB1" s="660"/>
      <c r="NBC1" s="660"/>
      <c r="NBD1" s="660"/>
      <c r="NBE1" s="660"/>
      <c r="NBF1" s="660"/>
      <c r="NBG1" s="660"/>
      <c r="NBH1" s="660"/>
      <c r="NBI1" s="660"/>
      <c r="NBJ1" s="660"/>
      <c r="NBK1" s="660"/>
      <c r="NBL1" s="660"/>
      <c r="NBM1" s="660"/>
      <c r="NBN1" s="660"/>
      <c r="NBO1" s="660"/>
      <c r="NBP1" s="660"/>
      <c r="NBQ1" s="660"/>
      <c r="NBR1" s="660"/>
      <c r="NBS1" s="660"/>
      <c r="NBT1" s="660"/>
      <c r="NBU1" s="660"/>
      <c r="NBV1" s="660"/>
      <c r="NBW1" s="660"/>
      <c r="NBX1" s="660"/>
      <c r="NBY1" s="660"/>
      <c r="NBZ1" s="660"/>
      <c r="NCA1" s="660"/>
      <c r="NCB1" s="660"/>
      <c r="NCC1" s="660"/>
      <c r="NCD1" s="660"/>
      <c r="NCE1" s="660"/>
      <c r="NCF1" s="660"/>
      <c r="NCG1" s="660"/>
      <c r="NCH1" s="660"/>
      <c r="NCI1" s="660"/>
      <c r="NCJ1" s="660"/>
      <c r="NCK1" s="660"/>
      <c r="NCL1" s="660"/>
      <c r="NCM1" s="660"/>
      <c r="NCN1" s="660"/>
      <c r="NCO1" s="660"/>
      <c r="NCP1" s="660"/>
      <c r="NCQ1" s="660"/>
      <c r="NCR1" s="660"/>
      <c r="NCS1" s="660"/>
      <c r="NCT1" s="660"/>
      <c r="NCU1" s="660"/>
      <c r="NCV1" s="660"/>
      <c r="NCW1" s="660"/>
      <c r="NCX1" s="660"/>
      <c r="NCY1" s="660"/>
      <c r="NCZ1" s="660"/>
      <c r="NDA1" s="660"/>
      <c r="NDB1" s="660"/>
      <c r="NDC1" s="660"/>
      <c r="NDD1" s="660"/>
      <c r="NDE1" s="660"/>
      <c r="NDF1" s="660"/>
      <c r="NDG1" s="660"/>
      <c r="NDH1" s="660"/>
      <c r="NDI1" s="660"/>
      <c r="NDJ1" s="660"/>
      <c r="NDK1" s="660"/>
      <c r="NDL1" s="660"/>
      <c r="NDM1" s="660"/>
      <c r="NDN1" s="660"/>
      <c r="NDO1" s="660"/>
      <c r="NDP1" s="660"/>
      <c r="NDQ1" s="660"/>
      <c r="NDR1" s="660"/>
      <c r="NDS1" s="660"/>
      <c r="NDT1" s="660"/>
      <c r="NDU1" s="660"/>
      <c r="NDV1" s="660"/>
      <c r="NDW1" s="660"/>
      <c r="NDX1" s="660"/>
      <c r="NDY1" s="660"/>
      <c r="NDZ1" s="660"/>
      <c r="NEA1" s="660"/>
      <c r="NEB1" s="660"/>
      <c r="NEC1" s="660"/>
      <c r="NED1" s="660"/>
      <c r="NEE1" s="660"/>
      <c r="NEF1" s="660"/>
      <c r="NEG1" s="660"/>
      <c r="NEH1" s="660"/>
      <c r="NEI1" s="660"/>
      <c r="NEJ1" s="660"/>
      <c r="NEK1" s="660"/>
      <c r="NEL1" s="660"/>
      <c r="NEM1" s="660"/>
      <c r="NEN1" s="660"/>
      <c r="NEO1" s="660"/>
      <c r="NEP1" s="660"/>
      <c r="NEQ1" s="660"/>
      <c r="NER1" s="660"/>
      <c r="NES1" s="660"/>
      <c r="NET1" s="660"/>
      <c r="NEU1" s="660"/>
      <c r="NEV1" s="660"/>
      <c r="NEW1" s="660"/>
      <c r="NEX1" s="660"/>
      <c r="NEY1" s="660"/>
      <c r="NEZ1" s="660"/>
      <c r="NFA1" s="660"/>
      <c r="NFB1" s="660"/>
      <c r="NFC1" s="660"/>
      <c r="NFD1" s="660"/>
      <c r="NFE1" s="660"/>
      <c r="NFF1" s="660"/>
      <c r="NFG1" s="660"/>
      <c r="NFH1" s="660"/>
      <c r="NFI1" s="660"/>
      <c r="NFJ1" s="660"/>
      <c r="NFK1" s="660"/>
      <c r="NFL1" s="660"/>
      <c r="NFM1" s="660"/>
      <c r="NFN1" s="660"/>
      <c r="NFO1" s="660"/>
      <c r="NFP1" s="660"/>
      <c r="NFQ1" s="660"/>
      <c r="NFR1" s="660"/>
      <c r="NFS1" s="660"/>
      <c r="NFT1" s="660"/>
      <c r="NFU1" s="660"/>
      <c r="NFV1" s="660"/>
      <c r="NFW1" s="660"/>
      <c r="NFX1" s="660"/>
      <c r="NFY1" s="660"/>
      <c r="NFZ1" s="660"/>
      <c r="NGA1" s="660"/>
      <c r="NGB1" s="660"/>
      <c r="NGC1" s="660"/>
      <c r="NGD1" s="660"/>
      <c r="NGE1" s="660"/>
      <c r="NGF1" s="660"/>
      <c r="NGG1" s="660"/>
      <c r="NGH1" s="660"/>
      <c r="NGI1" s="660"/>
      <c r="NGJ1" s="660"/>
      <c r="NGK1" s="660"/>
      <c r="NGL1" s="660"/>
      <c r="NGM1" s="660"/>
      <c r="NGN1" s="660"/>
      <c r="NGO1" s="660"/>
      <c r="NGP1" s="660"/>
      <c r="NGQ1" s="660"/>
      <c r="NGR1" s="660"/>
      <c r="NGS1" s="660"/>
      <c r="NGT1" s="660"/>
      <c r="NGU1" s="660"/>
      <c r="NGV1" s="660"/>
      <c r="NGW1" s="660"/>
      <c r="NGX1" s="660"/>
      <c r="NGY1" s="660"/>
      <c r="NGZ1" s="660"/>
      <c r="NHA1" s="660"/>
      <c r="NHB1" s="660"/>
      <c r="NHC1" s="660"/>
      <c r="NHD1" s="660"/>
      <c r="NHE1" s="660"/>
      <c r="NHF1" s="660"/>
      <c r="NHG1" s="660"/>
      <c r="NHH1" s="660"/>
      <c r="NHI1" s="660"/>
      <c r="NHJ1" s="660"/>
      <c r="NHK1" s="660"/>
      <c r="NHL1" s="660"/>
      <c r="NHM1" s="660"/>
      <c r="NHN1" s="660"/>
      <c r="NHO1" s="660"/>
      <c r="NHP1" s="660"/>
      <c r="NHQ1" s="660"/>
      <c r="NHR1" s="660"/>
      <c r="NHS1" s="660"/>
      <c r="NHT1" s="660"/>
      <c r="NHU1" s="660"/>
      <c r="NHV1" s="660"/>
      <c r="NHW1" s="660"/>
      <c r="NHX1" s="660"/>
      <c r="NHY1" s="660"/>
      <c r="NHZ1" s="660"/>
      <c r="NIA1" s="660"/>
      <c r="NIB1" s="660"/>
      <c r="NIC1" s="660"/>
      <c r="NID1" s="660"/>
      <c r="NIE1" s="660"/>
      <c r="NIF1" s="660"/>
      <c r="NIG1" s="660"/>
      <c r="NIH1" s="660"/>
      <c r="NII1" s="660"/>
      <c r="NIJ1" s="660"/>
      <c r="NIK1" s="660"/>
      <c r="NIL1" s="660"/>
      <c r="NIM1" s="660"/>
      <c r="NIN1" s="660"/>
      <c r="NIO1" s="660"/>
      <c r="NIP1" s="660"/>
      <c r="NIQ1" s="660"/>
      <c r="NIR1" s="660"/>
      <c r="NIS1" s="660"/>
      <c r="NIT1" s="660"/>
      <c r="NIU1" s="660"/>
      <c r="NIV1" s="660"/>
      <c r="NIW1" s="660"/>
      <c r="NIX1" s="660"/>
      <c r="NIY1" s="660"/>
      <c r="NIZ1" s="660"/>
      <c r="NJA1" s="660"/>
      <c r="NJB1" s="660"/>
      <c r="NJC1" s="660"/>
      <c r="NJD1" s="660"/>
      <c r="NJE1" s="660"/>
      <c r="NJF1" s="660"/>
      <c r="NJG1" s="660"/>
      <c r="NJH1" s="660"/>
      <c r="NJI1" s="660"/>
      <c r="NJJ1" s="660"/>
      <c r="NJK1" s="660"/>
      <c r="NJL1" s="660"/>
      <c r="NJM1" s="660"/>
      <c r="NJN1" s="660"/>
      <c r="NJO1" s="660"/>
      <c r="NJP1" s="660"/>
      <c r="NJQ1" s="660"/>
      <c r="NJR1" s="660"/>
      <c r="NJS1" s="660"/>
      <c r="NJT1" s="660"/>
      <c r="NJU1" s="660"/>
      <c r="NJV1" s="660"/>
      <c r="NJW1" s="660"/>
      <c r="NJX1" s="660"/>
      <c r="NJY1" s="660"/>
      <c r="NJZ1" s="660"/>
      <c r="NKA1" s="660"/>
      <c r="NKB1" s="660"/>
      <c r="NKC1" s="660"/>
      <c r="NKD1" s="660"/>
      <c r="NKE1" s="660"/>
      <c r="NKF1" s="660"/>
      <c r="NKG1" s="660"/>
      <c r="NKH1" s="660"/>
      <c r="NKI1" s="660"/>
      <c r="NKJ1" s="660"/>
      <c r="NKK1" s="660"/>
      <c r="NKL1" s="660"/>
      <c r="NKM1" s="660"/>
      <c r="NKN1" s="660"/>
      <c r="NKO1" s="660"/>
      <c r="NKP1" s="660"/>
      <c r="NKQ1" s="660"/>
      <c r="NKR1" s="660"/>
      <c r="NKS1" s="660"/>
      <c r="NKT1" s="660"/>
      <c r="NKU1" s="660"/>
      <c r="NKV1" s="660"/>
      <c r="NKW1" s="660"/>
      <c r="NKX1" s="660"/>
      <c r="NKY1" s="660"/>
      <c r="NKZ1" s="660"/>
      <c r="NLA1" s="660"/>
      <c r="NLB1" s="660"/>
      <c r="NLC1" s="660"/>
      <c r="NLD1" s="660"/>
      <c r="NLE1" s="660"/>
      <c r="NLF1" s="660"/>
      <c r="NLG1" s="660"/>
      <c r="NLH1" s="660"/>
      <c r="NLI1" s="660"/>
      <c r="NLJ1" s="660"/>
      <c r="NLK1" s="660"/>
      <c r="NLL1" s="660"/>
      <c r="NLM1" s="660"/>
      <c r="NLN1" s="660"/>
      <c r="NLO1" s="660"/>
      <c r="NLP1" s="660"/>
      <c r="NLQ1" s="660"/>
      <c r="NLR1" s="660"/>
      <c r="NLS1" s="660"/>
      <c r="NLT1" s="660"/>
      <c r="NLU1" s="660"/>
      <c r="NLV1" s="660"/>
      <c r="NLW1" s="660"/>
      <c r="NLX1" s="660"/>
      <c r="NLY1" s="660"/>
      <c r="NLZ1" s="660"/>
      <c r="NMA1" s="660"/>
      <c r="NMB1" s="660"/>
      <c r="NMC1" s="660"/>
      <c r="NMD1" s="660"/>
      <c r="NME1" s="660"/>
      <c r="NMF1" s="660"/>
      <c r="NMG1" s="660"/>
      <c r="NMH1" s="660"/>
      <c r="NMI1" s="660"/>
      <c r="NMJ1" s="660"/>
      <c r="NMK1" s="660"/>
      <c r="NML1" s="660"/>
      <c r="NMM1" s="660"/>
      <c r="NMN1" s="660"/>
      <c r="NMO1" s="660"/>
      <c r="NMP1" s="660"/>
      <c r="NMQ1" s="660"/>
      <c r="NMR1" s="660"/>
      <c r="NMS1" s="660"/>
      <c r="NMT1" s="660"/>
      <c r="NMU1" s="660"/>
      <c r="NMV1" s="660"/>
      <c r="NMW1" s="660"/>
      <c r="NMX1" s="660"/>
      <c r="NMY1" s="660"/>
      <c r="NMZ1" s="660"/>
      <c r="NNA1" s="660"/>
      <c r="NNB1" s="660"/>
      <c r="NNC1" s="660"/>
      <c r="NND1" s="660"/>
      <c r="NNE1" s="660"/>
      <c r="NNF1" s="660"/>
      <c r="NNG1" s="660"/>
      <c r="NNH1" s="660"/>
      <c r="NNI1" s="660"/>
      <c r="NNJ1" s="660"/>
      <c r="NNK1" s="660"/>
      <c r="NNL1" s="660"/>
      <c r="NNM1" s="660"/>
      <c r="NNN1" s="660"/>
      <c r="NNO1" s="660"/>
      <c r="NNP1" s="660"/>
      <c r="NNQ1" s="660"/>
      <c r="NNR1" s="660"/>
      <c r="NNS1" s="660"/>
      <c r="NNT1" s="660"/>
      <c r="NNU1" s="660"/>
      <c r="NNV1" s="660"/>
      <c r="NNW1" s="660"/>
      <c r="NNX1" s="660"/>
      <c r="NNY1" s="660"/>
      <c r="NNZ1" s="660"/>
      <c r="NOA1" s="660"/>
      <c r="NOB1" s="660"/>
      <c r="NOC1" s="660"/>
      <c r="NOD1" s="660"/>
      <c r="NOE1" s="660"/>
      <c r="NOF1" s="660"/>
      <c r="NOG1" s="660"/>
      <c r="NOH1" s="660"/>
      <c r="NOI1" s="660"/>
      <c r="NOJ1" s="660"/>
      <c r="NOK1" s="660"/>
      <c r="NOL1" s="660"/>
      <c r="NOM1" s="660"/>
      <c r="NON1" s="660"/>
      <c r="NOO1" s="660"/>
      <c r="NOP1" s="660"/>
      <c r="NOQ1" s="660"/>
      <c r="NOR1" s="660"/>
      <c r="NOS1" s="660"/>
      <c r="NOT1" s="660"/>
      <c r="NOU1" s="660"/>
      <c r="NOV1" s="660"/>
      <c r="NOW1" s="660"/>
      <c r="NOX1" s="660"/>
      <c r="NOY1" s="660"/>
      <c r="NOZ1" s="660"/>
      <c r="NPA1" s="660"/>
      <c r="NPB1" s="660"/>
      <c r="NPC1" s="660"/>
      <c r="NPD1" s="660"/>
      <c r="NPE1" s="660"/>
      <c r="NPF1" s="660"/>
      <c r="NPG1" s="660"/>
      <c r="NPH1" s="660"/>
      <c r="NPI1" s="660"/>
      <c r="NPJ1" s="660"/>
      <c r="NPK1" s="660"/>
      <c r="NPL1" s="660"/>
      <c r="NPM1" s="660"/>
      <c r="NPN1" s="660"/>
      <c r="NPO1" s="660"/>
      <c r="NPP1" s="660"/>
      <c r="NPQ1" s="660"/>
      <c r="NPR1" s="660"/>
      <c r="NPS1" s="660"/>
      <c r="NPT1" s="660"/>
      <c r="NPU1" s="660"/>
      <c r="NPV1" s="660"/>
      <c r="NPW1" s="660"/>
      <c r="NPX1" s="660"/>
      <c r="NPY1" s="660"/>
      <c r="NPZ1" s="660"/>
      <c r="NQA1" s="660"/>
      <c r="NQB1" s="660"/>
      <c r="NQC1" s="660"/>
      <c r="NQD1" s="660"/>
      <c r="NQE1" s="660"/>
      <c r="NQF1" s="660"/>
      <c r="NQG1" s="660"/>
      <c r="NQH1" s="660"/>
      <c r="NQI1" s="660"/>
      <c r="NQJ1" s="660"/>
      <c r="NQK1" s="660"/>
      <c r="NQL1" s="660"/>
      <c r="NQM1" s="660"/>
      <c r="NQN1" s="660"/>
      <c r="NQO1" s="660"/>
      <c r="NQP1" s="660"/>
      <c r="NQQ1" s="660"/>
      <c r="NQR1" s="660"/>
      <c r="NQS1" s="660"/>
      <c r="NQT1" s="660"/>
      <c r="NQU1" s="660"/>
      <c r="NQV1" s="660"/>
      <c r="NQW1" s="660"/>
      <c r="NQX1" s="660"/>
      <c r="NQY1" s="660"/>
      <c r="NQZ1" s="660"/>
      <c r="NRA1" s="660"/>
      <c r="NRB1" s="660"/>
      <c r="NRC1" s="660"/>
      <c r="NRD1" s="660"/>
      <c r="NRE1" s="660"/>
      <c r="NRF1" s="660"/>
      <c r="NRG1" s="660"/>
      <c r="NRH1" s="660"/>
      <c r="NRI1" s="660"/>
      <c r="NRJ1" s="660"/>
      <c r="NRK1" s="660"/>
      <c r="NRL1" s="660"/>
      <c r="NRM1" s="660"/>
      <c r="NRN1" s="660"/>
      <c r="NRO1" s="660"/>
      <c r="NRP1" s="660"/>
      <c r="NRQ1" s="660"/>
      <c r="NRR1" s="660"/>
      <c r="NRS1" s="660"/>
      <c r="NRT1" s="660"/>
      <c r="NRU1" s="660"/>
      <c r="NRV1" s="660"/>
      <c r="NRW1" s="660"/>
      <c r="NRX1" s="660"/>
      <c r="NRY1" s="660"/>
      <c r="NRZ1" s="660"/>
      <c r="NSA1" s="660"/>
      <c r="NSB1" s="660"/>
      <c r="NSC1" s="660"/>
      <c r="NSD1" s="660"/>
      <c r="NSE1" s="660"/>
      <c r="NSF1" s="660"/>
      <c r="NSG1" s="660"/>
      <c r="NSH1" s="660"/>
      <c r="NSI1" s="660"/>
      <c r="NSJ1" s="660"/>
      <c r="NSK1" s="660"/>
      <c r="NSL1" s="660"/>
      <c r="NSM1" s="660"/>
      <c r="NSN1" s="660"/>
      <c r="NSO1" s="660"/>
      <c r="NSP1" s="660"/>
      <c r="NSQ1" s="660"/>
      <c r="NSR1" s="660"/>
      <c r="NSS1" s="660"/>
      <c r="NST1" s="660"/>
      <c r="NSU1" s="660"/>
      <c r="NSV1" s="660"/>
      <c r="NSW1" s="660"/>
      <c r="NSX1" s="660"/>
      <c r="NSY1" s="660"/>
      <c r="NSZ1" s="660"/>
      <c r="NTA1" s="660"/>
      <c r="NTB1" s="660"/>
      <c r="NTC1" s="660"/>
      <c r="NTD1" s="660"/>
      <c r="NTE1" s="660"/>
      <c r="NTF1" s="660"/>
      <c r="NTG1" s="660"/>
      <c r="NTH1" s="660"/>
      <c r="NTI1" s="660"/>
      <c r="NTJ1" s="660"/>
      <c r="NTK1" s="660"/>
      <c r="NTL1" s="660"/>
      <c r="NTM1" s="660"/>
      <c r="NTN1" s="660"/>
      <c r="NTO1" s="660"/>
      <c r="NTP1" s="660"/>
      <c r="NTQ1" s="660"/>
      <c r="NTR1" s="660"/>
      <c r="NTS1" s="660"/>
      <c r="NTT1" s="660"/>
      <c r="NTU1" s="660"/>
      <c r="NTV1" s="660"/>
      <c r="NTW1" s="660"/>
      <c r="NTX1" s="660"/>
      <c r="NTY1" s="660"/>
      <c r="NTZ1" s="660"/>
      <c r="NUA1" s="660"/>
      <c r="NUB1" s="660"/>
      <c r="NUC1" s="660"/>
      <c r="NUD1" s="660"/>
      <c r="NUE1" s="660"/>
      <c r="NUF1" s="660"/>
      <c r="NUG1" s="660"/>
      <c r="NUH1" s="660"/>
      <c r="NUI1" s="660"/>
      <c r="NUJ1" s="660"/>
      <c r="NUK1" s="660"/>
      <c r="NUL1" s="660"/>
      <c r="NUM1" s="660"/>
      <c r="NUN1" s="660"/>
      <c r="NUO1" s="660"/>
      <c r="NUP1" s="660"/>
      <c r="NUQ1" s="660"/>
      <c r="NUR1" s="660"/>
      <c r="NUS1" s="660"/>
      <c r="NUT1" s="660"/>
      <c r="NUU1" s="660"/>
      <c r="NUV1" s="660"/>
      <c r="NUW1" s="660"/>
      <c r="NUX1" s="660"/>
      <c r="NUY1" s="660"/>
      <c r="NUZ1" s="660"/>
      <c r="NVA1" s="660"/>
      <c r="NVB1" s="660"/>
      <c r="NVC1" s="660"/>
      <c r="NVD1" s="660"/>
      <c r="NVE1" s="660"/>
      <c r="NVF1" s="660"/>
      <c r="NVG1" s="660"/>
      <c r="NVH1" s="660"/>
      <c r="NVI1" s="660"/>
      <c r="NVJ1" s="660"/>
      <c r="NVK1" s="660"/>
      <c r="NVL1" s="660"/>
      <c r="NVM1" s="660"/>
      <c r="NVN1" s="660"/>
      <c r="NVO1" s="660"/>
      <c r="NVP1" s="660"/>
      <c r="NVQ1" s="660"/>
      <c r="NVR1" s="660"/>
      <c r="NVS1" s="660"/>
      <c r="NVT1" s="660"/>
      <c r="NVU1" s="660"/>
      <c r="NVV1" s="660"/>
      <c r="NVW1" s="660"/>
      <c r="NVX1" s="660"/>
      <c r="NVY1" s="660"/>
      <c r="NVZ1" s="660"/>
      <c r="NWA1" s="660"/>
      <c r="NWB1" s="660"/>
      <c r="NWC1" s="660"/>
      <c r="NWD1" s="660"/>
      <c r="NWE1" s="660"/>
      <c r="NWF1" s="660"/>
      <c r="NWG1" s="660"/>
      <c r="NWH1" s="660"/>
      <c r="NWI1" s="660"/>
      <c r="NWJ1" s="660"/>
      <c r="NWK1" s="660"/>
      <c r="NWL1" s="660"/>
      <c r="NWM1" s="660"/>
      <c r="NWN1" s="660"/>
      <c r="NWO1" s="660"/>
      <c r="NWP1" s="660"/>
      <c r="NWQ1" s="660"/>
      <c r="NWR1" s="660"/>
      <c r="NWS1" s="660"/>
      <c r="NWT1" s="660"/>
      <c r="NWU1" s="660"/>
      <c r="NWV1" s="660"/>
      <c r="NWW1" s="660"/>
      <c r="NWX1" s="660"/>
      <c r="NWY1" s="660"/>
      <c r="NWZ1" s="660"/>
      <c r="NXA1" s="660"/>
      <c r="NXB1" s="660"/>
      <c r="NXC1" s="660"/>
      <c r="NXD1" s="660"/>
      <c r="NXE1" s="660"/>
      <c r="NXF1" s="660"/>
      <c r="NXG1" s="660"/>
      <c r="NXH1" s="660"/>
      <c r="NXI1" s="660"/>
      <c r="NXJ1" s="660"/>
      <c r="NXK1" s="660"/>
      <c r="NXL1" s="660"/>
      <c r="NXM1" s="660"/>
      <c r="NXN1" s="660"/>
      <c r="NXO1" s="660"/>
      <c r="NXP1" s="660"/>
      <c r="NXQ1" s="660"/>
      <c r="NXR1" s="660"/>
      <c r="NXS1" s="660"/>
      <c r="NXT1" s="660"/>
      <c r="NXU1" s="660"/>
      <c r="NXV1" s="660"/>
      <c r="NXW1" s="660"/>
      <c r="NXX1" s="660"/>
      <c r="NXY1" s="660"/>
      <c r="NXZ1" s="660"/>
      <c r="NYA1" s="660"/>
      <c r="NYB1" s="660"/>
      <c r="NYC1" s="660"/>
      <c r="NYD1" s="660"/>
      <c r="NYE1" s="660"/>
      <c r="NYF1" s="660"/>
      <c r="NYG1" s="660"/>
      <c r="NYH1" s="660"/>
      <c r="NYI1" s="660"/>
      <c r="NYJ1" s="660"/>
      <c r="NYK1" s="660"/>
      <c r="NYL1" s="660"/>
      <c r="NYM1" s="660"/>
      <c r="NYN1" s="660"/>
      <c r="NYO1" s="660"/>
      <c r="NYP1" s="660"/>
      <c r="NYQ1" s="660"/>
      <c r="NYR1" s="660"/>
      <c r="NYS1" s="660"/>
      <c r="NYT1" s="660"/>
      <c r="NYU1" s="660"/>
      <c r="NYV1" s="660"/>
      <c r="NYW1" s="660"/>
      <c r="NYX1" s="660"/>
      <c r="NYY1" s="660"/>
      <c r="NYZ1" s="660"/>
      <c r="NZA1" s="660"/>
      <c r="NZB1" s="660"/>
      <c r="NZC1" s="660"/>
      <c r="NZD1" s="660"/>
      <c r="NZE1" s="660"/>
      <c r="NZF1" s="660"/>
      <c r="NZG1" s="660"/>
      <c r="NZH1" s="660"/>
      <c r="NZI1" s="660"/>
      <c r="NZJ1" s="660"/>
      <c r="NZK1" s="660"/>
      <c r="NZL1" s="660"/>
      <c r="NZM1" s="660"/>
      <c r="NZN1" s="660"/>
      <c r="NZO1" s="660"/>
      <c r="NZP1" s="660"/>
      <c r="NZQ1" s="660"/>
      <c r="NZR1" s="660"/>
      <c r="NZS1" s="660"/>
      <c r="NZT1" s="660"/>
      <c r="NZU1" s="660"/>
      <c r="NZV1" s="660"/>
      <c r="NZW1" s="660"/>
      <c r="NZX1" s="660"/>
      <c r="NZY1" s="660"/>
      <c r="NZZ1" s="660"/>
      <c r="OAA1" s="660"/>
      <c r="OAB1" s="660"/>
      <c r="OAC1" s="660"/>
      <c r="OAD1" s="660"/>
      <c r="OAE1" s="660"/>
      <c r="OAF1" s="660"/>
      <c r="OAG1" s="660"/>
      <c r="OAH1" s="660"/>
      <c r="OAI1" s="660"/>
      <c r="OAJ1" s="660"/>
      <c r="OAK1" s="660"/>
      <c r="OAL1" s="660"/>
      <c r="OAM1" s="660"/>
      <c r="OAN1" s="660"/>
      <c r="OAO1" s="660"/>
      <c r="OAP1" s="660"/>
      <c r="OAQ1" s="660"/>
      <c r="OAR1" s="660"/>
      <c r="OAS1" s="660"/>
      <c r="OAT1" s="660"/>
      <c r="OAU1" s="660"/>
      <c r="OAV1" s="660"/>
      <c r="OAW1" s="660"/>
      <c r="OAX1" s="660"/>
      <c r="OAY1" s="660"/>
      <c r="OAZ1" s="660"/>
      <c r="OBA1" s="660"/>
      <c r="OBB1" s="660"/>
      <c r="OBC1" s="660"/>
      <c r="OBD1" s="660"/>
      <c r="OBE1" s="660"/>
      <c r="OBF1" s="660"/>
      <c r="OBG1" s="660"/>
      <c r="OBH1" s="660"/>
      <c r="OBI1" s="660"/>
      <c r="OBJ1" s="660"/>
      <c r="OBK1" s="660"/>
      <c r="OBL1" s="660"/>
      <c r="OBM1" s="660"/>
      <c r="OBN1" s="660"/>
      <c r="OBO1" s="660"/>
      <c r="OBP1" s="660"/>
      <c r="OBQ1" s="660"/>
      <c r="OBR1" s="660"/>
      <c r="OBS1" s="660"/>
      <c r="OBT1" s="660"/>
      <c r="OBU1" s="660"/>
      <c r="OBV1" s="660"/>
      <c r="OBW1" s="660"/>
      <c r="OBX1" s="660"/>
      <c r="OBY1" s="660"/>
      <c r="OBZ1" s="660"/>
      <c r="OCA1" s="660"/>
      <c r="OCB1" s="660"/>
      <c r="OCC1" s="660"/>
      <c r="OCD1" s="660"/>
      <c r="OCE1" s="660"/>
      <c r="OCF1" s="660"/>
      <c r="OCG1" s="660"/>
      <c r="OCH1" s="660"/>
      <c r="OCI1" s="660"/>
      <c r="OCJ1" s="660"/>
      <c r="OCK1" s="660"/>
      <c r="OCL1" s="660"/>
      <c r="OCM1" s="660"/>
      <c r="OCN1" s="660"/>
      <c r="OCO1" s="660"/>
      <c r="OCP1" s="660"/>
      <c r="OCQ1" s="660"/>
      <c r="OCR1" s="660"/>
      <c r="OCS1" s="660"/>
      <c r="OCT1" s="660"/>
      <c r="OCU1" s="660"/>
      <c r="OCV1" s="660"/>
      <c r="OCW1" s="660"/>
      <c r="OCX1" s="660"/>
      <c r="OCY1" s="660"/>
      <c r="OCZ1" s="660"/>
      <c r="ODA1" s="660"/>
      <c r="ODB1" s="660"/>
      <c r="ODC1" s="660"/>
      <c r="ODD1" s="660"/>
      <c r="ODE1" s="660"/>
      <c r="ODF1" s="660"/>
      <c r="ODG1" s="660"/>
      <c r="ODH1" s="660"/>
      <c r="ODI1" s="660"/>
      <c r="ODJ1" s="660"/>
      <c r="ODK1" s="660"/>
      <c r="ODL1" s="660"/>
      <c r="ODM1" s="660"/>
      <c r="ODN1" s="660"/>
      <c r="ODO1" s="660"/>
      <c r="ODP1" s="660"/>
      <c r="ODQ1" s="660"/>
      <c r="ODR1" s="660"/>
      <c r="ODS1" s="660"/>
      <c r="ODT1" s="660"/>
      <c r="ODU1" s="660"/>
      <c r="ODV1" s="660"/>
      <c r="ODW1" s="660"/>
      <c r="ODX1" s="660"/>
      <c r="ODY1" s="660"/>
      <c r="ODZ1" s="660"/>
      <c r="OEA1" s="660"/>
      <c r="OEB1" s="660"/>
      <c r="OEC1" s="660"/>
      <c r="OED1" s="660"/>
      <c r="OEE1" s="660"/>
      <c r="OEF1" s="660"/>
      <c r="OEG1" s="660"/>
      <c r="OEH1" s="660"/>
      <c r="OEI1" s="660"/>
      <c r="OEJ1" s="660"/>
      <c r="OEK1" s="660"/>
      <c r="OEL1" s="660"/>
      <c r="OEM1" s="660"/>
      <c r="OEN1" s="660"/>
      <c r="OEO1" s="660"/>
      <c r="OEP1" s="660"/>
      <c r="OEQ1" s="660"/>
      <c r="OER1" s="660"/>
      <c r="OES1" s="660"/>
      <c r="OET1" s="660"/>
      <c r="OEU1" s="660"/>
      <c r="OEV1" s="660"/>
      <c r="OEW1" s="660"/>
      <c r="OEX1" s="660"/>
      <c r="OEY1" s="660"/>
      <c r="OEZ1" s="660"/>
      <c r="OFA1" s="660"/>
      <c r="OFB1" s="660"/>
      <c r="OFC1" s="660"/>
      <c r="OFD1" s="660"/>
      <c r="OFE1" s="660"/>
      <c r="OFF1" s="660"/>
      <c r="OFG1" s="660"/>
      <c r="OFH1" s="660"/>
      <c r="OFI1" s="660"/>
      <c r="OFJ1" s="660"/>
      <c r="OFK1" s="660"/>
      <c r="OFL1" s="660"/>
      <c r="OFM1" s="660"/>
      <c r="OFN1" s="660"/>
      <c r="OFO1" s="660"/>
      <c r="OFP1" s="660"/>
      <c r="OFQ1" s="660"/>
      <c r="OFR1" s="660"/>
      <c r="OFS1" s="660"/>
      <c r="OFT1" s="660"/>
      <c r="OFU1" s="660"/>
      <c r="OFV1" s="660"/>
      <c r="OFW1" s="660"/>
      <c r="OFX1" s="660"/>
      <c r="OFY1" s="660"/>
      <c r="OFZ1" s="660"/>
      <c r="OGA1" s="660"/>
      <c r="OGB1" s="660"/>
      <c r="OGC1" s="660"/>
      <c r="OGD1" s="660"/>
      <c r="OGE1" s="660"/>
      <c r="OGF1" s="660"/>
      <c r="OGG1" s="660"/>
      <c r="OGH1" s="660"/>
      <c r="OGI1" s="660"/>
      <c r="OGJ1" s="660"/>
      <c r="OGK1" s="660"/>
      <c r="OGL1" s="660"/>
      <c r="OGM1" s="660"/>
      <c r="OGN1" s="660"/>
      <c r="OGO1" s="660"/>
      <c r="OGP1" s="660"/>
      <c r="OGQ1" s="660"/>
      <c r="OGR1" s="660"/>
      <c r="OGS1" s="660"/>
      <c r="OGT1" s="660"/>
      <c r="OGU1" s="660"/>
      <c r="OGV1" s="660"/>
      <c r="OGW1" s="660"/>
      <c r="OGX1" s="660"/>
      <c r="OGY1" s="660"/>
      <c r="OGZ1" s="660"/>
      <c r="OHA1" s="660"/>
      <c r="OHB1" s="660"/>
      <c r="OHC1" s="660"/>
      <c r="OHD1" s="660"/>
      <c r="OHE1" s="660"/>
      <c r="OHF1" s="660"/>
      <c r="OHG1" s="660"/>
      <c r="OHH1" s="660"/>
      <c r="OHI1" s="660"/>
      <c r="OHJ1" s="660"/>
      <c r="OHK1" s="660"/>
      <c r="OHL1" s="660"/>
      <c r="OHM1" s="660"/>
      <c r="OHN1" s="660"/>
      <c r="OHO1" s="660"/>
      <c r="OHP1" s="660"/>
      <c r="OHQ1" s="660"/>
      <c r="OHR1" s="660"/>
      <c r="OHS1" s="660"/>
      <c r="OHT1" s="660"/>
      <c r="OHU1" s="660"/>
      <c r="OHV1" s="660"/>
      <c r="OHW1" s="660"/>
      <c r="OHX1" s="660"/>
      <c r="OHY1" s="660"/>
      <c r="OHZ1" s="660"/>
      <c r="OIA1" s="660"/>
      <c r="OIB1" s="660"/>
      <c r="OIC1" s="660"/>
      <c r="OID1" s="660"/>
      <c r="OIE1" s="660"/>
      <c r="OIF1" s="660"/>
      <c r="OIG1" s="660"/>
      <c r="OIH1" s="660"/>
      <c r="OII1" s="660"/>
      <c r="OIJ1" s="660"/>
      <c r="OIK1" s="660"/>
      <c r="OIL1" s="660"/>
      <c r="OIM1" s="660"/>
      <c r="OIN1" s="660"/>
      <c r="OIO1" s="660"/>
      <c r="OIP1" s="660"/>
      <c r="OIQ1" s="660"/>
      <c r="OIR1" s="660"/>
      <c r="OIS1" s="660"/>
      <c r="OIT1" s="660"/>
      <c r="OIU1" s="660"/>
      <c r="OIV1" s="660"/>
      <c r="OIW1" s="660"/>
      <c r="OIX1" s="660"/>
      <c r="OIY1" s="660"/>
      <c r="OIZ1" s="660"/>
      <c r="OJA1" s="660"/>
      <c r="OJB1" s="660"/>
      <c r="OJC1" s="660"/>
      <c r="OJD1" s="660"/>
      <c r="OJE1" s="660"/>
      <c r="OJF1" s="660"/>
      <c r="OJG1" s="660"/>
      <c r="OJH1" s="660"/>
      <c r="OJI1" s="660"/>
      <c r="OJJ1" s="660"/>
      <c r="OJK1" s="660"/>
      <c r="OJL1" s="660"/>
      <c r="OJM1" s="660"/>
      <c r="OJN1" s="660"/>
      <c r="OJO1" s="660"/>
      <c r="OJP1" s="660"/>
      <c r="OJQ1" s="660"/>
      <c r="OJR1" s="660"/>
      <c r="OJS1" s="660"/>
      <c r="OJT1" s="660"/>
      <c r="OJU1" s="660"/>
      <c r="OJV1" s="660"/>
      <c r="OJW1" s="660"/>
      <c r="OJX1" s="660"/>
      <c r="OJY1" s="660"/>
      <c r="OJZ1" s="660"/>
      <c r="OKA1" s="660"/>
      <c r="OKB1" s="660"/>
      <c r="OKC1" s="660"/>
      <c r="OKD1" s="660"/>
      <c r="OKE1" s="660"/>
      <c r="OKF1" s="660"/>
      <c r="OKG1" s="660"/>
      <c r="OKH1" s="660"/>
      <c r="OKI1" s="660"/>
      <c r="OKJ1" s="660"/>
      <c r="OKK1" s="660"/>
      <c r="OKL1" s="660"/>
      <c r="OKM1" s="660"/>
      <c r="OKN1" s="660"/>
      <c r="OKO1" s="660"/>
      <c r="OKP1" s="660"/>
      <c r="OKQ1" s="660"/>
      <c r="OKR1" s="660"/>
      <c r="OKS1" s="660"/>
      <c r="OKT1" s="660"/>
      <c r="OKU1" s="660"/>
      <c r="OKV1" s="660"/>
      <c r="OKW1" s="660"/>
      <c r="OKX1" s="660"/>
      <c r="OKY1" s="660"/>
      <c r="OKZ1" s="660"/>
      <c r="OLA1" s="660"/>
      <c r="OLB1" s="660"/>
      <c r="OLC1" s="660"/>
      <c r="OLD1" s="660"/>
      <c r="OLE1" s="660"/>
      <c r="OLF1" s="660"/>
      <c r="OLG1" s="660"/>
      <c r="OLH1" s="660"/>
      <c r="OLI1" s="660"/>
      <c r="OLJ1" s="660"/>
      <c r="OLK1" s="660"/>
      <c r="OLL1" s="660"/>
      <c r="OLM1" s="660"/>
      <c r="OLN1" s="660"/>
      <c r="OLO1" s="660"/>
      <c r="OLP1" s="660"/>
      <c r="OLQ1" s="660"/>
      <c r="OLR1" s="660"/>
      <c r="OLS1" s="660"/>
      <c r="OLT1" s="660"/>
      <c r="OLU1" s="660"/>
      <c r="OLV1" s="660"/>
      <c r="OLW1" s="660"/>
      <c r="OLX1" s="660"/>
      <c r="OLY1" s="660"/>
      <c r="OLZ1" s="660"/>
      <c r="OMA1" s="660"/>
      <c r="OMB1" s="660"/>
      <c r="OMC1" s="660"/>
      <c r="OMD1" s="660"/>
      <c r="OME1" s="660"/>
      <c r="OMF1" s="660"/>
      <c r="OMG1" s="660"/>
      <c r="OMH1" s="660"/>
      <c r="OMI1" s="660"/>
      <c r="OMJ1" s="660"/>
      <c r="OMK1" s="660"/>
      <c r="OML1" s="660"/>
      <c r="OMM1" s="660"/>
      <c r="OMN1" s="660"/>
      <c r="OMO1" s="660"/>
      <c r="OMP1" s="660"/>
      <c r="OMQ1" s="660"/>
      <c r="OMR1" s="660"/>
      <c r="OMS1" s="660"/>
      <c r="OMT1" s="660"/>
      <c r="OMU1" s="660"/>
      <c r="OMV1" s="660"/>
      <c r="OMW1" s="660"/>
      <c r="OMX1" s="660"/>
      <c r="OMY1" s="660"/>
      <c r="OMZ1" s="660"/>
      <c r="ONA1" s="660"/>
      <c r="ONB1" s="660"/>
      <c r="ONC1" s="660"/>
      <c r="OND1" s="660"/>
      <c r="ONE1" s="660"/>
      <c r="ONF1" s="660"/>
      <c r="ONG1" s="660"/>
      <c r="ONH1" s="660"/>
      <c r="ONI1" s="660"/>
      <c r="ONJ1" s="660"/>
      <c r="ONK1" s="660"/>
      <c r="ONL1" s="660"/>
      <c r="ONM1" s="660"/>
      <c r="ONN1" s="660"/>
      <c r="ONO1" s="660"/>
      <c r="ONP1" s="660"/>
      <c r="ONQ1" s="660"/>
      <c r="ONR1" s="660"/>
      <c r="ONS1" s="660"/>
      <c r="ONT1" s="660"/>
      <c r="ONU1" s="660"/>
      <c r="ONV1" s="660"/>
      <c r="ONW1" s="660"/>
      <c r="ONX1" s="660"/>
      <c r="ONY1" s="660"/>
      <c r="ONZ1" s="660"/>
      <c r="OOA1" s="660"/>
      <c r="OOB1" s="660"/>
      <c r="OOC1" s="660"/>
      <c r="OOD1" s="660"/>
      <c r="OOE1" s="660"/>
      <c r="OOF1" s="660"/>
      <c r="OOG1" s="660"/>
      <c r="OOH1" s="660"/>
      <c r="OOI1" s="660"/>
      <c r="OOJ1" s="660"/>
      <c r="OOK1" s="660"/>
      <c r="OOL1" s="660"/>
      <c r="OOM1" s="660"/>
      <c r="OON1" s="660"/>
      <c r="OOO1" s="660"/>
      <c r="OOP1" s="660"/>
      <c r="OOQ1" s="660"/>
      <c r="OOR1" s="660"/>
      <c r="OOS1" s="660"/>
      <c r="OOT1" s="660"/>
      <c r="OOU1" s="660"/>
      <c r="OOV1" s="660"/>
      <c r="OOW1" s="660"/>
      <c r="OOX1" s="660"/>
      <c r="OOY1" s="660"/>
      <c r="OOZ1" s="660"/>
      <c r="OPA1" s="660"/>
      <c r="OPB1" s="660"/>
      <c r="OPC1" s="660"/>
      <c r="OPD1" s="660"/>
      <c r="OPE1" s="660"/>
      <c r="OPF1" s="660"/>
      <c r="OPG1" s="660"/>
      <c r="OPH1" s="660"/>
      <c r="OPI1" s="660"/>
      <c r="OPJ1" s="660"/>
      <c r="OPK1" s="660"/>
      <c r="OPL1" s="660"/>
      <c r="OPM1" s="660"/>
      <c r="OPN1" s="660"/>
      <c r="OPO1" s="660"/>
      <c r="OPP1" s="660"/>
      <c r="OPQ1" s="660"/>
      <c r="OPR1" s="660"/>
      <c r="OPS1" s="660"/>
      <c r="OPT1" s="660"/>
      <c r="OPU1" s="660"/>
      <c r="OPV1" s="660"/>
      <c r="OPW1" s="660"/>
      <c r="OPX1" s="660"/>
      <c r="OPY1" s="660"/>
      <c r="OPZ1" s="660"/>
      <c r="OQA1" s="660"/>
      <c r="OQB1" s="660"/>
      <c r="OQC1" s="660"/>
      <c r="OQD1" s="660"/>
      <c r="OQE1" s="660"/>
      <c r="OQF1" s="660"/>
      <c r="OQG1" s="660"/>
      <c r="OQH1" s="660"/>
      <c r="OQI1" s="660"/>
      <c r="OQJ1" s="660"/>
      <c r="OQK1" s="660"/>
      <c r="OQL1" s="660"/>
      <c r="OQM1" s="660"/>
      <c r="OQN1" s="660"/>
      <c r="OQO1" s="660"/>
      <c r="OQP1" s="660"/>
      <c r="OQQ1" s="660"/>
      <c r="OQR1" s="660"/>
      <c r="OQS1" s="660"/>
      <c r="OQT1" s="660"/>
      <c r="OQU1" s="660"/>
      <c r="OQV1" s="660"/>
      <c r="OQW1" s="660"/>
      <c r="OQX1" s="660"/>
      <c r="OQY1" s="660"/>
      <c r="OQZ1" s="660"/>
      <c r="ORA1" s="660"/>
      <c r="ORB1" s="660"/>
      <c r="ORC1" s="660"/>
      <c r="ORD1" s="660"/>
      <c r="ORE1" s="660"/>
      <c r="ORF1" s="660"/>
      <c r="ORG1" s="660"/>
      <c r="ORH1" s="660"/>
      <c r="ORI1" s="660"/>
      <c r="ORJ1" s="660"/>
      <c r="ORK1" s="660"/>
      <c r="ORL1" s="660"/>
      <c r="ORM1" s="660"/>
      <c r="ORN1" s="660"/>
      <c r="ORO1" s="660"/>
      <c r="ORP1" s="660"/>
      <c r="ORQ1" s="660"/>
      <c r="ORR1" s="660"/>
      <c r="ORS1" s="660"/>
      <c r="ORT1" s="660"/>
      <c r="ORU1" s="660"/>
      <c r="ORV1" s="660"/>
      <c r="ORW1" s="660"/>
      <c r="ORX1" s="660"/>
      <c r="ORY1" s="660"/>
      <c r="ORZ1" s="660"/>
      <c r="OSA1" s="660"/>
      <c r="OSB1" s="660"/>
      <c r="OSC1" s="660"/>
      <c r="OSD1" s="660"/>
      <c r="OSE1" s="660"/>
      <c r="OSF1" s="660"/>
      <c r="OSG1" s="660"/>
      <c r="OSH1" s="660"/>
      <c r="OSI1" s="660"/>
      <c r="OSJ1" s="660"/>
      <c r="OSK1" s="660"/>
      <c r="OSL1" s="660"/>
      <c r="OSM1" s="660"/>
      <c r="OSN1" s="660"/>
      <c r="OSO1" s="660"/>
      <c r="OSP1" s="660"/>
      <c r="OSQ1" s="660"/>
      <c r="OSR1" s="660"/>
      <c r="OSS1" s="660"/>
      <c r="OST1" s="660"/>
      <c r="OSU1" s="660"/>
      <c r="OSV1" s="660"/>
      <c r="OSW1" s="660"/>
      <c r="OSX1" s="660"/>
      <c r="OSY1" s="660"/>
      <c r="OSZ1" s="660"/>
      <c r="OTA1" s="660"/>
      <c r="OTB1" s="660"/>
      <c r="OTC1" s="660"/>
      <c r="OTD1" s="660"/>
      <c r="OTE1" s="660"/>
      <c r="OTF1" s="660"/>
      <c r="OTG1" s="660"/>
      <c r="OTH1" s="660"/>
      <c r="OTI1" s="660"/>
      <c r="OTJ1" s="660"/>
      <c r="OTK1" s="660"/>
      <c r="OTL1" s="660"/>
      <c r="OTM1" s="660"/>
      <c r="OTN1" s="660"/>
      <c r="OTO1" s="660"/>
      <c r="OTP1" s="660"/>
      <c r="OTQ1" s="660"/>
      <c r="OTR1" s="660"/>
      <c r="OTS1" s="660"/>
      <c r="OTT1" s="660"/>
      <c r="OTU1" s="660"/>
      <c r="OTV1" s="660"/>
      <c r="OTW1" s="660"/>
      <c r="OTX1" s="660"/>
      <c r="OTY1" s="660"/>
      <c r="OTZ1" s="660"/>
      <c r="OUA1" s="660"/>
      <c r="OUB1" s="660"/>
      <c r="OUC1" s="660"/>
      <c r="OUD1" s="660"/>
      <c r="OUE1" s="660"/>
      <c r="OUF1" s="660"/>
      <c r="OUG1" s="660"/>
      <c r="OUH1" s="660"/>
      <c r="OUI1" s="660"/>
      <c r="OUJ1" s="660"/>
      <c r="OUK1" s="660"/>
      <c r="OUL1" s="660"/>
      <c r="OUM1" s="660"/>
      <c r="OUN1" s="660"/>
      <c r="OUO1" s="660"/>
      <c r="OUP1" s="660"/>
      <c r="OUQ1" s="660"/>
      <c r="OUR1" s="660"/>
      <c r="OUS1" s="660"/>
      <c r="OUT1" s="660"/>
      <c r="OUU1" s="660"/>
      <c r="OUV1" s="660"/>
      <c r="OUW1" s="660"/>
      <c r="OUX1" s="660"/>
      <c r="OUY1" s="660"/>
      <c r="OUZ1" s="660"/>
      <c r="OVA1" s="660"/>
      <c r="OVB1" s="660"/>
      <c r="OVC1" s="660"/>
      <c r="OVD1" s="660"/>
      <c r="OVE1" s="660"/>
      <c r="OVF1" s="660"/>
      <c r="OVG1" s="660"/>
      <c r="OVH1" s="660"/>
      <c r="OVI1" s="660"/>
      <c r="OVJ1" s="660"/>
      <c r="OVK1" s="660"/>
      <c r="OVL1" s="660"/>
      <c r="OVM1" s="660"/>
      <c r="OVN1" s="660"/>
      <c r="OVO1" s="660"/>
      <c r="OVP1" s="660"/>
      <c r="OVQ1" s="660"/>
      <c r="OVR1" s="660"/>
      <c r="OVS1" s="660"/>
      <c r="OVT1" s="660"/>
      <c r="OVU1" s="660"/>
      <c r="OVV1" s="660"/>
      <c r="OVW1" s="660"/>
      <c r="OVX1" s="660"/>
      <c r="OVY1" s="660"/>
      <c r="OVZ1" s="660"/>
      <c r="OWA1" s="660"/>
      <c r="OWB1" s="660"/>
      <c r="OWC1" s="660"/>
      <c r="OWD1" s="660"/>
      <c r="OWE1" s="660"/>
      <c r="OWF1" s="660"/>
      <c r="OWG1" s="660"/>
      <c r="OWH1" s="660"/>
      <c r="OWI1" s="660"/>
      <c r="OWJ1" s="660"/>
      <c r="OWK1" s="660"/>
      <c r="OWL1" s="660"/>
      <c r="OWM1" s="660"/>
      <c r="OWN1" s="660"/>
      <c r="OWO1" s="660"/>
      <c r="OWP1" s="660"/>
      <c r="OWQ1" s="660"/>
      <c r="OWR1" s="660"/>
      <c r="OWS1" s="660"/>
      <c r="OWT1" s="660"/>
      <c r="OWU1" s="660"/>
      <c r="OWV1" s="660"/>
      <c r="OWW1" s="660"/>
      <c r="OWX1" s="660"/>
      <c r="OWY1" s="660"/>
      <c r="OWZ1" s="660"/>
      <c r="OXA1" s="660"/>
      <c r="OXB1" s="660"/>
      <c r="OXC1" s="660"/>
      <c r="OXD1" s="660"/>
      <c r="OXE1" s="660"/>
      <c r="OXF1" s="660"/>
      <c r="OXG1" s="660"/>
      <c r="OXH1" s="660"/>
      <c r="OXI1" s="660"/>
      <c r="OXJ1" s="660"/>
      <c r="OXK1" s="660"/>
      <c r="OXL1" s="660"/>
      <c r="OXM1" s="660"/>
      <c r="OXN1" s="660"/>
      <c r="OXO1" s="660"/>
      <c r="OXP1" s="660"/>
      <c r="OXQ1" s="660"/>
      <c r="OXR1" s="660"/>
      <c r="OXS1" s="660"/>
      <c r="OXT1" s="660"/>
      <c r="OXU1" s="660"/>
      <c r="OXV1" s="660"/>
      <c r="OXW1" s="660"/>
      <c r="OXX1" s="660"/>
      <c r="OXY1" s="660"/>
      <c r="OXZ1" s="660"/>
      <c r="OYA1" s="660"/>
      <c r="OYB1" s="660"/>
      <c r="OYC1" s="660"/>
      <c r="OYD1" s="660"/>
      <c r="OYE1" s="660"/>
      <c r="OYF1" s="660"/>
      <c r="OYG1" s="660"/>
      <c r="OYH1" s="660"/>
      <c r="OYI1" s="660"/>
      <c r="OYJ1" s="660"/>
      <c r="OYK1" s="660"/>
      <c r="OYL1" s="660"/>
      <c r="OYM1" s="660"/>
      <c r="OYN1" s="660"/>
      <c r="OYO1" s="660"/>
      <c r="OYP1" s="660"/>
      <c r="OYQ1" s="660"/>
      <c r="OYR1" s="660"/>
      <c r="OYS1" s="660"/>
      <c r="OYT1" s="660"/>
      <c r="OYU1" s="660"/>
      <c r="OYV1" s="660"/>
      <c r="OYW1" s="660"/>
      <c r="OYX1" s="660"/>
      <c r="OYY1" s="660"/>
      <c r="OYZ1" s="660"/>
      <c r="OZA1" s="660"/>
      <c r="OZB1" s="660"/>
      <c r="OZC1" s="660"/>
      <c r="OZD1" s="660"/>
      <c r="OZE1" s="660"/>
      <c r="OZF1" s="660"/>
      <c r="OZG1" s="660"/>
      <c r="OZH1" s="660"/>
      <c r="OZI1" s="660"/>
      <c r="OZJ1" s="660"/>
      <c r="OZK1" s="660"/>
      <c r="OZL1" s="660"/>
      <c r="OZM1" s="660"/>
      <c r="OZN1" s="660"/>
      <c r="OZO1" s="660"/>
      <c r="OZP1" s="660"/>
      <c r="OZQ1" s="660"/>
      <c r="OZR1" s="660"/>
      <c r="OZS1" s="660"/>
      <c r="OZT1" s="660"/>
      <c r="OZU1" s="660"/>
      <c r="OZV1" s="660"/>
      <c r="OZW1" s="660"/>
      <c r="OZX1" s="660"/>
      <c r="OZY1" s="660"/>
      <c r="OZZ1" s="660"/>
      <c r="PAA1" s="660"/>
      <c r="PAB1" s="660"/>
      <c r="PAC1" s="660"/>
      <c r="PAD1" s="660"/>
      <c r="PAE1" s="660"/>
      <c r="PAF1" s="660"/>
      <c r="PAG1" s="660"/>
      <c r="PAH1" s="660"/>
      <c r="PAI1" s="660"/>
      <c r="PAJ1" s="660"/>
      <c r="PAK1" s="660"/>
      <c r="PAL1" s="660"/>
      <c r="PAM1" s="660"/>
      <c r="PAN1" s="660"/>
      <c r="PAO1" s="660"/>
      <c r="PAP1" s="660"/>
      <c r="PAQ1" s="660"/>
      <c r="PAR1" s="660"/>
      <c r="PAS1" s="660"/>
      <c r="PAT1" s="660"/>
      <c r="PAU1" s="660"/>
      <c r="PAV1" s="660"/>
      <c r="PAW1" s="660"/>
      <c r="PAX1" s="660"/>
      <c r="PAY1" s="660"/>
      <c r="PAZ1" s="660"/>
      <c r="PBA1" s="660"/>
      <c r="PBB1" s="660"/>
      <c r="PBC1" s="660"/>
      <c r="PBD1" s="660"/>
      <c r="PBE1" s="660"/>
      <c r="PBF1" s="660"/>
      <c r="PBG1" s="660"/>
      <c r="PBH1" s="660"/>
      <c r="PBI1" s="660"/>
      <c r="PBJ1" s="660"/>
      <c r="PBK1" s="660"/>
      <c r="PBL1" s="660"/>
      <c r="PBM1" s="660"/>
      <c r="PBN1" s="660"/>
      <c r="PBO1" s="660"/>
      <c r="PBP1" s="660"/>
      <c r="PBQ1" s="660"/>
      <c r="PBR1" s="660"/>
      <c r="PBS1" s="660"/>
      <c r="PBT1" s="660"/>
      <c r="PBU1" s="660"/>
      <c r="PBV1" s="660"/>
      <c r="PBW1" s="660"/>
      <c r="PBX1" s="660"/>
      <c r="PBY1" s="660"/>
      <c r="PBZ1" s="660"/>
      <c r="PCA1" s="660"/>
      <c r="PCB1" s="660"/>
      <c r="PCC1" s="660"/>
      <c r="PCD1" s="660"/>
      <c r="PCE1" s="660"/>
      <c r="PCF1" s="660"/>
      <c r="PCG1" s="660"/>
      <c r="PCH1" s="660"/>
      <c r="PCI1" s="660"/>
      <c r="PCJ1" s="660"/>
      <c r="PCK1" s="660"/>
      <c r="PCL1" s="660"/>
      <c r="PCM1" s="660"/>
      <c r="PCN1" s="660"/>
      <c r="PCO1" s="660"/>
      <c r="PCP1" s="660"/>
      <c r="PCQ1" s="660"/>
      <c r="PCR1" s="660"/>
      <c r="PCS1" s="660"/>
      <c r="PCT1" s="660"/>
      <c r="PCU1" s="660"/>
      <c r="PCV1" s="660"/>
      <c r="PCW1" s="660"/>
      <c r="PCX1" s="660"/>
      <c r="PCY1" s="660"/>
      <c r="PCZ1" s="660"/>
      <c r="PDA1" s="660"/>
      <c r="PDB1" s="660"/>
      <c r="PDC1" s="660"/>
      <c r="PDD1" s="660"/>
      <c r="PDE1" s="660"/>
      <c r="PDF1" s="660"/>
      <c r="PDG1" s="660"/>
      <c r="PDH1" s="660"/>
      <c r="PDI1" s="660"/>
      <c r="PDJ1" s="660"/>
      <c r="PDK1" s="660"/>
      <c r="PDL1" s="660"/>
      <c r="PDM1" s="660"/>
      <c r="PDN1" s="660"/>
      <c r="PDO1" s="660"/>
      <c r="PDP1" s="660"/>
      <c r="PDQ1" s="660"/>
      <c r="PDR1" s="660"/>
      <c r="PDS1" s="660"/>
      <c r="PDT1" s="660"/>
      <c r="PDU1" s="660"/>
      <c r="PDV1" s="660"/>
      <c r="PDW1" s="660"/>
      <c r="PDX1" s="660"/>
      <c r="PDY1" s="660"/>
      <c r="PDZ1" s="660"/>
      <c r="PEA1" s="660"/>
      <c r="PEB1" s="660"/>
      <c r="PEC1" s="660"/>
      <c r="PED1" s="660"/>
      <c r="PEE1" s="660"/>
      <c r="PEF1" s="660"/>
      <c r="PEG1" s="660"/>
      <c r="PEH1" s="660"/>
      <c r="PEI1" s="660"/>
      <c r="PEJ1" s="660"/>
      <c r="PEK1" s="660"/>
      <c r="PEL1" s="660"/>
      <c r="PEM1" s="660"/>
      <c r="PEN1" s="660"/>
      <c r="PEO1" s="660"/>
      <c r="PEP1" s="660"/>
      <c r="PEQ1" s="660"/>
      <c r="PER1" s="660"/>
      <c r="PES1" s="660"/>
      <c r="PET1" s="660"/>
      <c r="PEU1" s="660"/>
      <c r="PEV1" s="660"/>
      <c r="PEW1" s="660"/>
      <c r="PEX1" s="660"/>
      <c r="PEY1" s="660"/>
      <c r="PEZ1" s="660"/>
      <c r="PFA1" s="660"/>
      <c r="PFB1" s="660"/>
      <c r="PFC1" s="660"/>
      <c r="PFD1" s="660"/>
      <c r="PFE1" s="660"/>
      <c r="PFF1" s="660"/>
      <c r="PFG1" s="660"/>
      <c r="PFH1" s="660"/>
      <c r="PFI1" s="660"/>
      <c r="PFJ1" s="660"/>
      <c r="PFK1" s="660"/>
      <c r="PFL1" s="660"/>
      <c r="PFM1" s="660"/>
      <c r="PFN1" s="660"/>
      <c r="PFO1" s="660"/>
      <c r="PFP1" s="660"/>
      <c r="PFQ1" s="660"/>
      <c r="PFR1" s="660"/>
      <c r="PFS1" s="660"/>
      <c r="PFT1" s="660"/>
      <c r="PFU1" s="660"/>
      <c r="PFV1" s="660"/>
      <c r="PFW1" s="660"/>
      <c r="PFX1" s="660"/>
      <c r="PFY1" s="660"/>
      <c r="PFZ1" s="660"/>
      <c r="PGA1" s="660"/>
      <c r="PGB1" s="660"/>
      <c r="PGC1" s="660"/>
      <c r="PGD1" s="660"/>
      <c r="PGE1" s="660"/>
      <c r="PGF1" s="660"/>
      <c r="PGG1" s="660"/>
      <c r="PGH1" s="660"/>
      <c r="PGI1" s="660"/>
      <c r="PGJ1" s="660"/>
      <c r="PGK1" s="660"/>
      <c r="PGL1" s="660"/>
      <c r="PGM1" s="660"/>
      <c r="PGN1" s="660"/>
      <c r="PGO1" s="660"/>
      <c r="PGP1" s="660"/>
      <c r="PGQ1" s="660"/>
      <c r="PGR1" s="660"/>
      <c r="PGS1" s="660"/>
      <c r="PGT1" s="660"/>
      <c r="PGU1" s="660"/>
      <c r="PGV1" s="660"/>
      <c r="PGW1" s="660"/>
      <c r="PGX1" s="660"/>
      <c r="PGY1" s="660"/>
      <c r="PGZ1" s="660"/>
      <c r="PHA1" s="660"/>
      <c r="PHB1" s="660"/>
      <c r="PHC1" s="660"/>
      <c r="PHD1" s="660"/>
      <c r="PHE1" s="660"/>
      <c r="PHF1" s="660"/>
      <c r="PHG1" s="660"/>
      <c r="PHH1" s="660"/>
      <c r="PHI1" s="660"/>
      <c r="PHJ1" s="660"/>
      <c r="PHK1" s="660"/>
      <c r="PHL1" s="660"/>
      <c r="PHM1" s="660"/>
      <c r="PHN1" s="660"/>
      <c r="PHO1" s="660"/>
      <c r="PHP1" s="660"/>
      <c r="PHQ1" s="660"/>
      <c r="PHR1" s="660"/>
      <c r="PHS1" s="660"/>
      <c r="PHT1" s="660"/>
      <c r="PHU1" s="660"/>
      <c r="PHV1" s="660"/>
      <c r="PHW1" s="660"/>
      <c r="PHX1" s="660"/>
      <c r="PHY1" s="660"/>
      <c r="PHZ1" s="660"/>
      <c r="PIA1" s="660"/>
      <c r="PIB1" s="660"/>
      <c r="PIC1" s="660"/>
      <c r="PID1" s="660"/>
      <c r="PIE1" s="660"/>
      <c r="PIF1" s="660"/>
      <c r="PIG1" s="660"/>
      <c r="PIH1" s="660"/>
      <c r="PII1" s="660"/>
      <c r="PIJ1" s="660"/>
      <c r="PIK1" s="660"/>
      <c r="PIL1" s="660"/>
      <c r="PIM1" s="660"/>
      <c r="PIN1" s="660"/>
      <c r="PIO1" s="660"/>
      <c r="PIP1" s="660"/>
      <c r="PIQ1" s="660"/>
      <c r="PIR1" s="660"/>
      <c r="PIS1" s="660"/>
      <c r="PIT1" s="660"/>
      <c r="PIU1" s="660"/>
      <c r="PIV1" s="660"/>
      <c r="PIW1" s="660"/>
      <c r="PIX1" s="660"/>
      <c r="PIY1" s="660"/>
      <c r="PIZ1" s="660"/>
      <c r="PJA1" s="660"/>
      <c r="PJB1" s="660"/>
      <c r="PJC1" s="660"/>
      <c r="PJD1" s="660"/>
      <c r="PJE1" s="660"/>
      <c r="PJF1" s="660"/>
      <c r="PJG1" s="660"/>
      <c r="PJH1" s="660"/>
      <c r="PJI1" s="660"/>
      <c r="PJJ1" s="660"/>
      <c r="PJK1" s="660"/>
      <c r="PJL1" s="660"/>
      <c r="PJM1" s="660"/>
      <c r="PJN1" s="660"/>
      <c r="PJO1" s="660"/>
      <c r="PJP1" s="660"/>
      <c r="PJQ1" s="660"/>
      <c r="PJR1" s="660"/>
      <c r="PJS1" s="660"/>
      <c r="PJT1" s="660"/>
      <c r="PJU1" s="660"/>
      <c r="PJV1" s="660"/>
      <c r="PJW1" s="660"/>
      <c r="PJX1" s="660"/>
      <c r="PJY1" s="660"/>
      <c r="PJZ1" s="660"/>
      <c r="PKA1" s="660"/>
      <c r="PKB1" s="660"/>
      <c r="PKC1" s="660"/>
      <c r="PKD1" s="660"/>
      <c r="PKE1" s="660"/>
      <c r="PKF1" s="660"/>
      <c r="PKG1" s="660"/>
      <c r="PKH1" s="660"/>
      <c r="PKI1" s="660"/>
      <c r="PKJ1" s="660"/>
      <c r="PKK1" s="660"/>
      <c r="PKL1" s="660"/>
      <c r="PKM1" s="660"/>
      <c r="PKN1" s="660"/>
      <c r="PKO1" s="660"/>
      <c r="PKP1" s="660"/>
      <c r="PKQ1" s="660"/>
      <c r="PKR1" s="660"/>
      <c r="PKS1" s="660"/>
      <c r="PKT1" s="660"/>
      <c r="PKU1" s="660"/>
      <c r="PKV1" s="660"/>
      <c r="PKW1" s="660"/>
      <c r="PKX1" s="660"/>
      <c r="PKY1" s="660"/>
      <c r="PKZ1" s="660"/>
      <c r="PLA1" s="660"/>
      <c r="PLB1" s="660"/>
      <c r="PLC1" s="660"/>
      <c r="PLD1" s="660"/>
      <c r="PLE1" s="660"/>
      <c r="PLF1" s="660"/>
      <c r="PLG1" s="660"/>
      <c r="PLH1" s="660"/>
      <c r="PLI1" s="660"/>
      <c r="PLJ1" s="660"/>
      <c r="PLK1" s="660"/>
      <c r="PLL1" s="660"/>
      <c r="PLM1" s="660"/>
      <c r="PLN1" s="660"/>
      <c r="PLO1" s="660"/>
      <c r="PLP1" s="660"/>
      <c r="PLQ1" s="660"/>
      <c r="PLR1" s="660"/>
      <c r="PLS1" s="660"/>
      <c r="PLT1" s="660"/>
      <c r="PLU1" s="660"/>
      <c r="PLV1" s="660"/>
      <c r="PLW1" s="660"/>
      <c r="PLX1" s="660"/>
      <c r="PLY1" s="660"/>
      <c r="PLZ1" s="660"/>
      <c r="PMA1" s="660"/>
      <c r="PMB1" s="660"/>
      <c r="PMC1" s="660"/>
      <c r="PMD1" s="660"/>
      <c r="PME1" s="660"/>
      <c r="PMF1" s="660"/>
      <c r="PMG1" s="660"/>
      <c r="PMH1" s="660"/>
      <c r="PMI1" s="660"/>
      <c r="PMJ1" s="660"/>
      <c r="PMK1" s="660"/>
      <c r="PML1" s="660"/>
      <c r="PMM1" s="660"/>
      <c r="PMN1" s="660"/>
      <c r="PMO1" s="660"/>
      <c r="PMP1" s="660"/>
      <c r="PMQ1" s="660"/>
      <c r="PMR1" s="660"/>
      <c r="PMS1" s="660"/>
      <c r="PMT1" s="660"/>
      <c r="PMU1" s="660"/>
      <c r="PMV1" s="660"/>
      <c r="PMW1" s="660"/>
      <c r="PMX1" s="660"/>
      <c r="PMY1" s="660"/>
      <c r="PMZ1" s="660"/>
      <c r="PNA1" s="660"/>
      <c r="PNB1" s="660"/>
      <c r="PNC1" s="660"/>
      <c r="PND1" s="660"/>
      <c r="PNE1" s="660"/>
      <c r="PNF1" s="660"/>
      <c r="PNG1" s="660"/>
      <c r="PNH1" s="660"/>
      <c r="PNI1" s="660"/>
      <c r="PNJ1" s="660"/>
      <c r="PNK1" s="660"/>
      <c r="PNL1" s="660"/>
      <c r="PNM1" s="660"/>
      <c r="PNN1" s="660"/>
      <c r="PNO1" s="660"/>
      <c r="PNP1" s="660"/>
      <c r="PNQ1" s="660"/>
      <c r="PNR1" s="660"/>
      <c r="PNS1" s="660"/>
      <c r="PNT1" s="660"/>
      <c r="PNU1" s="660"/>
      <c r="PNV1" s="660"/>
      <c r="PNW1" s="660"/>
      <c r="PNX1" s="660"/>
      <c r="PNY1" s="660"/>
      <c r="PNZ1" s="660"/>
      <c r="POA1" s="660"/>
      <c r="POB1" s="660"/>
      <c r="POC1" s="660"/>
      <c r="POD1" s="660"/>
      <c r="POE1" s="660"/>
      <c r="POF1" s="660"/>
      <c r="POG1" s="660"/>
      <c r="POH1" s="660"/>
      <c r="POI1" s="660"/>
      <c r="POJ1" s="660"/>
      <c r="POK1" s="660"/>
      <c r="POL1" s="660"/>
      <c r="POM1" s="660"/>
      <c r="PON1" s="660"/>
      <c r="POO1" s="660"/>
      <c r="POP1" s="660"/>
      <c r="POQ1" s="660"/>
      <c r="POR1" s="660"/>
      <c r="POS1" s="660"/>
      <c r="POT1" s="660"/>
      <c r="POU1" s="660"/>
      <c r="POV1" s="660"/>
      <c r="POW1" s="660"/>
      <c r="POX1" s="660"/>
      <c r="POY1" s="660"/>
      <c r="POZ1" s="660"/>
      <c r="PPA1" s="660"/>
      <c r="PPB1" s="660"/>
      <c r="PPC1" s="660"/>
      <c r="PPD1" s="660"/>
      <c r="PPE1" s="660"/>
      <c r="PPF1" s="660"/>
      <c r="PPG1" s="660"/>
      <c r="PPH1" s="660"/>
      <c r="PPI1" s="660"/>
      <c r="PPJ1" s="660"/>
      <c r="PPK1" s="660"/>
      <c r="PPL1" s="660"/>
      <c r="PPM1" s="660"/>
      <c r="PPN1" s="660"/>
      <c r="PPO1" s="660"/>
      <c r="PPP1" s="660"/>
      <c r="PPQ1" s="660"/>
      <c r="PPR1" s="660"/>
      <c r="PPS1" s="660"/>
      <c r="PPT1" s="660"/>
      <c r="PPU1" s="660"/>
      <c r="PPV1" s="660"/>
      <c r="PPW1" s="660"/>
      <c r="PPX1" s="660"/>
      <c r="PPY1" s="660"/>
      <c r="PPZ1" s="660"/>
      <c r="PQA1" s="660"/>
      <c r="PQB1" s="660"/>
      <c r="PQC1" s="660"/>
      <c r="PQD1" s="660"/>
      <c r="PQE1" s="660"/>
      <c r="PQF1" s="660"/>
      <c r="PQG1" s="660"/>
      <c r="PQH1" s="660"/>
      <c r="PQI1" s="660"/>
      <c r="PQJ1" s="660"/>
      <c r="PQK1" s="660"/>
      <c r="PQL1" s="660"/>
      <c r="PQM1" s="660"/>
      <c r="PQN1" s="660"/>
      <c r="PQO1" s="660"/>
      <c r="PQP1" s="660"/>
      <c r="PQQ1" s="660"/>
      <c r="PQR1" s="660"/>
      <c r="PQS1" s="660"/>
      <c r="PQT1" s="660"/>
      <c r="PQU1" s="660"/>
      <c r="PQV1" s="660"/>
      <c r="PQW1" s="660"/>
      <c r="PQX1" s="660"/>
      <c r="PQY1" s="660"/>
      <c r="PQZ1" s="660"/>
      <c r="PRA1" s="660"/>
      <c r="PRB1" s="660"/>
      <c r="PRC1" s="660"/>
      <c r="PRD1" s="660"/>
      <c r="PRE1" s="660"/>
      <c r="PRF1" s="660"/>
      <c r="PRG1" s="660"/>
      <c r="PRH1" s="660"/>
      <c r="PRI1" s="660"/>
      <c r="PRJ1" s="660"/>
      <c r="PRK1" s="660"/>
      <c r="PRL1" s="660"/>
      <c r="PRM1" s="660"/>
      <c r="PRN1" s="660"/>
      <c r="PRO1" s="660"/>
      <c r="PRP1" s="660"/>
      <c r="PRQ1" s="660"/>
      <c r="PRR1" s="660"/>
      <c r="PRS1" s="660"/>
      <c r="PRT1" s="660"/>
      <c r="PRU1" s="660"/>
      <c r="PRV1" s="660"/>
      <c r="PRW1" s="660"/>
      <c r="PRX1" s="660"/>
      <c r="PRY1" s="660"/>
      <c r="PRZ1" s="660"/>
      <c r="PSA1" s="660"/>
      <c r="PSB1" s="660"/>
      <c r="PSC1" s="660"/>
      <c r="PSD1" s="660"/>
      <c r="PSE1" s="660"/>
      <c r="PSF1" s="660"/>
      <c r="PSG1" s="660"/>
      <c r="PSH1" s="660"/>
      <c r="PSI1" s="660"/>
      <c r="PSJ1" s="660"/>
      <c r="PSK1" s="660"/>
      <c r="PSL1" s="660"/>
      <c r="PSM1" s="660"/>
      <c r="PSN1" s="660"/>
      <c r="PSO1" s="660"/>
      <c r="PSP1" s="660"/>
      <c r="PSQ1" s="660"/>
      <c r="PSR1" s="660"/>
      <c r="PSS1" s="660"/>
      <c r="PST1" s="660"/>
      <c r="PSU1" s="660"/>
      <c r="PSV1" s="660"/>
      <c r="PSW1" s="660"/>
      <c r="PSX1" s="660"/>
      <c r="PSY1" s="660"/>
      <c r="PSZ1" s="660"/>
      <c r="PTA1" s="660"/>
      <c r="PTB1" s="660"/>
      <c r="PTC1" s="660"/>
      <c r="PTD1" s="660"/>
      <c r="PTE1" s="660"/>
      <c r="PTF1" s="660"/>
      <c r="PTG1" s="660"/>
      <c r="PTH1" s="660"/>
      <c r="PTI1" s="660"/>
      <c r="PTJ1" s="660"/>
      <c r="PTK1" s="660"/>
      <c r="PTL1" s="660"/>
      <c r="PTM1" s="660"/>
      <c r="PTN1" s="660"/>
      <c r="PTO1" s="660"/>
      <c r="PTP1" s="660"/>
      <c r="PTQ1" s="660"/>
      <c r="PTR1" s="660"/>
      <c r="PTS1" s="660"/>
      <c r="PTT1" s="660"/>
      <c r="PTU1" s="660"/>
      <c r="PTV1" s="660"/>
      <c r="PTW1" s="660"/>
      <c r="PTX1" s="660"/>
      <c r="PTY1" s="660"/>
      <c r="PTZ1" s="660"/>
      <c r="PUA1" s="660"/>
      <c r="PUB1" s="660"/>
      <c r="PUC1" s="660"/>
      <c r="PUD1" s="660"/>
      <c r="PUE1" s="660"/>
      <c r="PUF1" s="660"/>
      <c r="PUG1" s="660"/>
      <c r="PUH1" s="660"/>
      <c r="PUI1" s="660"/>
      <c r="PUJ1" s="660"/>
      <c r="PUK1" s="660"/>
      <c r="PUL1" s="660"/>
      <c r="PUM1" s="660"/>
      <c r="PUN1" s="660"/>
      <c r="PUO1" s="660"/>
      <c r="PUP1" s="660"/>
      <c r="PUQ1" s="660"/>
      <c r="PUR1" s="660"/>
      <c r="PUS1" s="660"/>
      <c r="PUT1" s="660"/>
      <c r="PUU1" s="660"/>
      <c r="PUV1" s="660"/>
      <c r="PUW1" s="660"/>
      <c r="PUX1" s="660"/>
      <c r="PUY1" s="660"/>
      <c r="PUZ1" s="660"/>
      <c r="PVA1" s="660"/>
      <c r="PVB1" s="660"/>
      <c r="PVC1" s="660"/>
      <c r="PVD1" s="660"/>
      <c r="PVE1" s="660"/>
      <c r="PVF1" s="660"/>
      <c r="PVG1" s="660"/>
      <c r="PVH1" s="660"/>
      <c r="PVI1" s="660"/>
      <c r="PVJ1" s="660"/>
      <c r="PVK1" s="660"/>
      <c r="PVL1" s="660"/>
      <c r="PVM1" s="660"/>
      <c r="PVN1" s="660"/>
      <c r="PVO1" s="660"/>
      <c r="PVP1" s="660"/>
      <c r="PVQ1" s="660"/>
      <c r="PVR1" s="660"/>
      <c r="PVS1" s="660"/>
      <c r="PVT1" s="660"/>
      <c r="PVU1" s="660"/>
      <c r="PVV1" s="660"/>
      <c r="PVW1" s="660"/>
      <c r="PVX1" s="660"/>
      <c r="PVY1" s="660"/>
      <c r="PVZ1" s="660"/>
      <c r="PWA1" s="660"/>
      <c r="PWB1" s="660"/>
      <c r="PWC1" s="660"/>
      <c r="PWD1" s="660"/>
      <c r="PWE1" s="660"/>
      <c r="PWF1" s="660"/>
      <c r="PWG1" s="660"/>
      <c r="PWH1" s="660"/>
      <c r="PWI1" s="660"/>
      <c r="PWJ1" s="660"/>
      <c r="PWK1" s="660"/>
      <c r="PWL1" s="660"/>
      <c r="PWM1" s="660"/>
      <c r="PWN1" s="660"/>
      <c r="PWO1" s="660"/>
      <c r="PWP1" s="660"/>
      <c r="PWQ1" s="660"/>
      <c r="PWR1" s="660"/>
      <c r="PWS1" s="660"/>
      <c r="PWT1" s="660"/>
      <c r="PWU1" s="660"/>
      <c r="PWV1" s="660"/>
      <c r="PWW1" s="660"/>
      <c r="PWX1" s="660"/>
      <c r="PWY1" s="660"/>
      <c r="PWZ1" s="660"/>
      <c r="PXA1" s="660"/>
      <c r="PXB1" s="660"/>
      <c r="PXC1" s="660"/>
      <c r="PXD1" s="660"/>
      <c r="PXE1" s="660"/>
      <c r="PXF1" s="660"/>
      <c r="PXG1" s="660"/>
      <c r="PXH1" s="660"/>
      <c r="PXI1" s="660"/>
      <c r="PXJ1" s="660"/>
      <c r="PXK1" s="660"/>
      <c r="PXL1" s="660"/>
      <c r="PXM1" s="660"/>
      <c r="PXN1" s="660"/>
      <c r="PXO1" s="660"/>
      <c r="PXP1" s="660"/>
      <c r="PXQ1" s="660"/>
      <c r="PXR1" s="660"/>
      <c r="PXS1" s="660"/>
      <c r="PXT1" s="660"/>
      <c r="PXU1" s="660"/>
      <c r="PXV1" s="660"/>
      <c r="PXW1" s="660"/>
      <c r="PXX1" s="660"/>
      <c r="PXY1" s="660"/>
      <c r="PXZ1" s="660"/>
      <c r="PYA1" s="660"/>
      <c r="PYB1" s="660"/>
      <c r="PYC1" s="660"/>
      <c r="PYD1" s="660"/>
      <c r="PYE1" s="660"/>
      <c r="PYF1" s="660"/>
      <c r="PYG1" s="660"/>
      <c r="PYH1" s="660"/>
      <c r="PYI1" s="660"/>
      <c r="PYJ1" s="660"/>
      <c r="PYK1" s="660"/>
      <c r="PYL1" s="660"/>
      <c r="PYM1" s="660"/>
      <c r="PYN1" s="660"/>
      <c r="PYO1" s="660"/>
      <c r="PYP1" s="660"/>
      <c r="PYQ1" s="660"/>
      <c r="PYR1" s="660"/>
      <c r="PYS1" s="660"/>
      <c r="PYT1" s="660"/>
      <c r="PYU1" s="660"/>
      <c r="PYV1" s="660"/>
      <c r="PYW1" s="660"/>
      <c r="PYX1" s="660"/>
      <c r="PYY1" s="660"/>
      <c r="PYZ1" s="660"/>
      <c r="PZA1" s="660"/>
      <c r="PZB1" s="660"/>
      <c r="PZC1" s="660"/>
      <c r="PZD1" s="660"/>
      <c r="PZE1" s="660"/>
      <c r="PZF1" s="660"/>
      <c r="PZG1" s="660"/>
      <c r="PZH1" s="660"/>
      <c r="PZI1" s="660"/>
      <c r="PZJ1" s="660"/>
      <c r="PZK1" s="660"/>
      <c r="PZL1" s="660"/>
      <c r="PZM1" s="660"/>
      <c r="PZN1" s="660"/>
      <c r="PZO1" s="660"/>
      <c r="PZP1" s="660"/>
      <c r="PZQ1" s="660"/>
      <c r="PZR1" s="660"/>
      <c r="PZS1" s="660"/>
      <c r="PZT1" s="660"/>
      <c r="PZU1" s="660"/>
      <c r="PZV1" s="660"/>
      <c r="PZW1" s="660"/>
      <c r="PZX1" s="660"/>
      <c r="PZY1" s="660"/>
      <c r="PZZ1" s="660"/>
      <c r="QAA1" s="660"/>
      <c r="QAB1" s="660"/>
      <c r="QAC1" s="660"/>
      <c r="QAD1" s="660"/>
      <c r="QAE1" s="660"/>
      <c r="QAF1" s="660"/>
      <c r="QAG1" s="660"/>
      <c r="QAH1" s="660"/>
      <c r="QAI1" s="660"/>
      <c r="QAJ1" s="660"/>
      <c r="QAK1" s="660"/>
      <c r="QAL1" s="660"/>
      <c r="QAM1" s="660"/>
      <c r="QAN1" s="660"/>
      <c r="QAO1" s="660"/>
      <c r="QAP1" s="660"/>
      <c r="QAQ1" s="660"/>
      <c r="QAR1" s="660"/>
      <c r="QAS1" s="660"/>
      <c r="QAT1" s="660"/>
      <c r="QAU1" s="660"/>
      <c r="QAV1" s="660"/>
      <c r="QAW1" s="660"/>
      <c r="QAX1" s="660"/>
      <c r="QAY1" s="660"/>
      <c r="QAZ1" s="660"/>
      <c r="QBA1" s="660"/>
      <c r="QBB1" s="660"/>
      <c r="QBC1" s="660"/>
      <c r="QBD1" s="660"/>
      <c r="QBE1" s="660"/>
      <c r="QBF1" s="660"/>
      <c r="QBG1" s="660"/>
      <c r="QBH1" s="660"/>
      <c r="QBI1" s="660"/>
      <c r="QBJ1" s="660"/>
      <c r="QBK1" s="660"/>
      <c r="QBL1" s="660"/>
      <c r="QBM1" s="660"/>
      <c r="QBN1" s="660"/>
      <c r="QBO1" s="660"/>
      <c r="QBP1" s="660"/>
      <c r="QBQ1" s="660"/>
      <c r="QBR1" s="660"/>
      <c r="QBS1" s="660"/>
      <c r="QBT1" s="660"/>
      <c r="QBU1" s="660"/>
      <c r="QBV1" s="660"/>
      <c r="QBW1" s="660"/>
      <c r="QBX1" s="660"/>
      <c r="QBY1" s="660"/>
      <c r="QBZ1" s="660"/>
      <c r="QCA1" s="660"/>
      <c r="QCB1" s="660"/>
      <c r="QCC1" s="660"/>
      <c r="QCD1" s="660"/>
      <c r="QCE1" s="660"/>
      <c r="QCF1" s="660"/>
      <c r="QCG1" s="660"/>
      <c r="QCH1" s="660"/>
      <c r="QCI1" s="660"/>
      <c r="QCJ1" s="660"/>
      <c r="QCK1" s="660"/>
      <c r="QCL1" s="660"/>
      <c r="QCM1" s="660"/>
      <c r="QCN1" s="660"/>
      <c r="QCO1" s="660"/>
      <c r="QCP1" s="660"/>
      <c r="QCQ1" s="660"/>
      <c r="QCR1" s="660"/>
      <c r="QCS1" s="660"/>
      <c r="QCT1" s="660"/>
      <c r="QCU1" s="660"/>
      <c r="QCV1" s="660"/>
      <c r="QCW1" s="660"/>
      <c r="QCX1" s="660"/>
      <c r="QCY1" s="660"/>
      <c r="QCZ1" s="660"/>
      <c r="QDA1" s="660"/>
      <c r="QDB1" s="660"/>
      <c r="QDC1" s="660"/>
      <c r="QDD1" s="660"/>
      <c r="QDE1" s="660"/>
      <c r="QDF1" s="660"/>
      <c r="QDG1" s="660"/>
      <c r="QDH1" s="660"/>
      <c r="QDI1" s="660"/>
      <c r="QDJ1" s="660"/>
      <c r="QDK1" s="660"/>
      <c r="QDL1" s="660"/>
      <c r="QDM1" s="660"/>
      <c r="QDN1" s="660"/>
      <c r="QDO1" s="660"/>
      <c r="QDP1" s="660"/>
      <c r="QDQ1" s="660"/>
      <c r="QDR1" s="660"/>
      <c r="QDS1" s="660"/>
      <c r="QDT1" s="660"/>
      <c r="QDU1" s="660"/>
      <c r="QDV1" s="660"/>
      <c r="QDW1" s="660"/>
      <c r="QDX1" s="660"/>
      <c r="QDY1" s="660"/>
      <c r="QDZ1" s="660"/>
      <c r="QEA1" s="660"/>
      <c r="QEB1" s="660"/>
      <c r="QEC1" s="660"/>
      <c r="QED1" s="660"/>
      <c r="QEE1" s="660"/>
      <c r="QEF1" s="660"/>
      <c r="QEG1" s="660"/>
      <c r="QEH1" s="660"/>
      <c r="QEI1" s="660"/>
      <c r="QEJ1" s="660"/>
      <c r="QEK1" s="660"/>
      <c r="QEL1" s="660"/>
      <c r="QEM1" s="660"/>
      <c r="QEN1" s="660"/>
      <c r="QEO1" s="660"/>
      <c r="QEP1" s="660"/>
      <c r="QEQ1" s="660"/>
      <c r="QER1" s="660"/>
      <c r="QES1" s="660"/>
      <c r="QET1" s="660"/>
      <c r="QEU1" s="660"/>
      <c r="QEV1" s="660"/>
      <c r="QEW1" s="660"/>
      <c r="QEX1" s="660"/>
      <c r="QEY1" s="660"/>
      <c r="QEZ1" s="660"/>
      <c r="QFA1" s="660"/>
      <c r="QFB1" s="660"/>
      <c r="QFC1" s="660"/>
      <c r="QFD1" s="660"/>
      <c r="QFE1" s="660"/>
      <c r="QFF1" s="660"/>
      <c r="QFG1" s="660"/>
      <c r="QFH1" s="660"/>
      <c r="QFI1" s="660"/>
      <c r="QFJ1" s="660"/>
      <c r="QFK1" s="660"/>
      <c r="QFL1" s="660"/>
      <c r="QFM1" s="660"/>
      <c r="QFN1" s="660"/>
      <c r="QFO1" s="660"/>
      <c r="QFP1" s="660"/>
      <c r="QFQ1" s="660"/>
      <c r="QFR1" s="660"/>
      <c r="QFS1" s="660"/>
      <c r="QFT1" s="660"/>
      <c r="QFU1" s="660"/>
      <c r="QFV1" s="660"/>
      <c r="QFW1" s="660"/>
      <c r="QFX1" s="660"/>
      <c r="QFY1" s="660"/>
      <c r="QFZ1" s="660"/>
      <c r="QGA1" s="660"/>
      <c r="QGB1" s="660"/>
      <c r="QGC1" s="660"/>
      <c r="QGD1" s="660"/>
      <c r="QGE1" s="660"/>
      <c r="QGF1" s="660"/>
      <c r="QGG1" s="660"/>
      <c r="QGH1" s="660"/>
      <c r="QGI1" s="660"/>
      <c r="QGJ1" s="660"/>
      <c r="QGK1" s="660"/>
      <c r="QGL1" s="660"/>
      <c r="QGM1" s="660"/>
      <c r="QGN1" s="660"/>
      <c r="QGO1" s="660"/>
      <c r="QGP1" s="660"/>
      <c r="QGQ1" s="660"/>
      <c r="QGR1" s="660"/>
      <c r="QGS1" s="660"/>
      <c r="QGT1" s="660"/>
      <c r="QGU1" s="660"/>
      <c r="QGV1" s="660"/>
      <c r="QGW1" s="660"/>
      <c r="QGX1" s="660"/>
      <c r="QGY1" s="660"/>
      <c r="QGZ1" s="660"/>
      <c r="QHA1" s="660"/>
      <c r="QHB1" s="660"/>
      <c r="QHC1" s="660"/>
      <c r="QHD1" s="660"/>
      <c r="QHE1" s="660"/>
      <c r="QHF1" s="660"/>
      <c r="QHG1" s="660"/>
      <c r="QHH1" s="660"/>
      <c r="QHI1" s="660"/>
      <c r="QHJ1" s="660"/>
      <c r="QHK1" s="660"/>
      <c r="QHL1" s="660"/>
      <c r="QHM1" s="660"/>
      <c r="QHN1" s="660"/>
      <c r="QHO1" s="660"/>
      <c r="QHP1" s="660"/>
      <c r="QHQ1" s="660"/>
      <c r="QHR1" s="660"/>
      <c r="QHS1" s="660"/>
      <c r="QHT1" s="660"/>
      <c r="QHU1" s="660"/>
      <c r="QHV1" s="660"/>
      <c r="QHW1" s="660"/>
      <c r="QHX1" s="660"/>
      <c r="QHY1" s="660"/>
      <c r="QHZ1" s="660"/>
      <c r="QIA1" s="660"/>
      <c r="QIB1" s="660"/>
      <c r="QIC1" s="660"/>
      <c r="QID1" s="660"/>
      <c r="QIE1" s="660"/>
      <c r="QIF1" s="660"/>
      <c r="QIG1" s="660"/>
      <c r="QIH1" s="660"/>
      <c r="QII1" s="660"/>
      <c r="QIJ1" s="660"/>
      <c r="QIK1" s="660"/>
      <c r="QIL1" s="660"/>
      <c r="QIM1" s="660"/>
      <c r="QIN1" s="660"/>
      <c r="QIO1" s="660"/>
      <c r="QIP1" s="660"/>
      <c r="QIQ1" s="660"/>
      <c r="QIR1" s="660"/>
      <c r="QIS1" s="660"/>
      <c r="QIT1" s="660"/>
      <c r="QIU1" s="660"/>
      <c r="QIV1" s="660"/>
      <c r="QIW1" s="660"/>
      <c r="QIX1" s="660"/>
      <c r="QIY1" s="660"/>
      <c r="QIZ1" s="660"/>
      <c r="QJA1" s="660"/>
      <c r="QJB1" s="660"/>
      <c r="QJC1" s="660"/>
      <c r="QJD1" s="660"/>
      <c r="QJE1" s="660"/>
      <c r="QJF1" s="660"/>
      <c r="QJG1" s="660"/>
      <c r="QJH1" s="660"/>
      <c r="QJI1" s="660"/>
      <c r="QJJ1" s="660"/>
      <c r="QJK1" s="660"/>
      <c r="QJL1" s="660"/>
      <c r="QJM1" s="660"/>
      <c r="QJN1" s="660"/>
      <c r="QJO1" s="660"/>
      <c r="QJP1" s="660"/>
      <c r="QJQ1" s="660"/>
      <c r="QJR1" s="660"/>
      <c r="QJS1" s="660"/>
      <c r="QJT1" s="660"/>
      <c r="QJU1" s="660"/>
      <c r="QJV1" s="660"/>
      <c r="QJW1" s="660"/>
      <c r="QJX1" s="660"/>
      <c r="QJY1" s="660"/>
      <c r="QJZ1" s="660"/>
      <c r="QKA1" s="660"/>
      <c r="QKB1" s="660"/>
      <c r="QKC1" s="660"/>
      <c r="QKD1" s="660"/>
      <c r="QKE1" s="660"/>
      <c r="QKF1" s="660"/>
      <c r="QKG1" s="660"/>
      <c r="QKH1" s="660"/>
      <c r="QKI1" s="660"/>
      <c r="QKJ1" s="660"/>
      <c r="QKK1" s="660"/>
      <c r="QKL1" s="660"/>
      <c r="QKM1" s="660"/>
      <c r="QKN1" s="660"/>
      <c r="QKO1" s="660"/>
      <c r="QKP1" s="660"/>
      <c r="QKQ1" s="660"/>
      <c r="QKR1" s="660"/>
      <c r="QKS1" s="660"/>
      <c r="QKT1" s="660"/>
      <c r="QKU1" s="660"/>
      <c r="QKV1" s="660"/>
      <c r="QKW1" s="660"/>
      <c r="QKX1" s="660"/>
      <c r="QKY1" s="660"/>
      <c r="QKZ1" s="660"/>
      <c r="QLA1" s="660"/>
      <c r="QLB1" s="660"/>
      <c r="QLC1" s="660"/>
      <c r="QLD1" s="660"/>
      <c r="QLE1" s="660"/>
      <c r="QLF1" s="660"/>
      <c r="QLG1" s="660"/>
      <c r="QLH1" s="660"/>
      <c r="QLI1" s="660"/>
      <c r="QLJ1" s="660"/>
      <c r="QLK1" s="660"/>
      <c r="QLL1" s="660"/>
      <c r="QLM1" s="660"/>
      <c r="QLN1" s="660"/>
      <c r="QLO1" s="660"/>
      <c r="QLP1" s="660"/>
      <c r="QLQ1" s="660"/>
      <c r="QLR1" s="660"/>
      <c r="QLS1" s="660"/>
      <c r="QLT1" s="660"/>
      <c r="QLU1" s="660"/>
      <c r="QLV1" s="660"/>
      <c r="QLW1" s="660"/>
      <c r="QLX1" s="660"/>
      <c r="QLY1" s="660"/>
      <c r="QLZ1" s="660"/>
      <c r="QMA1" s="660"/>
      <c r="QMB1" s="660"/>
      <c r="QMC1" s="660"/>
      <c r="QMD1" s="660"/>
      <c r="QME1" s="660"/>
      <c r="QMF1" s="660"/>
      <c r="QMG1" s="660"/>
      <c r="QMH1" s="660"/>
      <c r="QMI1" s="660"/>
      <c r="QMJ1" s="660"/>
      <c r="QMK1" s="660"/>
      <c r="QML1" s="660"/>
      <c r="QMM1" s="660"/>
      <c r="QMN1" s="660"/>
      <c r="QMO1" s="660"/>
      <c r="QMP1" s="660"/>
      <c r="QMQ1" s="660"/>
      <c r="QMR1" s="660"/>
      <c r="QMS1" s="660"/>
      <c r="QMT1" s="660"/>
      <c r="QMU1" s="660"/>
      <c r="QMV1" s="660"/>
      <c r="QMW1" s="660"/>
      <c r="QMX1" s="660"/>
      <c r="QMY1" s="660"/>
      <c r="QMZ1" s="660"/>
      <c r="QNA1" s="660"/>
      <c r="QNB1" s="660"/>
      <c r="QNC1" s="660"/>
      <c r="QND1" s="660"/>
      <c r="QNE1" s="660"/>
      <c r="QNF1" s="660"/>
      <c r="QNG1" s="660"/>
      <c r="QNH1" s="660"/>
      <c r="QNI1" s="660"/>
      <c r="QNJ1" s="660"/>
      <c r="QNK1" s="660"/>
      <c r="QNL1" s="660"/>
      <c r="QNM1" s="660"/>
      <c r="QNN1" s="660"/>
      <c r="QNO1" s="660"/>
      <c r="QNP1" s="660"/>
      <c r="QNQ1" s="660"/>
      <c r="QNR1" s="660"/>
      <c r="QNS1" s="660"/>
      <c r="QNT1" s="660"/>
      <c r="QNU1" s="660"/>
      <c r="QNV1" s="660"/>
      <c r="QNW1" s="660"/>
      <c r="QNX1" s="660"/>
      <c r="QNY1" s="660"/>
      <c r="QNZ1" s="660"/>
      <c r="QOA1" s="660"/>
      <c r="QOB1" s="660"/>
      <c r="QOC1" s="660"/>
      <c r="QOD1" s="660"/>
      <c r="QOE1" s="660"/>
      <c r="QOF1" s="660"/>
      <c r="QOG1" s="660"/>
      <c r="QOH1" s="660"/>
      <c r="QOI1" s="660"/>
      <c r="QOJ1" s="660"/>
      <c r="QOK1" s="660"/>
      <c r="QOL1" s="660"/>
      <c r="QOM1" s="660"/>
      <c r="QON1" s="660"/>
      <c r="QOO1" s="660"/>
      <c r="QOP1" s="660"/>
      <c r="QOQ1" s="660"/>
      <c r="QOR1" s="660"/>
      <c r="QOS1" s="660"/>
      <c r="QOT1" s="660"/>
      <c r="QOU1" s="660"/>
      <c r="QOV1" s="660"/>
      <c r="QOW1" s="660"/>
      <c r="QOX1" s="660"/>
      <c r="QOY1" s="660"/>
      <c r="QOZ1" s="660"/>
      <c r="QPA1" s="660"/>
      <c r="QPB1" s="660"/>
      <c r="QPC1" s="660"/>
      <c r="QPD1" s="660"/>
      <c r="QPE1" s="660"/>
      <c r="QPF1" s="660"/>
      <c r="QPG1" s="660"/>
      <c r="QPH1" s="660"/>
      <c r="QPI1" s="660"/>
      <c r="QPJ1" s="660"/>
      <c r="QPK1" s="660"/>
      <c r="QPL1" s="660"/>
      <c r="QPM1" s="660"/>
      <c r="QPN1" s="660"/>
      <c r="QPO1" s="660"/>
      <c r="QPP1" s="660"/>
      <c r="QPQ1" s="660"/>
      <c r="QPR1" s="660"/>
      <c r="QPS1" s="660"/>
      <c r="QPT1" s="660"/>
      <c r="QPU1" s="660"/>
      <c r="QPV1" s="660"/>
      <c r="QPW1" s="660"/>
      <c r="QPX1" s="660"/>
      <c r="QPY1" s="660"/>
      <c r="QPZ1" s="660"/>
      <c r="QQA1" s="660"/>
      <c r="QQB1" s="660"/>
      <c r="QQC1" s="660"/>
      <c r="QQD1" s="660"/>
      <c r="QQE1" s="660"/>
      <c r="QQF1" s="660"/>
      <c r="QQG1" s="660"/>
      <c r="QQH1" s="660"/>
      <c r="QQI1" s="660"/>
      <c r="QQJ1" s="660"/>
      <c r="QQK1" s="660"/>
      <c r="QQL1" s="660"/>
      <c r="QQM1" s="660"/>
      <c r="QQN1" s="660"/>
      <c r="QQO1" s="660"/>
      <c r="QQP1" s="660"/>
      <c r="QQQ1" s="660"/>
      <c r="QQR1" s="660"/>
      <c r="QQS1" s="660"/>
      <c r="QQT1" s="660"/>
      <c r="QQU1" s="660"/>
      <c r="QQV1" s="660"/>
      <c r="QQW1" s="660"/>
      <c r="QQX1" s="660"/>
      <c r="QQY1" s="660"/>
      <c r="QQZ1" s="660"/>
      <c r="QRA1" s="660"/>
      <c r="QRB1" s="660"/>
      <c r="QRC1" s="660"/>
      <c r="QRD1" s="660"/>
      <c r="QRE1" s="660"/>
      <c r="QRF1" s="660"/>
      <c r="QRG1" s="660"/>
      <c r="QRH1" s="660"/>
      <c r="QRI1" s="660"/>
      <c r="QRJ1" s="660"/>
      <c r="QRK1" s="660"/>
      <c r="QRL1" s="660"/>
      <c r="QRM1" s="660"/>
      <c r="QRN1" s="660"/>
      <c r="QRO1" s="660"/>
      <c r="QRP1" s="660"/>
      <c r="QRQ1" s="660"/>
      <c r="QRR1" s="660"/>
      <c r="QRS1" s="660"/>
      <c r="QRT1" s="660"/>
      <c r="QRU1" s="660"/>
      <c r="QRV1" s="660"/>
      <c r="QRW1" s="660"/>
      <c r="QRX1" s="660"/>
      <c r="QRY1" s="660"/>
      <c r="QRZ1" s="660"/>
      <c r="QSA1" s="660"/>
      <c r="QSB1" s="660"/>
      <c r="QSC1" s="660"/>
      <c r="QSD1" s="660"/>
      <c r="QSE1" s="660"/>
      <c r="QSF1" s="660"/>
      <c r="QSG1" s="660"/>
      <c r="QSH1" s="660"/>
      <c r="QSI1" s="660"/>
      <c r="QSJ1" s="660"/>
      <c r="QSK1" s="660"/>
      <c r="QSL1" s="660"/>
      <c r="QSM1" s="660"/>
      <c r="QSN1" s="660"/>
      <c r="QSO1" s="660"/>
      <c r="QSP1" s="660"/>
      <c r="QSQ1" s="660"/>
      <c r="QSR1" s="660"/>
      <c r="QSS1" s="660"/>
      <c r="QST1" s="660"/>
      <c r="QSU1" s="660"/>
      <c r="QSV1" s="660"/>
      <c r="QSW1" s="660"/>
      <c r="QSX1" s="660"/>
      <c r="QSY1" s="660"/>
      <c r="QSZ1" s="660"/>
      <c r="QTA1" s="660"/>
      <c r="QTB1" s="660"/>
      <c r="QTC1" s="660"/>
      <c r="QTD1" s="660"/>
      <c r="QTE1" s="660"/>
      <c r="QTF1" s="660"/>
      <c r="QTG1" s="660"/>
      <c r="QTH1" s="660"/>
      <c r="QTI1" s="660"/>
      <c r="QTJ1" s="660"/>
      <c r="QTK1" s="660"/>
      <c r="QTL1" s="660"/>
      <c r="QTM1" s="660"/>
      <c r="QTN1" s="660"/>
      <c r="QTO1" s="660"/>
      <c r="QTP1" s="660"/>
      <c r="QTQ1" s="660"/>
      <c r="QTR1" s="660"/>
      <c r="QTS1" s="660"/>
      <c r="QTT1" s="660"/>
      <c r="QTU1" s="660"/>
      <c r="QTV1" s="660"/>
      <c r="QTW1" s="660"/>
      <c r="QTX1" s="660"/>
      <c r="QTY1" s="660"/>
      <c r="QTZ1" s="660"/>
      <c r="QUA1" s="660"/>
      <c r="QUB1" s="660"/>
      <c r="QUC1" s="660"/>
      <c r="QUD1" s="660"/>
      <c r="QUE1" s="660"/>
      <c r="QUF1" s="660"/>
      <c r="QUG1" s="660"/>
      <c r="QUH1" s="660"/>
      <c r="QUI1" s="660"/>
      <c r="QUJ1" s="660"/>
      <c r="QUK1" s="660"/>
      <c r="QUL1" s="660"/>
      <c r="QUM1" s="660"/>
      <c r="QUN1" s="660"/>
      <c r="QUO1" s="660"/>
      <c r="QUP1" s="660"/>
      <c r="QUQ1" s="660"/>
      <c r="QUR1" s="660"/>
      <c r="QUS1" s="660"/>
      <c r="QUT1" s="660"/>
      <c r="QUU1" s="660"/>
      <c r="QUV1" s="660"/>
      <c r="QUW1" s="660"/>
      <c r="QUX1" s="660"/>
      <c r="QUY1" s="660"/>
      <c r="QUZ1" s="660"/>
      <c r="QVA1" s="660"/>
      <c r="QVB1" s="660"/>
      <c r="QVC1" s="660"/>
      <c r="QVD1" s="660"/>
      <c r="QVE1" s="660"/>
      <c r="QVF1" s="660"/>
      <c r="QVG1" s="660"/>
      <c r="QVH1" s="660"/>
      <c r="QVI1" s="660"/>
      <c r="QVJ1" s="660"/>
      <c r="QVK1" s="660"/>
      <c r="QVL1" s="660"/>
      <c r="QVM1" s="660"/>
      <c r="QVN1" s="660"/>
      <c r="QVO1" s="660"/>
      <c r="QVP1" s="660"/>
      <c r="QVQ1" s="660"/>
      <c r="QVR1" s="660"/>
      <c r="QVS1" s="660"/>
      <c r="QVT1" s="660"/>
      <c r="QVU1" s="660"/>
      <c r="QVV1" s="660"/>
      <c r="QVW1" s="660"/>
      <c r="QVX1" s="660"/>
      <c r="QVY1" s="660"/>
      <c r="QVZ1" s="660"/>
      <c r="QWA1" s="660"/>
      <c r="QWB1" s="660"/>
      <c r="QWC1" s="660"/>
      <c r="QWD1" s="660"/>
      <c r="QWE1" s="660"/>
      <c r="QWF1" s="660"/>
      <c r="QWG1" s="660"/>
      <c r="QWH1" s="660"/>
      <c r="QWI1" s="660"/>
      <c r="QWJ1" s="660"/>
      <c r="QWK1" s="660"/>
      <c r="QWL1" s="660"/>
      <c r="QWM1" s="660"/>
      <c r="QWN1" s="660"/>
      <c r="QWO1" s="660"/>
      <c r="QWP1" s="660"/>
      <c r="QWQ1" s="660"/>
      <c r="QWR1" s="660"/>
      <c r="QWS1" s="660"/>
      <c r="QWT1" s="660"/>
      <c r="QWU1" s="660"/>
      <c r="QWV1" s="660"/>
      <c r="QWW1" s="660"/>
      <c r="QWX1" s="660"/>
      <c r="QWY1" s="660"/>
      <c r="QWZ1" s="660"/>
      <c r="QXA1" s="660"/>
      <c r="QXB1" s="660"/>
      <c r="QXC1" s="660"/>
      <c r="QXD1" s="660"/>
      <c r="QXE1" s="660"/>
      <c r="QXF1" s="660"/>
      <c r="QXG1" s="660"/>
      <c r="QXH1" s="660"/>
      <c r="QXI1" s="660"/>
      <c r="QXJ1" s="660"/>
      <c r="QXK1" s="660"/>
      <c r="QXL1" s="660"/>
      <c r="QXM1" s="660"/>
      <c r="QXN1" s="660"/>
      <c r="QXO1" s="660"/>
      <c r="QXP1" s="660"/>
      <c r="QXQ1" s="660"/>
      <c r="QXR1" s="660"/>
      <c r="QXS1" s="660"/>
      <c r="QXT1" s="660"/>
      <c r="QXU1" s="660"/>
      <c r="QXV1" s="660"/>
      <c r="QXW1" s="660"/>
      <c r="QXX1" s="660"/>
      <c r="QXY1" s="660"/>
      <c r="QXZ1" s="660"/>
      <c r="QYA1" s="660"/>
      <c r="QYB1" s="660"/>
      <c r="QYC1" s="660"/>
      <c r="QYD1" s="660"/>
      <c r="QYE1" s="660"/>
      <c r="QYF1" s="660"/>
      <c r="QYG1" s="660"/>
      <c r="QYH1" s="660"/>
      <c r="QYI1" s="660"/>
      <c r="QYJ1" s="660"/>
      <c r="QYK1" s="660"/>
      <c r="QYL1" s="660"/>
      <c r="QYM1" s="660"/>
      <c r="QYN1" s="660"/>
      <c r="QYO1" s="660"/>
      <c r="QYP1" s="660"/>
      <c r="QYQ1" s="660"/>
      <c r="QYR1" s="660"/>
      <c r="QYS1" s="660"/>
      <c r="QYT1" s="660"/>
      <c r="QYU1" s="660"/>
      <c r="QYV1" s="660"/>
      <c r="QYW1" s="660"/>
      <c r="QYX1" s="660"/>
      <c r="QYY1" s="660"/>
      <c r="QYZ1" s="660"/>
      <c r="QZA1" s="660"/>
      <c r="QZB1" s="660"/>
      <c r="QZC1" s="660"/>
      <c r="QZD1" s="660"/>
      <c r="QZE1" s="660"/>
      <c r="QZF1" s="660"/>
      <c r="QZG1" s="660"/>
      <c r="QZH1" s="660"/>
      <c r="QZI1" s="660"/>
      <c r="QZJ1" s="660"/>
      <c r="QZK1" s="660"/>
      <c r="QZL1" s="660"/>
      <c r="QZM1" s="660"/>
      <c r="QZN1" s="660"/>
      <c r="QZO1" s="660"/>
      <c r="QZP1" s="660"/>
      <c r="QZQ1" s="660"/>
      <c r="QZR1" s="660"/>
      <c r="QZS1" s="660"/>
      <c r="QZT1" s="660"/>
      <c r="QZU1" s="660"/>
      <c r="QZV1" s="660"/>
      <c r="QZW1" s="660"/>
      <c r="QZX1" s="660"/>
      <c r="QZY1" s="660"/>
      <c r="QZZ1" s="660"/>
      <c r="RAA1" s="660"/>
      <c r="RAB1" s="660"/>
      <c r="RAC1" s="660"/>
      <c r="RAD1" s="660"/>
      <c r="RAE1" s="660"/>
      <c r="RAF1" s="660"/>
      <c r="RAG1" s="660"/>
      <c r="RAH1" s="660"/>
      <c r="RAI1" s="660"/>
      <c r="RAJ1" s="660"/>
      <c r="RAK1" s="660"/>
      <c r="RAL1" s="660"/>
      <c r="RAM1" s="660"/>
      <c r="RAN1" s="660"/>
      <c r="RAO1" s="660"/>
      <c r="RAP1" s="660"/>
      <c r="RAQ1" s="660"/>
      <c r="RAR1" s="660"/>
      <c r="RAS1" s="660"/>
      <c r="RAT1" s="660"/>
      <c r="RAU1" s="660"/>
      <c r="RAV1" s="660"/>
      <c r="RAW1" s="660"/>
      <c r="RAX1" s="660"/>
      <c r="RAY1" s="660"/>
      <c r="RAZ1" s="660"/>
      <c r="RBA1" s="660"/>
      <c r="RBB1" s="660"/>
      <c r="RBC1" s="660"/>
      <c r="RBD1" s="660"/>
      <c r="RBE1" s="660"/>
      <c r="RBF1" s="660"/>
      <c r="RBG1" s="660"/>
      <c r="RBH1" s="660"/>
      <c r="RBI1" s="660"/>
      <c r="RBJ1" s="660"/>
      <c r="RBK1" s="660"/>
      <c r="RBL1" s="660"/>
      <c r="RBM1" s="660"/>
      <c r="RBN1" s="660"/>
      <c r="RBO1" s="660"/>
      <c r="RBP1" s="660"/>
      <c r="RBQ1" s="660"/>
      <c r="RBR1" s="660"/>
      <c r="RBS1" s="660"/>
      <c r="RBT1" s="660"/>
      <c r="RBU1" s="660"/>
      <c r="RBV1" s="660"/>
      <c r="RBW1" s="660"/>
      <c r="RBX1" s="660"/>
      <c r="RBY1" s="660"/>
      <c r="RBZ1" s="660"/>
      <c r="RCA1" s="660"/>
      <c r="RCB1" s="660"/>
      <c r="RCC1" s="660"/>
      <c r="RCD1" s="660"/>
      <c r="RCE1" s="660"/>
      <c r="RCF1" s="660"/>
      <c r="RCG1" s="660"/>
      <c r="RCH1" s="660"/>
      <c r="RCI1" s="660"/>
      <c r="RCJ1" s="660"/>
      <c r="RCK1" s="660"/>
      <c r="RCL1" s="660"/>
      <c r="RCM1" s="660"/>
      <c r="RCN1" s="660"/>
      <c r="RCO1" s="660"/>
      <c r="RCP1" s="660"/>
      <c r="RCQ1" s="660"/>
      <c r="RCR1" s="660"/>
      <c r="RCS1" s="660"/>
      <c r="RCT1" s="660"/>
      <c r="RCU1" s="660"/>
      <c r="RCV1" s="660"/>
      <c r="RCW1" s="660"/>
      <c r="RCX1" s="660"/>
      <c r="RCY1" s="660"/>
      <c r="RCZ1" s="660"/>
      <c r="RDA1" s="660"/>
      <c r="RDB1" s="660"/>
      <c r="RDC1" s="660"/>
      <c r="RDD1" s="660"/>
      <c r="RDE1" s="660"/>
      <c r="RDF1" s="660"/>
      <c r="RDG1" s="660"/>
      <c r="RDH1" s="660"/>
      <c r="RDI1" s="660"/>
      <c r="RDJ1" s="660"/>
      <c r="RDK1" s="660"/>
      <c r="RDL1" s="660"/>
      <c r="RDM1" s="660"/>
      <c r="RDN1" s="660"/>
      <c r="RDO1" s="660"/>
      <c r="RDP1" s="660"/>
      <c r="RDQ1" s="660"/>
      <c r="RDR1" s="660"/>
      <c r="RDS1" s="660"/>
      <c r="RDT1" s="660"/>
      <c r="RDU1" s="660"/>
      <c r="RDV1" s="660"/>
      <c r="RDW1" s="660"/>
      <c r="RDX1" s="660"/>
      <c r="RDY1" s="660"/>
      <c r="RDZ1" s="660"/>
      <c r="REA1" s="660"/>
      <c r="REB1" s="660"/>
      <c r="REC1" s="660"/>
      <c r="RED1" s="660"/>
      <c r="REE1" s="660"/>
      <c r="REF1" s="660"/>
      <c r="REG1" s="660"/>
      <c r="REH1" s="660"/>
      <c r="REI1" s="660"/>
      <c r="REJ1" s="660"/>
      <c r="REK1" s="660"/>
      <c r="REL1" s="660"/>
      <c r="REM1" s="660"/>
      <c r="REN1" s="660"/>
      <c r="REO1" s="660"/>
      <c r="REP1" s="660"/>
      <c r="REQ1" s="660"/>
      <c r="RER1" s="660"/>
      <c r="RES1" s="660"/>
      <c r="RET1" s="660"/>
      <c r="REU1" s="660"/>
      <c r="REV1" s="660"/>
      <c r="REW1" s="660"/>
      <c r="REX1" s="660"/>
      <c r="REY1" s="660"/>
      <c r="REZ1" s="660"/>
      <c r="RFA1" s="660"/>
      <c r="RFB1" s="660"/>
      <c r="RFC1" s="660"/>
      <c r="RFD1" s="660"/>
      <c r="RFE1" s="660"/>
      <c r="RFF1" s="660"/>
      <c r="RFG1" s="660"/>
      <c r="RFH1" s="660"/>
      <c r="RFI1" s="660"/>
      <c r="RFJ1" s="660"/>
      <c r="RFK1" s="660"/>
      <c r="RFL1" s="660"/>
      <c r="RFM1" s="660"/>
      <c r="RFN1" s="660"/>
      <c r="RFO1" s="660"/>
      <c r="RFP1" s="660"/>
      <c r="RFQ1" s="660"/>
      <c r="RFR1" s="660"/>
      <c r="RFS1" s="660"/>
      <c r="RFT1" s="660"/>
      <c r="RFU1" s="660"/>
      <c r="RFV1" s="660"/>
      <c r="RFW1" s="660"/>
      <c r="RFX1" s="660"/>
      <c r="RFY1" s="660"/>
      <c r="RFZ1" s="660"/>
      <c r="RGA1" s="660"/>
      <c r="RGB1" s="660"/>
      <c r="RGC1" s="660"/>
      <c r="RGD1" s="660"/>
      <c r="RGE1" s="660"/>
      <c r="RGF1" s="660"/>
      <c r="RGG1" s="660"/>
      <c r="RGH1" s="660"/>
      <c r="RGI1" s="660"/>
      <c r="RGJ1" s="660"/>
      <c r="RGK1" s="660"/>
      <c r="RGL1" s="660"/>
      <c r="RGM1" s="660"/>
      <c r="RGN1" s="660"/>
      <c r="RGO1" s="660"/>
      <c r="RGP1" s="660"/>
      <c r="RGQ1" s="660"/>
      <c r="RGR1" s="660"/>
      <c r="RGS1" s="660"/>
      <c r="RGT1" s="660"/>
      <c r="RGU1" s="660"/>
      <c r="RGV1" s="660"/>
      <c r="RGW1" s="660"/>
      <c r="RGX1" s="660"/>
      <c r="RGY1" s="660"/>
      <c r="RGZ1" s="660"/>
      <c r="RHA1" s="660"/>
      <c r="RHB1" s="660"/>
      <c r="RHC1" s="660"/>
      <c r="RHD1" s="660"/>
      <c r="RHE1" s="660"/>
      <c r="RHF1" s="660"/>
      <c r="RHG1" s="660"/>
      <c r="RHH1" s="660"/>
      <c r="RHI1" s="660"/>
      <c r="RHJ1" s="660"/>
      <c r="RHK1" s="660"/>
      <c r="RHL1" s="660"/>
      <c r="RHM1" s="660"/>
      <c r="RHN1" s="660"/>
      <c r="RHO1" s="660"/>
      <c r="RHP1" s="660"/>
      <c r="RHQ1" s="660"/>
      <c r="RHR1" s="660"/>
      <c r="RHS1" s="660"/>
      <c r="RHT1" s="660"/>
      <c r="RHU1" s="660"/>
      <c r="RHV1" s="660"/>
      <c r="RHW1" s="660"/>
      <c r="RHX1" s="660"/>
      <c r="RHY1" s="660"/>
      <c r="RHZ1" s="660"/>
      <c r="RIA1" s="660"/>
      <c r="RIB1" s="660"/>
      <c r="RIC1" s="660"/>
      <c r="RID1" s="660"/>
      <c r="RIE1" s="660"/>
      <c r="RIF1" s="660"/>
      <c r="RIG1" s="660"/>
      <c r="RIH1" s="660"/>
      <c r="RII1" s="660"/>
      <c r="RIJ1" s="660"/>
      <c r="RIK1" s="660"/>
      <c r="RIL1" s="660"/>
      <c r="RIM1" s="660"/>
      <c r="RIN1" s="660"/>
      <c r="RIO1" s="660"/>
      <c r="RIP1" s="660"/>
      <c r="RIQ1" s="660"/>
      <c r="RIR1" s="660"/>
      <c r="RIS1" s="660"/>
      <c r="RIT1" s="660"/>
      <c r="RIU1" s="660"/>
      <c r="RIV1" s="660"/>
      <c r="RIW1" s="660"/>
      <c r="RIX1" s="660"/>
      <c r="RIY1" s="660"/>
      <c r="RIZ1" s="660"/>
      <c r="RJA1" s="660"/>
      <c r="RJB1" s="660"/>
      <c r="RJC1" s="660"/>
      <c r="RJD1" s="660"/>
      <c r="RJE1" s="660"/>
      <c r="RJF1" s="660"/>
      <c r="RJG1" s="660"/>
      <c r="RJH1" s="660"/>
      <c r="RJI1" s="660"/>
      <c r="RJJ1" s="660"/>
      <c r="RJK1" s="660"/>
      <c r="RJL1" s="660"/>
      <c r="RJM1" s="660"/>
      <c r="RJN1" s="660"/>
      <c r="RJO1" s="660"/>
      <c r="RJP1" s="660"/>
      <c r="RJQ1" s="660"/>
      <c r="RJR1" s="660"/>
      <c r="RJS1" s="660"/>
      <c r="RJT1" s="660"/>
      <c r="RJU1" s="660"/>
      <c r="RJV1" s="660"/>
      <c r="RJW1" s="660"/>
      <c r="RJX1" s="660"/>
      <c r="RJY1" s="660"/>
      <c r="RJZ1" s="660"/>
      <c r="RKA1" s="660"/>
      <c r="RKB1" s="660"/>
      <c r="RKC1" s="660"/>
      <c r="RKD1" s="660"/>
      <c r="RKE1" s="660"/>
      <c r="RKF1" s="660"/>
      <c r="RKG1" s="660"/>
      <c r="RKH1" s="660"/>
      <c r="RKI1" s="660"/>
      <c r="RKJ1" s="660"/>
      <c r="RKK1" s="660"/>
      <c r="RKL1" s="660"/>
      <c r="RKM1" s="660"/>
      <c r="RKN1" s="660"/>
      <c r="RKO1" s="660"/>
      <c r="RKP1" s="660"/>
      <c r="RKQ1" s="660"/>
      <c r="RKR1" s="660"/>
      <c r="RKS1" s="660"/>
      <c r="RKT1" s="660"/>
      <c r="RKU1" s="660"/>
      <c r="RKV1" s="660"/>
      <c r="RKW1" s="660"/>
      <c r="RKX1" s="660"/>
      <c r="RKY1" s="660"/>
      <c r="RKZ1" s="660"/>
      <c r="RLA1" s="660"/>
      <c r="RLB1" s="660"/>
      <c r="RLC1" s="660"/>
      <c r="RLD1" s="660"/>
      <c r="RLE1" s="660"/>
      <c r="RLF1" s="660"/>
      <c r="RLG1" s="660"/>
      <c r="RLH1" s="660"/>
      <c r="RLI1" s="660"/>
      <c r="RLJ1" s="660"/>
      <c r="RLK1" s="660"/>
      <c r="RLL1" s="660"/>
      <c r="RLM1" s="660"/>
      <c r="RLN1" s="660"/>
      <c r="RLO1" s="660"/>
      <c r="RLP1" s="660"/>
      <c r="RLQ1" s="660"/>
      <c r="RLR1" s="660"/>
      <c r="RLS1" s="660"/>
      <c r="RLT1" s="660"/>
      <c r="RLU1" s="660"/>
      <c r="RLV1" s="660"/>
      <c r="RLW1" s="660"/>
      <c r="RLX1" s="660"/>
      <c r="RLY1" s="660"/>
      <c r="RLZ1" s="660"/>
      <c r="RMA1" s="660"/>
      <c r="RMB1" s="660"/>
      <c r="RMC1" s="660"/>
      <c r="RMD1" s="660"/>
      <c r="RME1" s="660"/>
      <c r="RMF1" s="660"/>
      <c r="RMG1" s="660"/>
      <c r="RMH1" s="660"/>
      <c r="RMI1" s="660"/>
      <c r="RMJ1" s="660"/>
      <c r="RMK1" s="660"/>
      <c r="RML1" s="660"/>
      <c r="RMM1" s="660"/>
      <c r="RMN1" s="660"/>
      <c r="RMO1" s="660"/>
      <c r="RMP1" s="660"/>
      <c r="RMQ1" s="660"/>
      <c r="RMR1" s="660"/>
      <c r="RMS1" s="660"/>
      <c r="RMT1" s="660"/>
      <c r="RMU1" s="660"/>
      <c r="RMV1" s="660"/>
      <c r="RMW1" s="660"/>
      <c r="RMX1" s="660"/>
      <c r="RMY1" s="660"/>
      <c r="RMZ1" s="660"/>
      <c r="RNA1" s="660"/>
      <c r="RNB1" s="660"/>
      <c r="RNC1" s="660"/>
      <c r="RND1" s="660"/>
      <c r="RNE1" s="660"/>
      <c r="RNF1" s="660"/>
      <c r="RNG1" s="660"/>
      <c r="RNH1" s="660"/>
      <c r="RNI1" s="660"/>
      <c r="RNJ1" s="660"/>
      <c r="RNK1" s="660"/>
      <c r="RNL1" s="660"/>
      <c r="RNM1" s="660"/>
      <c r="RNN1" s="660"/>
      <c r="RNO1" s="660"/>
      <c r="RNP1" s="660"/>
      <c r="RNQ1" s="660"/>
      <c r="RNR1" s="660"/>
      <c r="RNS1" s="660"/>
      <c r="RNT1" s="660"/>
      <c r="RNU1" s="660"/>
      <c r="RNV1" s="660"/>
      <c r="RNW1" s="660"/>
      <c r="RNX1" s="660"/>
      <c r="RNY1" s="660"/>
      <c r="RNZ1" s="660"/>
      <c r="ROA1" s="660"/>
      <c r="ROB1" s="660"/>
      <c r="ROC1" s="660"/>
      <c r="ROD1" s="660"/>
      <c r="ROE1" s="660"/>
      <c r="ROF1" s="660"/>
      <c r="ROG1" s="660"/>
      <c r="ROH1" s="660"/>
      <c r="ROI1" s="660"/>
      <c r="ROJ1" s="660"/>
      <c r="ROK1" s="660"/>
      <c r="ROL1" s="660"/>
      <c r="ROM1" s="660"/>
      <c r="RON1" s="660"/>
      <c r="ROO1" s="660"/>
      <c r="ROP1" s="660"/>
      <c r="ROQ1" s="660"/>
      <c r="ROR1" s="660"/>
      <c r="ROS1" s="660"/>
      <c r="ROT1" s="660"/>
      <c r="ROU1" s="660"/>
      <c r="ROV1" s="660"/>
      <c r="ROW1" s="660"/>
      <c r="ROX1" s="660"/>
      <c r="ROY1" s="660"/>
      <c r="ROZ1" s="660"/>
      <c r="RPA1" s="660"/>
      <c r="RPB1" s="660"/>
      <c r="RPC1" s="660"/>
      <c r="RPD1" s="660"/>
      <c r="RPE1" s="660"/>
      <c r="RPF1" s="660"/>
      <c r="RPG1" s="660"/>
      <c r="RPH1" s="660"/>
      <c r="RPI1" s="660"/>
      <c r="RPJ1" s="660"/>
      <c r="RPK1" s="660"/>
      <c r="RPL1" s="660"/>
      <c r="RPM1" s="660"/>
      <c r="RPN1" s="660"/>
      <c r="RPO1" s="660"/>
      <c r="RPP1" s="660"/>
      <c r="RPQ1" s="660"/>
      <c r="RPR1" s="660"/>
      <c r="RPS1" s="660"/>
      <c r="RPT1" s="660"/>
      <c r="RPU1" s="660"/>
      <c r="RPV1" s="660"/>
      <c r="RPW1" s="660"/>
      <c r="RPX1" s="660"/>
      <c r="RPY1" s="660"/>
      <c r="RPZ1" s="660"/>
      <c r="RQA1" s="660"/>
      <c r="RQB1" s="660"/>
      <c r="RQC1" s="660"/>
      <c r="RQD1" s="660"/>
      <c r="RQE1" s="660"/>
      <c r="RQF1" s="660"/>
      <c r="RQG1" s="660"/>
      <c r="RQH1" s="660"/>
      <c r="RQI1" s="660"/>
      <c r="RQJ1" s="660"/>
      <c r="RQK1" s="660"/>
      <c r="RQL1" s="660"/>
      <c r="RQM1" s="660"/>
      <c r="RQN1" s="660"/>
      <c r="RQO1" s="660"/>
      <c r="RQP1" s="660"/>
      <c r="RQQ1" s="660"/>
      <c r="RQR1" s="660"/>
      <c r="RQS1" s="660"/>
      <c r="RQT1" s="660"/>
      <c r="RQU1" s="660"/>
      <c r="RQV1" s="660"/>
      <c r="RQW1" s="660"/>
      <c r="RQX1" s="660"/>
      <c r="RQY1" s="660"/>
      <c r="RQZ1" s="660"/>
      <c r="RRA1" s="660"/>
      <c r="RRB1" s="660"/>
      <c r="RRC1" s="660"/>
      <c r="RRD1" s="660"/>
      <c r="RRE1" s="660"/>
      <c r="RRF1" s="660"/>
      <c r="RRG1" s="660"/>
      <c r="RRH1" s="660"/>
      <c r="RRI1" s="660"/>
      <c r="RRJ1" s="660"/>
      <c r="RRK1" s="660"/>
      <c r="RRL1" s="660"/>
      <c r="RRM1" s="660"/>
      <c r="RRN1" s="660"/>
      <c r="RRO1" s="660"/>
      <c r="RRP1" s="660"/>
      <c r="RRQ1" s="660"/>
      <c r="RRR1" s="660"/>
      <c r="RRS1" s="660"/>
      <c r="RRT1" s="660"/>
      <c r="RRU1" s="660"/>
      <c r="RRV1" s="660"/>
      <c r="RRW1" s="660"/>
      <c r="RRX1" s="660"/>
      <c r="RRY1" s="660"/>
      <c r="RRZ1" s="660"/>
      <c r="RSA1" s="660"/>
      <c r="RSB1" s="660"/>
      <c r="RSC1" s="660"/>
      <c r="RSD1" s="660"/>
      <c r="RSE1" s="660"/>
      <c r="RSF1" s="660"/>
      <c r="RSG1" s="660"/>
      <c r="RSH1" s="660"/>
      <c r="RSI1" s="660"/>
      <c r="RSJ1" s="660"/>
      <c r="RSK1" s="660"/>
      <c r="RSL1" s="660"/>
      <c r="RSM1" s="660"/>
      <c r="RSN1" s="660"/>
      <c r="RSO1" s="660"/>
      <c r="RSP1" s="660"/>
      <c r="RSQ1" s="660"/>
      <c r="RSR1" s="660"/>
      <c r="RSS1" s="660"/>
      <c r="RST1" s="660"/>
      <c r="RSU1" s="660"/>
      <c r="RSV1" s="660"/>
      <c r="RSW1" s="660"/>
      <c r="RSX1" s="660"/>
      <c r="RSY1" s="660"/>
      <c r="RSZ1" s="660"/>
      <c r="RTA1" s="660"/>
      <c r="RTB1" s="660"/>
      <c r="RTC1" s="660"/>
      <c r="RTD1" s="660"/>
      <c r="RTE1" s="660"/>
      <c r="RTF1" s="660"/>
      <c r="RTG1" s="660"/>
      <c r="RTH1" s="660"/>
      <c r="RTI1" s="660"/>
      <c r="RTJ1" s="660"/>
      <c r="RTK1" s="660"/>
      <c r="RTL1" s="660"/>
      <c r="RTM1" s="660"/>
      <c r="RTN1" s="660"/>
      <c r="RTO1" s="660"/>
      <c r="RTP1" s="660"/>
      <c r="RTQ1" s="660"/>
      <c r="RTR1" s="660"/>
      <c r="RTS1" s="660"/>
      <c r="RTT1" s="660"/>
      <c r="RTU1" s="660"/>
      <c r="RTV1" s="660"/>
      <c r="RTW1" s="660"/>
      <c r="RTX1" s="660"/>
      <c r="RTY1" s="660"/>
      <c r="RTZ1" s="660"/>
      <c r="RUA1" s="660"/>
      <c r="RUB1" s="660"/>
      <c r="RUC1" s="660"/>
      <c r="RUD1" s="660"/>
      <c r="RUE1" s="660"/>
      <c r="RUF1" s="660"/>
      <c r="RUG1" s="660"/>
      <c r="RUH1" s="660"/>
      <c r="RUI1" s="660"/>
      <c r="RUJ1" s="660"/>
      <c r="RUK1" s="660"/>
      <c r="RUL1" s="660"/>
      <c r="RUM1" s="660"/>
      <c r="RUN1" s="660"/>
      <c r="RUO1" s="660"/>
      <c r="RUP1" s="660"/>
      <c r="RUQ1" s="660"/>
      <c r="RUR1" s="660"/>
      <c r="RUS1" s="660"/>
      <c r="RUT1" s="660"/>
      <c r="RUU1" s="660"/>
      <c r="RUV1" s="660"/>
      <c r="RUW1" s="660"/>
      <c r="RUX1" s="660"/>
      <c r="RUY1" s="660"/>
      <c r="RUZ1" s="660"/>
      <c r="RVA1" s="660"/>
      <c r="RVB1" s="660"/>
      <c r="RVC1" s="660"/>
      <c r="RVD1" s="660"/>
      <c r="RVE1" s="660"/>
      <c r="RVF1" s="660"/>
      <c r="RVG1" s="660"/>
      <c r="RVH1" s="660"/>
      <c r="RVI1" s="660"/>
      <c r="RVJ1" s="660"/>
      <c r="RVK1" s="660"/>
      <c r="RVL1" s="660"/>
      <c r="RVM1" s="660"/>
      <c r="RVN1" s="660"/>
      <c r="RVO1" s="660"/>
      <c r="RVP1" s="660"/>
      <c r="RVQ1" s="660"/>
      <c r="RVR1" s="660"/>
      <c r="RVS1" s="660"/>
      <c r="RVT1" s="660"/>
      <c r="RVU1" s="660"/>
      <c r="RVV1" s="660"/>
      <c r="RVW1" s="660"/>
      <c r="RVX1" s="660"/>
      <c r="RVY1" s="660"/>
      <c r="RVZ1" s="660"/>
      <c r="RWA1" s="660"/>
      <c r="RWB1" s="660"/>
      <c r="RWC1" s="660"/>
      <c r="RWD1" s="660"/>
      <c r="RWE1" s="660"/>
      <c r="RWF1" s="660"/>
      <c r="RWG1" s="660"/>
      <c r="RWH1" s="660"/>
      <c r="RWI1" s="660"/>
      <c r="RWJ1" s="660"/>
      <c r="RWK1" s="660"/>
      <c r="RWL1" s="660"/>
      <c r="RWM1" s="660"/>
      <c r="RWN1" s="660"/>
      <c r="RWO1" s="660"/>
      <c r="RWP1" s="660"/>
      <c r="RWQ1" s="660"/>
      <c r="RWR1" s="660"/>
      <c r="RWS1" s="660"/>
      <c r="RWT1" s="660"/>
      <c r="RWU1" s="660"/>
      <c r="RWV1" s="660"/>
      <c r="RWW1" s="660"/>
      <c r="RWX1" s="660"/>
      <c r="RWY1" s="660"/>
      <c r="RWZ1" s="660"/>
      <c r="RXA1" s="660"/>
      <c r="RXB1" s="660"/>
      <c r="RXC1" s="660"/>
      <c r="RXD1" s="660"/>
      <c r="RXE1" s="660"/>
      <c r="RXF1" s="660"/>
      <c r="RXG1" s="660"/>
      <c r="RXH1" s="660"/>
      <c r="RXI1" s="660"/>
      <c r="RXJ1" s="660"/>
      <c r="RXK1" s="660"/>
      <c r="RXL1" s="660"/>
      <c r="RXM1" s="660"/>
      <c r="RXN1" s="660"/>
      <c r="RXO1" s="660"/>
      <c r="RXP1" s="660"/>
      <c r="RXQ1" s="660"/>
      <c r="RXR1" s="660"/>
      <c r="RXS1" s="660"/>
      <c r="RXT1" s="660"/>
      <c r="RXU1" s="660"/>
      <c r="RXV1" s="660"/>
      <c r="RXW1" s="660"/>
      <c r="RXX1" s="660"/>
      <c r="RXY1" s="660"/>
      <c r="RXZ1" s="660"/>
      <c r="RYA1" s="660"/>
      <c r="RYB1" s="660"/>
      <c r="RYC1" s="660"/>
      <c r="RYD1" s="660"/>
      <c r="RYE1" s="660"/>
      <c r="RYF1" s="660"/>
      <c r="RYG1" s="660"/>
      <c r="RYH1" s="660"/>
      <c r="RYI1" s="660"/>
      <c r="RYJ1" s="660"/>
      <c r="RYK1" s="660"/>
      <c r="RYL1" s="660"/>
      <c r="RYM1" s="660"/>
      <c r="RYN1" s="660"/>
      <c r="RYO1" s="660"/>
      <c r="RYP1" s="660"/>
      <c r="RYQ1" s="660"/>
      <c r="RYR1" s="660"/>
      <c r="RYS1" s="660"/>
      <c r="RYT1" s="660"/>
      <c r="RYU1" s="660"/>
      <c r="RYV1" s="660"/>
      <c r="RYW1" s="660"/>
      <c r="RYX1" s="660"/>
      <c r="RYY1" s="660"/>
      <c r="RYZ1" s="660"/>
      <c r="RZA1" s="660"/>
      <c r="RZB1" s="660"/>
      <c r="RZC1" s="660"/>
      <c r="RZD1" s="660"/>
      <c r="RZE1" s="660"/>
      <c r="RZF1" s="660"/>
      <c r="RZG1" s="660"/>
      <c r="RZH1" s="660"/>
      <c r="RZI1" s="660"/>
      <c r="RZJ1" s="660"/>
      <c r="RZK1" s="660"/>
      <c r="RZL1" s="660"/>
      <c r="RZM1" s="660"/>
      <c r="RZN1" s="660"/>
      <c r="RZO1" s="660"/>
      <c r="RZP1" s="660"/>
      <c r="RZQ1" s="660"/>
      <c r="RZR1" s="660"/>
      <c r="RZS1" s="660"/>
      <c r="RZT1" s="660"/>
      <c r="RZU1" s="660"/>
      <c r="RZV1" s="660"/>
      <c r="RZW1" s="660"/>
      <c r="RZX1" s="660"/>
      <c r="RZY1" s="660"/>
      <c r="RZZ1" s="660"/>
      <c r="SAA1" s="660"/>
      <c r="SAB1" s="660"/>
      <c r="SAC1" s="660"/>
      <c r="SAD1" s="660"/>
      <c r="SAE1" s="660"/>
      <c r="SAF1" s="660"/>
      <c r="SAG1" s="660"/>
      <c r="SAH1" s="660"/>
      <c r="SAI1" s="660"/>
      <c r="SAJ1" s="660"/>
      <c r="SAK1" s="660"/>
      <c r="SAL1" s="660"/>
      <c r="SAM1" s="660"/>
      <c r="SAN1" s="660"/>
      <c r="SAO1" s="660"/>
      <c r="SAP1" s="660"/>
      <c r="SAQ1" s="660"/>
      <c r="SAR1" s="660"/>
      <c r="SAS1" s="660"/>
      <c r="SAT1" s="660"/>
      <c r="SAU1" s="660"/>
      <c r="SAV1" s="660"/>
      <c r="SAW1" s="660"/>
      <c r="SAX1" s="660"/>
      <c r="SAY1" s="660"/>
      <c r="SAZ1" s="660"/>
      <c r="SBA1" s="660"/>
      <c r="SBB1" s="660"/>
      <c r="SBC1" s="660"/>
      <c r="SBD1" s="660"/>
      <c r="SBE1" s="660"/>
      <c r="SBF1" s="660"/>
      <c r="SBG1" s="660"/>
      <c r="SBH1" s="660"/>
      <c r="SBI1" s="660"/>
      <c r="SBJ1" s="660"/>
      <c r="SBK1" s="660"/>
      <c r="SBL1" s="660"/>
      <c r="SBM1" s="660"/>
      <c r="SBN1" s="660"/>
      <c r="SBO1" s="660"/>
      <c r="SBP1" s="660"/>
      <c r="SBQ1" s="660"/>
      <c r="SBR1" s="660"/>
      <c r="SBS1" s="660"/>
      <c r="SBT1" s="660"/>
      <c r="SBU1" s="660"/>
      <c r="SBV1" s="660"/>
      <c r="SBW1" s="660"/>
      <c r="SBX1" s="660"/>
      <c r="SBY1" s="660"/>
      <c r="SBZ1" s="660"/>
      <c r="SCA1" s="660"/>
      <c r="SCB1" s="660"/>
      <c r="SCC1" s="660"/>
      <c r="SCD1" s="660"/>
      <c r="SCE1" s="660"/>
      <c r="SCF1" s="660"/>
      <c r="SCG1" s="660"/>
      <c r="SCH1" s="660"/>
      <c r="SCI1" s="660"/>
      <c r="SCJ1" s="660"/>
      <c r="SCK1" s="660"/>
      <c r="SCL1" s="660"/>
      <c r="SCM1" s="660"/>
      <c r="SCN1" s="660"/>
      <c r="SCO1" s="660"/>
      <c r="SCP1" s="660"/>
      <c r="SCQ1" s="660"/>
      <c r="SCR1" s="660"/>
      <c r="SCS1" s="660"/>
      <c r="SCT1" s="660"/>
      <c r="SCU1" s="660"/>
      <c r="SCV1" s="660"/>
      <c r="SCW1" s="660"/>
      <c r="SCX1" s="660"/>
      <c r="SCY1" s="660"/>
      <c r="SCZ1" s="660"/>
      <c r="SDA1" s="660"/>
      <c r="SDB1" s="660"/>
      <c r="SDC1" s="660"/>
      <c r="SDD1" s="660"/>
      <c r="SDE1" s="660"/>
      <c r="SDF1" s="660"/>
      <c r="SDG1" s="660"/>
      <c r="SDH1" s="660"/>
      <c r="SDI1" s="660"/>
      <c r="SDJ1" s="660"/>
      <c r="SDK1" s="660"/>
      <c r="SDL1" s="660"/>
      <c r="SDM1" s="660"/>
      <c r="SDN1" s="660"/>
      <c r="SDO1" s="660"/>
      <c r="SDP1" s="660"/>
      <c r="SDQ1" s="660"/>
      <c r="SDR1" s="660"/>
      <c r="SDS1" s="660"/>
      <c r="SDT1" s="660"/>
      <c r="SDU1" s="660"/>
      <c r="SDV1" s="660"/>
      <c r="SDW1" s="660"/>
      <c r="SDX1" s="660"/>
      <c r="SDY1" s="660"/>
      <c r="SDZ1" s="660"/>
      <c r="SEA1" s="660"/>
      <c r="SEB1" s="660"/>
      <c r="SEC1" s="660"/>
      <c r="SED1" s="660"/>
      <c r="SEE1" s="660"/>
      <c r="SEF1" s="660"/>
      <c r="SEG1" s="660"/>
      <c r="SEH1" s="660"/>
      <c r="SEI1" s="660"/>
      <c r="SEJ1" s="660"/>
      <c r="SEK1" s="660"/>
      <c r="SEL1" s="660"/>
      <c r="SEM1" s="660"/>
      <c r="SEN1" s="660"/>
      <c r="SEO1" s="660"/>
      <c r="SEP1" s="660"/>
      <c r="SEQ1" s="660"/>
      <c r="SER1" s="660"/>
      <c r="SES1" s="660"/>
      <c r="SET1" s="660"/>
      <c r="SEU1" s="660"/>
      <c r="SEV1" s="660"/>
      <c r="SEW1" s="660"/>
      <c r="SEX1" s="660"/>
      <c r="SEY1" s="660"/>
      <c r="SEZ1" s="660"/>
      <c r="SFA1" s="660"/>
      <c r="SFB1" s="660"/>
      <c r="SFC1" s="660"/>
      <c r="SFD1" s="660"/>
      <c r="SFE1" s="660"/>
      <c r="SFF1" s="660"/>
      <c r="SFG1" s="660"/>
      <c r="SFH1" s="660"/>
      <c r="SFI1" s="660"/>
      <c r="SFJ1" s="660"/>
      <c r="SFK1" s="660"/>
      <c r="SFL1" s="660"/>
      <c r="SFM1" s="660"/>
      <c r="SFN1" s="660"/>
      <c r="SFO1" s="660"/>
      <c r="SFP1" s="660"/>
      <c r="SFQ1" s="660"/>
      <c r="SFR1" s="660"/>
      <c r="SFS1" s="660"/>
      <c r="SFT1" s="660"/>
      <c r="SFU1" s="660"/>
      <c r="SFV1" s="660"/>
      <c r="SFW1" s="660"/>
      <c r="SFX1" s="660"/>
      <c r="SFY1" s="660"/>
      <c r="SFZ1" s="660"/>
      <c r="SGA1" s="660"/>
      <c r="SGB1" s="660"/>
      <c r="SGC1" s="660"/>
      <c r="SGD1" s="660"/>
      <c r="SGE1" s="660"/>
      <c r="SGF1" s="660"/>
      <c r="SGG1" s="660"/>
      <c r="SGH1" s="660"/>
      <c r="SGI1" s="660"/>
      <c r="SGJ1" s="660"/>
      <c r="SGK1" s="660"/>
      <c r="SGL1" s="660"/>
      <c r="SGM1" s="660"/>
      <c r="SGN1" s="660"/>
      <c r="SGO1" s="660"/>
      <c r="SGP1" s="660"/>
      <c r="SGQ1" s="660"/>
      <c r="SGR1" s="660"/>
      <c r="SGS1" s="660"/>
      <c r="SGT1" s="660"/>
      <c r="SGU1" s="660"/>
      <c r="SGV1" s="660"/>
      <c r="SGW1" s="660"/>
      <c r="SGX1" s="660"/>
      <c r="SGY1" s="660"/>
      <c r="SGZ1" s="660"/>
      <c r="SHA1" s="660"/>
      <c r="SHB1" s="660"/>
      <c r="SHC1" s="660"/>
      <c r="SHD1" s="660"/>
      <c r="SHE1" s="660"/>
      <c r="SHF1" s="660"/>
      <c r="SHG1" s="660"/>
      <c r="SHH1" s="660"/>
      <c r="SHI1" s="660"/>
      <c r="SHJ1" s="660"/>
      <c r="SHK1" s="660"/>
      <c r="SHL1" s="660"/>
      <c r="SHM1" s="660"/>
      <c r="SHN1" s="660"/>
      <c r="SHO1" s="660"/>
      <c r="SHP1" s="660"/>
      <c r="SHQ1" s="660"/>
      <c r="SHR1" s="660"/>
      <c r="SHS1" s="660"/>
      <c r="SHT1" s="660"/>
      <c r="SHU1" s="660"/>
      <c r="SHV1" s="660"/>
      <c r="SHW1" s="660"/>
      <c r="SHX1" s="660"/>
      <c r="SHY1" s="660"/>
      <c r="SHZ1" s="660"/>
      <c r="SIA1" s="660"/>
      <c r="SIB1" s="660"/>
      <c r="SIC1" s="660"/>
      <c r="SID1" s="660"/>
      <c r="SIE1" s="660"/>
      <c r="SIF1" s="660"/>
      <c r="SIG1" s="660"/>
      <c r="SIH1" s="660"/>
      <c r="SII1" s="660"/>
      <c r="SIJ1" s="660"/>
      <c r="SIK1" s="660"/>
      <c r="SIL1" s="660"/>
      <c r="SIM1" s="660"/>
      <c r="SIN1" s="660"/>
      <c r="SIO1" s="660"/>
      <c r="SIP1" s="660"/>
      <c r="SIQ1" s="660"/>
      <c r="SIR1" s="660"/>
      <c r="SIS1" s="660"/>
      <c r="SIT1" s="660"/>
      <c r="SIU1" s="660"/>
      <c r="SIV1" s="660"/>
      <c r="SIW1" s="660"/>
      <c r="SIX1" s="660"/>
      <c r="SIY1" s="660"/>
      <c r="SIZ1" s="660"/>
      <c r="SJA1" s="660"/>
      <c r="SJB1" s="660"/>
      <c r="SJC1" s="660"/>
      <c r="SJD1" s="660"/>
      <c r="SJE1" s="660"/>
      <c r="SJF1" s="660"/>
      <c r="SJG1" s="660"/>
      <c r="SJH1" s="660"/>
      <c r="SJI1" s="660"/>
      <c r="SJJ1" s="660"/>
      <c r="SJK1" s="660"/>
      <c r="SJL1" s="660"/>
      <c r="SJM1" s="660"/>
      <c r="SJN1" s="660"/>
      <c r="SJO1" s="660"/>
      <c r="SJP1" s="660"/>
      <c r="SJQ1" s="660"/>
      <c r="SJR1" s="660"/>
      <c r="SJS1" s="660"/>
      <c r="SJT1" s="660"/>
      <c r="SJU1" s="660"/>
      <c r="SJV1" s="660"/>
      <c r="SJW1" s="660"/>
      <c r="SJX1" s="660"/>
      <c r="SJY1" s="660"/>
      <c r="SJZ1" s="660"/>
      <c r="SKA1" s="660"/>
      <c r="SKB1" s="660"/>
      <c r="SKC1" s="660"/>
      <c r="SKD1" s="660"/>
      <c r="SKE1" s="660"/>
      <c r="SKF1" s="660"/>
      <c r="SKG1" s="660"/>
      <c r="SKH1" s="660"/>
      <c r="SKI1" s="660"/>
      <c r="SKJ1" s="660"/>
      <c r="SKK1" s="660"/>
      <c r="SKL1" s="660"/>
      <c r="SKM1" s="660"/>
      <c r="SKN1" s="660"/>
      <c r="SKO1" s="660"/>
      <c r="SKP1" s="660"/>
      <c r="SKQ1" s="660"/>
      <c r="SKR1" s="660"/>
      <c r="SKS1" s="660"/>
      <c r="SKT1" s="660"/>
      <c r="SKU1" s="660"/>
      <c r="SKV1" s="660"/>
      <c r="SKW1" s="660"/>
      <c r="SKX1" s="660"/>
      <c r="SKY1" s="660"/>
      <c r="SKZ1" s="660"/>
      <c r="SLA1" s="660"/>
      <c r="SLB1" s="660"/>
      <c r="SLC1" s="660"/>
      <c r="SLD1" s="660"/>
      <c r="SLE1" s="660"/>
      <c r="SLF1" s="660"/>
      <c r="SLG1" s="660"/>
      <c r="SLH1" s="660"/>
      <c r="SLI1" s="660"/>
      <c r="SLJ1" s="660"/>
      <c r="SLK1" s="660"/>
      <c r="SLL1" s="660"/>
      <c r="SLM1" s="660"/>
      <c r="SLN1" s="660"/>
      <c r="SLO1" s="660"/>
      <c r="SLP1" s="660"/>
      <c r="SLQ1" s="660"/>
      <c r="SLR1" s="660"/>
      <c r="SLS1" s="660"/>
      <c r="SLT1" s="660"/>
      <c r="SLU1" s="660"/>
      <c r="SLV1" s="660"/>
      <c r="SLW1" s="660"/>
      <c r="SLX1" s="660"/>
      <c r="SLY1" s="660"/>
      <c r="SLZ1" s="660"/>
      <c r="SMA1" s="660"/>
      <c r="SMB1" s="660"/>
      <c r="SMC1" s="660"/>
      <c r="SMD1" s="660"/>
      <c r="SME1" s="660"/>
      <c r="SMF1" s="660"/>
      <c r="SMG1" s="660"/>
      <c r="SMH1" s="660"/>
      <c r="SMI1" s="660"/>
      <c r="SMJ1" s="660"/>
      <c r="SMK1" s="660"/>
      <c r="SML1" s="660"/>
      <c r="SMM1" s="660"/>
      <c r="SMN1" s="660"/>
      <c r="SMO1" s="660"/>
      <c r="SMP1" s="660"/>
      <c r="SMQ1" s="660"/>
      <c r="SMR1" s="660"/>
      <c r="SMS1" s="660"/>
      <c r="SMT1" s="660"/>
      <c r="SMU1" s="660"/>
      <c r="SMV1" s="660"/>
      <c r="SMW1" s="660"/>
      <c r="SMX1" s="660"/>
      <c r="SMY1" s="660"/>
      <c r="SMZ1" s="660"/>
      <c r="SNA1" s="660"/>
      <c r="SNB1" s="660"/>
      <c r="SNC1" s="660"/>
      <c r="SND1" s="660"/>
      <c r="SNE1" s="660"/>
      <c r="SNF1" s="660"/>
      <c r="SNG1" s="660"/>
      <c r="SNH1" s="660"/>
      <c r="SNI1" s="660"/>
      <c r="SNJ1" s="660"/>
      <c r="SNK1" s="660"/>
      <c r="SNL1" s="660"/>
      <c r="SNM1" s="660"/>
      <c r="SNN1" s="660"/>
      <c r="SNO1" s="660"/>
      <c r="SNP1" s="660"/>
      <c r="SNQ1" s="660"/>
      <c r="SNR1" s="660"/>
      <c r="SNS1" s="660"/>
      <c r="SNT1" s="660"/>
      <c r="SNU1" s="660"/>
      <c r="SNV1" s="660"/>
      <c r="SNW1" s="660"/>
      <c r="SNX1" s="660"/>
      <c r="SNY1" s="660"/>
      <c r="SNZ1" s="660"/>
      <c r="SOA1" s="660"/>
      <c r="SOB1" s="660"/>
      <c r="SOC1" s="660"/>
      <c r="SOD1" s="660"/>
      <c r="SOE1" s="660"/>
      <c r="SOF1" s="660"/>
      <c r="SOG1" s="660"/>
      <c r="SOH1" s="660"/>
      <c r="SOI1" s="660"/>
      <c r="SOJ1" s="660"/>
      <c r="SOK1" s="660"/>
      <c r="SOL1" s="660"/>
      <c r="SOM1" s="660"/>
      <c r="SON1" s="660"/>
      <c r="SOO1" s="660"/>
      <c r="SOP1" s="660"/>
      <c r="SOQ1" s="660"/>
      <c r="SOR1" s="660"/>
      <c r="SOS1" s="660"/>
      <c r="SOT1" s="660"/>
      <c r="SOU1" s="660"/>
      <c r="SOV1" s="660"/>
      <c r="SOW1" s="660"/>
      <c r="SOX1" s="660"/>
      <c r="SOY1" s="660"/>
      <c r="SOZ1" s="660"/>
      <c r="SPA1" s="660"/>
      <c r="SPB1" s="660"/>
      <c r="SPC1" s="660"/>
      <c r="SPD1" s="660"/>
      <c r="SPE1" s="660"/>
      <c r="SPF1" s="660"/>
      <c r="SPG1" s="660"/>
      <c r="SPH1" s="660"/>
      <c r="SPI1" s="660"/>
      <c r="SPJ1" s="660"/>
      <c r="SPK1" s="660"/>
      <c r="SPL1" s="660"/>
      <c r="SPM1" s="660"/>
      <c r="SPN1" s="660"/>
      <c r="SPO1" s="660"/>
      <c r="SPP1" s="660"/>
      <c r="SPQ1" s="660"/>
      <c r="SPR1" s="660"/>
      <c r="SPS1" s="660"/>
      <c r="SPT1" s="660"/>
      <c r="SPU1" s="660"/>
      <c r="SPV1" s="660"/>
      <c r="SPW1" s="660"/>
      <c r="SPX1" s="660"/>
      <c r="SPY1" s="660"/>
      <c r="SPZ1" s="660"/>
      <c r="SQA1" s="660"/>
      <c r="SQB1" s="660"/>
      <c r="SQC1" s="660"/>
      <c r="SQD1" s="660"/>
      <c r="SQE1" s="660"/>
      <c r="SQF1" s="660"/>
      <c r="SQG1" s="660"/>
      <c r="SQH1" s="660"/>
      <c r="SQI1" s="660"/>
      <c r="SQJ1" s="660"/>
      <c r="SQK1" s="660"/>
      <c r="SQL1" s="660"/>
      <c r="SQM1" s="660"/>
      <c r="SQN1" s="660"/>
      <c r="SQO1" s="660"/>
      <c r="SQP1" s="660"/>
      <c r="SQQ1" s="660"/>
      <c r="SQR1" s="660"/>
      <c r="SQS1" s="660"/>
      <c r="SQT1" s="660"/>
      <c r="SQU1" s="660"/>
      <c r="SQV1" s="660"/>
      <c r="SQW1" s="660"/>
      <c r="SQX1" s="660"/>
      <c r="SQY1" s="660"/>
      <c r="SQZ1" s="660"/>
      <c r="SRA1" s="660"/>
      <c r="SRB1" s="660"/>
      <c r="SRC1" s="660"/>
      <c r="SRD1" s="660"/>
      <c r="SRE1" s="660"/>
      <c r="SRF1" s="660"/>
      <c r="SRG1" s="660"/>
      <c r="SRH1" s="660"/>
      <c r="SRI1" s="660"/>
      <c r="SRJ1" s="660"/>
      <c r="SRK1" s="660"/>
      <c r="SRL1" s="660"/>
      <c r="SRM1" s="660"/>
      <c r="SRN1" s="660"/>
      <c r="SRO1" s="660"/>
      <c r="SRP1" s="660"/>
      <c r="SRQ1" s="660"/>
      <c r="SRR1" s="660"/>
      <c r="SRS1" s="660"/>
      <c r="SRT1" s="660"/>
      <c r="SRU1" s="660"/>
      <c r="SRV1" s="660"/>
      <c r="SRW1" s="660"/>
      <c r="SRX1" s="660"/>
      <c r="SRY1" s="660"/>
      <c r="SRZ1" s="660"/>
      <c r="SSA1" s="660"/>
      <c r="SSB1" s="660"/>
      <c r="SSC1" s="660"/>
      <c r="SSD1" s="660"/>
      <c r="SSE1" s="660"/>
      <c r="SSF1" s="660"/>
      <c r="SSG1" s="660"/>
      <c r="SSH1" s="660"/>
      <c r="SSI1" s="660"/>
      <c r="SSJ1" s="660"/>
      <c r="SSK1" s="660"/>
      <c r="SSL1" s="660"/>
      <c r="SSM1" s="660"/>
      <c r="SSN1" s="660"/>
      <c r="SSO1" s="660"/>
      <c r="SSP1" s="660"/>
      <c r="SSQ1" s="660"/>
      <c r="SSR1" s="660"/>
      <c r="SSS1" s="660"/>
      <c r="SST1" s="660"/>
      <c r="SSU1" s="660"/>
      <c r="SSV1" s="660"/>
      <c r="SSW1" s="660"/>
      <c r="SSX1" s="660"/>
      <c r="SSY1" s="660"/>
      <c r="SSZ1" s="660"/>
      <c r="STA1" s="660"/>
      <c r="STB1" s="660"/>
      <c r="STC1" s="660"/>
      <c r="STD1" s="660"/>
      <c r="STE1" s="660"/>
      <c r="STF1" s="660"/>
      <c r="STG1" s="660"/>
      <c r="STH1" s="660"/>
      <c r="STI1" s="660"/>
      <c r="STJ1" s="660"/>
      <c r="STK1" s="660"/>
      <c r="STL1" s="660"/>
      <c r="STM1" s="660"/>
      <c r="STN1" s="660"/>
      <c r="STO1" s="660"/>
      <c r="STP1" s="660"/>
      <c r="STQ1" s="660"/>
      <c r="STR1" s="660"/>
      <c r="STS1" s="660"/>
      <c r="STT1" s="660"/>
      <c r="STU1" s="660"/>
      <c r="STV1" s="660"/>
      <c r="STW1" s="660"/>
      <c r="STX1" s="660"/>
      <c r="STY1" s="660"/>
      <c r="STZ1" s="660"/>
      <c r="SUA1" s="660"/>
      <c r="SUB1" s="660"/>
      <c r="SUC1" s="660"/>
      <c r="SUD1" s="660"/>
      <c r="SUE1" s="660"/>
      <c r="SUF1" s="660"/>
      <c r="SUG1" s="660"/>
      <c r="SUH1" s="660"/>
      <c r="SUI1" s="660"/>
      <c r="SUJ1" s="660"/>
      <c r="SUK1" s="660"/>
      <c r="SUL1" s="660"/>
      <c r="SUM1" s="660"/>
      <c r="SUN1" s="660"/>
      <c r="SUO1" s="660"/>
      <c r="SUP1" s="660"/>
      <c r="SUQ1" s="660"/>
      <c r="SUR1" s="660"/>
      <c r="SUS1" s="660"/>
      <c r="SUT1" s="660"/>
      <c r="SUU1" s="660"/>
      <c r="SUV1" s="660"/>
      <c r="SUW1" s="660"/>
      <c r="SUX1" s="660"/>
      <c r="SUY1" s="660"/>
      <c r="SUZ1" s="660"/>
      <c r="SVA1" s="660"/>
      <c r="SVB1" s="660"/>
      <c r="SVC1" s="660"/>
      <c r="SVD1" s="660"/>
      <c r="SVE1" s="660"/>
      <c r="SVF1" s="660"/>
      <c r="SVG1" s="660"/>
      <c r="SVH1" s="660"/>
      <c r="SVI1" s="660"/>
      <c r="SVJ1" s="660"/>
      <c r="SVK1" s="660"/>
      <c r="SVL1" s="660"/>
      <c r="SVM1" s="660"/>
      <c r="SVN1" s="660"/>
      <c r="SVO1" s="660"/>
      <c r="SVP1" s="660"/>
      <c r="SVQ1" s="660"/>
      <c r="SVR1" s="660"/>
      <c r="SVS1" s="660"/>
      <c r="SVT1" s="660"/>
      <c r="SVU1" s="660"/>
      <c r="SVV1" s="660"/>
      <c r="SVW1" s="660"/>
      <c r="SVX1" s="660"/>
      <c r="SVY1" s="660"/>
      <c r="SVZ1" s="660"/>
      <c r="SWA1" s="660"/>
      <c r="SWB1" s="660"/>
      <c r="SWC1" s="660"/>
      <c r="SWD1" s="660"/>
      <c r="SWE1" s="660"/>
      <c r="SWF1" s="660"/>
      <c r="SWG1" s="660"/>
      <c r="SWH1" s="660"/>
      <c r="SWI1" s="660"/>
      <c r="SWJ1" s="660"/>
      <c r="SWK1" s="660"/>
      <c r="SWL1" s="660"/>
      <c r="SWM1" s="660"/>
      <c r="SWN1" s="660"/>
      <c r="SWO1" s="660"/>
      <c r="SWP1" s="660"/>
      <c r="SWQ1" s="660"/>
      <c r="SWR1" s="660"/>
      <c r="SWS1" s="660"/>
      <c r="SWT1" s="660"/>
      <c r="SWU1" s="660"/>
      <c r="SWV1" s="660"/>
      <c r="SWW1" s="660"/>
      <c r="SWX1" s="660"/>
      <c r="SWY1" s="660"/>
      <c r="SWZ1" s="660"/>
      <c r="SXA1" s="660"/>
      <c r="SXB1" s="660"/>
      <c r="SXC1" s="660"/>
      <c r="SXD1" s="660"/>
      <c r="SXE1" s="660"/>
      <c r="SXF1" s="660"/>
      <c r="SXG1" s="660"/>
      <c r="SXH1" s="660"/>
      <c r="SXI1" s="660"/>
      <c r="SXJ1" s="660"/>
      <c r="SXK1" s="660"/>
      <c r="SXL1" s="660"/>
      <c r="SXM1" s="660"/>
      <c r="SXN1" s="660"/>
      <c r="SXO1" s="660"/>
      <c r="SXP1" s="660"/>
      <c r="SXQ1" s="660"/>
      <c r="SXR1" s="660"/>
      <c r="SXS1" s="660"/>
      <c r="SXT1" s="660"/>
      <c r="SXU1" s="660"/>
      <c r="SXV1" s="660"/>
      <c r="SXW1" s="660"/>
      <c r="SXX1" s="660"/>
      <c r="SXY1" s="660"/>
      <c r="SXZ1" s="660"/>
      <c r="SYA1" s="660"/>
      <c r="SYB1" s="660"/>
      <c r="SYC1" s="660"/>
      <c r="SYD1" s="660"/>
      <c r="SYE1" s="660"/>
      <c r="SYF1" s="660"/>
      <c r="SYG1" s="660"/>
      <c r="SYH1" s="660"/>
      <c r="SYI1" s="660"/>
      <c r="SYJ1" s="660"/>
      <c r="SYK1" s="660"/>
      <c r="SYL1" s="660"/>
      <c r="SYM1" s="660"/>
      <c r="SYN1" s="660"/>
      <c r="SYO1" s="660"/>
      <c r="SYP1" s="660"/>
      <c r="SYQ1" s="660"/>
      <c r="SYR1" s="660"/>
      <c r="SYS1" s="660"/>
      <c r="SYT1" s="660"/>
      <c r="SYU1" s="660"/>
      <c r="SYV1" s="660"/>
      <c r="SYW1" s="660"/>
      <c r="SYX1" s="660"/>
      <c r="SYY1" s="660"/>
      <c r="SYZ1" s="660"/>
      <c r="SZA1" s="660"/>
      <c r="SZB1" s="660"/>
      <c r="SZC1" s="660"/>
      <c r="SZD1" s="660"/>
      <c r="SZE1" s="660"/>
      <c r="SZF1" s="660"/>
      <c r="SZG1" s="660"/>
      <c r="SZH1" s="660"/>
      <c r="SZI1" s="660"/>
      <c r="SZJ1" s="660"/>
      <c r="SZK1" s="660"/>
      <c r="SZL1" s="660"/>
      <c r="SZM1" s="660"/>
      <c r="SZN1" s="660"/>
      <c r="SZO1" s="660"/>
      <c r="SZP1" s="660"/>
      <c r="SZQ1" s="660"/>
      <c r="SZR1" s="660"/>
      <c r="SZS1" s="660"/>
      <c r="SZT1" s="660"/>
      <c r="SZU1" s="660"/>
      <c r="SZV1" s="660"/>
      <c r="SZW1" s="660"/>
      <c r="SZX1" s="660"/>
      <c r="SZY1" s="660"/>
      <c r="SZZ1" s="660"/>
      <c r="TAA1" s="660"/>
      <c r="TAB1" s="660"/>
      <c r="TAC1" s="660"/>
      <c r="TAD1" s="660"/>
      <c r="TAE1" s="660"/>
      <c r="TAF1" s="660"/>
      <c r="TAG1" s="660"/>
      <c r="TAH1" s="660"/>
      <c r="TAI1" s="660"/>
      <c r="TAJ1" s="660"/>
      <c r="TAK1" s="660"/>
      <c r="TAL1" s="660"/>
      <c r="TAM1" s="660"/>
      <c r="TAN1" s="660"/>
      <c r="TAO1" s="660"/>
      <c r="TAP1" s="660"/>
      <c r="TAQ1" s="660"/>
      <c r="TAR1" s="660"/>
      <c r="TAS1" s="660"/>
      <c r="TAT1" s="660"/>
      <c r="TAU1" s="660"/>
      <c r="TAV1" s="660"/>
      <c r="TAW1" s="660"/>
      <c r="TAX1" s="660"/>
      <c r="TAY1" s="660"/>
      <c r="TAZ1" s="660"/>
      <c r="TBA1" s="660"/>
      <c r="TBB1" s="660"/>
      <c r="TBC1" s="660"/>
      <c r="TBD1" s="660"/>
      <c r="TBE1" s="660"/>
      <c r="TBF1" s="660"/>
      <c r="TBG1" s="660"/>
      <c r="TBH1" s="660"/>
      <c r="TBI1" s="660"/>
      <c r="TBJ1" s="660"/>
      <c r="TBK1" s="660"/>
      <c r="TBL1" s="660"/>
      <c r="TBM1" s="660"/>
      <c r="TBN1" s="660"/>
      <c r="TBO1" s="660"/>
      <c r="TBP1" s="660"/>
      <c r="TBQ1" s="660"/>
      <c r="TBR1" s="660"/>
      <c r="TBS1" s="660"/>
      <c r="TBT1" s="660"/>
      <c r="TBU1" s="660"/>
      <c r="TBV1" s="660"/>
      <c r="TBW1" s="660"/>
      <c r="TBX1" s="660"/>
      <c r="TBY1" s="660"/>
      <c r="TBZ1" s="660"/>
      <c r="TCA1" s="660"/>
      <c r="TCB1" s="660"/>
      <c r="TCC1" s="660"/>
      <c r="TCD1" s="660"/>
      <c r="TCE1" s="660"/>
      <c r="TCF1" s="660"/>
      <c r="TCG1" s="660"/>
      <c r="TCH1" s="660"/>
      <c r="TCI1" s="660"/>
      <c r="TCJ1" s="660"/>
      <c r="TCK1" s="660"/>
      <c r="TCL1" s="660"/>
      <c r="TCM1" s="660"/>
      <c r="TCN1" s="660"/>
      <c r="TCO1" s="660"/>
      <c r="TCP1" s="660"/>
      <c r="TCQ1" s="660"/>
      <c r="TCR1" s="660"/>
      <c r="TCS1" s="660"/>
      <c r="TCT1" s="660"/>
      <c r="TCU1" s="660"/>
      <c r="TCV1" s="660"/>
      <c r="TCW1" s="660"/>
      <c r="TCX1" s="660"/>
      <c r="TCY1" s="660"/>
      <c r="TCZ1" s="660"/>
      <c r="TDA1" s="660"/>
      <c r="TDB1" s="660"/>
      <c r="TDC1" s="660"/>
      <c r="TDD1" s="660"/>
      <c r="TDE1" s="660"/>
      <c r="TDF1" s="660"/>
      <c r="TDG1" s="660"/>
      <c r="TDH1" s="660"/>
      <c r="TDI1" s="660"/>
      <c r="TDJ1" s="660"/>
      <c r="TDK1" s="660"/>
      <c r="TDL1" s="660"/>
      <c r="TDM1" s="660"/>
      <c r="TDN1" s="660"/>
      <c r="TDO1" s="660"/>
      <c r="TDP1" s="660"/>
      <c r="TDQ1" s="660"/>
      <c r="TDR1" s="660"/>
      <c r="TDS1" s="660"/>
      <c r="TDT1" s="660"/>
      <c r="TDU1" s="660"/>
      <c r="TDV1" s="660"/>
      <c r="TDW1" s="660"/>
      <c r="TDX1" s="660"/>
      <c r="TDY1" s="660"/>
      <c r="TDZ1" s="660"/>
      <c r="TEA1" s="660"/>
      <c r="TEB1" s="660"/>
      <c r="TEC1" s="660"/>
      <c r="TED1" s="660"/>
      <c r="TEE1" s="660"/>
      <c r="TEF1" s="660"/>
      <c r="TEG1" s="660"/>
      <c r="TEH1" s="660"/>
      <c r="TEI1" s="660"/>
      <c r="TEJ1" s="660"/>
      <c r="TEK1" s="660"/>
      <c r="TEL1" s="660"/>
      <c r="TEM1" s="660"/>
      <c r="TEN1" s="660"/>
      <c r="TEO1" s="660"/>
      <c r="TEP1" s="660"/>
      <c r="TEQ1" s="660"/>
      <c r="TER1" s="660"/>
      <c r="TES1" s="660"/>
      <c r="TET1" s="660"/>
      <c r="TEU1" s="660"/>
      <c r="TEV1" s="660"/>
      <c r="TEW1" s="660"/>
      <c r="TEX1" s="660"/>
      <c r="TEY1" s="660"/>
      <c r="TEZ1" s="660"/>
      <c r="TFA1" s="660"/>
      <c r="TFB1" s="660"/>
      <c r="TFC1" s="660"/>
      <c r="TFD1" s="660"/>
      <c r="TFE1" s="660"/>
      <c r="TFF1" s="660"/>
      <c r="TFG1" s="660"/>
      <c r="TFH1" s="660"/>
      <c r="TFI1" s="660"/>
      <c r="TFJ1" s="660"/>
      <c r="TFK1" s="660"/>
      <c r="TFL1" s="660"/>
      <c r="TFM1" s="660"/>
      <c r="TFN1" s="660"/>
      <c r="TFO1" s="660"/>
      <c r="TFP1" s="660"/>
      <c r="TFQ1" s="660"/>
      <c r="TFR1" s="660"/>
      <c r="TFS1" s="660"/>
      <c r="TFT1" s="660"/>
      <c r="TFU1" s="660"/>
      <c r="TFV1" s="660"/>
      <c r="TFW1" s="660"/>
      <c r="TFX1" s="660"/>
      <c r="TFY1" s="660"/>
      <c r="TFZ1" s="660"/>
      <c r="TGA1" s="660"/>
      <c r="TGB1" s="660"/>
      <c r="TGC1" s="660"/>
      <c r="TGD1" s="660"/>
      <c r="TGE1" s="660"/>
      <c r="TGF1" s="660"/>
      <c r="TGG1" s="660"/>
      <c r="TGH1" s="660"/>
      <c r="TGI1" s="660"/>
      <c r="TGJ1" s="660"/>
      <c r="TGK1" s="660"/>
      <c r="TGL1" s="660"/>
      <c r="TGM1" s="660"/>
      <c r="TGN1" s="660"/>
      <c r="TGO1" s="660"/>
      <c r="TGP1" s="660"/>
      <c r="TGQ1" s="660"/>
      <c r="TGR1" s="660"/>
      <c r="TGS1" s="660"/>
      <c r="TGT1" s="660"/>
      <c r="TGU1" s="660"/>
      <c r="TGV1" s="660"/>
      <c r="TGW1" s="660"/>
      <c r="TGX1" s="660"/>
      <c r="TGY1" s="660"/>
      <c r="TGZ1" s="660"/>
      <c r="THA1" s="660"/>
      <c r="THB1" s="660"/>
      <c r="THC1" s="660"/>
      <c r="THD1" s="660"/>
      <c r="THE1" s="660"/>
      <c r="THF1" s="660"/>
      <c r="THG1" s="660"/>
      <c r="THH1" s="660"/>
      <c r="THI1" s="660"/>
      <c r="THJ1" s="660"/>
      <c r="THK1" s="660"/>
      <c r="THL1" s="660"/>
      <c r="THM1" s="660"/>
      <c r="THN1" s="660"/>
      <c r="THO1" s="660"/>
      <c r="THP1" s="660"/>
      <c r="THQ1" s="660"/>
      <c r="THR1" s="660"/>
      <c r="THS1" s="660"/>
      <c r="THT1" s="660"/>
      <c r="THU1" s="660"/>
      <c r="THV1" s="660"/>
      <c r="THW1" s="660"/>
      <c r="THX1" s="660"/>
      <c r="THY1" s="660"/>
      <c r="THZ1" s="660"/>
      <c r="TIA1" s="660"/>
      <c r="TIB1" s="660"/>
      <c r="TIC1" s="660"/>
      <c r="TID1" s="660"/>
      <c r="TIE1" s="660"/>
      <c r="TIF1" s="660"/>
      <c r="TIG1" s="660"/>
      <c r="TIH1" s="660"/>
      <c r="TII1" s="660"/>
      <c r="TIJ1" s="660"/>
      <c r="TIK1" s="660"/>
      <c r="TIL1" s="660"/>
      <c r="TIM1" s="660"/>
      <c r="TIN1" s="660"/>
      <c r="TIO1" s="660"/>
      <c r="TIP1" s="660"/>
      <c r="TIQ1" s="660"/>
      <c r="TIR1" s="660"/>
      <c r="TIS1" s="660"/>
      <c r="TIT1" s="660"/>
      <c r="TIU1" s="660"/>
      <c r="TIV1" s="660"/>
      <c r="TIW1" s="660"/>
      <c r="TIX1" s="660"/>
      <c r="TIY1" s="660"/>
      <c r="TIZ1" s="660"/>
      <c r="TJA1" s="660"/>
      <c r="TJB1" s="660"/>
      <c r="TJC1" s="660"/>
      <c r="TJD1" s="660"/>
      <c r="TJE1" s="660"/>
      <c r="TJF1" s="660"/>
      <c r="TJG1" s="660"/>
      <c r="TJH1" s="660"/>
      <c r="TJI1" s="660"/>
      <c r="TJJ1" s="660"/>
      <c r="TJK1" s="660"/>
      <c r="TJL1" s="660"/>
      <c r="TJM1" s="660"/>
      <c r="TJN1" s="660"/>
      <c r="TJO1" s="660"/>
      <c r="TJP1" s="660"/>
      <c r="TJQ1" s="660"/>
      <c r="TJR1" s="660"/>
      <c r="TJS1" s="660"/>
      <c r="TJT1" s="660"/>
      <c r="TJU1" s="660"/>
      <c r="TJV1" s="660"/>
      <c r="TJW1" s="660"/>
      <c r="TJX1" s="660"/>
      <c r="TJY1" s="660"/>
      <c r="TJZ1" s="660"/>
      <c r="TKA1" s="660"/>
      <c r="TKB1" s="660"/>
      <c r="TKC1" s="660"/>
      <c r="TKD1" s="660"/>
      <c r="TKE1" s="660"/>
      <c r="TKF1" s="660"/>
      <c r="TKG1" s="660"/>
      <c r="TKH1" s="660"/>
      <c r="TKI1" s="660"/>
      <c r="TKJ1" s="660"/>
      <c r="TKK1" s="660"/>
      <c r="TKL1" s="660"/>
      <c r="TKM1" s="660"/>
      <c r="TKN1" s="660"/>
      <c r="TKO1" s="660"/>
      <c r="TKP1" s="660"/>
      <c r="TKQ1" s="660"/>
      <c r="TKR1" s="660"/>
      <c r="TKS1" s="660"/>
      <c r="TKT1" s="660"/>
      <c r="TKU1" s="660"/>
      <c r="TKV1" s="660"/>
      <c r="TKW1" s="660"/>
      <c r="TKX1" s="660"/>
      <c r="TKY1" s="660"/>
      <c r="TKZ1" s="660"/>
      <c r="TLA1" s="660"/>
      <c r="TLB1" s="660"/>
      <c r="TLC1" s="660"/>
      <c r="TLD1" s="660"/>
      <c r="TLE1" s="660"/>
      <c r="TLF1" s="660"/>
      <c r="TLG1" s="660"/>
      <c r="TLH1" s="660"/>
      <c r="TLI1" s="660"/>
      <c r="TLJ1" s="660"/>
      <c r="TLK1" s="660"/>
      <c r="TLL1" s="660"/>
      <c r="TLM1" s="660"/>
      <c r="TLN1" s="660"/>
      <c r="TLO1" s="660"/>
      <c r="TLP1" s="660"/>
      <c r="TLQ1" s="660"/>
      <c r="TLR1" s="660"/>
      <c r="TLS1" s="660"/>
      <c r="TLT1" s="660"/>
      <c r="TLU1" s="660"/>
      <c r="TLV1" s="660"/>
      <c r="TLW1" s="660"/>
      <c r="TLX1" s="660"/>
      <c r="TLY1" s="660"/>
      <c r="TLZ1" s="660"/>
      <c r="TMA1" s="660"/>
      <c r="TMB1" s="660"/>
      <c r="TMC1" s="660"/>
      <c r="TMD1" s="660"/>
      <c r="TME1" s="660"/>
      <c r="TMF1" s="660"/>
      <c r="TMG1" s="660"/>
      <c r="TMH1" s="660"/>
      <c r="TMI1" s="660"/>
      <c r="TMJ1" s="660"/>
      <c r="TMK1" s="660"/>
      <c r="TML1" s="660"/>
      <c r="TMM1" s="660"/>
      <c r="TMN1" s="660"/>
      <c r="TMO1" s="660"/>
      <c r="TMP1" s="660"/>
      <c r="TMQ1" s="660"/>
      <c r="TMR1" s="660"/>
      <c r="TMS1" s="660"/>
      <c r="TMT1" s="660"/>
      <c r="TMU1" s="660"/>
      <c r="TMV1" s="660"/>
      <c r="TMW1" s="660"/>
      <c r="TMX1" s="660"/>
      <c r="TMY1" s="660"/>
      <c r="TMZ1" s="660"/>
      <c r="TNA1" s="660"/>
      <c r="TNB1" s="660"/>
      <c r="TNC1" s="660"/>
      <c r="TND1" s="660"/>
      <c r="TNE1" s="660"/>
      <c r="TNF1" s="660"/>
      <c r="TNG1" s="660"/>
      <c r="TNH1" s="660"/>
      <c r="TNI1" s="660"/>
      <c r="TNJ1" s="660"/>
      <c r="TNK1" s="660"/>
      <c r="TNL1" s="660"/>
      <c r="TNM1" s="660"/>
      <c r="TNN1" s="660"/>
      <c r="TNO1" s="660"/>
      <c r="TNP1" s="660"/>
      <c r="TNQ1" s="660"/>
      <c r="TNR1" s="660"/>
      <c r="TNS1" s="660"/>
      <c r="TNT1" s="660"/>
      <c r="TNU1" s="660"/>
      <c r="TNV1" s="660"/>
      <c r="TNW1" s="660"/>
      <c r="TNX1" s="660"/>
      <c r="TNY1" s="660"/>
      <c r="TNZ1" s="660"/>
      <c r="TOA1" s="660"/>
      <c r="TOB1" s="660"/>
      <c r="TOC1" s="660"/>
      <c r="TOD1" s="660"/>
      <c r="TOE1" s="660"/>
      <c r="TOF1" s="660"/>
      <c r="TOG1" s="660"/>
      <c r="TOH1" s="660"/>
      <c r="TOI1" s="660"/>
      <c r="TOJ1" s="660"/>
      <c r="TOK1" s="660"/>
      <c r="TOL1" s="660"/>
      <c r="TOM1" s="660"/>
      <c r="TON1" s="660"/>
      <c r="TOO1" s="660"/>
      <c r="TOP1" s="660"/>
      <c r="TOQ1" s="660"/>
      <c r="TOR1" s="660"/>
      <c r="TOS1" s="660"/>
      <c r="TOT1" s="660"/>
      <c r="TOU1" s="660"/>
      <c r="TOV1" s="660"/>
      <c r="TOW1" s="660"/>
      <c r="TOX1" s="660"/>
      <c r="TOY1" s="660"/>
      <c r="TOZ1" s="660"/>
      <c r="TPA1" s="660"/>
      <c r="TPB1" s="660"/>
      <c r="TPC1" s="660"/>
      <c r="TPD1" s="660"/>
      <c r="TPE1" s="660"/>
      <c r="TPF1" s="660"/>
      <c r="TPG1" s="660"/>
      <c r="TPH1" s="660"/>
      <c r="TPI1" s="660"/>
      <c r="TPJ1" s="660"/>
      <c r="TPK1" s="660"/>
      <c r="TPL1" s="660"/>
      <c r="TPM1" s="660"/>
      <c r="TPN1" s="660"/>
      <c r="TPO1" s="660"/>
      <c r="TPP1" s="660"/>
      <c r="TPQ1" s="660"/>
      <c r="TPR1" s="660"/>
      <c r="TPS1" s="660"/>
      <c r="TPT1" s="660"/>
      <c r="TPU1" s="660"/>
      <c r="TPV1" s="660"/>
      <c r="TPW1" s="660"/>
      <c r="TPX1" s="660"/>
      <c r="TPY1" s="660"/>
      <c r="TPZ1" s="660"/>
      <c r="TQA1" s="660"/>
      <c r="TQB1" s="660"/>
      <c r="TQC1" s="660"/>
      <c r="TQD1" s="660"/>
      <c r="TQE1" s="660"/>
      <c r="TQF1" s="660"/>
      <c r="TQG1" s="660"/>
      <c r="TQH1" s="660"/>
      <c r="TQI1" s="660"/>
      <c r="TQJ1" s="660"/>
      <c r="TQK1" s="660"/>
      <c r="TQL1" s="660"/>
      <c r="TQM1" s="660"/>
      <c r="TQN1" s="660"/>
      <c r="TQO1" s="660"/>
      <c r="TQP1" s="660"/>
      <c r="TQQ1" s="660"/>
      <c r="TQR1" s="660"/>
      <c r="TQS1" s="660"/>
      <c r="TQT1" s="660"/>
      <c r="TQU1" s="660"/>
      <c r="TQV1" s="660"/>
      <c r="TQW1" s="660"/>
      <c r="TQX1" s="660"/>
      <c r="TQY1" s="660"/>
      <c r="TQZ1" s="660"/>
      <c r="TRA1" s="660"/>
      <c r="TRB1" s="660"/>
      <c r="TRC1" s="660"/>
      <c r="TRD1" s="660"/>
      <c r="TRE1" s="660"/>
      <c r="TRF1" s="660"/>
      <c r="TRG1" s="660"/>
      <c r="TRH1" s="660"/>
      <c r="TRI1" s="660"/>
      <c r="TRJ1" s="660"/>
      <c r="TRK1" s="660"/>
      <c r="TRL1" s="660"/>
      <c r="TRM1" s="660"/>
      <c r="TRN1" s="660"/>
      <c r="TRO1" s="660"/>
      <c r="TRP1" s="660"/>
      <c r="TRQ1" s="660"/>
      <c r="TRR1" s="660"/>
      <c r="TRS1" s="660"/>
      <c r="TRT1" s="660"/>
      <c r="TRU1" s="660"/>
      <c r="TRV1" s="660"/>
      <c r="TRW1" s="660"/>
      <c r="TRX1" s="660"/>
      <c r="TRY1" s="660"/>
      <c r="TRZ1" s="660"/>
      <c r="TSA1" s="660"/>
      <c r="TSB1" s="660"/>
      <c r="TSC1" s="660"/>
      <c r="TSD1" s="660"/>
      <c r="TSE1" s="660"/>
      <c r="TSF1" s="660"/>
      <c r="TSG1" s="660"/>
      <c r="TSH1" s="660"/>
      <c r="TSI1" s="660"/>
      <c r="TSJ1" s="660"/>
      <c r="TSK1" s="660"/>
      <c r="TSL1" s="660"/>
      <c r="TSM1" s="660"/>
      <c r="TSN1" s="660"/>
      <c r="TSO1" s="660"/>
      <c r="TSP1" s="660"/>
      <c r="TSQ1" s="660"/>
      <c r="TSR1" s="660"/>
      <c r="TSS1" s="660"/>
      <c r="TST1" s="660"/>
      <c r="TSU1" s="660"/>
      <c r="TSV1" s="660"/>
      <c r="TSW1" s="660"/>
      <c r="TSX1" s="660"/>
      <c r="TSY1" s="660"/>
      <c r="TSZ1" s="660"/>
      <c r="TTA1" s="660"/>
      <c r="TTB1" s="660"/>
      <c r="TTC1" s="660"/>
      <c r="TTD1" s="660"/>
      <c r="TTE1" s="660"/>
      <c r="TTF1" s="660"/>
      <c r="TTG1" s="660"/>
      <c r="TTH1" s="660"/>
      <c r="TTI1" s="660"/>
      <c r="TTJ1" s="660"/>
      <c r="TTK1" s="660"/>
      <c r="TTL1" s="660"/>
      <c r="TTM1" s="660"/>
      <c r="TTN1" s="660"/>
      <c r="TTO1" s="660"/>
      <c r="TTP1" s="660"/>
      <c r="TTQ1" s="660"/>
      <c r="TTR1" s="660"/>
      <c r="TTS1" s="660"/>
      <c r="TTT1" s="660"/>
      <c r="TTU1" s="660"/>
      <c r="TTV1" s="660"/>
      <c r="TTW1" s="660"/>
      <c r="TTX1" s="660"/>
      <c r="TTY1" s="660"/>
      <c r="TTZ1" s="660"/>
      <c r="TUA1" s="660"/>
      <c r="TUB1" s="660"/>
      <c r="TUC1" s="660"/>
      <c r="TUD1" s="660"/>
      <c r="TUE1" s="660"/>
      <c r="TUF1" s="660"/>
      <c r="TUG1" s="660"/>
      <c r="TUH1" s="660"/>
      <c r="TUI1" s="660"/>
      <c r="TUJ1" s="660"/>
      <c r="TUK1" s="660"/>
      <c r="TUL1" s="660"/>
      <c r="TUM1" s="660"/>
      <c r="TUN1" s="660"/>
      <c r="TUO1" s="660"/>
      <c r="TUP1" s="660"/>
      <c r="TUQ1" s="660"/>
      <c r="TUR1" s="660"/>
      <c r="TUS1" s="660"/>
      <c r="TUT1" s="660"/>
      <c r="TUU1" s="660"/>
      <c r="TUV1" s="660"/>
      <c r="TUW1" s="660"/>
      <c r="TUX1" s="660"/>
      <c r="TUY1" s="660"/>
      <c r="TUZ1" s="660"/>
      <c r="TVA1" s="660"/>
      <c r="TVB1" s="660"/>
      <c r="TVC1" s="660"/>
      <c r="TVD1" s="660"/>
      <c r="TVE1" s="660"/>
      <c r="TVF1" s="660"/>
      <c r="TVG1" s="660"/>
      <c r="TVH1" s="660"/>
      <c r="TVI1" s="660"/>
      <c r="TVJ1" s="660"/>
      <c r="TVK1" s="660"/>
      <c r="TVL1" s="660"/>
      <c r="TVM1" s="660"/>
      <c r="TVN1" s="660"/>
      <c r="TVO1" s="660"/>
      <c r="TVP1" s="660"/>
      <c r="TVQ1" s="660"/>
      <c r="TVR1" s="660"/>
      <c r="TVS1" s="660"/>
      <c r="TVT1" s="660"/>
      <c r="TVU1" s="660"/>
      <c r="TVV1" s="660"/>
      <c r="TVW1" s="660"/>
      <c r="TVX1" s="660"/>
      <c r="TVY1" s="660"/>
      <c r="TVZ1" s="660"/>
      <c r="TWA1" s="660"/>
      <c r="TWB1" s="660"/>
      <c r="TWC1" s="660"/>
      <c r="TWD1" s="660"/>
      <c r="TWE1" s="660"/>
      <c r="TWF1" s="660"/>
      <c r="TWG1" s="660"/>
      <c r="TWH1" s="660"/>
      <c r="TWI1" s="660"/>
      <c r="TWJ1" s="660"/>
      <c r="TWK1" s="660"/>
      <c r="TWL1" s="660"/>
      <c r="TWM1" s="660"/>
      <c r="TWN1" s="660"/>
      <c r="TWO1" s="660"/>
      <c r="TWP1" s="660"/>
      <c r="TWQ1" s="660"/>
      <c r="TWR1" s="660"/>
      <c r="TWS1" s="660"/>
      <c r="TWT1" s="660"/>
      <c r="TWU1" s="660"/>
      <c r="TWV1" s="660"/>
      <c r="TWW1" s="660"/>
      <c r="TWX1" s="660"/>
      <c r="TWY1" s="660"/>
      <c r="TWZ1" s="660"/>
      <c r="TXA1" s="660"/>
      <c r="TXB1" s="660"/>
      <c r="TXC1" s="660"/>
      <c r="TXD1" s="660"/>
      <c r="TXE1" s="660"/>
      <c r="TXF1" s="660"/>
      <c r="TXG1" s="660"/>
      <c r="TXH1" s="660"/>
      <c r="TXI1" s="660"/>
      <c r="TXJ1" s="660"/>
      <c r="TXK1" s="660"/>
      <c r="TXL1" s="660"/>
      <c r="TXM1" s="660"/>
      <c r="TXN1" s="660"/>
      <c r="TXO1" s="660"/>
      <c r="TXP1" s="660"/>
      <c r="TXQ1" s="660"/>
      <c r="TXR1" s="660"/>
      <c r="TXS1" s="660"/>
      <c r="TXT1" s="660"/>
      <c r="TXU1" s="660"/>
      <c r="TXV1" s="660"/>
      <c r="TXW1" s="660"/>
      <c r="TXX1" s="660"/>
      <c r="TXY1" s="660"/>
      <c r="TXZ1" s="660"/>
      <c r="TYA1" s="660"/>
      <c r="TYB1" s="660"/>
      <c r="TYC1" s="660"/>
      <c r="TYD1" s="660"/>
      <c r="TYE1" s="660"/>
      <c r="TYF1" s="660"/>
      <c r="TYG1" s="660"/>
      <c r="TYH1" s="660"/>
      <c r="TYI1" s="660"/>
      <c r="TYJ1" s="660"/>
      <c r="TYK1" s="660"/>
      <c r="TYL1" s="660"/>
      <c r="TYM1" s="660"/>
      <c r="TYN1" s="660"/>
      <c r="TYO1" s="660"/>
      <c r="TYP1" s="660"/>
      <c r="TYQ1" s="660"/>
      <c r="TYR1" s="660"/>
      <c r="TYS1" s="660"/>
      <c r="TYT1" s="660"/>
      <c r="TYU1" s="660"/>
      <c r="TYV1" s="660"/>
      <c r="TYW1" s="660"/>
      <c r="TYX1" s="660"/>
      <c r="TYY1" s="660"/>
      <c r="TYZ1" s="660"/>
      <c r="TZA1" s="660"/>
      <c r="TZB1" s="660"/>
      <c r="TZC1" s="660"/>
      <c r="TZD1" s="660"/>
      <c r="TZE1" s="660"/>
      <c r="TZF1" s="660"/>
      <c r="TZG1" s="660"/>
      <c r="TZH1" s="660"/>
      <c r="TZI1" s="660"/>
      <c r="TZJ1" s="660"/>
      <c r="TZK1" s="660"/>
      <c r="TZL1" s="660"/>
      <c r="TZM1" s="660"/>
      <c r="TZN1" s="660"/>
      <c r="TZO1" s="660"/>
      <c r="TZP1" s="660"/>
      <c r="TZQ1" s="660"/>
      <c r="TZR1" s="660"/>
      <c r="TZS1" s="660"/>
      <c r="TZT1" s="660"/>
      <c r="TZU1" s="660"/>
      <c r="TZV1" s="660"/>
      <c r="TZW1" s="660"/>
      <c r="TZX1" s="660"/>
      <c r="TZY1" s="660"/>
      <c r="TZZ1" s="660"/>
      <c r="UAA1" s="660"/>
      <c r="UAB1" s="660"/>
      <c r="UAC1" s="660"/>
      <c r="UAD1" s="660"/>
      <c r="UAE1" s="660"/>
      <c r="UAF1" s="660"/>
      <c r="UAG1" s="660"/>
      <c r="UAH1" s="660"/>
      <c r="UAI1" s="660"/>
      <c r="UAJ1" s="660"/>
      <c r="UAK1" s="660"/>
      <c r="UAL1" s="660"/>
      <c r="UAM1" s="660"/>
      <c r="UAN1" s="660"/>
      <c r="UAO1" s="660"/>
      <c r="UAP1" s="660"/>
      <c r="UAQ1" s="660"/>
      <c r="UAR1" s="660"/>
      <c r="UAS1" s="660"/>
      <c r="UAT1" s="660"/>
      <c r="UAU1" s="660"/>
      <c r="UAV1" s="660"/>
      <c r="UAW1" s="660"/>
      <c r="UAX1" s="660"/>
      <c r="UAY1" s="660"/>
      <c r="UAZ1" s="660"/>
      <c r="UBA1" s="660"/>
      <c r="UBB1" s="660"/>
      <c r="UBC1" s="660"/>
      <c r="UBD1" s="660"/>
      <c r="UBE1" s="660"/>
      <c r="UBF1" s="660"/>
      <c r="UBG1" s="660"/>
      <c r="UBH1" s="660"/>
      <c r="UBI1" s="660"/>
      <c r="UBJ1" s="660"/>
      <c r="UBK1" s="660"/>
      <c r="UBL1" s="660"/>
      <c r="UBM1" s="660"/>
      <c r="UBN1" s="660"/>
      <c r="UBO1" s="660"/>
      <c r="UBP1" s="660"/>
      <c r="UBQ1" s="660"/>
      <c r="UBR1" s="660"/>
      <c r="UBS1" s="660"/>
      <c r="UBT1" s="660"/>
      <c r="UBU1" s="660"/>
      <c r="UBV1" s="660"/>
      <c r="UBW1" s="660"/>
      <c r="UBX1" s="660"/>
      <c r="UBY1" s="660"/>
      <c r="UBZ1" s="660"/>
      <c r="UCA1" s="660"/>
      <c r="UCB1" s="660"/>
      <c r="UCC1" s="660"/>
      <c r="UCD1" s="660"/>
      <c r="UCE1" s="660"/>
      <c r="UCF1" s="660"/>
      <c r="UCG1" s="660"/>
      <c r="UCH1" s="660"/>
      <c r="UCI1" s="660"/>
      <c r="UCJ1" s="660"/>
      <c r="UCK1" s="660"/>
      <c r="UCL1" s="660"/>
      <c r="UCM1" s="660"/>
      <c r="UCN1" s="660"/>
      <c r="UCO1" s="660"/>
      <c r="UCP1" s="660"/>
      <c r="UCQ1" s="660"/>
      <c r="UCR1" s="660"/>
      <c r="UCS1" s="660"/>
      <c r="UCT1" s="660"/>
      <c r="UCU1" s="660"/>
      <c r="UCV1" s="660"/>
      <c r="UCW1" s="660"/>
      <c r="UCX1" s="660"/>
      <c r="UCY1" s="660"/>
      <c r="UCZ1" s="660"/>
      <c r="UDA1" s="660"/>
      <c r="UDB1" s="660"/>
      <c r="UDC1" s="660"/>
      <c r="UDD1" s="660"/>
      <c r="UDE1" s="660"/>
      <c r="UDF1" s="660"/>
      <c r="UDG1" s="660"/>
      <c r="UDH1" s="660"/>
      <c r="UDI1" s="660"/>
      <c r="UDJ1" s="660"/>
      <c r="UDK1" s="660"/>
      <c r="UDL1" s="660"/>
      <c r="UDM1" s="660"/>
      <c r="UDN1" s="660"/>
      <c r="UDO1" s="660"/>
      <c r="UDP1" s="660"/>
      <c r="UDQ1" s="660"/>
      <c r="UDR1" s="660"/>
      <c r="UDS1" s="660"/>
      <c r="UDT1" s="660"/>
      <c r="UDU1" s="660"/>
      <c r="UDV1" s="660"/>
      <c r="UDW1" s="660"/>
      <c r="UDX1" s="660"/>
      <c r="UDY1" s="660"/>
      <c r="UDZ1" s="660"/>
      <c r="UEA1" s="660"/>
      <c r="UEB1" s="660"/>
      <c r="UEC1" s="660"/>
      <c r="UED1" s="660"/>
      <c r="UEE1" s="660"/>
      <c r="UEF1" s="660"/>
      <c r="UEG1" s="660"/>
      <c r="UEH1" s="660"/>
      <c r="UEI1" s="660"/>
      <c r="UEJ1" s="660"/>
      <c r="UEK1" s="660"/>
      <c r="UEL1" s="660"/>
      <c r="UEM1" s="660"/>
      <c r="UEN1" s="660"/>
      <c r="UEO1" s="660"/>
      <c r="UEP1" s="660"/>
      <c r="UEQ1" s="660"/>
      <c r="UER1" s="660"/>
      <c r="UES1" s="660"/>
      <c r="UET1" s="660"/>
      <c r="UEU1" s="660"/>
      <c r="UEV1" s="660"/>
      <c r="UEW1" s="660"/>
      <c r="UEX1" s="660"/>
      <c r="UEY1" s="660"/>
      <c r="UEZ1" s="660"/>
      <c r="UFA1" s="660"/>
      <c r="UFB1" s="660"/>
      <c r="UFC1" s="660"/>
      <c r="UFD1" s="660"/>
      <c r="UFE1" s="660"/>
      <c r="UFF1" s="660"/>
      <c r="UFG1" s="660"/>
      <c r="UFH1" s="660"/>
      <c r="UFI1" s="660"/>
      <c r="UFJ1" s="660"/>
      <c r="UFK1" s="660"/>
      <c r="UFL1" s="660"/>
      <c r="UFM1" s="660"/>
      <c r="UFN1" s="660"/>
      <c r="UFO1" s="660"/>
      <c r="UFP1" s="660"/>
      <c r="UFQ1" s="660"/>
      <c r="UFR1" s="660"/>
      <c r="UFS1" s="660"/>
      <c r="UFT1" s="660"/>
      <c r="UFU1" s="660"/>
      <c r="UFV1" s="660"/>
      <c r="UFW1" s="660"/>
      <c r="UFX1" s="660"/>
      <c r="UFY1" s="660"/>
      <c r="UFZ1" s="660"/>
      <c r="UGA1" s="660"/>
      <c r="UGB1" s="660"/>
      <c r="UGC1" s="660"/>
      <c r="UGD1" s="660"/>
      <c r="UGE1" s="660"/>
      <c r="UGF1" s="660"/>
      <c r="UGG1" s="660"/>
      <c r="UGH1" s="660"/>
      <c r="UGI1" s="660"/>
      <c r="UGJ1" s="660"/>
      <c r="UGK1" s="660"/>
      <c r="UGL1" s="660"/>
      <c r="UGM1" s="660"/>
      <c r="UGN1" s="660"/>
      <c r="UGO1" s="660"/>
      <c r="UGP1" s="660"/>
      <c r="UGQ1" s="660"/>
      <c r="UGR1" s="660"/>
      <c r="UGS1" s="660"/>
      <c r="UGT1" s="660"/>
      <c r="UGU1" s="660"/>
      <c r="UGV1" s="660"/>
      <c r="UGW1" s="660"/>
      <c r="UGX1" s="660"/>
      <c r="UGY1" s="660"/>
      <c r="UGZ1" s="660"/>
      <c r="UHA1" s="660"/>
      <c r="UHB1" s="660"/>
      <c r="UHC1" s="660"/>
      <c r="UHD1" s="660"/>
      <c r="UHE1" s="660"/>
      <c r="UHF1" s="660"/>
      <c r="UHG1" s="660"/>
      <c r="UHH1" s="660"/>
      <c r="UHI1" s="660"/>
      <c r="UHJ1" s="660"/>
      <c r="UHK1" s="660"/>
      <c r="UHL1" s="660"/>
      <c r="UHM1" s="660"/>
      <c r="UHN1" s="660"/>
      <c r="UHO1" s="660"/>
      <c r="UHP1" s="660"/>
      <c r="UHQ1" s="660"/>
      <c r="UHR1" s="660"/>
      <c r="UHS1" s="660"/>
      <c r="UHT1" s="660"/>
      <c r="UHU1" s="660"/>
      <c r="UHV1" s="660"/>
      <c r="UHW1" s="660"/>
      <c r="UHX1" s="660"/>
      <c r="UHY1" s="660"/>
      <c r="UHZ1" s="660"/>
      <c r="UIA1" s="660"/>
      <c r="UIB1" s="660"/>
      <c r="UIC1" s="660"/>
      <c r="UID1" s="660"/>
      <c r="UIE1" s="660"/>
      <c r="UIF1" s="660"/>
      <c r="UIG1" s="660"/>
      <c r="UIH1" s="660"/>
      <c r="UII1" s="660"/>
      <c r="UIJ1" s="660"/>
      <c r="UIK1" s="660"/>
      <c r="UIL1" s="660"/>
      <c r="UIM1" s="660"/>
      <c r="UIN1" s="660"/>
      <c r="UIO1" s="660"/>
      <c r="UIP1" s="660"/>
      <c r="UIQ1" s="660"/>
      <c r="UIR1" s="660"/>
      <c r="UIS1" s="660"/>
      <c r="UIT1" s="660"/>
      <c r="UIU1" s="660"/>
      <c r="UIV1" s="660"/>
      <c r="UIW1" s="660"/>
      <c r="UIX1" s="660"/>
      <c r="UIY1" s="660"/>
      <c r="UIZ1" s="660"/>
      <c r="UJA1" s="660"/>
      <c r="UJB1" s="660"/>
      <c r="UJC1" s="660"/>
      <c r="UJD1" s="660"/>
      <c r="UJE1" s="660"/>
      <c r="UJF1" s="660"/>
      <c r="UJG1" s="660"/>
      <c r="UJH1" s="660"/>
      <c r="UJI1" s="660"/>
      <c r="UJJ1" s="660"/>
      <c r="UJK1" s="660"/>
      <c r="UJL1" s="660"/>
      <c r="UJM1" s="660"/>
      <c r="UJN1" s="660"/>
      <c r="UJO1" s="660"/>
      <c r="UJP1" s="660"/>
      <c r="UJQ1" s="660"/>
      <c r="UJR1" s="660"/>
      <c r="UJS1" s="660"/>
      <c r="UJT1" s="660"/>
      <c r="UJU1" s="660"/>
      <c r="UJV1" s="660"/>
      <c r="UJW1" s="660"/>
      <c r="UJX1" s="660"/>
      <c r="UJY1" s="660"/>
      <c r="UJZ1" s="660"/>
      <c r="UKA1" s="660"/>
      <c r="UKB1" s="660"/>
      <c r="UKC1" s="660"/>
      <c r="UKD1" s="660"/>
      <c r="UKE1" s="660"/>
      <c r="UKF1" s="660"/>
      <c r="UKG1" s="660"/>
      <c r="UKH1" s="660"/>
      <c r="UKI1" s="660"/>
      <c r="UKJ1" s="660"/>
      <c r="UKK1" s="660"/>
      <c r="UKL1" s="660"/>
      <c r="UKM1" s="660"/>
      <c r="UKN1" s="660"/>
      <c r="UKO1" s="660"/>
      <c r="UKP1" s="660"/>
      <c r="UKQ1" s="660"/>
      <c r="UKR1" s="660"/>
      <c r="UKS1" s="660"/>
      <c r="UKT1" s="660"/>
      <c r="UKU1" s="660"/>
      <c r="UKV1" s="660"/>
      <c r="UKW1" s="660"/>
      <c r="UKX1" s="660"/>
      <c r="UKY1" s="660"/>
      <c r="UKZ1" s="660"/>
      <c r="ULA1" s="660"/>
      <c r="ULB1" s="660"/>
      <c r="ULC1" s="660"/>
      <c r="ULD1" s="660"/>
      <c r="ULE1" s="660"/>
      <c r="ULF1" s="660"/>
      <c r="ULG1" s="660"/>
      <c r="ULH1" s="660"/>
      <c r="ULI1" s="660"/>
      <c r="ULJ1" s="660"/>
      <c r="ULK1" s="660"/>
      <c r="ULL1" s="660"/>
      <c r="ULM1" s="660"/>
      <c r="ULN1" s="660"/>
      <c r="ULO1" s="660"/>
      <c r="ULP1" s="660"/>
      <c r="ULQ1" s="660"/>
      <c r="ULR1" s="660"/>
      <c r="ULS1" s="660"/>
      <c r="ULT1" s="660"/>
      <c r="ULU1" s="660"/>
      <c r="ULV1" s="660"/>
      <c r="ULW1" s="660"/>
      <c r="ULX1" s="660"/>
      <c r="ULY1" s="660"/>
      <c r="ULZ1" s="660"/>
      <c r="UMA1" s="660"/>
      <c r="UMB1" s="660"/>
      <c r="UMC1" s="660"/>
      <c r="UMD1" s="660"/>
      <c r="UME1" s="660"/>
      <c r="UMF1" s="660"/>
      <c r="UMG1" s="660"/>
      <c r="UMH1" s="660"/>
      <c r="UMI1" s="660"/>
      <c r="UMJ1" s="660"/>
      <c r="UMK1" s="660"/>
      <c r="UML1" s="660"/>
      <c r="UMM1" s="660"/>
      <c r="UMN1" s="660"/>
      <c r="UMO1" s="660"/>
      <c r="UMP1" s="660"/>
      <c r="UMQ1" s="660"/>
      <c r="UMR1" s="660"/>
      <c r="UMS1" s="660"/>
      <c r="UMT1" s="660"/>
      <c r="UMU1" s="660"/>
      <c r="UMV1" s="660"/>
      <c r="UMW1" s="660"/>
      <c r="UMX1" s="660"/>
      <c r="UMY1" s="660"/>
      <c r="UMZ1" s="660"/>
      <c r="UNA1" s="660"/>
      <c r="UNB1" s="660"/>
      <c r="UNC1" s="660"/>
      <c r="UND1" s="660"/>
      <c r="UNE1" s="660"/>
      <c r="UNF1" s="660"/>
      <c r="UNG1" s="660"/>
      <c r="UNH1" s="660"/>
      <c r="UNI1" s="660"/>
      <c r="UNJ1" s="660"/>
      <c r="UNK1" s="660"/>
      <c r="UNL1" s="660"/>
      <c r="UNM1" s="660"/>
      <c r="UNN1" s="660"/>
      <c r="UNO1" s="660"/>
      <c r="UNP1" s="660"/>
      <c r="UNQ1" s="660"/>
      <c r="UNR1" s="660"/>
      <c r="UNS1" s="660"/>
      <c r="UNT1" s="660"/>
      <c r="UNU1" s="660"/>
      <c r="UNV1" s="660"/>
      <c r="UNW1" s="660"/>
      <c r="UNX1" s="660"/>
      <c r="UNY1" s="660"/>
      <c r="UNZ1" s="660"/>
      <c r="UOA1" s="660"/>
      <c r="UOB1" s="660"/>
      <c r="UOC1" s="660"/>
      <c r="UOD1" s="660"/>
      <c r="UOE1" s="660"/>
      <c r="UOF1" s="660"/>
      <c r="UOG1" s="660"/>
      <c r="UOH1" s="660"/>
      <c r="UOI1" s="660"/>
      <c r="UOJ1" s="660"/>
      <c r="UOK1" s="660"/>
      <c r="UOL1" s="660"/>
      <c r="UOM1" s="660"/>
      <c r="UON1" s="660"/>
      <c r="UOO1" s="660"/>
      <c r="UOP1" s="660"/>
      <c r="UOQ1" s="660"/>
      <c r="UOR1" s="660"/>
      <c r="UOS1" s="660"/>
      <c r="UOT1" s="660"/>
      <c r="UOU1" s="660"/>
      <c r="UOV1" s="660"/>
      <c r="UOW1" s="660"/>
      <c r="UOX1" s="660"/>
      <c r="UOY1" s="660"/>
      <c r="UOZ1" s="660"/>
      <c r="UPA1" s="660"/>
      <c r="UPB1" s="660"/>
      <c r="UPC1" s="660"/>
      <c r="UPD1" s="660"/>
      <c r="UPE1" s="660"/>
      <c r="UPF1" s="660"/>
      <c r="UPG1" s="660"/>
      <c r="UPH1" s="660"/>
      <c r="UPI1" s="660"/>
      <c r="UPJ1" s="660"/>
      <c r="UPK1" s="660"/>
      <c r="UPL1" s="660"/>
      <c r="UPM1" s="660"/>
      <c r="UPN1" s="660"/>
      <c r="UPO1" s="660"/>
      <c r="UPP1" s="660"/>
      <c r="UPQ1" s="660"/>
      <c r="UPR1" s="660"/>
      <c r="UPS1" s="660"/>
      <c r="UPT1" s="660"/>
      <c r="UPU1" s="660"/>
      <c r="UPV1" s="660"/>
      <c r="UPW1" s="660"/>
      <c r="UPX1" s="660"/>
      <c r="UPY1" s="660"/>
      <c r="UPZ1" s="660"/>
      <c r="UQA1" s="660"/>
      <c r="UQB1" s="660"/>
      <c r="UQC1" s="660"/>
      <c r="UQD1" s="660"/>
      <c r="UQE1" s="660"/>
      <c r="UQF1" s="660"/>
      <c r="UQG1" s="660"/>
      <c r="UQH1" s="660"/>
      <c r="UQI1" s="660"/>
      <c r="UQJ1" s="660"/>
      <c r="UQK1" s="660"/>
      <c r="UQL1" s="660"/>
      <c r="UQM1" s="660"/>
      <c r="UQN1" s="660"/>
      <c r="UQO1" s="660"/>
      <c r="UQP1" s="660"/>
      <c r="UQQ1" s="660"/>
      <c r="UQR1" s="660"/>
      <c r="UQS1" s="660"/>
      <c r="UQT1" s="660"/>
      <c r="UQU1" s="660"/>
      <c r="UQV1" s="660"/>
      <c r="UQW1" s="660"/>
      <c r="UQX1" s="660"/>
      <c r="UQY1" s="660"/>
      <c r="UQZ1" s="660"/>
      <c r="URA1" s="660"/>
      <c r="URB1" s="660"/>
      <c r="URC1" s="660"/>
      <c r="URD1" s="660"/>
      <c r="URE1" s="660"/>
      <c r="URF1" s="660"/>
      <c r="URG1" s="660"/>
      <c r="URH1" s="660"/>
      <c r="URI1" s="660"/>
      <c r="URJ1" s="660"/>
      <c r="URK1" s="660"/>
      <c r="URL1" s="660"/>
      <c r="URM1" s="660"/>
      <c r="URN1" s="660"/>
      <c r="URO1" s="660"/>
      <c r="URP1" s="660"/>
      <c r="URQ1" s="660"/>
      <c r="URR1" s="660"/>
      <c r="URS1" s="660"/>
      <c r="URT1" s="660"/>
      <c r="URU1" s="660"/>
      <c r="URV1" s="660"/>
      <c r="URW1" s="660"/>
      <c r="URX1" s="660"/>
      <c r="URY1" s="660"/>
      <c r="URZ1" s="660"/>
      <c r="USA1" s="660"/>
      <c r="USB1" s="660"/>
      <c r="USC1" s="660"/>
      <c r="USD1" s="660"/>
      <c r="USE1" s="660"/>
      <c r="USF1" s="660"/>
      <c r="USG1" s="660"/>
      <c r="USH1" s="660"/>
      <c r="USI1" s="660"/>
      <c r="USJ1" s="660"/>
      <c r="USK1" s="660"/>
      <c r="USL1" s="660"/>
      <c r="USM1" s="660"/>
      <c r="USN1" s="660"/>
      <c r="USO1" s="660"/>
      <c r="USP1" s="660"/>
      <c r="USQ1" s="660"/>
      <c r="USR1" s="660"/>
      <c r="USS1" s="660"/>
      <c r="UST1" s="660"/>
      <c r="USU1" s="660"/>
      <c r="USV1" s="660"/>
      <c r="USW1" s="660"/>
      <c r="USX1" s="660"/>
      <c r="USY1" s="660"/>
      <c r="USZ1" s="660"/>
      <c r="UTA1" s="660"/>
      <c r="UTB1" s="660"/>
      <c r="UTC1" s="660"/>
      <c r="UTD1" s="660"/>
      <c r="UTE1" s="660"/>
      <c r="UTF1" s="660"/>
      <c r="UTG1" s="660"/>
      <c r="UTH1" s="660"/>
      <c r="UTI1" s="660"/>
      <c r="UTJ1" s="660"/>
      <c r="UTK1" s="660"/>
      <c r="UTL1" s="660"/>
      <c r="UTM1" s="660"/>
      <c r="UTN1" s="660"/>
      <c r="UTO1" s="660"/>
      <c r="UTP1" s="660"/>
      <c r="UTQ1" s="660"/>
      <c r="UTR1" s="660"/>
      <c r="UTS1" s="660"/>
      <c r="UTT1" s="660"/>
      <c r="UTU1" s="660"/>
      <c r="UTV1" s="660"/>
      <c r="UTW1" s="660"/>
      <c r="UTX1" s="660"/>
      <c r="UTY1" s="660"/>
      <c r="UTZ1" s="660"/>
      <c r="UUA1" s="660"/>
      <c r="UUB1" s="660"/>
      <c r="UUC1" s="660"/>
      <c r="UUD1" s="660"/>
      <c r="UUE1" s="660"/>
      <c r="UUF1" s="660"/>
      <c r="UUG1" s="660"/>
      <c r="UUH1" s="660"/>
      <c r="UUI1" s="660"/>
      <c r="UUJ1" s="660"/>
      <c r="UUK1" s="660"/>
      <c r="UUL1" s="660"/>
      <c r="UUM1" s="660"/>
      <c r="UUN1" s="660"/>
      <c r="UUO1" s="660"/>
      <c r="UUP1" s="660"/>
      <c r="UUQ1" s="660"/>
      <c r="UUR1" s="660"/>
      <c r="UUS1" s="660"/>
      <c r="UUT1" s="660"/>
      <c r="UUU1" s="660"/>
      <c r="UUV1" s="660"/>
      <c r="UUW1" s="660"/>
      <c r="UUX1" s="660"/>
      <c r="UUY1" s="660"/>
      <c r="UUZ1" s="660"/>
      <c r="UVA1" s="660"/>
      <c r="UVB1" s="660"/>
      <c r="UVC1" s="660"/>
      <c r="UVD1" s="660"/>
      <c r="UVE1" s="660"/>
      <c r="UVF1" s="660"/>
      <c r="UVG1" s="660"/>
      <c r="UVH1" s="660"/>
      <c r="UVI1" s="660"/>
      <c r="UVJ1" s="660"/>
      <c r="UVK1" s="660"/>
      <c r="UVL1" s="660"/>
      <c r="UVM1" s="660"/>
      <c r="UVN1" s="660"/>
      <c r="UVO1" s="660"/>
      <c r="UVP1" s="660"/>
      <c r="UVQ1" s="660"/>
      <c r="UVR1" s="660"/>
      <c r="UVS1" s="660"/>
      <c r="UVT1" s="660"/>
      <c r="UVU1" s="660"/>
      <c r="UVV1" s="660"/>
      <c r="UVW1" s="660"/>
      <c r="UVX1" s="660"/>
      <c r="UVY1" s="660"/>
      <c r="UVZ1" s="660"/>
      <c r="UWA1" s="660"/>
      <c r="UWB1" s="660"/>
      <c r="UWC1" s="660"/>
      <c r="UWD1" s="660"/>
      <c r="UWE1" s="660"/>
      <c r="UWF1" s="660"/>
      <c r="UWG1" s="660"/>
      <c r="UWH1" s="660"/>
      <c r="UWI1" s="660"/>
      <c r="UWJ1" s="660"/>
      <c r="UWK1" s="660"/>
      <c r="UWL1" s="660"/>
      <c r="UWM1" s="660"/>
      <c r="UWN1" s="660"/>
      <c r="UWO1" s="660"/>
      <c r="UWP1" s="660"/>
      <c r="UWQ1" s="660"/>
      <c r="UWR1" s="660"/>
      <c r="UWS1" s="660"/>
      <c r="UWT1" s="660"/>
      <c r="UWU1" s="660"/>
      <c r="UWV1" s="660"/>
      <c r="UWW1" s="660"/>
      <c r="UWX1" s="660"/>
      <c r="UWY1" s="660"/>
      <c r="UWZ1" s="660"/>
      <c r="UXA1" s="660"/>
      <c r="UXB1" s="660"/>
      <c r="UXC1" s="660"/>
      <c r="UXD1" s="660"/>
      <c r="UXE1" s="660"/>
      <c r="UXF1" s="660"/>
      <c r="UXG1" s="660"/>
      <c r="UXH1" s="660"/>
      <c r="UXI1" s="660"/>
      <c r="UXJ1" s="660"/>
      <c r="UXK1" s="660"/>
      <c r="UXL1" s="660"/>
      <c r="UXM1" s="660"/>
      <c r="UXN1" s="660"/>
      <c r="UXO1" s="660"/>
      <c r="UXP1" s="660"/>
      <c r="UXQ1" s="660"/>
      <c r="UXR1" s="660"/>
      <c r="UXS1" s="660"/>
      <c r="UXT1" s="660"/>
      <c r="UXU1" s="660"/>
      <c r="UXV1" s="660"/>
      <c r="UXW1" s="660"/>
      <c r="UXX1" s="660"/>
      <c r="UXY1" s="660"/>
      <c r="UXZ1" s="660"/>
      <c r="UYA1" s="660"/>
      <c r="UYB1" s="660"/>
      <c r="UYC1" s="660"/>
      <c r="UYD1" s="660"/>
      <c r="UYE1" s="660"/>
      <c r="UYF1" s="660"/>
      <c r="UYG1" s="660"/>
      <c r="UYH1" s="660"/>
      <c r="UYI1" s="660"/>
      <c r="UYJ1" s="660"/>
      <c r="UYK1" s="660"/>
      <c r="UYL1" s="660"/>
      <c r="UYM1" s="660"/>
      <c r="UYN1" s="660"/>
      <c r="UYO1" s="660"/>
      <c r="UYP1" s="660"/>
      <c r="UYQ1" s="660"/>
      <c r="UYR1" s="660"/>
      <c r="UYS1" s="660"/>
      <c r="UYT1" s="660"/>
      <c r="UYU1" s="660"/>
      <c r="UYV1" s="660"/>
      <c r="UYW1" s="660"/>
      <c r="UYX1" s="660"/>
      <c r="UYY1" s="660"/>
      <c r="UYZ1" s="660"/>
      <c r="UZA1" s="660"/>
      <c r="UZB1" s="660"/>
      <c r="UZC1" s="660"/>
      <c r="UZD1" s="660"/>
      <c r="UZE1" s="660"/>
      <c r="UZF1" s="660"/>
      <c r="UZG1" s="660"/>
      <c r="UZH1" s="660"/>
      <c r="UZI1" s="660"/>
      <c r="UZJ1" s="660"/>
      <c r="UZK1" s="660"/>
      <c r="UZL1" s="660"/>
      <c r="UZM1" s="660"/>
      <c r="UZN1" s="660"/>
      <c r="UZO1" s="660"/>
      <c r="UZP1" s="660"/>
      <c r="UZQ1" s="660"/>
      <c r="UZR1" s="660"/>
      <c r="UZS1" s="660"/>
      <c r="UZT1" s="660"/>
      <c r="UZU1" s="660"/>
      <c r="UZV1" s="660"/>
      <c r="UZW1" s="660"/>
      <c r="UZX1" s="660"/>
      <c r="UZY1" s="660"/>
      <c r="UZZ1" s="660"/>
      <c r="VAA1" s="660"/>
      <c r="VAB1" s="660"/>
      <c r="VAC1" s="660"/>
      <c r="VAD1" s="660"/>
      <c r="VAE1" s="660"/>
      <c r="VAF1" s="660"/>
      <c r="VAG1" s="660"/>
      <c r="VAH1" s="660"/>
      <c r="VAI1" s="660"/>
      <c r="VAJ1" s="660"/>
      <c r="VAK1" s="660"/>
      <c r="VAL1" s="660"/>
      <c r="VAM1" s="660"/>
      <c r="VAN1" s="660"/>
      <c r="VAO1" s="660"/>
      <c r="VAP1" s="660"/>
      <c r="VAQ1" s="660"/>
      <c r="VAR1" s="660"/>
      <c r="VAS1" s="660"/>
      <c r="VAT1" s="660"/>
      <c r="VAU1" s="660"/>
      <c r="VAV1" s="660"/>
      <c r="VAW1" s="660"/>
      <c r="VAX1" s="660"/>
      <c r="VAY1" s="660"/>
      <c r="VAZ1" s="660"/>
      <c r="VBA1" s="660"/>
      <c r="VBB1" s="660"/>
      <c r="VBC1" s="660"/>
      <c r="VBD1" s="660"/>
      <c r="VBE1" s="660"/>
      <c r="VBF1" s="660"/>
      <c r="VBG1" s="660"/>
      <c r="VBH1" s="660"/>
      <c r="VBI1" s="660"/>
      <c r="VBJ1" s="660"/>
      <c r="VBK1" s="660"/>
      <c r="VBL1" s="660"/>
      <c r="VBM1" s="660"/>
      <c r="VBN1" s="660"/>
      <c r="VBO1" s="660"/>
      <c r="VBP1" s="660"/>
      <c r="VBQ1" s="660"/>
      <c r="VBR1" s="660"/>
      <c r="VBS1" s="660"/>
      <c r="VBT1" s="660"/>
      <c r="VBU1" s="660"/>
      <c r="VBV1" s="660"/>
      <c r="VBW1" s="660"/>
      <c r="VBX1" s="660"/>
      <c r="VBY1" s="660"/>
      <c r="VBZ1" s="660"/>
      <c r="VCA1" s="660"/>
      <c r="VCB1" s="660"/>
      <c r="VCC1" s="660"/>
      <c r="VCD1" s="660"/>
      <c r="VCE1" s="660"/>
      <c r="VCF1" s="660"/>
      <c r="VCG1" s="660"/>
      <c r="VCH1" s="660"/>
      <c r="VCI1" s="660"/>
      <c r="VCJ1" s="660"/>
      <c r="VCK1" s="660"/>
      <c r="VCL1" s="660"/>
      <c r="VCM1" s="660"/>
      <c r="VCN1" s="660"/>
      <c r="VCO1" s="660"/>
      <c r="VCP1" s="660"/>
      <c r="VCQ1" s="660"/>
      <c r="VCR1" s="660"/>
      <c r="VCS1" s="660"/>
      <c r="VCT1" s="660"/>
      <c r="VCU1" s="660"/>
      <c r="VCV1" s="660"/>
      <c r="VCW1" s="660"/>
      <c r="VCX1" s="660"/>
      <c r="VCY1" s="660"/>
      <c r="VCZ1" s="660"/>
      <c r="VDA1" s="660"/>
      <c r="VDB1" s="660"/>
      <c r="VDC1" s="660"/>
      <c r="VDD1" s="660"/>
      <c r="VDE1" s="660"/>
      <c r="VDF1" s="660"/>
      <c r="VDG1" s="660"/>
      <c r="VDH1" s="660"/>
      <c r="VDI1" s="660"/>
      <c r="VDJ1" s="660"/>
      <c r="VDK1" s="660"/>
      <c r="VDL1" s="660"/>
      <c r="VDM1" s="660"/>
      <c r="VDN1" s="660"/>
      <c r="VDO1" s="660"/>
      <c r="VDP1" s="660"/>
      <c r="VDQ1" s="660"/>
      <c r="VDR1" s="660"/>
      <c r="VDS1" s="660"/>
      <c r="VDT1" s="660"/>
      <c r="VDU1" s="660"/>
      <c r="VDV1" s="660"/>
      <c r="VDW1" s="660"/>
      <c r="VDX1" s="660"/>
      <c r="VDY1" s="660"/>
      <c r="VDZ1" s="660"/>
      <c r="VEA1" s="660"/>
      <c r="VEB1" s="660"/>
      <c r="VEC1" s="660"/>
      <c r="VED1" s="660"/>
      <c r="VEE1" s="660"/>
      <c r="VEF1" s="660"/>
      <c r="VEG1" s="660"/>
      <c r="VEH1" s="660"/>
      <c r="VEI1" s="660"/>
      <c r="VEJ1" s="660"/>
      <c r="VEK1" s="660"/>
      <c r="VEL1" s="660"/>
      <c r="VEM1" s="660"/>
      <c r="VEN1" s="660"/>
      <c r="VEO1" s="660"/>
      <c r="VEP1" s="660"/>
      <c r="VEQ1" s="660"/>
      <c r="VER1" s="660"/>
      <c r="VES1" s="660"/>
      <c r="VET1" s="660"/>
      <c r="VEU1" s="660"/>
      <c r="VEV1" s="660"/>
      <c r="VEW1" s="660"/>
      <c r="VEX1" s="660"/>
      <c r="VEY1" s="660"/>
      <c r="VEZ1" s="660"/>
      <c r="VFA1" s="660"/>
      <c r="VFB1" s="660"/>
      <c r="VFC1" s="660"/>
      <c r="VFD1" s="660"/>
      <c r="VFE1" s="660"/>
      <c r="VFF1" s="660"/>
      <c r="VFG1" s="660"/>
      <c r="VFH1" s="660"/>
      <c r="VFI1" s="660"/>
      <c r="VFJ1" s="660"/>
      <c r="VFK1" s="660"/>
      <c r="VFL1" s="660"/>
      <c r="VFM1" s="660"/>
      <c r="VFN1" s="660"/>
      <c r="VFO1" s="660"/>
      <c r="VFP1" s="660"/>
      <c r="VFQ1" s="660"/>
      <c r="VFR1" s="660"/>
      <c r="VFS1" s="660"/>
      <c r="VFT1" s="660"/>
      <c r="VFU1" s="660"/>
      <c r="VFV1" s="660"/>
      <c r="VFW1" s="660"/>
      <c r="VFX1" s="660"/>
      <c r="VFY1" s="660"/>
      <c r="VFZ1" s="660"/>
      <c r="VGA1" s="660"/>
      <c r="VGB1" s="660"/>
      <c r="VGC1" s="660"/>
      <c r="VGD1" s="660"/>
      <c r="VGE1" s="660"/>
      <c r="VGF1" s="660"/>
      <c r="VGG1" s="660"/>
      <c r="VGH1" s="660"/>
      <c r="VGI1" s="660"/>
      <c r="VGJ1" s="660"/>
      <c r="VGK1" s="660"/>
      <c r="VGL1" s="660"/>
      <c r="VGM1" s="660"/>
      <c r="VGN1" s="660"/>
      <c r="VGO1" s="660"/>
      <c r="VGP1" s="660"/>
      <c r="VGQ1" s="660"/>
      <c r="VGR1" s="660"/>
      <c r="VGS1" s="660"/>
      <c r="VGT1" s="660"/>
      <c r="VGU1" s="660"/>
      <c r="VGV1" s="660"/>
      <c r="VGW1" s="660"/>
      <c r="VGX1" s="660"/>
      <c r="VGY1" s="660"/>
      <c r="VGZ1" s="660"/>
      <c r="VHA1" s="660"/>
      <c r="VHB1" s="660"/>
      <c r="VHC1" s="660"/>
      <c r="VHD1" s="660"/>
      <c r="VHE1" s="660"/>
      <c r="VHF1" s="660"/>
      <c r="VHG1" s="660"/>
      <c r="VHH1" s="660"/>
      <c r="VHI1" s="660"/>
      <c r="VHJ1" s="660"/>
      <c r="VHK1" s="660"/>
      <c r="VHL1" s="660"/>
      <c r="VHM1" s="660"/>
      <c r="VHN1" s="660"/>
      <c r="VHO1" s="660"/>
      <c r="VHP1" s="660"/>
      <c r="VHQ1" s="660"/>
      <c r="VHR1" s="660"/>
      <c r="VHS1" s="660"/>
      <c r="VHT1" s="660"/>
      <c r="VHU1" s="660"/>
      <c r="VHV1" s="660"/>
      <c r="VHW1" s="660"/>
      <c r="VHX1" s="660"/>
      <c r="VHY1" s="660"/>
      <c r="VHZ1" s="660"/>
      <c r="VIA1" s="660"/>
      <c r="VIB1" s="660"/>
      <c r="VIC1" s="660"/>
      <c r="VID1" s="660"/>
      <c r="VIE1" s="660"/>
      <c r="VIF1" s="660"/>
      <c r="VIG1" s="660"/>
      <c r="VIH1" s="660"/>
      <c r="VII1" s="660"/>
      <c r="VIJ1" s="660"/>
      <c r="VIK1" s="660"/>
      <c r="VIL1" s="660"/>
      <c r="VIM1" s="660"/>
      <c r="VIN1" s="660"/>
      <c r="VIO1" s="660"/>
      <c r="VIP1" s="660"/>
      <c r="VIQ1" s="660"/>
      <c r="VIR1" s="660"/>
      <c r="VIS1" s="660"/>
      <c r="VIT1" s="660"/>
      <c r="VIU1" s="660"/>
      <c r="VIV1" s="660"/>
      <c r="VIW1" s="660"/>
      <c r="VIX1" s="660"/>
      <c r="VIY1" s="660"/>
      <c r="VIZ1" s="660"/>
      <c r="VJA1" s="660"/>
      <c r="VJB1" s="660"/>
      <c r="VJC1" s="660"/>
      <c r="VJD1" s="660"/>
      <c r="VJE1" s="660"/>
      <c r="VJF1" s="660"/>
      <c r="VJG1" s="660"/>
      <c r="VJH1" s="660"/>
      <c r="VJI1" s="660"/>
      <c r="VJJ1" s="660"/>
      <c r="VJK1" s="660"/>
      <c r="VJL1" s="660"/>
      <c r="VJM1" s="660"/>
      <c r="VJN1" s="660"/>
      <c r="VJO1" s="660"/>
      <c r="VJP1" s="660"/>
      <c r="VJQ1" s="660"/>
      <c r="VJR1" s="660"/>
      <c r="VJS1" s="660"/>
      <c r="VJT1" s="660"/>
      <c r="VJU1" s="660"/>
      <c r="VJV1" s="660"/>
      <c r="VJW1" s="660"/>
      <c r="VJX1" s="660"/>
      <c r="VJY1" s="660"/>
      <c r="VJZ1" s="660"/>
      <c r="VKA1" s="660"/>
      <c r="VKB1" s="660"/>
      <c r="VKC1" s="660"/>
      <c r="VKD1" s="660"/>
      <c r="VKE1" s="660"/>
      <c r="VKF1" s="660"/>
      <c r="VKG1" s="660"/>
      <c r="VKH1" s="660"/>
      <c r="VKI1" s="660"/>
      <c r="VKJ1" s="660"/>
      <c r="VKK1" s="660"/>
      <c r="VKL1" s="660"/>
      <c r="VKM1" s="660"/>
      <c r="VKN1" s="660"/>
      <c r="VKO1" s="660"/>
      <c r="VKP1" s="660"/>
      <c r="VKQ1" s="660"/>
      <c r="VKR1" s="660"/>
      <c r="VKS1" s="660"/>
      <c r="VKT1" s="660"/>
      <c r="VKU1" s="660"/>
      <c r="VKV1" s="660"/>
      <c r="VKW1" s="660"/>
      <c r="VKX1" s="660"/>
      <c r="VKY1" s="660"/>
      <c r="VKZ1" s="660"/>
      <c r="VLA1" s="660"/>
      <c r="VLB1" s="660"/>
      <c r="VLC1" s="660"/>
      <c r="VLD1" s="660"/>
      <c r="VLE1" s="660"/>
      <c r="VLF1" s="660"/>
      <c r="VLG1" s="660"/>
      <c r="VLH1" s="660"/>
      <c r="VLI1" s="660"/>
      <c r="VLJ1" s="660"/>
      <c r="VLK1" s="660"/>
      <c r="VLL1" s="660"/>
      <c r="VLM1" s="660"/>
      <c r="VLN1" s="660"/>
      <c r="VLO1" s="660"/>
      <c r="VLP1" s="660"/>
      <c r="VLQ1" s="660"/>
      <c r="VLR1" s="660"/>
      <c r="VLS1" s="660"/>
      <c r="VLT1" s="660"/>
      <c r="VLU1" s="660"/>
      <c r="VLV1" s="660"/>
      <c r="VLW1" s="660"/>
      <c r="VLX1" s="660"/>
      <c r="VLY1" s="660"/>
      <c r="VLZ1" s="660"/>
      <c r="VMA1" s="660"/>
      <c r="VMB1" s="660"/>
      <c r="VMC1" s="660"/>
      <c r="VMD1" s="660"/>
      <c r="VME1" s="660"/>
      <c r="VMF1" s="660"/>
      <c r="VMG1" s="660"/>
      <c r="VMH1" s="660"/>
      <c r="VMI1" s="660"/>
      <c r="VMJ1" s="660"/>
      <c r="VMK1" s="660"/>
      <c r="VML1" s="660"/>
      <c r="VMM1" s="660"/>
      <c r="VMN1" s="660"/>
      <c r="VMO1" s="660"/>
      <c r="VMP1" s="660"/>
      <c r="VMQ1" s="660"/>
      <c r="VMR1" s="660"/>
      <c r="VMS1" s="660"/>
      <c r="VMT1" s="660"/>
      <c r="VMU1" s="660"/>
      <c r="VMV1" s="660"/>
      <c r="VMW1" s="660"/>
      <c r="VMX1" s="660"/>
      <c r="VMY1" s="660"/>
      <c r="VMZ1" s="660"/>
      <c r="VNA1" s="660"/>
      <c r="VNB1" s="660"/>
      <c r="VNC1" s="660"/>
      <c r="VND1" s="660"/>
      <c r="VNE1" s="660"/>
      <c r="VNF1" s="660"/>
      <c r="VNG1" s="660"/>
      <c r="VNH1" s="660"/>
      <c r="VNI1" s="660"/>
      <c r="VNJ1" s="660"/>
      <c r="VNK1" s="660"/>
      <c r="VNL1" s="660"/>
      <c r="VNM1" s="660"/>
      <c r="VNN1" s="660"/>
      <c r="VNO1" s="660"/>
      <c r="VNP1" s="660"/>
      <c r="VNQ1" s="660"/>
      <c r="VNR1" s="660"/>
      <c r="VNS1" s="660"/>
      <c r="VNT1" s="660"/>
      <c r="VNU1" s="660"/>
      <c r="VNV1" s="660"/>
      <c r="VNW1" s="660"/>
      <c r="VNX1" s="660"/>
      <c r="VNY1" s="660"/>
      <c r="VNZ1" s="660"/>
      <c r="VOA1" s="660"/>
      <c r="VOB1" s="660"/>
      <c r="VOC1" s="660"/>
      <c r="VOD1" s="660"/>
      <c r="VOE1" s="660"/>
      <c r="VOF1" s="660"/>
      <c r="VOG1" s="660"/>
      <c r="VOH1" s="660"/>
      <c r="VOI1" s="660"/>
      <c r="VOJ1" s="660"/>
      <c r="VOK1" s="660"/>
      <c r="VOL1" s="660"/>
      <c r="VOM1" s="660"/>
      <c r="VON1" s="660"/>
      <c r="VOO1" s="660"/>
      <c r="VOP1" s="660"/>
      <c r="VOQ1" s="660"/>
      <c r="VOR1" s="660"/>
      <c r="VOS1" s="660"/>
      <c r="VOT1" s="660"/>
      <c r="VOU1" s="660"/>
      <c r="VOV1" s="660"/>
      <c r="VOW1" s="660"/>
      <c r="VOX1" s="660"/>
      <c r="VOY1" s="660"/>
      <c r="VOZ1" s="660"/>
      <c r="VPA1" s="660"/>
      <c r="VPB1" s="660"/>
      <c r="VPC1" s="660"/>
      <c r="VPD1" s="660"/>
      <c r="VPE1" s="660"/>
      <c r="VPF1" s="660"/>
      <c r="VPG1" s="660"/>
      <c r="VPH1" s="660"/>
      <c r="VPI1" s="660"/>
      <c r="VPJ1" s="660"/>
      <c r="VPK1" s="660"/>
      <c r="VPL1" s="660"/>
      <c r="VPM1" s="660"/>
      <c r="VPN1" s="660"/>
      <c r="VPO1" s="660"/>
      <c r="VPP1" s="660"/>
      <c r="VPQ1" s="660"/>
      <c r="VPR1" s="660"/>
      <c r="VPS1" s="660"/>
      <c r="VPT1" s="660"/>
      <c r="VPU1" s="660"/>
      <c r="VPV1" s="660"/>
      <c r="VPW1" s="660"/>
      <c r="VPX1" s="660"/>
      <c r="VPY1" s="660"/>
      <c r="VPZ1" s="660"/>
      <c r="VQA1" s="660"/>
      <c r="VQB1" s="660"/>
      <c r="VQC1" s="660"/>
      <c r="VQD1" s="660"/>
      <c r="VQE1" s="660"/>
      <c r="VQF1" s="660"/>
      <c r="VQG1" s="660"/>
      <c r="VQH1" s="660"/>
      <c r="VQI1" s="660"/>
      <c r="VQJ1" s="660"/>
      <c r="VQK1" s="660"/>
      <c r="VQL1" s="660"/>
      <c r="VQM1" s="660"/>
      <c r="VQN1" s="660"/>
      <c r="VQO1" s="660"/>
      <c r="VQP1" s="660"/>
      <c r="VQQ1" s="660"/>
      <c r="VQR1" s="660"/>
      <c r="VQS1" s="660"/>
      <c r="VQT1" s="660"/>
      <c r="VQU1" s="660"/>
      <c r="VQV1" s="660"/>
      <c r="VQW1" s="660"/>
      <c r="VQX1" s="660"/>
      <c r="VQY1" s="660"/>
      <c r="VQZ1" s="660"/>
      <c r="VRA1" s="660"/>
      <c r="VRB1" s="660"/>
      <c r="VRC1" s="660"/>
      <c r="VRD1" s="660"/>
      <c r="VRE1" s="660"/>
      <c r="VRF1" s="660"/>
      <c r="VRG1" s="660"/>
      <c r="VRH1" s="660"/>
      <c r="VRI1" s="660"/>
      <c r="VRJ1" s="660"/>
      <c r="VRK1" s="660"/>
      <c r="VRL1" s="660"/>
      <c r="VRM1" s="660"/>
      <c r="VRN1" s="660"/>
      <c r="VRO1" s="660"/>
      <c r="VRP1" s="660"/>
      <c r="VRQ1" s="660"/>
      <c r="VRR1" s="660"/>
      <c r="VRS1" s="660"/>
      <c r="VRT1" s="660"/>
      <c r="VRU1" s="660"/>
      <c r="VRV1" s="660"/>
      <c r="VRW1" s="660"/>
      <c r="VRX1" s="660"/>
      <c r="VRY1" s="660"/>
      <c r="VRZ1" s="660"/>
      <c r="VSA1" s="660"/>
      <c r="VSB1" s="660"/>
      <c r="VSC1" s="660"/>
      <c r="VSD1" s="660"/>
      <c r="VSE1" s="660"/>
      <c r="VSF1" s="660"/>
      <c r="VSG1" s="660"/>
      <c r="VSH1" s="660"/>
      <c r="VSI1" s="660"/>
      <c r="VSJ1" s="660"/>
      <c r="VSK1" s="660"/>
      <c r="VSL1" s="660"/>
      <c r="VSM1" s="660"/>
      <c r="VSN1" s="660"/>
      <c r="VSO1" s="660"/>
      <c r="VSP1" s="660"/>
      <c r="VSQ1" s="660"/>
      <c r="VSR1" s="660"/>
      <c r="VSS1" s="660"/>
      <c r="VST1" s="660"/>
      <c r="VSU1" s="660"/>
      <c r="VSV1" s="660"/>
      <c r="VSW1" s="660"/>
      <c r="VSX1" s="660"/>
      <c r="VSY1" s="660"/>
      <c r="VSZ1" s="660"/>
      <c r="VTA1" s="660"/>
      <c r="VTB1" s="660"/>
      <c r="VTC1" s="660"/>
      <c r="VTD1" s="660"/>
      <c r="VTE1" s="660"/>
      <c r="VTF1" s="660"/>
      <c r="VTG1" s="660"/>
      <c r="VTH1" s="660"/>
      <c r="VTI1" s="660"/>
      <c r="VTJ1" s="660"/>
      <c r="VTK1" s="660"/>
      <c r="VTL1" s="660"/>
      <c r="VTM1" s="660"/>
      <c r="VTN1" s="660"/>
      <c r="VTO1" s="660"/>
      <c r="VTP1" s="660"/>
      <c r="VTQ1" s="660"/>
      <c r="VTR1" s="660"/>
      <c r="VTS1" s="660"/>
      <c r="VTT1" s="660"/>
      <c r="VTU1" s="660"/>
      <c r="VTV1" s="660"/>
      <c r="VTW1" s="660"/>
      <c r="VTX1" s="660"/>
      <c r="VTY1" s="660"/>
      <c r="VTZ1" s="660"/>
      <c r="VUA1" s="660"/>
      <c r="VUB1" s="660"/>
      <c r="VUC1" s="660"/>
      <c r="VUD1" s="660"/>
      <c r="VUE1" s="660"/>
      <c r="VUF1" s="660"/>
      <c r="VUG1" s="660"/>
      <c r="VUH1" s="660"/>
      <c r="VUI1" s="660"/>
      <c r="VUJ1" s="660"/>
      <c r="VUK1" s="660"/>
      <c r="VUL1" s="660"/>
      <c r="VUM1" s="660"/>
      <c r="VUN1" s="660"/>
      <c r="VUO1" s="660"/>
      <c r="VUP1" s="660"/>
      <c r="VUQ1" s="660"/>
      <c r="VUR1" s="660"/>
      <c r="VUS1" s="660"/>
      <c r="VUT1" s="660"/>
      <c r="VUU1" s="660"/>
      <c r="VUV1" s="660"/>
      <c r="VUW1" s="660"/>
      <c r="VUX1" s="660"/>
      <c r="VUY1" s="660"/>
      <c r="VUZ1" s="660"/>
      <c r="VVA1" s="660"/>
      <c r="VVB1" s="660"/>
      <c r="VVC1" s="660"/>
      <c r="VVD1" s="660"/>
      <c r="VVE1" s="660"/>
      <c r="VVF1" s="660"/>
      <c r="VVG1" s="660"/>
      <c r="VVH1" s="660"/>
      <c r="VVI1" s="660"/>
      <c r="VVJ1" s="660"/>
      <c r="VVK1" s="660"/>
      <c r="VVL1" s="660"/>
      <c r="VVM1" s="660"/>
      <c r="VVN1" s="660"/>
      <c r="VVO1" s="660"/>
      <c r="VVP1" s="660"/>
      <c r="VVQ1" s="660"/>
      <c r="VVR1" s="660"/>
      <c r="VVS1" s="660"/>
      <c r="VVT1" s="660"/>
      <c r="VVU1" s="660"/>
      <c r="VVV1" s="660"/>
      <c r="VVW1" s="660"/>
      <c r="VVX1" s="660"/>
      <c r="VVY1" s="660"/>
      <c r="VVZ1" s="660"/>
      <c r="VWA1" s="660"/>
      <c r="VWB1" s="660"/>
      <c r="VWC1" s="660"/>
      <c r="VWD1" s="660"/>
      <c r="VWE1" s="660"/>
      <c r="VWF1" s="660"/>
      <c r="VWG1" s="660"/>
      <c r="VWH1" s="660"/>
      <c r="VWI1" s="660"/>
      <c r="VWJ1" s="660"/>
      <c r="VWK1" s="660"/>
      <c r="VWL1" s="660"/>
      <c r="VWM1" s="660"/>
      <c r="VWN1" s="660"/>
      <c r="VWO1" s="660"/>
      <c r="VWP1" s="660"/>
      <c r="VWQ1" s="660"/>
      <c r="VWR1" s="660"/>
      <c r="VWS1" s="660"/>
      <c r="VWT1" s="660"/>
      <c r="VWU1" s="660"/>
      <c r="VWV1" s="660"/>
      <c r="VWW1" s="660"/>
      <c r="VWX1" s="660"/>
      <c r="VWY1" s="660"/>
      <c r="VWZ1" s="660"/>
      <c r="VXA1" s="660"/>
      <c r="VXB1" s="660"/>
      <c r="VXC1" s="660"/>
      <c r="VXD1" s="660"/>
      <c r="VXE1" s="660"/>
      <c r="VXF1" s="660"/>
      <c r="VXG1" s="660"/>
      <c r="VXH1" s="660"/>
      <c r="VXI1" s="660"/>
      <c r="VXJ1" s="660"/>
      <c r="VXK1" s="660"/>
      <c r="VXL1" s="660"/>
      <c r="VXM1" s="660"/>
      <c r="VXN1" s="660"/>
      <c r="VXO1" s="660"/>
      <c r="VXP1" s="660"/>
      <c r="VXQ1" s="660"/>
      <c r="VXR1" s="660"/>
      <c r="VXS1" s="660"/>
      <c r="VXT1" s="660"/>
      <c r="VXU1" s="660"/>
      <c r="VXV1" s="660"/>
      <c r="VXW1" s="660"/>
      <c r="VXX1" s="660"/>
      <c r="VXY1" s="660"/>
      <c r="VXZ1" s="660"/>
      <c r="VYA1" s="660"/>
      <c r="VYB1" s="660"/>
      <c r="VYC1" s="660"/>
      <c r="VYD1" s="660"/>
      <c r="VYE1" s="660"/>
      <c r="VYF1" s="660"/>
      <c r="VYG1" s="660"/>
      <c r="VYH1" s="660"/>
      <c r="VYI1" s="660"/>
      <c r="VYJ1" s="660"/>
      <c r="VYK1" s="660"/>
      <c r="VYL1" s="660"/>
      <c r="VYM1" s="660"/>
      <c r="VYN1" s="660"/>
      <c r="VYO1" s="660"/>
      <c r="VYP1" s="660"/>
      <c r="VYQ1" s="660"/>
      <c r="VYR1" s="660"/>
      <c r="VYS1" s="660"/>
      <c r="VYT1" s="660"/>
      <c r="VYU1" s="660"/>
      <c r="VYV1" s="660"/>
      <c r="VYW1" s="660"/>
      <c r="VYX1" s="660"/>
      <c r="VYY1" s="660"/>
      <c r="VYZ1" s="660"/>
      <c r="VZA1" s="660"/>
      <c r="VZB1" s="660"/>
      <c r="VZC1" s="660"/>
      <c r="VZD1" s="660"/>
      <c r="VZE1" s="660"/>
      <c r="VZF1" s="660"/>
      <c r="VZG1" s="660"/>
      <c r="VZH1" s="660"/>
      <c r="VZI1" s="660"/>
      <c r="VZJ1" s="660"/>
      <c r="VZK1" s="660"/>
      <c r="VZL1" s="660"/>
      <c r="VZM1" s="660"/>
      <c r="VZN1" s="660"/>
      <c r="VZO1" s="660"/>
      <c r="VZP1" s="660"/>
      <c r="VZQ1" s="660"/>
      <c r="VZR1" s="660"/>
      <c r="VZS1" s="660"/>
      <c r="VZT1" s="660"/>
      <c r="VZU1" s="660"/>
      <c r="VZV1" s="660"/>
      <c r="VZW1" s="660"/>
      <c r="VZX1" s="660"/>
      <c r="VZY1" s="660"/>
      <c r="VZZ1" s="660"/>
      <c r="WAA1" s="660"/>
      <c r="WAB1" s="660"/>
      <c r="WAC1" s="660"/>
      <c r="WAD1" s="660"/>
      <c r="WAE1" s="660"/>
      <c r="WAF1" s="660"/>
      <c r="WAG1" s="660"/>
      <c r="WAH1" s="660"/>
      <c r="WAI1" s="660"/>
      <c r="WAJ1" s="660"/>
      <c r="WAK1" s="660"/>
      <c r="WAL1" s="660"/>
      <c r="WAM1" s="660"/>
      <c r="WAN1" s="660"/>
      <c r="WAO1" s="660"/>
      <c r="WAP1" s="660"/>
      <c r="WAQ1" s="660"/>
      <c r="WAR1" s="660"/>
      <c r="WAS1" s="660"/>
      <c r="WAT1" s="660"/>
      <c r="WAU1" s="660"/>
      <c r="WAV1" s="660"/>
      <c r="WAW1" s="660"/>
      <c r="WAX1" s="660"/>
      <c r="WAY1" s="660"/>
      <c r="WAZ1" s="660"/>
      <c r="WBA1" s="660"/>
      <c r="WBB1" s="660"/>
      <c r="WBC1" s="660"/>
      <c r="WBD1" s="660"/>
      <c r="WBE1" s="660"/>
      <c r="WBF1" s="660"/>
      <c r="WBG1" s="660"/>
      <c r="WBH1" s="660"/>
      <c r="WBI1" s="660"/>
      <c r="WBJ1" s="660"/>
      <c r="WBK1" s="660"/>
      <c r="WBL1" s="660"/>
      <c r="WBM1" s="660"/>
      <c r="WBN1" s="660"/>
      <c r="WBO1" s="660"/>
      <c r="WBP1" s="660"/>
      <c r="WBQ1" s="660"/>
      <c r="WBR1" s="660"/>
      <c r="WBS1" s="660"/>
      <c r="WBT1" s="660"/>
      <c r="WBU1" s="660"/>
      <c r="WBV1" s="660"/>
      <c r="WBW1" s="660"/>
      <c r="WBX1" s="660"/>
      <c r="WBY1" s="660"/>
      <c r="WBZ1" s="660"/>
      <c r="WCA1" s="660"/>
      <c r="WCB1" s="660"/>
      <c r="WCC1" s="660"/>
      <c r="WCD1" s="660"/>
      <c r="WCE1" s="660"/>
      <c r="WCF1" s="660"/>
      <c r="WCG1" s="660"/>
      <c r="WCH1" s="660"/>
      <c r="WCI1" s="660"/>
      <c r="WCJ1" s="660"/>
      <c r="WCK1" s="660"/>
      <c r="WCL1" s="660"/>
      <c r="WCM1" s="660"/>
      <c r="WCN1" s="660"/>
      <c r="WCO1" s="660"/>
      <c r="WCP1" s="660"/>
      <c r="WCQ1" s="660"/>
      <c r="WCR1" s="660"/>
      <c r="WCS1" s="660"/>
      <c r="WCT1" s="660"/>
      <c r="WCU1" s="660"/>
      <c r="WCV1" s="660"/>
      <c r="WCW1" s="660"/>
      <c r="WCX1" s="660"/>
      <c r="WCY1" s="660"/>
      <c r="WCZ1" s="660"/>
      <c r="WDA1" s="660"/>
      <c r="WDB1" s="660"/>
      <c r="WDC1" s="660"/>
      <c r="WDD1" s="660"/>
      <c r="WDE1" s="660"/>
      <c r="WDF1" s="660"/>
      <c r="WDG1" s="660"/>
      <c r="WDH1" s="660"/>
      <c r="WDI1" s="660"/>
      <c r="WDJ1" s="660"/>
      <c r="WDK1" s="660"/>
      <c r="WDL1" s="660"/>
      <c r="WDM1" s="660"/>
      <c r="WDN1" s="660"/>
      <c r="WDO1" s="660"/>
      <c r="WDP1" s="660"/>
      <c r="WDQ1" s="660"/>
      <c r="WDR1" s="660"/>
      <c r="WDS1" s="660"/>
      <c r="WDT1" s="660"/>
      <c r="WDU1" s="660"/>
      <c r="WDV1" s="660"/>
      <c r="WDW1" s="660"/>
      <c r="WDX1" s="660"/>
      <c r="WDY1" s="660"/>
      <c r="WDZ1" s="660"/>
      <c r="WEA1" s="660"/>
      <c r="WEB1" s="660"/>
      <c r="WEC1" s="660"/>
      <c r="WED1" s="660"/>
      <c r="WEE1" s="660"/>
      <c r="WEF1" s="660"/>
      <c r="WEG1" s="660"/>
      <c r="WEH1" s="660"/>
      <c r="WEI1" s="660"/>
      <c r="WEJ1" s="660"/>
      <c r="WEK1" s="660"/>
      <c r="WEL1" s="660"/>
      <c r="WEM1" s="660"/>
      <c r="WEN1" s="660"/>
      <c r="WEO1" s="660"/>
      <c r="WEP1" s="660"/>
      <c r="WEQ1" s="660"/>
      <c r="WER1" s="660"/>
      <c r="WES1" s="660"/>
      <c r="WET1" s="660"/>
      <c r="WEU1" s="660"/>
      <c r="WEV1" s="660"/>
      <c r="WEW1" s="660"/>
      <c r="WEX1" s="660"/>
      <c r="WEY1" s="660"/>
      <c r="WEZ1" s="660"/>
      <c r="WFA1" s="660"/>
      <c r="WFB1" s="660"/>
      <c r="WFC1" s="660"/>
      <c r="WFD1" s="660"/>
      <c r="WFE1" s="660"/>
      <c r="WFF1" s="660"/>
      <c r="WFG1" s="660"/>
      <c r="WFH1" s="660"/>
      <c r="WFI1" s="660"/>
      <c r="WFJ1" s="660"/>
      <c r="WFK1" s="660"/>
      <c r="WFL1" s="660"/>
      <c r="WFM1" s="660"/>
      <c r="WFN1" s="660"/>
      <c r="WFO1" s="660"/>
      <c r="WFP1" s="660"/>
      <c r="WFQ1" s="660"/>
      <c r="WFR1" s="660"/>
      <c r="WFS1" s="660"/>
      <c r="WFT1" s="660"/>
      <c r="WFU1" s="660"/>
      <c r="WFV1" s="660"/>
      <c r="WFW1" s="660"/>
      <c r="WFX1" s="660"/>
      <c r="WFY1" s="660"/>
      <c r="WFZ1" s="660"/>
      <c r="WGA1" s="660"/>
      <c r="WGB1" s="660"/>
      <c r="WGC1" s="660"/>
      <c r="WGD1" s="660"/>
      <c r="WGE1" s="660"/>
      <c r="WGF1" s="660"/>
      <c r="WGG1" s="660"/>
      <c r="WGH1" s="660"/>
      <c r="WGI1" s="660"/>
      <c r="WGJ1" s="660"/>
      <c r="WGK1" s="660"/>
      <c r="WGL1" s="660"/>
      <c r="WGM1" s="660"/>
      <c r="WGN1" s="660"/>
      <c r="WGO1" s="660"/>
      <c r="WGP1" s="660"/>
      <c r="WGQ1" s="660"/>
      <c r="WGR1" s="660"/>
      <c r="WGS1" s="660"/>
      <c r="WGT1" s="660"/>
      <c r="WGU1" s="660"/>
      <c r="WGV1" s="660"/>
      <c r="WGW1" s="660"/>
      <c r="WGX1" s="660"/>
      <c r="WGY1" s="660"/>
      <c r="WGZ1" s="660"/>
      <c r="WHA1" s="660"/>
      <c r="WHB1" s="660"/>
      <c r="WHC1" s="660"/>
      <c r="WHD1" s="660"/>
      <c r="WHE1" s="660"/>
      <c r="WHF1" s="660"/>
      <c r="WHG1" s="660"/>
      <c r="WHH1" s="660"/>
      <c r="WHI1" s="660"/>
      <c r="WHJ1" s="660"/>
      <c r="WHK1" s="660"/>
      <c r="WHL1" s="660"/>
      <c r="WHM1" s="660"/>
      <c r="WHN1" s="660"/>
      <c r="WHO1" s="660"/>
      <c r="WHP1" s="660"/>
      <c r="WHQ1" s="660"/>
      <c r="WHR1" s="660"/>
      <c r="WHS1" s="660"/>
      <c r="WHT1" s="660"/>
      <c r="WHU1" s="660"/>
      <c r="WHV1" s="660"/>
      <c r="WHW1" s="660"/>
      <c r="WHX1" s="660"/>
      <c r="WHY1" s="660"/>
      <c r="WHZ1" s="660"/>
      <c r="WIA1" s="660"/>
      <c r="WIB1" s="660"/>
      <c r="WIC1" s="660"/>
      <c r="WID1" s="660"/>
      <c r="WIE1" s="660"/>
      <c r="WIF1" s="660"/>
      <c r="WIG1" s="660"/>
      <c r="WIH1" s="660"/>
      <c r="WII1" s="660"/>
      <c r="WIJ1" s="660"/>
      <c r="WIK1" s="660"/>
      <c r="WIL1" s="660"/>
      <c r="WIM1" s="660"/>
      <c r="WIN1" s="660"/>
      <c r="WIO1" s="660"/>
      <c r="WIP1" s="660"/>
      <c r="WIQ1" s="660"/>
      <c r="WIR1" s="660"/>
      <c r="WIS1" s="660"/>
      <c r="WIT1" s="660"/>
      <c r="WIU1" s="660"/>
      <c r="WIV1" s="660"/>
      <c r="WIW1" s="660"/>
      <c r="WIX1" s="660"/>
      <c r="WIY1" s="660"/>
      <c r="WIZ1" s="660"/>
      <c r="WJA1" s="660"/>
      <c r="WJB1" s="660"/>
      <c r="WJC1" s="660"/>
      <c r="WJD1" s="660"/>
      <c r="WJE1" s="660"/>
      <c r="WJF1" s="660"/>
      <c r="WJG1" s="660"/>
      <c r="WJH1" s="660"/>
      <c r="WJI1" s="660"/>
      <c r="WJJ1" s="660"/>
      <c r="WJK1" s="660"/>
      <c r="WJL1" s="660"/>
      <c r="WJM1" s="660"/>
      <c r="WJN1" s="660"/>
      <c r="WJO1" s="660"/>
      <c r="WJP1" s="660"/>
      <c r="WJQ1" s="660"/>
      <c r="WJR1" s="660"/>
      <c r="WJS1" s="660"/>
      <c r="WJT1" s="660"/>
      <c r="WJU1" s="660"/>
      <c r="WJV1" s="660"/>
      <c r="WJW1" s="660"/>
      <c r="WJX1" s="660"/>
      <c r="WJY1" s="660"/>
      <c r="WJZ1" s="660"/>
      <c r="WKA1" s="660"/>
      <c r="WKB1" s="660"/>
      <c r="WKC1" s="660"/>
      <c r="WKD1" s="660"/>
      <c r="WKE1" s="660"/>
      <c r="WKF1" s="660"/>
      <c r="WKG1" s="660"/>
      <c r="WKH1" s="660"/>
      <c r="WKI1" s="660"/>
      <c r="WKJ1" s="660"/>
      <c r="WKK1" s="660"/>
      <c r="WKL1" s="660"/>
      <c r="WKM1" s="660"/>
      <c r="WKN1" s="660"/>
      <c r="WKO1" s="660"/>
      <c r="WKP1" s="660"/>
      <c r="WKQ1" s="660"/>
      <c r="WKR1" s="660"/>
      <c r="WKS1" s="660"/>
      <c r="WKT1" s="660"/>
      <c r="WKU1" s="660"/>
      <c r="WKV1" s="660"/>
      <c r="WKW1" s="660"/>
      <c r="WKX1" s="660"/>
      <c r="WKY1" s="660"/>
      <c r="WKZ1" s="660"/>
      <c r="WLA1" s="660"/>
      <c r="WLB1" s="660"/>
      <c r="WLC1" s="660"/>
      <c r="WLD1" s="660"/>
      <c r="WLE1" s="660"/>
      <c r="WLF1" s="660"/>
      <c r="WLG1" s="660"/>
      <c r="WLH1" s="660"/>
      <c r="WLI1" s="660"/>
      <c r="WLJ1" s="660"/>
      <c r="WLK1" s="660"/>
      <c r="WLL1" s="660"/>
      <c r="WLM1" s="660"/>
      <c r="WLN1" s="660"/>
      <c r="WLO1" s="660"/>
      <c r="WLP1" s="660"/>
      <c r="WLQ1" s="660"/>
      <c r="WLR1" s="660"/>
      <c r="WLS1" s="660"/>
      <c r="WLT1" s="660"/>
      <c r="WLU1" s="660"/>
      <c r="WLV1" s="660"/>
      <c r="WLW1" s="660"/>
      <c r="WLX1" s="660"/>
      <c r="WLY1" s="660"/>
      <c r="WLZ1" s="660"/>
      <c r="WMA1" s="660"/>
      <c r="WMB1" s="660"/>
      <c r="WMC1" s="660"/>
      <c r="WMD1" s="660"/>
      <c r="WME1" s="660"/>
      <c r="WMF1" s="660"/>
      <c r="WMG1" s="660"/>
      <c r="WMH1" s="660"/>
      <c r="WMI1" s="660"/>
      <c r="WMJ1" s="660"/>
      <c r="WMK1" s="660"/>
      <c r="WML1" s="660"/>
      <c r="WMM1" s="660"/>
      <c r="WMN1" s="660"/>
      <c r="WMO1" s="660"/>
      <c r="WMP1" s="660"/>
      <c r="WMQ1" s="660"/>
      <c r="WMR1" s="660"/>
      <c r="WMS1" s="660"/>
      <c r="WMT1" s="660"/>
      <c r="WMU1" s="660"/>
      <c r="WMV1" s="660"/>
      <c r="WMW1" s="660"/>
      <c r="WMX1" s="660"/>
      <c r="WMY1" s="660"/>
      <c r="WMZ1" s="660"/>
      <c r="WNA1" s="660"/>
      <c r="WNB1" s="660"/>
      <c r="WNC1" s="660"/>
      <c r="WND1" s="660"/>
      <c r="WNE1" s="660"/>
      <c r="WNF1" s="660"/>
      <c r="WNG1" s="660"/>
      <c r="WNH1" s="660"/>
      <c r="WNI1" s="660"/>
      <c r="WNJ1" s="660"/>
      <c r="WNK1" s="660"/>
      <c r="WNL1" s="660"/>
      <c r="WNM1" s="660"/>
      <c r="WNN1" s="660"/>
      <c r="WNO1" s="660"/>
      <c r="WNP1" s="660"/>
      <c r="WNQ1" s="660"/>
      <c r="WNR1" s="660"/>
      <c r="WNS1" s="660"/>
      <c r="WNT1" s="660"/>
      <c r="WNU1" s="660"/>
      <c r="WNV1" s="660"/>
      <c r="WNW1" s="660"/>
      <c r="WNX1" s="660"/>
      <c r="WNY1" s="660"/>
      <c r="WNZ1" s="660"/>
      <c r="WOA1" s="660"/>
      <c r="WOB1" s="660"/>
      <c r="WOC1" s="660"/>
      <c r="WOD1" s="660"/>
      <c r="WOE1" s="660"/>
      <c r="WOF1" s="660"/>
      <c r="WOG1" s="660"/>
      <c r="WOH1" s="660"/>
      <c r="WOI1" s="660"/>
      <c r="WOJ1" s="660"/>
      <c r="WOK1" s="660"/>
      <c r="WOL1" s="660"/>
      <c r="WOM1" s="660"/>
      <c r="WON1" s="660"/>
      <c r="WOO1" s="660"/>
      <c r="WOP1" s="660"/>
      <c r="WOQ1" s="660"/>
      <c r="WOR1" s="660"/>
      <c r="WOS1" s="660"/>
      <c r="WOT1" s="660"/>
      <c r="WOU1" s="660"/>
      <c r="WOV1" s="660"/>
      <c r="WOW1" s="660"/>
      <c r="WOX1" s="660"/>
      <c r="WOY1" s="660"/>
      <c r="WOZ1" s="660"/>
      <c r="WPA1" s="660"/>
      <c r="WPB1" s="660"/>
      <c r="WPC1" s="660"/>
      <c r="WPD1" s="660"/>
      <c r="WPE1" s="660"/>
      <c r="WPF1" s="660"/>
      <c r="WPG1" s="660"/>
      <c r="WPH1" s="660"/>
      <c r="WPI1" s="660"/>
      <c r="WPJ1" s="660"/>
      <c r="WPK1" s="660"/>
      <c r="WPL1" s="660"/>
      <c r="WPM1" s="660"/>
      <c r="WPN1" s="660"/>
      <c r="WPO1" s="660"/>
      <c r="WPP1" s="660"/>
      <c r="WPQ1" s="660"/>
      <c r="WPR1" s="660"/>
      <c r="WPS1" s="660"/>
      <c r="WPT1" s="660"/>
      <c r="WPU1" s="660"/>
      <c r="WPV1" s="660"/>
      <c r="WPW1" s="660"/>
      <c r="WPX1" s="660"/>
      <c r="WPY1" s="660"/>
      <c r="WPZ1" s="660"/>
      <c r="WQA1" s="660"/>
      <c r="WQB1" s="660"/>
      <c r="WQC1" s="660"/>
      <c r="WQD1" s="660"/>
      <c r="WQE1" s="660"/>
      <c r="WQF1" s="660"/>
      <c r="WQG1" s="660"/>
      <c r="WQH1" s="660"/>
      <c r="WQI1" s="660"/>
      <c r="WQJ1" s="660"/>
      <c r="WQK1" s="660"/>
      <c r="WQL1" s="660"/>
      <c r="WQM1" s="660"/>
      <c r="WQN1" s="660"/>
      <c r="WQO1" s="660"/>
      <c r="WQP1" s="660"/>
      <c r="WQQ1" s="660"/>
      <c r="WQR1" s="660"/>
      <c r="WQS1" s="660"/>
      <c r="WQT1" s="660"/>
      <c r="WQU1" s="660"/>
      <c r="WQV1" s="660"/>
      <c r="WQW1" s="660"/>
      <c r="WQX1" s="660"/>
      <c r="WQY1" s="660"/>
      <c r="WQZ1" s="660"/>
      <c r="WRA1" s="660"/>
      <c r="WRB1" s="660"/>
      <c r="WRC1" s="660"/>
      <c r="WRD1" s="660"/>
      <c r="WRE1" s="660"/>
      <c r="WRF1" s="660"/>
      <c r="WRG1" s="660"/>
      <c r="WRH1" s="660"/>
      <c r="WRI1" s="660"/>
      <c r="WRJ1" s="660"/>
      <c r="WRK1" s="660"/>
      <c r="WRL1" s="660"/>
      <c r="WRM1" s="660"/>
      <c r="WRN1" s="660"/>
      <c r="WRO1" s="660"/>
      <c r="WRP1" s="660"/>
      <c r="WRQ1" s="660"/>
      <c r="WRR1" s="660"/>
      <c r="WRS1" s="660"/>
      <c r="WRT1" s="660"/>
      <c r="WRU1" s="660"/>
      <c r="WRV1" s="660"/>
      <c r="WRW1" s="660"/>
      <c r="WRX1" s="660"/>
      <c r="WRY1" s="660"/>
      <c r="WRZ1" s="660"/>
      <c r="WSA1" s="660"/>
      <c r="WSB1" s="660"/>
      <c r="WSC1" s="660"/>
      <c r="WSD1" s="660"/>
      <c r="WSE1" s="660"/>
      <c r="WSF1" s="660"/>
      <c r="WSG1" s="660"/>
      <c r="WSH1" s="660"/>
      <c r="WSI1" s="660"/>
      <c r="WSJ1" s="660"/>
      <c r="WSK1" s="660"/>
      <c r="WSL1" s="660"/>
      <c r="WSM1" s="660"/>
      <c r="WSN1" s="660"/>
      <c r="WSO1" s="660"/>
      <c r="WSP1" s="660"/>
      <c r="WSQ1" s="660"/>
      <c r="WSR1" s="660"/>
      <c r="WSS1" s="660"/>
      <c r="WST1" s="660"/>
      <c r="WSU1" s="660"/>
      <c r="WSV1" s="660"/>
      <c r="WSW1" s="660"/>
      <c r="WSX1" s="660"/>
      <c r="WSY1" s="660"/>
      <c r="WSZ1" s="660"/>
      <c r="WTA1" s="660"/>
      <c r="WTB1" s="660"/>
      <c r="WTC1" s="660"/>
      <c r="WTD1" s="660"/>
      <c r="WTE1" s="660"/>
      <c r="WTF1" s="660"/>
      <c r="WTG1" s="660"/>
      <c r="WTH1" s="660"/>
      <c r="WTI1" s="660"/>
      <c r="WTJ1" s="660"/>
      <c r="WTK1" s="660"/>
      <c r="WTL1" s="660"/>
      <c r="WTM1" s="660"/>
      <c r="WTN1" s="660"/>
      <c r="WTO1" s="660"/>
      <c r="WTP1" s="660"/>
      <c r="WTQ1" s="660"/>
      <c r="WTR1" s="660"/>
      <c r="WTS1" s="660"/>
      <c r="WTT1" s="660"/>
      <c r="WTU1" s="660"/>
      <c r="WTV1" s="660"/>
      <c r="WTW1" s="660"/>
      <c r="WTX1" s="660"/>
      <c r="WTY1" s="660"/>
      <c r="WTZ1" s="660"/>
      <c r="WUA1" s="660"/>
      <c r="WUB1" s="660"/>
      <c r="WUC1" s="660"/>
      <c r="WUD1" s="660"/>
      <c r="WUE1" s="660"/>
      <c r="WUF1" s="660"/>
      <c r="WUG1" s="660"/>
      <c r="WUH1" s="660"/>
      <c r="WUI1" s="660"/>
      <c r="WUJ1" s="660"/>
      <c r="WUK1" s="660"/>
      <c r="WUL1" s="660"/>
      <c r="WUM1" s="660"/>
      <c r="WUN1" s="660"/>
      <c r="WUO1" s="660"/>
      <c r="WUP1" s="660"/>
      <c r="WUQ1" s="660"/>
      <c r="WUR1" s="660"/>
      <c r="WUS1" s="660"/>
      <c r="WUT1" s="660"/>
      <c r="WUU1" s="660"/>
      <c r="WUV1" s="660"/>
      <c r="WUW1" s="660"/>
      <c r="WUX1" s="660"/>
      <c r="WUY1" s="660"/>
      <c r="WUZ1" s="660"/>
      <c r="WVA1" s="660"/>
      <c r="WVB1" s="660"/>
      <c r="WVC1" s="660"/>
      <c r="WVD1" s="660"/>
      <c r="WVE1" s="660"/>
      <c r="WVF1" s="660"/>
      <c r="WVG1" s="660"/>
      <c r="WVH1" s="660"/>
      <c r="WVI1" s="660"/>
      <c r="WVJ1" s="660"/>
      <c r="WVK1" s="660"/>
      <c r="WVL1" s="660"/>
      <c r="WVM1" s="660"/>
      <c r="WVN1" s="660"/>
      <c r="WVO1" s="660"/>
      <c r="WVP1" s="660"/>
      <c r="WVQ1" s="660"/>
      <c r="WVR1" s="660"/>
      <c r="WVS1" s="660"/>
      <c r="WVT1" s="660"/>
      <c r="WVU1" s="660"/>
      <c r="WVV1" s="660"/>
      <c r="WVW1" s="660"/>
      <c r="WVX1" s="660"/>
      <c r="WVY1" s="660"/>
      <c r="WVZ1" s="660"/>
      <c r="WWA1" s="660"/>
      <c r="WWB1" s="660"/>
      <c r="WWC1" s="660"/>
      <c r="WWD1" s="660"/>
      <c r="WWE1" s="660"/>
      <c r="WWF1" s="660"/>
      <c r="WWG1" s="660"/>
      <c r="WWH1" s="660"/>
      <c r="WWI1" s="660"/>
      <c r="WWJ1" s="660"/>
      <c r="WWK1" s="660"/>
      <c r="WWL1" s="660"/>
      <c r="WWM1" s="660"/>
      <c r="WWN1" s="660"/>
      <c r="WWO1" s="660"/>
      <c r="WWP1" s="660"/>
      <c r="WWQ1" s="660"/>
      <c r="WWR1" s="660"/>
      <c r="WWS1" s="660"/>
      <c r="WWT1" s="660"/>
      <c r="WWU1" s="660"/>
      <c r="WWV1" s="660"/>
      <c r="WWW1" s="660"/>
      <c r="WWX1" s="660"/>
      <c r="WWY1" s="660"/>
      <c r="WWZ1" s="660"/>
      <c r="WXA1" s="660"/>
      <c r="WXB1" s="660"/>
      <c r="WXC1" s="660"/>
      <c r="WXD1" s="660"/>
      <c r="WXE1" s="660"/>
      <c r="WXF1" s="660"/>
      <c r="WXG1" s="660"/>
      <c r="WXH1" s="660"/>
      <c r="WXI1" s="660"/>
      <c r="WXJ1" s="660"/>
      <c r="WXK1" s="660"/>
      <c r="WXL1" s="660"/>
      <c r="WXM1" s="660"/>
      <c r="WXN1" s="660"/>
      <c r="WXO1" s="660"/>
      <c r="WXP1" s="660"/>
      <c r="WXQ1" s="660"/>
      <c r="WXR1" s="660"/>
      <c r="WXS1" s="660"/>
      <c r="WXT1" s="660"/>
      <c r="WXU1" s="660"/>
      <c r="WXV1" s="660"/>
      <c r="WXW1" s="660"/>
      <c r="WXX1" s="660"/>
      <c r="WXY1" s="660"/>
      <c r="WXZ1" s="660"/>
      <c r="WYA1" s="660"/>
      <c r="WYB1" s="660"/>
      <c r="WYC1" s="660"/>
      <c r="WYD1" s="660"/>
      <c r="WYE1" s="660"/>
      <c r="WYF1" s="660"/>
      <c r="WYG1" s="660"/>
      <c r="WYH1" s="660"/>
      <c r="WYI1" s="660"/>
      <c r="WYJ1" s="660"/>
      <c r="WYK1" s="660"/>
      <c r="WYL1" s="660"/>
      <c r="WYM1" s="660"/>
      <c r="WYN1" s="660"/>
      <c r="WYO1" s="660"/>
      <c r="WYP1" s="660"/>
      <c r="WYQ1" s="660"/>
      <c r="WYR1" s="660"/>
      <c r="WYS1" s="660"/>
      <c r="WYT1" s="660"/>
      <c r="WYU1" s="660"/>
      <c r="WYV1" s="660"/>
      <c r="WYW1" s="660"/>
      <c r="WYX1" s="660"/>
      <c r="WYY1" s="660"/>
      <c r="WYZ1" s="660"/>
      <c r="WZA1" s="660"/>
      <c r="WZB1" s="660"/>
      <c r="WZC1" s="660"/>
      <c r="WZD1" s="660"/>
      <c r="WZE1" s="660"/>
      <c r="WZF1" s="660"/>
      <c r="WZG1" s="660"/>
      <c r="WZH1" s="660"/>
      <c r="WZI1" s="660"/>
      <c r="WZJ1" s="660"/>
      <c r="WZK1" s="660"/>
      <c r="WZL1" s="660"/>
      <c r="WZM1" s="660"/>
      <c r="WZN1" s="660"/>
      <c r="WZO1" s="660"/>
      <c r="WZP1" s="660"/>
      <c r="WZQ1" s="660"/>
      <c r="WZR1" s="660"/>
      <c r="WZS1" s="660"/>
      <c r="WZT1" s="660"/>
      <c r="WZU1" s="660"/>
      <c r="WZV1" s="660"/>
      <c r="WZW1" s="660"/>
      <c r="WZX1" s="660"/>
      <c r="WZY1" s="660"/>
      <c r="WZZ1" s="660"/>
      <c r="XAA1" s="660"/>
      <c r="XAB1" s="660"/>
      <c r="XAC1" s="660"/>
      <c r="XAD1" s="660"/>
      <c r="XAE1" s="660"/>
      <c r="XAF1" s="660"/>
      <c r="XAG1" s="660"/>
      <c r="XAH1" s="660"/>
      <c r="XAI1" s="660"/>
      <c r="XAJ1" s="660"/>
      <c r="XAK1" s="660"/>
      <c r="XAL1" s="660"/>
      <c r="XAM1" s="660"/>
      <c r="XAN1" s="660"/>
      <c r="XAO1" s="660"/>
      <c r="XAP1" s="660"/>
      <c r="XAQ1" s="660"/>
      <c r="XAR1" s="660"/>
      <c r="XAS1" s="660"/>
      <c r="XAT1" s="660"/>
      <c r="XAU1" s="660"/>
      <c r="XAV1" s="660"/>
      <c r="XAW1" s="660"/>
      <c r="XAX1" s="660"/>
      <c r="XAY1" s="660"/>
      <c r="XAZ1" s="660"/>
      <c r="XBA1" s="660"/>
      <c r="XBB1" s="660"/>
      <c r="XBC1" s="660"/>
      <c r="XBD1" s="660"/>
      <c r="XBE1" s="660"/>
      <c r="XBF1" s="660"/>
      <c r="XBG1" s="660"/>
      <c r="XBH1" s="660"/>
      <c r="XBI1" s="660"/>
      <c r="XBJ1" s="660"/>
      <c r="XBK1" s="660"/>
      <c r="XBL1" s="660"/>
      <c r="XBM1" s="660"/>
      <c r="XBN1" s="660"/>
      <c r="XBO1" s="660"/>
      <c r="XBP1" s="660"/>
      <c r="XBQ1" s="660"/>
      <c r="XBR1" s="660"/>
      <c r="XBS1" s="660"/>
      <c r="XBT1" s="660"/>
      <c r="XBU1" s="660"/>
      <c r="XBV1" s="660"/>
      <c r="XBW1" s="660"/>
      <c r="XBX1" s="660"/>
      <c r="XBY1" s="660"/>
      <c r="XBZ1" s="660"/>
      <c r="XCA1" s="660"/>
      <c r="XCB1" s="660"/>
      <c r="XCC1" s="660"/>
      <c r="XCD1" s="660"/>
      <c r="XCE1" s="660"/>
      <c r="XCF1" s="660"/>
      <c r="XCG1" s="660"/>
      <c r="XCH1" s="660"/>
      <c r="XCI1" s="660"/>
      <c r="XCJ1" s="660"/>
      <c r="XCK1" s="660"/>
      <c r="XCL1" s="660"/>
      <c r="XCM1" s="660"/>
      <c r="XCN1" s="660"/>
      <c r="XCO1" s="660"/>
      <c r="XCP1" s="660"/>
      <c r="XCQ1" s="660"/>
      <c r="XCR1" s="660"/>
      <c r="XCS1" s="660"/>
      <c r="XCT1" s="660"/>
      <c r="XCU1" s="660"/>
      <c r="XCV1" s="660"/>
      <c r="XCW1" s="660"/>
      <c r="XCX1" s="660"/>
      <c r="XCY1" s="660"/>
      <c r="XCZ1" s="660"/>
      <c r="XDA1" s="660"/>
      <c r="XDB1" s="660"/>
      <c r="XDC1" s="660"/>
      <c r="XDD1" s="660"/>
      <c r="XDE1" s="660"/>
      <c r="XDF1" s="660"/>
      <c r="XDG1" s="660"/>
      <c r="XDH1" s="660"/>
      <c r="XDI1" s="660"/>
      <c r="XDJ1" s="660"/>
      <c r="XDK1" s="660"/>
      <c r="XDL1" s="660"/>
      <c r="XDM1" s="660"/>
      <c r="XDN1" s="660"/>
      <c r="XDO1" s="660"/>
      <c r="XDP1" s="660"/>
      <c r="XDQ1" s="660"/>
      <c r="XDR1" s="660"/>
      <c r="XDS1" s="660"/>
      <c r="XDT1" s="660"/>
      <c r="XDU1" s="660"/>
      <c r="XDV1" s="660"/>
      <c r="XDW1" s="660"/>
      <c r="XDX1" s="660"/>
      <c r="XDY1" s="660"/>
      <c r="XDZ1" s="660"/>
      <c r="XEA1" s="660"/>
      <c r="XEB1" s="660"/>
      <c r="XEC1" s="660"/>
      <c r="XED1" s="660"/>
      <c r="XEE1" s="660"/>
      <c r="XEF1" s="660"/>
      <c r="XEG1" s="660"/>
      <c r="XEH1" s="660"/>
      <c r="XEI1" s="660"/>
      <c r="XEJ1" s="660"/>
      <c r="XEK1" s="660"/>
      <c r="XEL1" s="660"/>
      <c r="XEM1" s="660"/>
      <c r="XEN1" s="660"/>
      <c r="XEO1" s="660"/>
      <c r="XEP1" s="660"/>
      <c r="XEQ1" s="660"/>
      <c r="XER1" s="660"/>
      <c r="XES1" s="660"/>
      <c r="XET1" s="660"/>
      <c r="XEU1" s="660"/>
      <c r="XEV1" s="660"/>
      <c r="XEW1" s="660"/>
      <c r="XEX1" s="660"/>
      <c r="XEY1" s="660"/>
      <c r="XEZ1" s="660"/>
      <c r="XFA1" s="660"/>
      <c r="XFB1" s="660"/>
      <c r="XFC1" s="660"/>
      <c r="XFD1" s="660"/>
    </row>
    <row r="2" spans="1:16384">
      <c r="A2" s="659" t="s">
        <v>1033</v>
      </c>
      <c r="B2" s="659"/>
      <c r="C2" s="659"/>
      <c r="D2" s="659"/>
      <c r="E2" s="659"/>
      <c r="F2" s="659"/>
      <c r="G2" s="659"/>
      <c r="H2" s="659"/>
      <c r="I2" s="659"/>
      <c r="J2" s="659"/>
      <c r="K2" s="659"/>
    </row>
    <row r="3" spans="1:16384">
      <c r="A3" s="660"/>
      <c r="B3" s="660"/>
      <c r="C3" s="660"/>
      <c r="D3" s="660"/>
      <c r="E3" s="660"/>
      <c r="F3" s="660"/>
      <c r="G3" s="660"/>
      <c r="H3" s="660"/>
      <c r="I3" s="660"/>
      <c r="J3" s="660"/>
      <c r="K3" s="660"/>
    </row>
    <row r="4" spans="1:16384">
      <c r="A4" s="78"/>
      <c r="B4" s="78"/>
      <c r="C4" s="78"/>
      <c r="D4" s="78"/>
      <c r="E4" s="78"/>
      <c r="F4" s="78"/>
      <c r="G4" s="78"/>
      <c r="H4" s="78"/>
      <c r="I4" s="78"/>
      <c r="K4" s="78"/>
    </row>
    <row r="5" spans="1:16384">
      <c r="A5" s="78"/>
      <c r="B5" s="78"/>
      <c r="C5" s="78"/>
      <c r="D5" s="78"/>
      <c r="E5" s="78"/>
      <c r="F5" s="78"/>
      <c r="G5" s="78"/>
      <c r="H5" s="78"/>
      <c r="I5" s="78"/>
      <c r="K5" s="78"/>
    </row>
    <row r="8" spans="1:16384">
      <c r="A8" s="2" t="s">
        <v>56</v>
      </c>
      <c r="B8" s="2"/>
    </row>
    <row r="9" spans="1:16384">
      <c r="A9" s="125" t="s">
        <v>57</v>
      </c>
      <c r="B9" s="117" t="s">
        <v>58</v>
      </c>
      <c r="C9" s="17">
        <f>'Rate Calculation'!E47</f>
        <v>136131194.88008001</v>
      </c>
      <c r="D9" s="60" t="s">
        <v>59</v>
      </c>
      <c r="E9" s="4">
        <f>ABS('Rate Calculation'!E49)</f>
        <v>17890979.185288437</v>
      </c>
      <c r="F9" s="28" t="s">
        <v>60</v>
      </c>
      <c r="G9" s="45" t="s">
        <v>61</v>
      </c>
      <c r="H9" s="65">
        <f>'Rate Calculation'!E53* 1000</f>
        <v>5186333.333333334</v>
      </c>
      <c r="I9" s="45" t="s">
        <v>114</v>
      </c>
      <c r="J9" s="66">
        <f>'Rate Calculation'!E55</f>
        <v>22.8</v>
      </c>
      <c r="K9" s="1" t="s">
        <v>62</v>
      </c>
    </row>
    <row r="10" spans="1:16384">
      <c r="A10" s="125" t="s">
        <v>63</v>
      </c>
      <c r="B10" s="125"/>
      <c r="C10" s="67">
        <f>'Rate Calculation'!E56</f>
        <v>1.9</v>
      </c>
      <c r="D10" s="1" t="s">
        <v>64</v>
      </c>
    </row>
    <row r="11" spans="1:16384">
      <c r="A11" s="125" t="s">
        <v>65</v>
      </c>
      <c r="B11" s="125"/>
      <c r="C11" s="67">
        <f>'Rate Calculation'!E57</f>
        <v>0.4385</v>
      </c>
      <c r="D11" s="1" t="s">
        <v>66</v>
      </c>
    </row>
    <row r="12" spans="1:16384">
      <c r="A12" s="125" t="s">
        <v>67</v>
      </c>
      <c r="B12" s="125"/>
      <c r="C12" s="67">
        <f>'Rate Calculation'!E58</f>
        <v>7.3099999999999998E-2</v>
      </c>
      <c r="D12" s="1" t="s">
        <v>68</v>
      </c>
    </row>
    <row r="13" spans="1:16384">
      <c r="A13" s="125" t="s">
        <v>69</v>
      </c>
      <c r="B13" s="125"/>
      <c r="C13" s="67">
        <f>'Rate Calculation'!E59</f>
        <v>6.2600000000000003E-2</v>
      </c>
      <c r="D13" s="1" t="s">
        <v>68</v>
      </c>
    </row>
    <row r="15" spans="1:16384">
      <c r="A15" s="2" t="s">
        <v>70</v>
      </c>
      <c r="B15" s="2"/>
    </row>
    <row r="16" spans="1:16384">
      <c r="A16" s="125" t="s">
        <v>71</v>
      </c>
      <c r="B16" s="125"/>
      <c r="C16" s="67">
        <f>C10</f>
        <v>1.9</v>
      </c>
      <c r="D16" s="1" t="s">
        <v>64</v>
      </c>
    </row>
    <row r="17" spans="1:10">
      <c r="A17" s="125" t="s">
        <v>72</v>
      </c>
      <c r="B17" s="125"/>
      <c r="C17" s="67">
        <f>C11</f>
        <v>0.4385</v>
      </c>
      <c r="D17" s="1" t="s">
        <v>66</v>
      </c>
    </row>
    <row r="18" spans="1:10">
      <c r="A18" s="125" t="s">
        <v>73</v>
      </c>
      <c r="B18" s="125"/>
      <c r="C18" s="67">
        <f>C12</f>
        <v>7.3099999999999998E-2</v>
      </c>
      <c r="D18" s="1" t="s">
        <v>68</v>
      </c>
    </row>
    <row r="19" spans="1:10">
      <c r="A19" s="125" t="s">
        <v>69</v>
      </c>
      <c r="B19" s="125"/>
      <c r="C19" s="67">
        <f>C13</f>
        <v>6.2600000000000003E-2</v>
      </c>
      <c r="D19" s="1" t="s">
        <v>68</v>
      </c>
    </row>
    <row r="20" spans="1:10" ht="25.5">
      <c r="A20" s="126" t="s">
        <v>74</v>
      </c>
      <c r="B20" s="126"/>
      <c r="C20" s="68">
        <f>'Rate Calculation'!E60</f>
        <v>4.66</v>
      </c>
      <c r="D20" s="1" t="s">
        <v>75</v>
      </c>
    </row>
    <row r="21" spans="1:10">
      <c r="A21" s="125" t="s">
        <v>76</v>
      </c>
      <c r="C21" s="68">
        <f>'Rate Calculation'!E61</f>
        <v>2.6</v>
      </c>
      <c r="D21" s="1" t="s">
        <v>75</v>
      </c>
    </row>
    <row r="22" spans="1:10">
      <c r="A22" s="125"/>
    </row>
    <row r="23" spans="1:10">
      <c r="A23" s="69" t="s">
        <v>77</v>
      </c>
      <c r="B23" s="69"/>
    </row>
    <row r="24" spans="1:10">
      <c r="A24" s="125" t="s">
        <v>78</v>
      </c>
      <c r="B24" s="125"/>
      <c r="C24" s="4">
        <f>'Rate Calculation'!E47</f>
        <v>136131194.88008001</v>
      </c>
      <c r="D24" s="70" t="s">
        <v>59</v>
      </c>
      <c r="E24" s="4">
        <f>ABS('Rate Calculation'!E49)</f>
        <v>17890979.185288437</v>
      </c>
      <c r="F24" s="28" t="s">
        <v>356</v>
      </c>
      <c r="H24" s="17">
        <f>'Calc of NT Rev Req'!I16</f>
        <v>995032.78153415769</v>
      </c>
      <c r="I24" s="45" t="s">
        <v>114</v>
      </c>
      <c r="J24" s="71">
        <f>'Calc of NT Rev Req'!I18</f>
        <v>119235248.47632575</v>
      </c>
    </row>
    <row r="25" spans="1:10">
      <c r="A25" s="125" t="s">
        <v>341</v>
      </c>
      <c r="B25" s="125"/>
      <c r="C25" s="17">
        <f>J24/12</f>
        <v>9936270.7063604798</v>
      </c>
    </row>
    <row r="28" spans="1:10">
      <c r="A28" s="45"/>
      <c r="B28" s="45"/>
    </row>
  </sheetData>
  <mergeCells count="1492">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s>
  <phoneticPr fontId="12"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12/31/2012</oddHeader>
    <oddFooter>&amp;L&amp;F, &amp;A</oddFooter>
  </headerFooter>
</worksheet>
</file>

<file path=xl/worksheets/sheet30.xml><?xml version="1.0" encoding="utf-8"?>
<worksheet xmlns="http://schemas.openxmlformats.org/spreadsheetml/2006/main" xmlns:r="http://schemas.openxmlformats.org/officeDocument/2006/relationships">
  <sheetPr codeName="Sheet31"/>
  <dimension ref="A1:E22"/>
  <sheetViews>
    <sheetView zoomScaleNormal="100" zoomScaleSheetLayoutView="100" workbookViewId="0">
      <selection activeCell="A19" sqref="A19"/>
    </sheetView>
  </sheetViews>
  <sheetFormatPr defaultRowHeight="12.75"/>
  <cols>
    <col min="1" max="1" width="26.28515625" style="179" customWidth="1"/>
    <col min="2" max="2" width="14.42578125" style="179" bestFit="1" customWidth="1"/>
    <col min="3" max="3" width="12.28515625" style="179" bestFit="1" customWidth="1"/>
    <col min="4" max="4" width="12" style="179" bestFit="1" customWidth="1"/>
    <col min="5" max="5" width="13.28515625" style="179" bestFit="1" customWidth="1"/>
    <col min="6" max="16384" width="9.140625" style="179"/>
  </cols>
  <sheetData>
    <row r="1" spans="1:5" ht="17.25" customHeight="1">
      <c r="A1" s="668" t="s">
        <v>603</v>
      </c>
      <c r="B1" s="668"/>
      <c r="C1" s="668"/>
      <c r="D1" s="668"/>
      <c r="E1" s="668"/>
    </row>
    <row r="2" spans="1:5">
      <c r="A2" s="668" t="s">
        <v>1035</v>
      </c>
      <c r="B2" s="668"/>
      <c r="C2" s="668"/>
      <c r="D2" s="668"/>
      <c r="E2" s="668"/>
    </row>
    <row r="3" spans="1:5">
      <c r="A3" s="668" t="str">
        <f>'Schedule 1 Workpaper'!A3:F3</f>
        <v>12 Months Ended 12/31/2012</v>
      </c>
      <c r="B3" s="668"/>
      <c r="C3" s="668"/>
      <c r="D3" s="668"/>
      <c r="E3" s="668"/>
    </row>
    <row r="4" spans="1:5">
      <c r="A4" s="491"/>
      <c r="B4" s="679"/>
      <c r="C4" s="679"/>
      <c r="D4" s="679"/>
      <c r="E4" s="679"/>
    </row>
    <row r="5" spans="1:5">
      <c r="A5" s="491"/>
      <c r="B5" s="261" t="s">
        <v>401</v>
      </c>
      <c r="C5" s="261" t="s">
        <v>543</v>
      </c>
      <c r="D5" s="261" t="s">
        <v>604</v>
      </c>
      <c r="E5" s="584" t="s">
        <v>561</v>
      </c>
    </row>
    <row r="6" spans="1:5" ht="12.75" customHeight="1">
      <c r="A6" s="491" t="s">
        <v>463</v>
      </c>
      <c r="B6" s="647">
        <v>59788.160000000003</v>
      </c>
      <c r="C6" s="647">
        <v>20833.009999999998</v>
      </c>
      <c r="D6" s="647">
        <v>1192.26</v>
      </c>
      <c r="E6" s="585">
        <f>SUM(B6:D6)</f>
        <v>81813.429999999993</v>
      </c>
    </row>
    <row r="7" spans="1:5">
      <c r="A7" s="491" t="s">
        <v>464</v>
      </c>
      <c r="B7" s="647">
        <v>50083.35</v>
      </c>
      <c r="C7" s="647">
        <v>14943.84</v>
      </c>
      <c r="D7" s="647">
        <v>1192.26</v>
      </c>
      <c r="E7" s="585">
        <f t="shared" ref="E7:E17" si="0">SUM(B7:D7)</f>
        <v>66219.45</v>
      </c>
    </row>
    <row r="8" spans="1:5">
      <c r="A8" s="491" t="s">
        <v>465</v>
      </c>
      <c r="B8" s="647">
        <v>57198.239999999998</v>
      </c>
      <c r="C8" s="647">
        <v>14989.9</v>
      </c>
      <c r="D8" s="647">
        <v>1192.26</v>
      </c>
      <c r="E8" s="585">
        <f t="shared" si="0"/>
        <v>73380.399999999994</v>
      </c>
    </row>
    <row r="9" spans="1:5">
      <c r="A9" s="491" t="s">
        <v>466</v>
      </c>
      <c r="B9" s="647">
        <v>52244.89</v>
      </c>
      <c r="C9" s="647">
        <v>14989.9</v>
      </c>
      <c r="D9" s="647">
        <v>1192.26</v>
      </c>
      <c r="E9" s="585">
        <f t="shared" si="0"/>
        <v>68427.049999999988</v>
      </c>
    </row>
    <row r="10" spans="1:5">
      <c r="A10" s="491" t="s">
        <v>467</v>
      </c>
      <c r="B10" s="647">
        <v>52370.58</v>
      </c>
      <c r="C10" s="647">
        <v>15068.09</v>
      </c>
      <c r="D10" s="647">
        <v>1192.26</v>
      </c>
      <c r="E10" s="585">
        <f t="shared" si="0"/>
        <v>68630.929999999993</v>
      </c>
    </row>
    <row r="11" spans="1:5">
      <c r="A11" s="491" t="s">
        <v>468</v>
      </c>
      <c r="B11" s="647">
        <v>52455.91</v>
      </c>
      <c r="C11" s="647">
        <v>15115.02</v>
      </c>
      <c r="D11" s="647">
        <v>1192.26</v>
      </c>
      <c r="E11" s="585">
        <f t="shared" si="0"/>
        <v>68763.19</v>
      </c>
    </row>
    <row r="12" spans="1:5">
      <c r="A12" s="491" t="s">
        <v>469</v>
      </c>
      <c r="B12" s="647">
        <v>52495.66</v>
      </c>
      <c r="C12" s="647">
        <v>27869.23</v>
      </c>
      <c r="D12" s="647">
        <v>1192.26</v>
      </c>
      <c r="E12" s="585">
        <f t="shared" si="0"/>
        <v>81557.149999999994</v>
      </c>
    </row>
    <row r="13" spans="1:5">
      <c r="A13" s="491" t="s">
        <v>470</v>
      </c>
      <c r="B13" s="647">
        <v>52582.01</v>
      </c>
      <c r="C13" s="647">
        <v>16551.86</v>
      </c>
      <c r="D13" s="647">
        <v>1192.26</v>
      </c>
      <c r="E13" s="585">
        <f t="shared" si="0"/>
        <v>70326.12999999999</v>
      </c>
    </row>
    <row r="14" spans="1:5">
      <c r="A14" s="491" t="s">
        <v>471</v>
      </c>
      <c r="B14" s="647">
        <v>52756.62</v>
      </c>
      <c r="C14" s="647">
        <v>16551.86</v>
      </c>
      <c r="D14" s="647">
        <v>1192.26</v>
      </c>
      <c r="E14" s="585">
        <f t="shared" si="0"/>
        <v>70500.740000000005</v>
      </c>
    </row>
    <row r="15" spans="1:5">
      <c r="A15" s="491" t="s">
        <v>472</v>
      </c>
      <c r="B15" s="647">
        <v>58351.57</v>
      </c>
      <c r="C15" s="647">
        <v>16627.919999999998</v>
      </c>
      <c r="D15" s="647">
        <v>1192.26</v>
      </c>
      <c r="E15" s="585">
        <f t="shared" si="0"/>
        <v>76171.749999999985</v>
      </c>
    </row>
    <row r="16" spans="1:5">
      <c r="A16" s="491" t="s">
        <v>473</v>
      </c>
      <c r="B16" s="647">
        <v>54486.9</v>
      </c>
      <c r="C16" s="647">
        <v>16704.68</v>
      </c>
      <c r="D16" s="647">
        <v>1192.26</v>
      </c>
      <c r="E16" s="585">
        <f t="shared" si="0"/>
        <v>72383.839999999997</v>
      </c>
    </row>
    <row r="17" spans="1:5">
      <c r="A17" s="491" t="s">
        <v>474</v>
      </c>
      <c r="B17" s="648">
        <v>54744.81</v>
      </c>
      <c r="C17" s="648">
        <v>41366.639999999999</v>
      </c>
      <c r="D17" s="648">
        <v>1192.26</v>
      </c>
      <c r="E17" s="586">
        <f t="shared" si="0"/>
        <v>97303.709999999992</v>
      </c>
    </row>
    <row r="18" spans="1:5">
      <c r="A18" s="651" t="s">
        <v>1330</v>
      </c>
      <c r="B18" s="587">
        <f>SUM(B6:B17)</f>
        <v>649558.69999999995</v>
      </c>
      <c r="C18" s="587">
        <f>SUM(C6:C17)</f>
        <v>231611.94999999995</v>
      </c>
      <c r="D18" s="587">
        <f>SUM(D6:D17)</f>
        <v>14307.12</v>
      </c>
      <c r="E18" s="588">
        <f>SUM(E6:E17)</f>
        <v>895477.7699999999</v>
      </c>
    </row>
    <row r="19" spans="1:5" ht="25.5" customHeight="1">
      <c r="A19" s="577"/>
      <c r="B19" s="202"/>
      <c r="C19" s="202"/>
      <c r="D19" s="202"/>
      <c r="E19" s="202"/>
    </row>
    <row r="20" spans="1:5">
      <c r="A20" s="491"/>
      <c r="B20" s="589"/>
      <c r="C20" s="589"/>
      <c r="D20" s="589"/>
      <c r="E20" s="589"/>
    </row>
    <row r="21" spans="1:5">
      <c r="A21" s="205"/>
      <c r="B21" s="205"/>
      <c r="C21" s="205"/>
      <c r="D21" s="205"/>
      <c r="E21" s="205"/>
    </row>
    <row r="22" spans="1:5">
      <c r="A22" s="205"/>
      <c r="B22" s="205"/>
      <c r="C22" s="205"/>
      <c r="D22" s="205"/>
      <c r="E22" s="205"/>
    </row>
  </sheetData>
  <sheetProtection formatCells="0"/>
  <mergeCells count="4">
    <mergeCell ref="A1:E1"/>
    <mergeCell ref="A2:E2"/>
    <mergeCell ref="B4:E4"/>
    <mergeCell ref="A3:E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1.xml><?xml version="1.0" encoding="utf-8"?>
<worksheet xmlns="http://schemas.openxmlformats.org/spreadsheetml/2006/main" xmlns:r="http://schemas.openxmlformats.org/officeDocument/2006/relationships">
  <sheetPr codeName="Sheet32"/>
  <dimension ref="A1:I19"/>
  <sheetViews>
    <sheetView zoomScaleNormal="100" zoomScaleSheetLayoutView="100" workbookViewId="0">
      <selection activeCell="D4" sqref="D4"/>
    </sheetView>
  </sheetViews>
  <sheetFormatPr defaultRowHeight="12.75"/>
  <cols>
    <col min="1" max="1" width="3.5703125" style="1" customWidth="1"/>
    <col min="2" max="2" width="1.85546875" style="1" customWidth="1"/>
    <col min="3" max="3" width="3.42578125" style="146" customWidth="1"/>
    <col min="4" max="4" width="37.5703125" style="1" customWidth="1"/>
    <col min="5" max="5" width="10" style="1" customWidth="1"/>
    <col min="6" max="6" width="1.85546875" style="1" customWidth="1"/>
    <col min="7" max="7" width="16.28515625" style="1" customWidth="1"/>
    <col min="8" max="8" width="1.7109375" style="1" customWidth="1"/>
    <col min="9" max="9" width="49.140625" style="1" customWidth="1"/>
    <col min="10" max="16384" width="9.140625" style="1"/>
  </cols>
  <sheetData>
    <row r="1" spans="1:9">
      <c r="C1" s="660" t="s">
        <v>781</v>
      </c>
      <c r="D1" s="660"/>
      <c r="E1" s="660"/>
      <c r="F1" s="660"/>
      <c r="G1" s="660"/>
      <c r="H1" s="660"/>
      <c r="I1" s="660"/>
    </row>
    <row r="2" spans="1:9">
      <c r="C2" s="660" t="s">
        <v>1121</v>
      </c>
      <c r="D2" s="660"/>
      <c r="E2" s="660"/>
      <c r="F2" s="660"/>
      <c r="G2" s="660"/>
      <c r="H2" s="660"/>
      <c r="I2" s="660"/>
    </row>
    <row r="3" spans="1:9" s="157" customFormat="1">
      <c r="A3" s="165"/>
      <c r="B3" s="165"/>
      <c r="C3" s="165"/>
      <c r="D3" s="660" t="s">
        <v>1140</v>
      </c>
      <c r="E3" s="660"/>
      <c r="F3" s="660"/>
      <c r="G3" s="660"/>
      <c r="H3" s="660"/>
      <c r="I3" s="660"/>
    </row>
    <row r="4" spans="1:9" s="157" customFormat="1">
      <c r="C4" s="165"/>
      <c r="D4" s="165"/>
      <c r="E4" s="165"/>
      <c r="F4" s="165"/>
      <c r="G4" s="165"/>
      <c r="H4" s="165"/>
      <c r="I4" s="165"/>
    </row>
    <row r="5" spans="1:9" s="157" customFormat="1">
      <c r="C5" s="165"/>
      <c r="D5" s="165"/>
      <c r="E5" s="165"/>
      <c r="F5" s="165"/>
      <c r="G5" s="165"/>
      <c r="H5" s="165"/>
      <c r="I5" s="165"/>
    </row>
    <row r="6" spans="1:9">
      <c r="D6" s="34"/>
      <c r="E6" s="147" t="s">
        <v>561</v>
      </c>
      <c r="F6" s="147"/>
      <c r="G6" s="147" t="s">
        <v>658</v>
      </c>
      <c r="H6" s="147"/>
      <c r="I6" s="147"/>
    </row>
    <row r="7" spans="1:9">
      <c r="C7" s="660" t="s">
        <v>659</v>
      </c>
      <c r="D7" s="660"/>
      <c r="E7" s="147" t="s">
        <v>234</v>
      </c>
      <c r="F7" s="147"/>
      <c r="G7" s="147" t="s">
        <v>660</v>
      </c>
      <c r="H7" s="147"/>
      <c r="I7" s="147" t="s">
        <v>661</v>
      </c>
    </row>
    <row r="8" spans="1:9">
      <c r="D8" s="147" t="s">
        <v>478</v>
      </c>
      <c r="E8" s="147" t="s">
        <v>479</v>
      </c>
      <c r="F8" s="147"/>
      <c r="G8" s="147" t="s">
        <v>662</v>
      </c>
      <c r="H8" s="147"/>
      <c r="I8" s="147" t="s">
        <v>663</v>
      </c>
    </row>
    <row r="9" spans="1:9">
      <c r="A9" s="149">
        <v>1</v>
      </c>
      <c r="B9" s="146"/>
      <c r="C9" s="35" t="s">
        <v>1122</v>
      </c>
      <c r="D9" s="98"/>
      <c r="E9" s="18"/>
      <c r="F9" s="18"/>
      <c r="G9" s="18"/>
      <c r="H9" s="18"/>
      <c r="I9" s="36"/>
    </row>
    <row r="10" spans="1:9" ht="12.75" customHeight="1">
      <c r="A10" s="37">
        <f>A9+1</f>
        <v>2</v>
      </c>
      <c r="B10" s="148"/>
      <c r="C10" s="38"/>
      <c r="D10" s="19" t="s">
        <v>782</v>
      </c>
      <c r="E10" s="168">
        <f>'Schedule 4 Workpaper page 3'!D77</f>
        <v>28361.9</v>
      </c>
      <c r="F10" s="168"/>
      <c r="G10" s="168">
        <f>'Schedule 4 Workpaper page 3'!E70</f>
        <v>1298.74</v>
      </c>
      <c r="H10" s="20"/>
      <c r="I10" s="21" t="s">
        <v>1038</v>
      </c>
    </row>
    <row r="11" spans="1:9">
      <c r="A11" s="37">
        <f>A10+1</f>
        <v>3</v>
      </c>
      <c r="B11" s="148"/>
      <c r="C11" s="40"/>
      <c r="D11" s="19" t="s">
        <v>605</v>
      </c>
      <c r="E11" s="170">
        <f>'Schedule 4 Workpaper page 3'!D76</f>
        <v>0</v>
      </c>
      <c r="F11" s="170"/>
      <c r="G11" s="170">
        <f>E11*1</f>
        <v>0</v>
      </c>
      <c r="H11" s="20"/>
      <c r="I11" s="21" t="s">
        <v>160</v>
      </c>
    </row>
    <row r="12" spans="1:9" ht="15.75" customHeight="1">
      <c r="A12" s="37">
        <f>A11+1</f>
        <v>4</v>
      </c>
      <c r="B12" s="148"/>
      <c r="C12" s="41" t="s">
        <v>681</v>
      </c>
      <c r="D12" s="42"/>
      <c r="E12" s="169">
        <f>SUM(E10:E11)</f>
        <v>28361.9</v>
      </c>
      <c r="F12" s="169"/>
      <c r="G12" s="169">
        <f>SUM(G10:G11)</f>
        <v>1298.74</v>
      </c>
      <c r="H12" s="20"/>
      <c r="I12" s="20" t="s">
        <v>34</v>
      </c>
    </row>
    <row r="13" spans="1:9">
      <c r="D13" s="22"/>
      <c r="E13" s="17"/>
      <c r="F13" s="17"/>
      <c r="G13" s="17"/>
      <c r="H13" s="17"/>
      <c r="I13" s="17"/>
    </row>
    <row r="14" spans="1:9">
      <c r="C14" s="233"/>
      <c r="D14" s="233" t="s">
        <v>1123</v>
      </c>
      <c r="E14" s="17"/>
      <c r="F14" s="17"/>
      <c r="G14" s="17"/>
      <c r="H14" s="17"/>
      <c r="I14" s="17"/>
    </row>
    <row r="15" spans="1:9">
      <c r="D15" s="39"/>
      <c r="E15" s="17"/>
      <c r="F15" s="17"/>
      <c r="G15" s="17"/>
      <c r="H15" s="17"/>
      <c r="I15" s="17"/>
    </row>
    <row r="17" spans="4:5">
      <c r="D17" s="39"/>
      <c r="E17" s="17"/>
    </row>
    <row r="19" spans="4:5">
      <c r="D19" s="43"/>
      <c r="E19" s="17"/>
    </row>
  </sheetData>
  <sheetProtection formatCells="0"/>
  <mergeCells count="4">
    <mergeCell ref="C1:I1"/>
    <mergeCell ref="C2:I2"/>
    <mergeCell ref="C7:D7"/>
    <mergeCell ref="D3:I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2.xml><?xml version="1.0" encoding="utf-8"?>
<worksheet xmlns="http://schemas.openxmlformats.org/spreadsheetml/2006/main" xmlns:r="http://schemas.openxmlformats.org/officeDocument/2006/relationships">
  <sheetPr codeName="Sheet33"/>
  <dimension ref="A1:K44"/>
  <sheetViews>
    <sheetView zoomScaleNormal="100" zoomScaleSheetLayoutView="100" workbookViewId="0">
      <selection activeCell="B5" sqref="B5"/>
    </sheetView>
  </sheetViews>
  <sheetFormatPr defaultRowHeight="12.75"/>
  <cols>
    <col min="1" max="1" width="4.7109375" style="179" customWidth="1"/>
    <col min="2" max="2" width="57.85546875" style="179" customWidth="1"/>
    <col min="3" max="3" width="0.42578125" style="179" customWidth="1"/>
    <col min="4" max="4" width="1.5703125" style="179" customWidth="1"/>
    <col min="5" max="5" width="12.7109375" style="179" bestFit="1" customWidth="1"/>
    <col min="6" max="6" width="1.5703125" style="179" customWidth="1"/>
    <col min="7" max="7" width="12.7109375" style="179" bestFit="1" customWidth="1"/>
    <col min="8" max="8" width="1.5703125" style="179" customWidth="1"/>
    <col min="9" max="9" width="11.85546875" style="179" bestFit="1" customWidth="1"/>
    <col min="10" max="10" width="1.42578125" style="179" customWidth="1"/>
    <col min="11" max="11" width="15.7109375" style="179" customWidth="1"/>
    <col min="12" max="16384" width="9.140625" style="179"/>
  </cols>
  <sheetData>
    <row r="1" spans="1:11">
      <c r="B1" s="668" t="s">
        <v>388</v>
      </c>
      <c r="C1" s="668"/>
      <c r="D1" s="668"/>
      <c r="E1" s="668"/>
      <c r="F1" s="668"/>
      <c r="G1" s="668"/>
      <c r="H1" s="668"/>
      <c r="I1" s="668"/>
      <c r="J1" s="668"/>
      <c r="K1" s="212"/>
    </row>
    <row r="2" spans="1:11" ht="12.75" customHeight="1">
      <c r="B2" s="668" t="s">
        <v>389</v>
      </c>
      <c r="C2" s="668"/>
      <c r="D2" s="668"/>
      <c r="E2" s="668"/>
      <c r="F2" s="668"/>
      <c r="G2" s="668"/>
      <c r="H2" s="668"/>
      <c r="I2" s="668"/>
      <c r="J2" s="668"/>
      <c r="K2" s="212"/>
    </row>
    <row r="3" spans="1:11" ht="12.75" customHeight="1">
      <c r="B3" s="668" t="s">
        <v>1039</v>
      </c>
      <c r="C3" s="668"/>
      <c r="D3" s="668"/>
      <c r="E3" s="668"/>
      <c r="F3" s="668"/>
      <c r="G3" s="668"/>
      <c r="H3" s="668"/>
      <c r="I3" s="668"/>
      <c r="J3" s="668"/>
      <c r="K3" s="212"/>
    </row>
    <row r="4" spans="1:11">
      <c r="A4" s="489"/>
      <c r="B4" s="668" t="s">
        <v>1140</v>
      </c>
      <c r="C4" s="668"/>
      <c r="D4" s="668"/>
      <c r="E4" s="668"/>
      <c r="F4" s="668"/>
      <c r="G4" s="668"/>
      <c r="H4" s="668"/>
      <c r="I4" s="668"/>
      <c r="J4" s="668"/>
    </row>
    <row r="5" spans="1:11">
      <c r="B5" s="181"/>
      <c r="C5" s="181"/>
      <c r="D5" s="181"/>
      <c r="E5" s="181"/>
      <c r="F5" s="181"/>
      <c r="G5" s="181"/>
      <c r="H5" s="181"/>
      <c r="I5" s="181"/>
      <c r="J5" s="181"/>
      <c r="K5" s="181"/>
    </row>
    <row r="6" spans="1:11">
      <c r="B6" s="488"/>
      <c r="C6" s="488"/>
      <c r="D6" s="488"/>
      <c r="E6" s="488"/>
      <c r="F6" s="488"/>
      <c r="G6" s="488"/>
      <c r="H6" s="488"/>
      <c r="I6" s="488"/>
      <c r="J6" s="488"/>
      <c r="K6" s="488"/>
    </row>
    <row r="7" spans="1:11">
      <c r="B7" s="488"/>
      <c r="C7" s="488"/>
      <c r="D7" s="488"/>
      <c r="E7" s="488"/>
      <c r="F7" s="488"/>
      <c r="G7" s="488"/>
      <c r="H7" s="488"/>
      <c r="I7" s="488"/>
      <c r="J7" s="488"/>
      <c r="K7" s="488"/>
    </row>
    <row r="9" spans="1:11" ht="26.25" customHeight="1">
      <c r="C9" s="577"/>
      <c r="D9" s="491"/>
      <c r="E9" s="578" t="s">
        <v>189</v>
      </c>
      <c r="F9" s="491"/>
      <c r="G9" s="278" t="s">
        <v>188</v>
      </c>
      <c r="H9" s="491"/>
      <c r="I9" s="578" t="s">
        <v>1013</v>
      </c>
      <c r="J9" s="491"/>
      <c r="K9" s="578" t="s">
        <v>561</v>
      </c>
    </row>
    <row r="10" spans="1:11">
      <c r="C10" s="491"/>
      <c r="D10" s="491"/>
      <c r="E10" s="491"/>
      <c r="F10" s="491"/>
      <c r="G10" s="491"/>
      <c r="H10" s="491"/>
      <c r="I10" s="491"/>
      <c r="J10" s="491"/>
      <c r="K10" s="491"/>
    </row>
    <row r="11" spans="1:11">
      <c r="A11" s="488"/>
      <c r="B11" s="579"/>
      <c r="C11" s="579"/>
      <c r="D11" s="579"/>
      <c r="E11" s="579"/>
      <c r="F11" s="579"/>
      <c r="G11" s="579"/>
      <c r="H11" s="579"/>
      <c r="I11" s="579"/>
      <c r="J11" s="579"/>
      <c r="K11" s="171"/>
    </row>
    <row r="12" spans="1:11">
      <c r="A12" s="488">
        <v>1</v>
      </c>
      <c r="B12" s="579" t="s">
        <v>1055</v>
      </c>
      <c r="C12" s="579"/>
      <c r="D12" s="579"/>
      <c r="E12" s="171">
        <v>443158.6</v>
      </c>
      <c r="F12" s="580"/>
      <c r="G12" s="171">
        <v>2626447</v>
      </c>
      <c r="H12" s="581"/>
      <c r="I12" s="649"/>
      <c r="J12" s="579"/>
      <c r="K12" s="171">
        <f>SUM(E12:I12)</f>
        <v>3069605.6</v>
      </c>
    </row>
    <row r="13" spans="1:11">
      <c r="A13" s="488">
        <v>2</v>
      </c>
      <c r="B13" s="579" t="s">
        <v>1056</v>
      </c>
      <c r="C13" s="579"/>
      <c r="D13" s="579"/>
      <c r="E13" s="171">
        <v>3039.04</v>
      </c>
      <c r="F13" s="580"/>
      <c r="G13" s="171">
        <v>77368.92</v>
      </c>
      <c r="H13" s="582"/>
      <c r="I13" s="649"/>
      <c r="J13" s="579"/>
      <c r="K13" s="171">
        <f t="shared" ref="K13:K30" si="0">SUM(E13:I13)</f>
        <v>80407.959999999992</v>
      </c>
    </row>
    <row r="14" spans="1:11">
      <c r="A14" s="488">
        <v>3</v>
      </c>
      <c r="B14" s="579" t="s">
        <v>1057</v>
      </c>
      <c r="C14" s="579"/>
      <c r="D14" s="579"/>
      <c r="E14" s="171">
        <v>1665252.42</v>
      </c>
      <c r="F14" s="580"/>
      <c r="G14" s="171">
        <v>895500.85</v>
      </c>
      <c r="H14" s="582"/>
      <c r="I14" s="649"/>
      <c r="J14" s="579"/>
      <c r="K14" s="171">
        <f t="shared" si="0"/>
        <v>2560753.27</v>
      </c>
    </row>
    <row r="15" spans="1:11">
      <c r="A15" s="488">
        <v>4</v>
      </c>
      <c r="B15" s="579" t="s">
        <v>1058</v>
      </c>
      <c r="C15" s="579"/>
      <c r="D15" s="579"/>
      <c r="E15" s="171"/>
      <c r="F15" s="580"/>
      <c r="G15" s="171">
        <v>4.04</v>
      </c>
      <c r="H15" s="582"/>
      <c r="I15" s="649"/>
      <c r="J15" s="579"/>
      <c r="K15" s="171">
        <f t="shared" si="0"/>
        <v>4.04</v>
      </c>
    </row>
    <row r="16" spans="1:11">
      <c r="A16" s="488">
        <v>5</v>
      </c>
      <c r="B16" s="579" t="s">
        <v>1145</v>
      </c>
      <c r="C16" s="579"/>
      <c r="D16" s="579"/>
      <c r="E16" s="171"/>
      <c r="F16" s="580"/>
      <c r="G16" s="171">
        <v>6674.6</v>
      </c>
      <c r="H16" s="582"/>
      <c r="I16" s="649"/>
      <c r="J16" s="579"/>
      <c r="K16" s="171">
        <f>SUM(E16:I16)</f>
        <v>6674.6</v>
      </c>
    </row>
    <row r="17" spans="1:11">
      <c r="A17" s="488">
        <v>6</v>
      </c>
      <c r="B17" s="579" t="s">
        <v>1059</v>
      </c>
      <c r="C17" s="579"/>
      <c r="D17" s="579"/>
      <c r="E17" s="171"/>
      <c r="F17" s="580"/>
      <c r="G17" s="171">
        <v>75632.62</v>
      </c>
      <c r="H17" s="582"/>
      <c r="I17" s="649"/>
      <c r="J17" s="579"/>
      <c r="K17" s="171">
        <f t="shared" si="0"/>
        <v>75632.62</v>
      </c>
    </row>
    <row r="18" spans="1:11">
      <c r="A18" s="488">
        <v>7</v>
      </c>
      <c r="B18" s="579" t="s">
        <v>879</v>
      </c>
      <c r="C18" s="579"/>
      <c r="D18" s="579"/>
      <c r="E18" s="171">
        <v>24962.959999999999</v>
      </c>
      <c r="F18" s="580"/>
      <c r="G18" s="171">
        <v>310429.28999999998</v>
      </c>
      <c r="H18" s="582"/>
      <c r="I18" s="649"/>
      <c r="J18" s="579"/>
      <c r="K18" s="171">
        <f t="shared" si="0"/>
        <v>335392.25</v>
      </c>
    </row>
    <row r="19" spans="1:11">
      <c r="A19" s="488">
        <v>8</v>
      </c>
      <c r="B19" s="579" t="s">
        <v>1060</v>
      </c>
      <c r="C19" s="579"/>
      <c r="D19" s="579"/>
      <c r="E19" s="171">
        <v>52734.52</v>
      </c>
      <c r="F19" s="580"/>
      <c r="G19" s="171">
        <v>1008358.77</v>
      </c>
      <c r="H19" s="582"/>
      <c r="I19" s="649"/>
      <c r="J19" s="579"/>
      <c r="K19" s="171">
        <f t="shared" si="0"/>
        <v>1061093.29</v>
      </c>
    </row>
    <row r="20" spans="1:11">
      <c r="A20" s="488">
        <v>9</v>
      </c>
      <c r="B20" s="579" t="s">
        <v>880</v>
      </c>
      <c r="C20" s="579"/>
      <c r="D20" s="579"/>
      <c r="E20" s="171"/>
      <c r="F20" s="580"/>
      <c r="G20" s="171">
        <v>1126.1500000000001</v>
      </c>
      <c r="H20" s="582"/>
      <c r="I20" s="649"/>
      <c r="J20" s="579"/>
      <c r="K20" s="171">
        <f t="shared" si="0"/>
        <v>1126.1500000000001</v>
      </c>
    </row>
    <row r="21" spans="1:11">
      <c r="A21" s="488">
        <v>10</v>
      </c>
      <c r="B21" s="579" t="s">
        <v>1061</v>
      </c>
      <c r="C21" s="579"/>
      <c r="D21" s="579"/>
      <c r="E21" s="171"/>
      <c r="F21" s="580"/>
      <c r="G21" s="171">
        <v>18018.55</v>
      </c>
      <c r="H21" s="582"/>
      <c r="I21" s="649"/>
      <c r="J21" s="579"/>
      <c r="K21" s="171">
        <f t="shared" si="0"/>
        <v>18018.55</v>
      </c>
    </row>
    <row r="22" spans="1:11">
      <c r="A22" s="488">
        <v>11</v>
      </c>
      <c r="B22" s="579" t="s">
        <v>881</v>
      </c>
      <c r="C22" s="579"/>
      <c r="D22" s="579"/>
      <c r="E22" s="171"/>
      <c r="F22" s="580"/>
      <c r="G22" s="171">
        <v>510.3</v>
      </c>
      <c r="H22" s="582"/>
      <c r="I22" s="649"/>
      <c r="J22" s="579"/>
      <c r="K22" s="171">
        <f t="shared" si="0"/>
        <v>510.3</v>
      </c>
    </row>
    <row r="23" spans="1:11">
      <c r="A23" s="488">
        <v>12</v>
      </c>
      <c r="B23" s="579" t="s">
        <v>1062</v>
      </c>
      <c r="C23" s="579"/>
      <c r="D23" s="579"/>
      <c r="E23" s="171">
        <v>102949.83</v>
      </c>
      <c r="F23" s="580"/>
      <c r="G23" s="171">
        <v>155261.76999999999</v>
      </c>
      <c r="H23" s="582"/>
      <c r="I23" s="649"/>
      <c r="J23" s="579"/>
      <c r="K23" s="171">
        <f t="shared" si="0"/>
        <v>258211.59999999998</v>
      </c>
    </row>
    <row r="24" spans="1:11">
      <c r="A24" s="488">
        <v>13</v>
      </c>
      <c r="B24" s="579" t="s">
        <v>1063</v>
      </c>
      <c r="C24" s="579"/>
      <c r="D24" s="579"/>
      <c r="E24" s="171">
        <v>14552.83</v>
      </c>
      <c r="F24" s="580"/>
      <c r="G24" s="171">
        <v>128141.85</v>
      </c>
      <c r="H24" s="582"/>
      <c r="I24" s="649"/>
      <c r="J24" s="579"/>
      <c r="K24" s="171">
        <f t="shared" si="0"/>
        <v>142694.68</v>
      </c>
    </row>
    <row r="25" spans="1:11">
      <c r="A25" s="488">
        <v>14</v>
      </c>
      <c r="B25" s="579" t="s">
        <v>1064</v>
      </c>
      <c r="C25" s="579"/>
      <c r="D25" s="579"/>
      <c r="E25" s="171">
        <v>16267.03</v>
      </c>
      <c r="F25" s="580"/>
      <c r="G25" s="171">
        <v>316221.78999999998</v>
      </c>
      <c r="H25" s="582"/>
      <c r="I25" s="649"/>
      <c r="J25" s="579"/>
      <c r="K25" s="171">
        <f t="shared" si="0"/>
        <v>332488.82</v>
      </c>
    </row>
    <row r="26" spans="1:11">
      <c r="A26" s="488">
        <v>15</v>
      </c>
      <c r="B26" s="579" t="s">
        <v>1065</v>
      </c>
      <c r="C26" s="579"/>
      <c r="D26" s="579"/>
      <c r="E26" s="171"/>
      <c r="F26" s="580"/>
      <c r="G26" s="171">
        <v>626.20000000000005</v>
      </c>
      <c r="H26" s="582"/>
      <c r="I26" s="649"/>
      <c r="J26" s="579"/>
      <c r="K26" s="171">
        <f t="shared" si="0"/>
        <v>626.20000000000005</v>
      </c>
    </row>
    <row r="27" spans="1:11">
      <c r="A27" s="488">
        <v>16</v>
      </c>
      <c r="B27" s="579" t="s">
        <v>1066</v>
      </c>
      <c r="C27" s="579"/>
      <c r="D27" s="579"/>
      <c r="E27" s="171"/>
      <c r="F27" s="580"/>
      <c r="G27" s="171">
        <v>3044.07</v>
      </c>
      <c r="H27" s="582"/>
      <c r="I27" s="649"/>
      <c r="J27" s="579"/>
      <c r="K27" s="171">
        <f t="shared" si="0"/>
        <v>3044.07</v>
      </c>
    </row>
    <row r="28" spans="1:11">
      <c r="A28" s="488">
        <v>17</v>
      </c>
      <c r="B28" s="579" t="s">
        <v>984</v>
      </c>
      <c r="C28" s="579"/>
      <c r="D28" s="579"/>
      <c r="E28" s="171"/>
      <c r="F28" s="580"/>
      <c r="G28" s="171">
        <v>33450.6</v>
      </c>
      <c r="H28" s="582"/>
      <c r="I28" s="649"/>
      <c r="J28" s="579"/>
      <c r="K28" s="171">
        <f t="shared" si="0"/>
        <v>33450.6</v>
      </c>
    </row>
    <row r="29" spans="1:11">
      <c r="A29" s="488">
        <v>18</v>
      </c>
      <c r="B29" s="579" t="s">
        <v>1067</v>
      </c>
      <c r="C29" s="579"/>
      <c r="D29" s="579"/>
      <c r="E29" s="171"/>
      <c r="F29" s="580"/>
      <c r="G29" s="171">
        <v>33200.800000000003</v>
      </c>
      <c r="H29" s="582"/>
      <c r="I29" s="649"/>
      <c r="J29" s="579"/>
      <c r="K29" s="171">
        <f t="shared" si="0"/>
        <v>33200.800000000003</v>
      </c>
    </row>
    <row r="30" spans="1:11">
      <c r="A30" s="488">
        <v>19</v>
      </c>
      <c r="B30" s="579" t="s">
        <v>1040</v>
      </c>
      <c r="C30" s="579"/>
      <c r="D30" s="579"/>
      <c r="E30" s="171">
        <v>5664513.3200000003</v>
      </c>
      <c r="F30" s="580"/>
      <c r="G30" s="171">
        <v>2894527.44</v>
      </c>
      <c r="H30" s="582"/>
      <c r="I30" s="171"/>
      <c r="J30" s="579"/>
      <c r="K30" s="171">
        <f t="shared" si="0"/>
        <v>8559040.7599999998</v>
      </c>
    </row>
    <row r="31" spans="1:11">
      <c r="A31" s="488">
        <v>20</v>
      </c>
      <c r="B31" s="579"/>
      <c r="C31" s="579"/>
      <c r="D31" s="579"/>
      <c r="E31" s="579"/>
      <c r="F31" s="579"/>
      <c r="G31" s="579"/>
      <c r="H31" s="579"/>
      <c r="I31" s="579"/>
      <c r="J31" s="579"/>
      <c r="K31" s="171"/>
    </row>
    <row r="32" spans="1:11">
      <c r="A32" s="488">
        <v>21</v>
      </c>
      <c r="B32" s="579" t="s">
        <v>561</v>
      </c>
      <c r="C32" s="171"/>
      <c r="D32" s="579"/>
      <c r="E32" s="583">
        <f>SUM(E12:E30)</f>
        <v>7987430.5500000007</v>
      </c>
      <c r="F32" s="579"/>
      <c r="G32" s="583">
        <f>SUM(G12:G30)</f>
        <v>8584545.6099999994</v>
      </c>
      <c r="H32" s="579"/>
      <c r="I32" s="583">
        <f>SUM(I12:I30)</f>
        <v>0</v>
      </c>
      <c r="J32" s="171">
        <f>SUM(J11:J29)</f>
        <v>0</v>
      </c>
      <c r="K32" s="171"/>
    </row>
    <row r="33" spans="1:11">
      <c r="A33" s="488">
        <v>22</v>
      </c>
      <c r="K33" s="205"/>
    </row>
    <row r="34" spans="1:11">
      <c r="A34" s="488">
        <v>23</v>
      </c>
      <c r="B34" s="579" t="s">
        <v>36</v>
      </c>
      <c r="K34" s="225">
        <f>SUM(K12:K30)</f>
        <v>16571976.16</v>
      </c>
    </row>
    <row r="35" spans="1:11">
      <c r="K35" s="205"/>
    </row>
    <row r="36" spans="1:11">
      <c r="K36" s="205"/>
    </row>
    <row r="37" spans="1:11">
      <c r="E37" s="222"/>
      <c r="F37" s="222"/>
      <c r="G37" s="222"/>
      <c r="H37" s="222"/>
      <c r="I37" s="222"/>
      <c r="J37" s="222"/>
      <c r="K37" s="222"/>
    </row>
    <row r="38" spans="1:11">
      <c r="B38" s="179" t="s">
        <v>1041</v>
      </c>
    </row>
    <row r="39" spans="1:11">
      <c r="B39" s="179" t="s">
        <v>1146</v>
      </c>
    </row>
    <row r="42" spans="1:11">
      <c r="B42" s="205"/>
    </row>
    <row r="44" spans="1:11">
      <c r="B44" s="181"/>
    </row>
  </sheetData>
  <sheetProtection formatCells="0"/>
  <mergeCells count="4">
    <mergeCell ref="B4:J4"/>
    <mergeCell ref="B1:J1"/>
    <mergeCell ref="B2:J2"/>
    <mergeCell ref="B3:J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3.xml><?xml version="1.0" encoding="utf-8"?>
<worksheet xmlns="http://schemas.openxmlformats.org/spreadsheetml/2006/main" xmlns:r="http://schemas.openxmlformats.org/officeDocument/2006/relationships">
  <sheetPr codeName="Sheet34"/>
  <dimension ref="A1:N19"/>
  <sheetViews>
    <sheetView zoomScaleNormal="100" zoomScaleSheetLayoutView="100" workbookViewId="0">
      <selection activeCell="A5" sqref="A5"/>
    </sheetView>
  </sheetViews>
  <sheetFormatPr defaultRowHeight="12.75"/>
  <cols>
    <col min="1" max="1" width="2.85546875" style="205" customWidth="1"/>
    <col min="2" max="2" width="22.28515625" style="205" customWidth="1"/>
    <col min="3" max="3" width="9.140625" style="205"/>
    <col min="4" max="4" width="11.5703125" style="205" bestFit="1" customWidth="1"/>
    <col min="5" max="5" width="10.140625" style="205" bestFit="1" customWidth="1"/>
    <col min="6" max="6" width="11.140625" style="205" bestFit="1" customWidth="1"/>
    <col min="7" max="16384" width="9.140625" style="205"/>
  </cols>
  <sheetData>
    <row r="1" spans="1:14">
      <c r="A1" s="679" t="s">
        <v>392</v>
      </c>
      <c r="B1" s="679"/>
      <c r="C1" s="679"/>
      <c r="D1" s="679"/>
      <c r="E1" s="679"/>
      <c r="F1" s="679"/>
      <c r="G1" s="679"/>
      <c r="H1" s="679"/>
      <c r="I1" s="679"/>
      <c r="J1" s="679"/>
      <c r="K1" s="679"/>
      <c r="L1" s="679"/>
      <c r="M1" s="679"/>
      <c r="N1" s="679"/>
    </row>
    <row r="2" spans="1:14">
      <c r="A2" s="679" t="s">
        <v>390</v>
      </c>
      <c r="B2" s="679"/>
      <c r="C2" s="679"/>
      <c r="D2" s="679"/>
      <c r="E2" s="679"/>
      <c r="F2" s="679"/>
      <c r="G2" s="679"/>
      <c r="H2" s="679"/>
      <c r="I2" s="679"/>
      <c r="J2" s="679"/>
      <c r="K2" s="679"/>
      <c r="L2" s="679"/>
      <c r="M2" s="679"/>
      <c r="N2" s="679"/>
    </row>
    <row r="3" spans="1:14">
      <c r="A3" s="679" t="s">
        <v>960</v>
      </c>
      <c r="B3" s="679"/>
      <c r="C3" s="679"/>
      <c r="D3" s="679"/>
      <c r="E3" s="679"/>
      <c r="F3" s="679"/>
      <c r="G3" s="679"/>
      <c r="H3" s="679"/>
      <c r="I3" s="679"/>
      <c r="J3" s="679"/>
      <c r="K3" s="679"/>
      <c r="L3" s="679"/>
      <c r="M3" s="679"/>
      <c r="N3" s="679"/>
    </row>
    <row r="4" spans="1:14" s="179" customFormat="1">
      <c r="A4" s="679" t="s">
        <v>1140</v>
      </c>
      <c r="B4" s="679"/>
      <c r="C4" s="679"/>
      <c r="D4" s="679"/>
      <c r="E4" s="679"/>
      <c r="F4" s="679"/>
      <c r="G4" s="679"/>
      <c r="H4" s="679"/>
      <c r="I4" s="679"/>
      <c r="J4" s="679"/>
      <c r="K4" s="679"/>
      <c r="L4" s="679"/>
      <c r="M4" s="679"/>
      <c r="N4" s="679"/>
    </row>
    <row r="6" spans="1:14">
      <c r="D6" s="287">
        <v>2012</v>
      </c>
    </row>
    <row r="7" spans="1:14">
      <c r="A7" s="491">
        <v>1</v>
      </c>
      <c r="B7" s="205" t="s">
        <v>1042</v>
      </c>
      <c r="D7" s="103">
        <v>6514.25</v>
      </c>
      <c r="F7" s="103"/>
    </row>
    <row r="8" spans="1:14">
      <c r="A8" s="491">
        <v>2</v>
      </c>
      <c r="B8" s="205" t="s">
        <v>1048</v>
      </c>
      <c r="D8" s="313">
        <v>5304523.46</v>
      </c>
      <c r="F8" s="313"/>
    </row>
    <row r="9" spans="1:14">
      <c r="A9" s="491">
        <v>3</v>
      </c>
      <c r="B9" s="205" t="s">
        <v>1047</v>
      </c>
      <c r="D9" s="313">
        <v>27518.1</v>
      </c>
      <c r="F9" s="313"/>
    </row>
    <row r="10" spans="1:14">
      <c r="A10" s="491">
        <v>4</v>
      </c>
      <c r="B10" s="205" t="s">
        <v>1024</v>
      </c>
      <c r="D10" s="313">
        <v>652380</v>
      </c>
      <c r="F10" s="313"/>
    </row>
    <row r="11" spans="1:14">
      <c r="A11" s="491">
        <v>5</v>
      </c>
      <c r="B11" s="205" t="s">
        <v>1151</v>
      </c>
      <c r="D11" s="313">
        <v>3802502</v>
      </c>
      <c r="E11" s="491"/>
      <c r="F11" s="313"/>
    </row>
    <row r="12" spans="1:14">
      <c r="A12" s="491">
        <v>6</v>
      </c>
      <c r="B12" s="205" t="s">
        <v>1025</v>
      </c>
      <c r="D12" s="575">
        <v>1054341</v>
      </c>
      <c r="F12" s="575"/>
    </row>
    <row r="13" spans="1:14">
      <c r="A13" s="491">
        <v>7</v>
      </c>
      <c r="D13" s="202"/>
    </row>
    <row r="14" spans="1:14">
      <c r="A14" s="491">
        <v>8</v>
      </c>
      <c r="B14" s="205" t="s">
        <v>561</v>
      </c>
      <c r="D14" s="103">
        <f>SUM(D7:D13)</f>
        <v>10847778.809999999</v>
      </c>
      <c r="F14" s="103"/>
    </row>
    <row r="15" spans="1:14">
      <c r="D15" s="103"/>
    </row>
    <row r="19" spans="2:2">
      <c r="B19" s="576"/>
    </row>
  </sheetData>
  <sheetProtection formatCells="0"/>
  <mergeCells count="4">
    <mergeCell ref="A4:N4"/>
    <mergeCell ref="A1:N1"/>
    <mergeCell ref="A2:N2"/>
    <mergeCell ref="A3:N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ignoredErrors>
    <ignoredError sqref="D14" formulaRange="1"/>
  </ignoredErrors>
</worksheet>
</file>

<file path=xl/worksheets/sheet34.xml><?xml version="1.0" encoding="utf-8"?>
<worksheet xmlns="http://schemas.openxmlformats.org/spreadsheetml/2006/main" xmlns:r="http://schemas.openxmlformats.org/officeDocument/2006/relationships">
  <sheetPr codeName="Sheet35"/>
  <dimension ref="A1:N59"/>
  <sheetViews>
    <sheetView zoomScaleNormal="100" zoomScaleSheetLayoutView="100" workbookViewId="0">
      <selection activeCell="E18" sqref="E18"/>
    </sheetView>
  </sheetViews>
  <sheetFormatPr defaultRowHeight="12.75"/>
  <cols>
    <col min="1" max="1" width="15.28515625" style="186" bestFit="1" customWidth="1"/>
    <col min="2" max="2" width="15.85546875" style="488" customWidth="1"/>
    <col min="3" max="3" width="13.85546875" style="488" customWidth="1"/>
    <col min="4" max="4" width="18.7109375" style="488" customWidth="1"/>
    <col min="5" max="5" width="15.85546875" style="488" customWidth="1"/>
    <col min="6" max="6" width="17.5703125" style="179" customWidth="1"/>
    <col min="7" max="8" width="15" style="179" customWidth="1"/>
    <col min="9" max="16384" width="9.140625" style="179"/>
  </cols>
  <sheetData>
    <row r="1" spans="1:14">
      <c r="A1" s="668" t="s">
        <v>31</v>
      </c>
      <c r="B1" s="668"/>
      <c r="C1" s="668"/>
      <c r="D1" s="668"/>
      <c r="E1" s="668"/>
      <c r="F1" s="668"/>
      <c r="G1" s="668"/>
      <c r="H1" s="668"/>
    </row>
    <row r="2" spans="1:14">
      <c r="A2" s="668" t="s">
        <v>391</v>
      </c>
      <c r="B2" s="668"/>
      <c r="C2" s="668"/>
      <c r="D2" s="668"/>
      <c r="E2" s="668"/>
      <c r="F2" s="668"/>
      <c r="G2" s="668"/>
      <c r="H2" s="668"/>
    </row>
    <row r="3" spans="1:14">
      <c r="A3" s="668" t="str">
        <f>'Schedule 1 Workpaper'!A3:F3</f>
        <v>12 Months Ended 12/31/2012</v>
      </c>
      <c r="B3" s="668"/>
      <c r="C3" s="668"/>
      <c r="D3" s="668"/>
      <c r="E3" s="668"/>
      <c r="F3" s="668"/>
      <c r="G3" s="668"/>
      <c r="H3" s="668"/>
      <c r="I3" s="488"/>
      <c r="J3" s="488"/>
      <c r="K3" s="488"/>
      <c r="L3" s="488"/>
      <c r="M3" s="488"/>
      <c r="N3" s="488"/>
    </row>
    <row r="4" spans="1:14">
      <c r="F4" s="488"/>
      <c r="G4" s="488"/>
      <c r="H4" s="488"/>
    </row>
    <row r="5" spans="1:14">
      <c r="C5" s="489"/>
      <c r="F5" s="488"/>
      <c r="G5" s="488"/>
      <c r="H5" s="488"/>
    </row>
    <row r="6" spans="1:14">
      <c r="A6" s="669" t="s">
        <v>1043</v>
      </c>
      <c r="B6" s="670"/>
      <c r="C6" s="670"/>
      <c r="D6" s="670"/>
      <c r="E6" s="670"/>
      <c r="F6" s="670"/>
      <c r="G6" s="670"/>
      <c r="H6" s="671"/>
    </row>
    <row r="7" spans="1:14">
      <c r="A7" s="259"/>
      <c r="B7" s="491"/>
      <c r="C7" s="491" t="s">
        <v>475</v>
      </c>
      <c r="D7" s="491"/>
      <c r="E7" s="491"/>
      <c r="F7" s="491" t="s">
        <v>418</v>
      </c>
      <c r="G7" s="205"/>
      <c r="H7" s="260"/>
    </row>
    <row r="8" spans="1:14">
      <c r="A8" s="259"/>
      <c r="B8" s="491" t="s">
        <v>475</v>
      </c>
      <c r="C8" s="491" t="s">
        <v>476</v>
      </c>
      <c r="D8" s="491" t="s">
        <v>822</v>
      </c>
      <c r="E8" s="491"/>
      <c r="F8" s="491" t="s">
        <v>542</v>
      </c>
      <c r="G8" s="491" t="s">
        <v>833</v>
      </c>
      <c r="H8" s="492"/>
    </row>
    <row r="9" spans="1:14">
      <c r="A9" s="259"/>
      <c r="B9" s="261" t="s">
        <v>837</v>
      </c>
      <c r="C9" s="261" t="s">
        <v>477</v>
      </c>
      <c r="D9" s="261" t="s">
        <v>555</v>
      </c>
      <c r="E9" s="261"/>
      <c r="F9" s="261" t="s">
        <v>543</v>
      </c>
      <c r="G9" s="261" t="s">
        <v>834</v>
      </c>
      <c r="H9" s="262"/>
    </row>
    <row r="10" spans="1:14">
      <c r="A10" s="259"/>
      <c r="B10" s="491" t="s">
        <v>823</v>
      </c>
      <c r="C10" s="491" t="s">
        <v>824</v>
      </c>
      <c r="D10" s="491" t="s">
        <v>825</v>
      </c>
      <c r="E10" s="491"/>
      <c r="F10" s="491" t="s">
        <v>826</v>
      </c>
      <c r="G10" s="491" t="s">
        <v>827</v>
      </c>
      <c r="H10" s="260"/>
    </row>
    <row r="11" spans="1:14">
      <c r="A11" s="259" t="s">
        <v>463</v>
      </c>
      <c r="B11" s="638">
        <v>3220</v>
      </c>
      <c r="C11" s="270">
        <v>203</v>
      </c>
      <c r="D11" s="638">
        <v>567</v>
      </c>
      <c r="E11" s="491"/>
      <c r="F11" s="638">
        <v>451</v>
      </c>
      <c r="G11" s="491">
        <f t="shared" ref="G11:G22" si="0">SUM(B11:F11)</f>
        <v>4441</v>
      </c>
      <c r="H11" s="260"/>
    </row>
    <row r="12" spans="1:14">
      <c r="A12" s="259" t="s">
        <v>464</v>
      </c>
      <c r="B12" s="638">
        <v>3055</v>
      </c>
      <c r="C12" s="270">
        <v>201</v>
      </c>
      <c r="D12" s="638">
        <v>567</v>
      </c>
      <c r="E12" s="491"/>
      <c r="F12" s="638">
        <v>616</v>
      </c>
      <c r="G12" s="491">
        <f t="shared" si="0"/>
        <v>4439</v>
      </c>
      <c r="H12" s="260"/>
    </row>
    <row r="13" spans="1:14">
      <c r="A13" s="259" t="s">
        <v>465</v>
      </c>
      <c r="B13" s="638">
        <v>3109</v>
      </c>
      <c r="C13" s="270">
        <v>212</v>
      </c>
      <c r="D13" s="638">
        <v>567</v>
      </c>
      <c r="E13" s="491"/>
      <c r="F13" s="638">
        <v>550</v>
      </c>
      <c r="G13" s="491">
        <f t="shared" si="0"/>
        <v>4438</v>
      </c>
      <c r="H13" s="260"/>
    </row>
    <row r="14" spans="1:14">
      <c r="A14" s="259" t="s">
        <v>466</v>
      </c>
      <c r="B14" s="638">
        <v>3100</v>
      </c>
      <c r="C14" s="270">
        <v>216</v>
      </c>
      <c r="D14" s="638">
        <v>567</v>
      </c>
      <c r="E14" s="491"/>
      <c r="F14" s="638">
        <v>681</v>
      </c>
      <c r="G14" s="491">
        <f t="shared" si="0"/>
        <v>4564</v>
      </c>
      <c r="H14" s="260"/>
    </row>
    <row r="15" spans="1:14">
      <c r="A15" s="259" t="s">
        <v>467</v>
      </c>
      <c r="B15" s="638">
        <v>3436</v>
      </c>
      <c r="C15" s="270">
        <v>269</v>
      </c>
      <c r="D15" s="638">
        <v>567</v>
      </c>
      <c r="E15" s="491"/>
      <c r="F15" s="638">
        <v>519</v>
      </c>
      <c r="G15" s="491">
        <f t="shared" si="0"/>
        <v>4791</v>
      </c>
      <c r="H15" s="260"/>
    </row>
    <row r="16" spans="1:14">
      <c r="A16" s="259" t="s">
        <v>468</v>
      </c>
      <c r="B16" s="638">
        <v>4598</v>
      </c>
      <c r="C16" s="270">
        <v>337</v>
      </c>
      <c r="D16" s="638">
        <v>567</v>
      </c>
      <c r="E16" s="491"/>
      <c r="F16" s="638">
        <v>168</v>
      </c>
      <c r="G16" s="491">
        <f t="shared" si="0"/>
        <v>5670</v>
      </c>
      <c r="H16" s="260"/>
    </row>
    <row r="17" spans="1:10">
      <c r="A17" s="259" t="s">
        <v>469</v>
      </c>
      <c r="B17" s="638">
        <v>4987</v>
      </c>
      <c r="C17" s="270">
        <v>342</v>
      </c>
      <c r="D17" s="638">
        <v>567</v>
      </c>
      <c r="E17" s="491"/>
      <c r="F17" s="638">
        <v>94</v>
      </c>
      <c r="G17" s="491">
        <f t="shared" si="0"/>
        <v>5990</v>
      </c>
      <c r="H17" s="260"/>
    </row>
    <row r="18" spans="1:10">
      <c r="A18" s="259" t="s">
        <v>470</v>
      </c>
      <c r="B18" s="638">
        <v>4608</v>
      </c>
      <c r="C18" s="270">
        <v>303</v>
      </c>
      <c r="D18" s="638">
        <v>567</v>
      </c>
      <c r="E18" s="491"/>
      <c r="F18" s="638">
        <v>137</v>
      </c>
      <c r="G18" s="491">
        <f t="shared" si="0"/>
        <v>5615</v>
      </c>
      <c r="H18" s="260"/>
    </row>
    <row r="19" spans="1:10">
      <c r="A19" s="259" t="s">
        <v>471</v>
      </c>
      <c r="B19" s="638">
        <v>3899</v>
      </c>
      <c r="C19" s="270">
        <v>255</v>
      </c>
      <c r="D19" s="638">
        <v>567</v>
      </c>
      <c r="E19" s="491"/>
      <c r="F19" s="638">
        <v>125</v>
      </c>
      <c r="G19" s="491">
        <f t="shared" si="0"/>
        <v>4846</v>
      </c>
      <c r="H19" s="260"/>
    </row>
    <row r="20" spans="1:10">
      <c r="A20" s="259" t="s">
        <v>472</v>
      </c>
      <c r="B20" s="638">
        <v>3493</v>
      </c>
      <c r="C20" s="270">
        <v>182</v>
      </c>
      <c r="D20" s="638">
        <v>567</v>
      </c>
      <c r="E20" s="491"/>
      <c r="F20" s="638">
        <v>127</v>
      </c>
      <c r="G20" s="491">
        <f t="shared" si="0"/>
        <v>4369</v>
      </c>
      <c r="H20" s="260"/>
    </row>
    <row r="21" spans="1:10">
      <c r="A21" s="259" t="s">
        <v>473</v>
      </c>
      <c r="B21" s="638">
        <v>3625</v>
      </c>
      <c r="C21" s="270">
        <v>193</v>
      </c>
      <c r="D21" s="638">
        <v>567</v>
      </c>
      <c r="E21" s="491"/>
      <c r="F21" s="638">
        <v>103</v>
      </c>
      <c r="G21" s="491">
        <f t="shared" si="0"/>
        <v>4488</v>
      </c>
      <c r="H21" s="260"/>
    </row>
    <row r="22" spans="1:10">
      <c r="A22" s="259" t="s">
        <v>474</v>
      </c>
      <c r="B22" s="638">
        <v>3786</v>
      </c>
      <c r="C22" s="270">
        <v>200</v>
      </c>
      <c r="D22" s="638">
        <v>567</v>
      </c>
      <c r="E22" s="491"/>
      <c r="F22" s="638">
        <v>72</v>
      </c>
      <c r="G22" s="491">
        <f t="shared" si="0"/>
        <v>4625</v>
      </c>
      <c r="H22" s="260"/>
    </row>
    <row r="23" spans="1:10">
      <c r="A23" s="259"/>
      <c r="B23" s="491"/>
      <c r="C23" s="491"/>
      <c r="D23" s="491"/>
      <c r="E23" s="491"/>
      <c r="F23" s="491"/>
      <c r="G23" s="491"/>
      <c r="H23" s="260"/>
      <c r="J23" s="207"/>
    </row>
    <row r="24" spans="1:10">
      <c r="A24" s="259" t="s">
        <v>544</v>
      </c>
      <c r="B24" s="491">
        <f>ROUND(SUM(B11:B23)/12,0)</f>
        <v>3743</v>
      </c>
      <c r="C24" s="491">
        <f>ROUND(SUM(C11:C23)/12,0)</f>
        <v>243</v>
      </c>
      <c r="D24" s="491">
        <f>ROUND(SUM(D11:D23)/12,0)</f>
        <v>567</v>
      </c>
      <c r="E24" s="491"/>
      <c r="F24" s="491">
        <f>ROUND(SUM(F11:F23)/12,0)</f>
        <v>304</v>
      </c>
      <c r="G24" s="270">
        <f>SUM(G11:G22)/12</f>
        <v>4856.333333333333</v>
      </c>
      <c r="H24" s="260"/>
      <c r="J24" s="207"/>
    </row>
    <row r="25" spans="1:10">
      <c r="A25" s="259"/>
      <c r="B25" s="491"/>
      <c r="C25" s="491"/>
      <c r="D25" s="491"/>
      <c r="E25" s="491"/>
      <c r="F25" s="491"/>
      <c r="G25" s="491"/>
      <c r="H25" s="492"/>
    </row>
    <row r="26" spans="1:10">
      <c r="A26" s="276"/>
      <c r="B26" s="277"/>
      <c r="C26" s="278"/>
      <c r="D26" s="278"/>
      <c r="E26" s="278"/>
      <c r="F26" s="278"/>
      <c r="G26" s="278"/>
      <c r="H26" s="280"/>
    </row>
    <row r="27" spans="1:10">
      <c r="B27" s="668"/>
      <c r="C27" s="668"/>
      <c r="D27" s="668"/>
      <c r="E27" s="668"/>
      <c r="F27" s="668"/>
      <c r="G27" s="668"/>
      <c r="H27" s="668"/>
    </row>
    <row r="28" spans="1:10">
      <c r="A28" s="681"/>
      <c r="B28" s="681"/>
      <c r="C28" s="681"/>
      <c r="D28" s="681"/>
      <c r="E28" s="681"/>
      <c r="F28" s="681"/>
      <c r="G28" s="681"/>
      <c r="H28" s="205"/>
    </row>
    <row r="29" spans="1:10">
      <c r="A29" s="422"/>
      <c r="B29" s="423"/>
      <c r="C29" s="423"/>
      <c r="D29" s="423"/>
      <c r="E29" s="423"/>
      <c r="F29" s="423"/>
      <c r="G29" s="423"/>
      <c r="H29" s="424"/>
    </row>
    <row r="30" spans="1:10">
      <c r="A30" s="680" t="s">
        <v>197</v>
      </c>
      <c r="B30" s="681"/>
      <c r="C30" s="681"/>
      <c r="D30" s="681"/>
      <c r="E30" s="681"/>
      <c r="F30" s="681"/>
      <c r="G30" s="681"/>
      <c r="H30" s="682"/>
    </row>
    <row r="31" spans="1:10">
      <c r="A31" s="425"/>
      <c r="B31" s="205"/>
      <c r="C31" s="205"/>
      <c r="D31" s="205"/>
      <c r="E31" s="205"/>
      <c r="F31" s="205"/>
      <c r="G31" s="205" t="s">
        <v>418</v>
      </c>
      <c r="H31" s="260"/>
    </row>
    <row r="32" spans="1:10">
      <c r="A32" s="425"/>
      <c r="B32" s="426"/>
      <c r="C32" s="426" t="s">
        <v>475</v>
      </c>
      <c r="D32" s="426"/>
      <c r="E32" s="426"/>
      <c r="F32" s="423"/>
      <c r="G32" s="423"/>
      <c r="H32" s="424"/>
    </row>
    <row r="33" spans="1:8">
      <c r="A33" s="425"/>
      <c r="B33" s="491" t="s">
        <v>475</v>
      </c>
      <c r="C33" s="491" t="s">
        <v>476</v>
      </c>
      <c r="D33" s="491" t="s">
        <v>822</v>
      </c>
      <c r="E33" s="491"/>
      <c r="F33" s="491" t="s">
        <v>841</v>
      </c>
      <c r="G33" s="205"/>
      <c r="H33" s="492"/>
    </row>
    <row r="34" spans="1:8">
      <c r="A34" s="425"/>
      <c r="B34" s="261" t="s">
        <v>32</v>
      </c>
      <c r="C34" s="261" t="s">
        <v>477</v>
      </c>
      <c r="D34" s="261" t="s">
        <v>555</v>
      </c>
      <c r="E34" s="261" t="s">
        <v>962</v>
      </c>
      <c r="F34" s="261" t="s">
        <v>839</v>
      </c>
      <c r="G34" s="261" t="s">
        <v>345</v>
      </c>
      <c r="H34" s="262" t="s">
        <v>462</v>
      </c>
    </row>
    <row r="35" spans="1:8">
      <c r="A35" s="425"/>
      <c r="B35" s="491" t="s">
        <v>828</v>
      </c>
      <c r="C35" s="491" t="s">
        <v>829</v>
      </c>
      <c r="D35" s="427" t="s">
        <v>16</v>
      </c>
      <c r="E35" s="491" t="s">
        <v>832</v>
      </c>
      <c r="F35" s="491" t="s">
        <v>831</v>
      </c>
      <c r="G35" s="491" t="s">
        <v>830</v>
      </c>
      <c r="H35" s="492" t="s">
        <v>840</v>
      </c>
    </row>
    <row r="36" spans="1:8">
      <c r="A36" s="425" t="s">
        <v>463</v>
      </c>
      <c r="B36" s="270">
        <f>'Schedule 5'!B11</f>
        <v>1961</v>
      </c>
      <c r="C36" s="270">
        <f>'Schedule 5'!C11</f>
        <v>203</v>
      </c>
      <c r="D36" s="270">
        <f>'Schedule 5'!D11</f>
        <v>567</v>
      </c>
      <c r="E36" s="270">
        <f>'Schedule 5'!E11</f>
        <v>2731</v>
      </c>
      <c r="F36" s="270">
        <f>'Schedule 5'!F11</f>
        <v>1710</v>
      </c>
      <c r="G36" s="270">
        <f>'Schedule 5'!G11</f>
        <v>330</v>
      </c>
      <c r="H36" s="271">
        <f>'Schedule 5'!H11</f>
        <v>4771</v>
      </c>
    </row>
    <row r="37" spans="1:8">
      <c r="A37" s="425" t="s">
        <v>464</v>
      </c>
      <c r="B37" s="270">
        <f>'Schedule 5'!B12</f>
        <v>1961</v>
      </c>
      <c r="C37" s="270">
        <f>'Schedule 5'!C12</f>
        <v>201</v>
      </c>
      <c r="D37" s="270">
        <f>'Schedule 5'!D12</f>
        <v>567</v>
      </c>
      <c r="E37" s="270">
        <f>'Schedule 5'!E12</f>
        <v>2729</v>
      </c>
      <c r="F37" s="270">
        <f>'Schedule 5'!F12</f>
        <v>1710</v>
      </c>
      <c r="G37" s="270">
        <f>'Schedule 5'!G12</f>
        <v>330</v>
      </c>
      <c r="H37" s="271">
        <f>'Schedule 5'!H12</f>
        <v>4769</v>
      </c>
    </row>
    <row r="38" spans="1:8">
      <c r="A38" s="425" t="s">
        <v>465</v>
      </c>
      <c r="B38" s="270">
        <f>'Schedule 5'!B13</f>
        <v>1949</v>
      </c>
      <c r="C38" s="270">
        <f>'Schedule 5'!C13</f>
        <v>212</v>
      </c>
      <c r="D38" s="270">
        <f>'Schedule 5'!D13</f>
        <v>567</v>
      </c>
      <c r="E38" s="270">
        <f>'Schedule 5'!E13</f>
        <v>2728</v>
      </c>
      <c r="F38" s="270">
        <f>'Schedule 5'!F13</f>
        <v>1710</v>
      </c>
      <c r="G38" s="270">
        <f>'Schedule 5'!G13</f>
        <v>330</v>
      </c>
      <c r="H38" s="271">
        <f>'Schedule 5'!H13</f>
        <v>4768</v>
      </c>
    </row>
    <row r="39" spans="1:8">
      <c r="A39" s="425" t="s">
        <v>466</v>
      </c>
      <c r="B39" s="270">
        <f>'Schedule 5'!B14</f>
        <v>2071</v>
      </c>
      <c r="C39" s="270">
        <f>'Schedule 5'!C14</f>
        <v>216</v>
      </c>
      <c r="D39" s="270">
        <f>'Schedule 5'!D14</f>
        <v>567</v>
      </c>
      <c r="E39" s="270">
        <f>'Schedule 5'!E14</f>
        <v>2854</v>
      </c>
      <c r="F39" s="270">
        <f>'Schedule 5'!F14</f>
        <v>1710</v>
      </c>
      <c r="G39" s="270">
        <f>'Schedule 5'!G14</f>
        <v>330</v>
      </c>
      <c r="H39" s="271">
        <f>'Schedule 5'!H14</f>
        <v>4894</v>
      </c>
    </row>
    <row r="40" spans="1:8">
      <c r="A40" s="425" t="s">
        <v>467</v>
      </c>
      <c r="B40" s="270">
        <f>'Schedule 5'!B15</f>
        <v>2245</v>
      </c>
      <c r="C40" s="270">
        <f>'Schedule 5'!C15</f>
        <v>269</v>
      </c>
      <c r="D40" s="270">
        <f>'Schedule 5'!D15</f>
        <v>567</v>
      </c>
      <c r="E40" s="270">
        <f>'Schedule 5'!E15</f>
        <v>3081</v>
      </c>
      <c r="F40" s="270">
        <f>'Schedule 5'!F15</f>
        <v>1710</v>
      </c>
      <c r="G40" s="270">
        <f>'Schedule 5'!G15</f>
        <v>330</v>
      </c>
      <c r="H40" s="271">
        <f>'Schedule 5'!H15</f>
        <v>5121</v>
      </c>
    </row>
    <row r="41" spans="1:8">
      <c r="A41" s="425" t="s">
        <v>468</v>
      </c>
      <c r="B41" s="270">
        <f>'Schedule 5'!B16</f>
        <v>2930</v>
      </c>
      <c r="C41" s="270">
        <f>'Schedule 5'!C16</f>
        <v>337</v>
      </c>
      <c r="D41" s="270">
        <f>'Schedule 5'!D16</f>
        <v>567</v>
      </c>
      <c r="E41" s="270">
        <f>'Schedule 5'!E16</f>
        <v>3834</v>
      </c>
      <c r="F41" s="270">
        <f>'Schedule 5'!F16</f>
        <v>1836</v>
      </c>
      <c r="G41" s="270">
        <f>'Schedule 5'!G16</f>
        <v>330</v>
      </c>
      <c r="H41" s="271">
        <f>'Schedule 5'!H16</f>
        <v>6000</v>
      </c>
    </row>
    <row r="42" spans="1:8">
      <c r="A42" s="425" t="s">
        <v>469</v>
      </c>
      <c r="B42" s="270">
        <f>'Schedule 5'!B17</f>
        <v>3245</v>
      </c>
      <c r="C42" s="270">
        <f>'Schedule 5'!C17</f>
        <v>342</v>
      </c>
      <c r="D42" s="270">
        <f>'Schedule 5'!D17</f>
        <v>567</v>
      </c>
      <c r="E42" s="270">
        <f>'Schedule 5'!E17</f>
        <v>4154</v>
      </c>
      <c r="F42" s="270">
        <f>'Schedule 5'!F17</f>
        <v>1836</v>
      </c>
      <c r="G42" s="270">
        <f>'Schedule 5'!G17</f>
        <v>330</v>
      </c>
      <c r="H42" s="271">
        <f>'Schedule 5'!H17</f>
        <v>6320</v>
      </c>
    </row>
    <row r="43" spans="1:8">
      <c r="A43" s="425" t="s">
        <v>470</v>
      </c>
      <c r="B43" s="270">
        <f>'Schedule 5'!B18</f>
        <v>2909</v>
      </c>
      <c r="C43" s="270">
        <f>'Schedule 5'!C18</f>
        <v>303</v>
      </c>
      <c r="D43" s="270">
        <f>'Schedule 5'!D18</f>
        <v>567</v>
      </c>
      <c r="E43" s="270">
        <f>'Schedule 5'!E18</f>
        <v>3779</v>
      </c>
      <c r="F43" s="270">
        <f>'Schedule 5'!F18</f>
        <v>1836</v>
      </c>
      <c r="G43" s="270">
        <f>'Schedule 5'!G18</f>
        <v>330</v>
      </c>
      <c r="H43" s="271">
        <f>'Schedule 5'!H18</f>
        <v>5945</v>
      </c>
    </row>
    <row r="44" spans="1:8">
      <c r="A44" s="425" t="s">
        <v>471</v>
      </c>
      <c r="B44" s="270">
        <f>'Schedule 5'!B19</f>
        <v>2188</v>
      </c>
      <c r="C44" s="270">
        <f>'Schedule 5'!C19</f>
        <v>255</v>
      </c>
      <c r="D44" s="270">
        <f>'Schedule 5'!D19</f>
        <v>567</v>
      </c>
      <c r="E44" s="270">
        <f>'Schedule 5'!E19</f>
        <v>3010</v>
      </c>
      <c r="F44" s="270">
        <f>'Schedule 5'!F19</f>
        <v>1836</v>
      </c>
      <c r="G44" s="270">
        <f>'Schedule 5'!G19</f>
        <v>330</v>
      </c>
      <c r="H44" s="271">
        <f>'Schedule 5'!H19</f>
        <v>5176</v>
      </c>
    </row>
    <row r="45" spans="1:8">
      <c r="A45" s="425" t="s">
        <v>472</v>
      </c>
      <c r="B45" s="270">
        <f>'Schedule 5'!B20</f>
        <v>1784</v>
      </c>
      <c r="C45" s="270">
        <f>'Schedule 5'!C20</f>
        <v>182</v>
      </c>
      <c r="D45" s="270">
        <f>'Schedule 5'!D20</f>
        <v>567</v>
      </c>
      <c r="E45" s="270">
        <f>'Schedule 5'!E20</f>
        <v>2533</v>
      </c>
      <c r="F45" s="270">
        <f>'Schedule 5'!F20</f>
        <v>1836</v>
      </c>
      <c r="G45" s="270">
        <f>'Schedule 5'!G20</f>
        <v>330</v>
      </c>
      <c r="H45" s="271">
        <f>'Schedule 5'!H20</f>
        <v>4699</v>
      </c>
    </row>
    <row r="46" spans="1:8">
      <c r="A46" s="425" t="s">
        <v>473</v>
      </c>
      <c r="B46" s="270">
        <f>'Schedule 5'!B21</f>
        <v>1892</v>
      </c>
      <c r="C46" s="270">
        <f>'Schedule 5'!C21</f>
        <v>193</v>
      </c>
      <c r="D46" s="270">
        <f>'Schedule 5'!D21</f>
        <v>567</v>
      </c>
      <c r="E46" s="270">
        <f>'Schedule 5'!E21</f>
        <v>2652</v>
      </c>
      <c r="F46" s="270">
        <f>'Schedule 5'!F21</f>
        <v>1836</v>
      </c>
      <c r="G46" s="270">
        <f>'Schedule 5'!G21</f>
        <v>330</v>
      </c>
      <c r="H46" s="271">
        <f>'Schedule 5'!H21</f>
        <v>4818</v>
      </c>
    </row>
    <row r="47" spans="1:8">
      <c r="A47" s="425" t="s">
        <v>474</v>
      </c>
      <c r="B47" s="270">
        <f>'Schedule 5'!B22</f>
        <v>2022</v>
      </c>
      <c r="C47" s="270">
        <f>'Schedule 5'!C22</f>
        <v>200</v>
      </c>
      <c r="D47" s="270">
        <f>'Schedule 5'!D22</f>
        <v>567</v>
      </c>
      <c r="E47" s="270">
        <f>'Schedule 5'!E22</f>
        <v>2789</v>
      </c>
      <c r="F47" s="270">
        <f>'Schedule 5'!F22</f>
        <v>1836</v>
      </c>
      <c r="G47" s="270">
        <f>'Schedule 5'!G22</f>
        <v>330</v>
      </c>
      <c r="H47" s="271">
        <f>'Schedule 5'!H22</f>
        <v>4955</v>
      </c>
    </row>
    <row r="48" spans="1:8">
      <c r="A48" s="425"/>
      <c r="B48" s="205"/>
      <c r="C48" s="205"/>
      <c r="D48" s="205"/>
      <c r="E48" s="205"/>
      <c r="F48" s="205"/>
      <c r="G48" s="205"/>
      <c r="H48" s="271"/>
    </row>
    <row r="49" spans="1:8">
      <c r="A49" s="425" t="s">
        <v>116</v>
      </c>
      <c r="B49" s="270">
        <f t="shared" ref="B49:G49" si="1">ROUND(SUM(B36:B47)/12,0)</f>
        <v>2263</v>
      </c>
      <c r="C49" s="270">
        <f t="shared" si="1"/>
        <v>243</v>
      </c>
      <c r="D49" s="270">
        <f t="shared" si="1"/>
        <v>567</v>
      </c>
      <c r="E49" s="270">
        <f t="shared" si="1"/>
        <v>3073</v>
      </c>
      <c r="F49" s="270">
        <f t="shared" si="1"/>
        <v>1784</v>
      </c>
      <c r="G49" s="270">
        <f t="shared" si="1"/>
        <v>330</v>
      </c>
      <c r="H49" s="271">
        <f>'Schedule 5'!H24</f>
        <v>5186.3333333333339</v>
      </c>
    </row>
    <row r="50" spans="1:8">
      <c r="A50" s="425"/>
      <c r="B50" s="205"/>
      <c r="C50" s="205"/>
      <c r="D50" s="205"/>
      <c r="E50" s="205"/>
      <c r="F50" s="205"/>
      <c r="G50" s="205"/>
      <c r="H50" s="492"/>
    </row>
    <row r="51" spans="1:8">
      <c r="A51" s="683" t="s">
        <v>963</v>
      </c>
      <c r="B51" s="684"/>
      <c r="C51" s="684"/>
      <c r="D51" s="684"/>
      <c r="E51" s="684"/>
      <c r="F51" s="684"/>
      <c r="G51" s="684"/>
      <c r="H51" s="260"/>
    </row>
    <row r="52" spans="1:8" s="488" customFormat="1">
      <c r="A52" s="683"/>
      <c r="B52" s="684"/>
      <c r="C52" s="684"/>
      <c r="D52" s="684"/>
      <c r="E52" s="684"/>
      <c r="F52" s="684"/>
      <c r="G52" s="684"/>
      <c r="H52" s="492"/>
    </row>
    <row r="53" spans="1:8">
      <c r="A53" s="683"/>
      <c r="B53" s="684"/>
      <c r="C53" s="684"/>
      <c r="D53" s="684"/>
      <c r="E53" s="684"/>
      <c r="F53" s="684"/>
      <c r="G53" s="684"/>
      <c r="H53" s="260"/>
    </row>
    <row r="54" spans="1:8">
      <c r="A54" s="683"/>
      <c r="B54" s="684"/>
      <c r="C54" s="684"/>
      <c r="D54" s="684"/>
      <c r="E54" s="684"/>
      <c r="F54" s="684"/>
      <c r="G54" s="684"/>
      <c r="H54" s="260"/>
    </row>
    <row r="55" spans="1:8">
      <c r="A55" s="683"/>
      <c r="B55" s="684"/>
      <c r="C55" s="684"/>
      <c r="D55" s="684"/>
      <c r="E55" s="684"/>
      <c r="F55" s="684"/>
      <c r="G55" s="684"/>
      <c r="H55" s="260"/>
    </row>
    <row r="56" spans="1:8" ht="44.25" customHeight="1">
      <c r="A56" s="685" t="s">
        <v>961</v>
      </c>
      <c r="B56" s="686"/>
      <c r="C56" s="686"/>
      <c r="D56" s="686"/>
      <c r="E56" s="686"/>
      <c r="F56" s="686"/>
      <c r="G56" s="686"/>
      <c r="H56" s="428"/>
    </row>
    <row r="57" spans="1:8">
      <c r="A57" s="210"/>
      <c r="B57" s="491"/>
      <c r="C57" s="491"/>
      <c r="D57" s="491"/>
      <c r="E57" s="491"/>
      <c r="F57" s="205"/>
      <c r="G57" s="205"/>
      <c r="H57" s="205"/>
    </row>
    <row r="58" spans="1:8">
      <c r="A58" s="206"/>
      <c r="B58" s="491"/>
      <c r="C58" s="491"/>
      <c r="D58" s="491"/>
      <c r="E58" s="491"/>
      <c r="F58" s="205"/>
      <c r="G58" s="205"/>
      <c r="H58" s="205"/>
    </row>
    <row r="59" spans="1:8">
      <c r="A59" s="666"/>
      <c r="B59" s="666"/>
      <c r="C59" s="666"/>
      <c r="D59" s="666"/>
      <c r="E59" s="666"/>
      <c r="F59" s="666"/>
      <c r="G59" s="666"/>
      <c r="H59" s="666"/>
    </row>
  </sheetData>
  <sheetProtection formatCells="0"/>
  <mergeCells count="10">
    <mergeCell ref="A59:H59"/>
    <mergeCell ref="A30:H30"/>
    <mergeCell ref="A1:H1"/>
    <mergeCell ref="A2:H2"/>
    <mergeCell ref="A28:G28"/>
    <mergeCell ref="B27:H27"/>
    <mergeCell ref="A6:H6"/>
    <mergeCell ref="A51:G55"/>
    <mergeCell ref="A56:G56"/>
    <mergeCell ref="A3:H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5.xml><?xml version="1.0" encoding="utf-8"?>
<worksheet xmlns="http://schemas.openxmlformats.org/spreadsheetml/2006/main" xmlns:r="http://schemas.openxmlformats.org/officeDocument/2006/relationships">
  <sheetPr codeName="Sheet36">
    <pageSetUpPr fitToPage="1"/>
  </sheetPr>
  <dimension ref="A1:O50"/>
  <sheetViews>
    <sheetView zoomScale="75" zoomScaleNormal="75" zoomScaleSheetLayoutView="100" zoomScalePageLayoutView="75" workbookViewId="0">
      <selection activeCell="O33" sqref="O33"/>
    </sheetView>
  </sheetViews>
  <sheetFormatPr defaultColWidth="11" defaultRowHeight="12.75"/>
  <cols>
    <col min="1" max="1" width="4" style="526" customWidth="1"/>
    <col min="2" max="2" width="40.140625" style="526" customWidth="1"/>
    <col min="3" max="3" width="11.5703125" style="574" customWidth="1"/>
    <col min="4" max="4" width="10" style="526" customWidth="1"/>
    <col min="5" max="5" width="10.28515625" style="526" customWidth="1"/>
    <col min="6" max="6" width="11.5703125" style="526" customWidth="1"/>
    <col min="7" max="7" width="13.28515625" style="526" customWidth="1"/>
    <col min="8" max="11" width="11.5703125" style="526" customWidth="1"/>
    <col min="12" max="12" width="13.42578125" style="526" customWidth="1"/>
    <col min="13" max="13" width="11.5703125" style="526" customWidth="1"/>
    <col min="14" max="14" width="13.42578125" style="526" bestFit="1" customWidth="1"/>
    <col min="15" max="15" width="11.5703125" style="526" customWidth="1"/>
    <col min="16" max="16384" width="11" style="526"/>
  </cols>
  <sheetData>
    <row r="1" spans="1:15" s="179" customFormat="1">
      <c r="A1" s="668" t="s">
        <v>1044</v>
      </c>
      <c r="B1" s="668"/>
      <c r="C1" s="668"/>
      <c r="D1" s="668"/>
      <c r="E1" s="668"/>
      <c r="F1" s="668"/>
      <c r="G1" s="668"/>
      <c r="H1" s="668"/>
      <c r="I1" s="668"/>
      <c r="J1" s="668"/>
      <c r="K1" s="668"/>
      <c r="L1" s="668"/>
      <c r="M1" s="668"/>
      <c r="N1" s="668"/>
      <c r="O1" s="668"/>
    </row>
    <row r="2" spans="1:15" s="179" customFormat="1">
      <c r="A2" s="668" t="s">
        <v>1045</v>
      </c>
      <c r="B2" s="668"/>
      <c r="C2" s="668"/>
      <c r="D2" s="668"/>
      <c r="E2" s="668"/>
      <c r="F2" s="668"/>
      <c r="G2" s="668"/>
      <c r="H2" s="668"/>
      <c r="I2" s="668"/>
      <c r="J2" s="668"/>
      <c r="K2" s="668"/>
      <c r="L2" s="668"/>
      <c r="M2" s="668"/>
      <c r="N2" s="668"/>
      <c r="O2" s="668"/>
    </row>
    <row r="3" spans="1:15" s="179" customFormat="1">
      <c r="A3" s="668" t="str">
        <f>'Schedule 1 Workpaper'!A3:F3</f>
        <v>12 Months Ended 12/31/2012</v>
      </c>
      <c r="B3" s="668"/>
      <c r="C3" s="668"/>
      <c r="D3" s="668"/>
      <c r="E3" s="668"/>
      <c r="F3" s="668"/>
      <c r="G3" s="668"/>
      <c r="H3" s="668"/>
      <c r="I3" s="668"/>
      <c r="J3" s="668"/>
      <c r="K3" s="668"/>
      <c r="L3" s="668"/>
      <c r="M3" s="668"/>
      <c r="N3" s="668"/>
      <c r="O3" s="668"/>
    </row>
    <row r="4" spans="1:15" s="179" customFormat="1">
      <c r="A4" s="489"/>
      <c r="B4" s="489"/>
      <c r="C4" s="489"/>
      <c r="D4" s="489"/>
      <c r="E4" s="489"/>
      <c r="F4" s="489"/>
      <c r="G4" s="489"/>
      <c r="H4" s="489"/>
      <c r="I4" s="489"/>
      <c r="J4" s="489"/>
      <c r="K4" s="489"/>
      <c r="L4" s="489"/>
      <c r="M4" s="489"/>
      <c r="N4" s="489"/>
      <c r="O4" s="489"/>
    </row>
    <row r="5" spans="1:15" ht="15">
      <c r="A5" s="524" t="s">
        <v>550</v>
      </c>
      <c r="B5" s="524"/>
      <c r="C5" s="524"/>
      <c r="D5" s="525"/>
      <c r="E5" s="525"/>
      <c r="F5" s="524"/>
      <c r="G5" s="524"/>
      <c r="H5" s="524"/>
      <c r="I5" s="524"/>
      <c r="J5" s="524"/>
      <c r="K5" s="524"/>
      <c r="L5" s="524"/>
      <c r="M5" s="524"/>
      <c r="N5" s="524"/>
      <c r="O5" s="524"/>
    </row>
    <row r="6" spans="1:15" ht="15">
      <c r="A6" s="524" t="s">
        <v>967</v>
      </c>
      <c r="B6" s="524"/>
      <c r="C6" s="524"/>
      <c r="D6" s="525"/>
      <c r="E6" s="525"/>
      <c r="F6" s="524"/>
      <c r="G6" s="524"/>
      <c r="H6" s="524"/>
      <c r="I6" s="524"/>
      <c r="J6" s="524"/>
      <c r="K6" s="524"/>
      <c r="L6" s="524"/>
      <c r="M6" s="524"/>
      <c r="N6" s="524"/>
      <c r="O6" s="524"/>
    </row>
    <row r="7" spans="1:15" ht="15">
      <c r="A7" s="524" t="s">
        <v>968</v>
      </c>
      <c r="B7" s="524"/>
      <c r="C7" s="524"/>
      <c r="D7" s="525"/>
      <c r="E7" s="525"/>
      <c r="F7" s="524"/>
      <c r="G7" s="524"/>
      <c r="H7" s="524"/>
      <c r="I7" s="524"/>
      <c r="J7" s="524"/>
      <c r="K7" s="524"/>
      <c r="L7" s="524"/>
      <c r="M7" s="524"/>
      <c r="N7" s="524"/>
      <c r="O7" s="524"/>
    </row>
    <row r="8" spans="1:15" ht="15">
      <c r="A8" s="524" t="s">
        <v>969</v>
      </c>
      <c r="B8" s="524"/>
      <c r="C8" s="524"/>
      <c r="D8" s="525"/>
      <c r="E8" s="525"/>
      <c r="F8" s="524"/>
      <c r="G8" s="524"/>
      <c r="H8" s="524"/>
      <c r="I8" s="524"/>
      <c r="J8" s="524"/>
      <c r="K8" s="524"/>
      <c r="L8" s="524"/>
      <c r="M8" s="524"/>
      <c r="N8" s="524"/>
      <c r="O8" s="524"/>
    </row>
    <row r="9" spans="1:15" ht="15">
      <c r="A9" s="527" t="s">
        <v>1165</v>
      </c>
      <c r="B9" s="524"/>
      <c r="C9" s="524"/>
      <c r="D9" s="525"/>
      <c r="E9" s="525"/>
      <c r="F9" s="524"/>
      <c r="G9" s="524"/>
      <c r="H9" s="524"/>
      <c r="I9" s="524"/>
      <c r="J9" s="524"/>
      <c r="K9" s="524"/>
      <c r="L9" s="524"/>
      <c r="M9" s="524"/>
      <c r="N9" s="524"/>
      <c r="O9" s="524"/>
    </row>
    <row r="10" spans="1:15" ht="15">
      <c r="A10" s="688" t="s">
        <v>970</v>
      </c>
      <c r="B10" s="688"/>
      <c r="C10" s="688"/>
      <c r="D10" s="688"/>
      <c r="E10" s="688"/>
      <c r="F10" s="688"/>
      <c r="G10" s="688"/>
      <c r="H10" s="688"/>
      <c r="I10" s="688"/>
      <c r="J10" s="688"/>
      <c r="K10" s="688"/>
      <c r="L10" s="688"/>
      <c r="M10" s="688"/>
      <c r="N10" s="688"/>
      <c r="O10" s="688"/>
    </row>
    <row r="11" spans="1:15" ht="15">
      <c r="A11" s="528"/>
      <c r="B11" s="529" t="s">
        <v>902</v>
      </c>
      <c r="C11" s="529" t="s">
        <v>903</v>
      </c>
      <c r="D11" s="529" t="s">
        <v>904</v>
      </c>
      <c r="E11" s="529" t="s">
        <v>905</v>
      </c>
      <c r="F11" s="529" t="s">
        <v>906</v>
      </c>
      <c r="G11" s="529" t="s">
        <v>907</v>
      </c>
      <c r="H11" s="529" t="s">
        <v>908</v>
      </c>
      <c r="I11" s="529" t="s">
        <v>909</v>
      </c>
      <c r="J11" s="529" t="s">
        <v>910</v>
      </c>
      <c r="K11" s="529" t="s">
        <v>911</v>
      </c>
      <c r="L11" s="529" t="s">
        <v>912</v>
      </c>
      <c r="M11" s="529" t="s">
        <v>913</v>
      </c>
      <c r="N11" s="529" t="s">
        <v>914</v>
      </c>
      <c r="O11" s="529" t="s">
        <v>915</v>
      </c>
    </row>
    <row r="12" spans="1:15" ht="13.5" customHeight="1">
      <c r="A12" s="528"/>
      <c r="B12" s="530"/>
      <c r="C12" s="530"/>
      <c r="D12" s="531"/>
      <c r="E12" s="531"/>
      <c r="F12" s="530"/>
      <c r="G12" s="530"/>
      <c r="H12" s="532"/>
      <c r="I12" s="532" t="s">
        <v>566</v>
      </c>
      <c r="J12" s="532"/>
      <c r="K12" s="532"/>
      <c r="L12" s="532" t="s">
        <v>916</v>
      </c>
      <c r="M12" s="532"/>
      <c r="N12" s="532" t="s">
        <v>917</v>
      </c>
      <c r="O12" s="532" t="s">
        <v>918</v>
      </c>
    </row>
    <row r="13" spans="1:15" ht="15">
      <c r="A13" s="528"/>
      <c r="B13" s="528"/>
      <c r="C13" s="528"/>
      <c r="D13" s="531"/>
      <c r="E13" s="531"/>
      <c r="F13" s="530"/>
      <c r="G13" s="530"/>
      <c r="H13" s="532"/>
      <c r="I13" s="533"/>
      <c r="J13" s="530"/>
      <c r="K13" s="530"/>
      <c r="L13" s="532" t="s">
        <v>567</v>
      </c>
      <c r="M13" s="532"/>
      <c r="N13" s="532" t="s">
        <v>565</v>
      </c>
      <c r="O13" s="530"/>
    </row>
    <row r="14" spans="1:15" ht="15">
      <c r="A14" s="532" t="s">
        <v>568</v>
      </c>
      <c r="B14" s="528"/>
      <c r="C14" s="532" t="s">
        <v>919</v>
      </c>
      <c r="D14" s="534" t="s">
        <v>920</v>
      </c>
      <c r="E14" s="534" t="s">
        <v>921</v>
      </c>
      <c r="F14" s="687" t="s">
        <v>569</v>
      </c>
      <c r="G14" s="687"/>
      <c r="H14" s="532"/>
      <c r="I14" s="530" t="s">
        <v>922</v>
      </c>
      <c r="J14" s="532" t="s">
        <v>923</v>
      </c>
      <c r="K14" s="532" t="s">
        <v>570</v>
      </c>
      <c r="L14" s="532" t="s">
        <v>571</v>
      </c>
      <c r="M14" s="532"/>
      <c r="N14" s="532" t="s">
        <v>572</v>
      </c>
      <c r="O14" s="532" t="s">
        <v>573</v>
      </c>
    </row>
    <row r="15" spans="1:15" ht="15">
      <c r="A15" s="535" t="s">
        <v>574</v>
      </c>
      <c r="B15" s="535" t="s">
        <v>551</v>
      </c>
      <c r="C15" s="535" t="s">
        <v>578</v>
      </c>
      <c r="D15" s="536" t="s">
        <v>924</v>
      </c>
      <c r="E15" s="536" t="s">
        <v>924</v>
      </c>
      <c r="F15" s="535" t="s">
        <v>552</v>
      </c>
      <c r="G15" s="535" t="s">
        <v>553</v>
      </c>
      <c r="H15" s="535" t="s">
        <v>575</v>
      </c>
      <c r="I15" s="535" t="s">
        <v>554</v>
      </c>
      <c r="J15" s="535" t="s">
        <v>925</v>
      </c>
      <c r="K15" s="535" t="s">
        <v>576</v>
      </c>
      <c r="L15" s="535" t="s">
        <v>577</v>
      </c>
      <c r="M15" s="535" t="s">
        <v>926</v>
      </c>
      <c r="N15" s="535" t="s">
        <v>579</v>
      </c>
      <c r="O15" s="535" t="s">
        <v>580</v>
      </c>
    </row>
    <row r="16" spans="1:15" ht="15">
      <c r="A16" s="528"/>
      <c r="B16" s="537" t="s">
        <v>581</v>
      </c>
      <c r="C16" s="537"/>
      <c r="D16" s="538"/>
      <c r="E16" s="538"/>
      <c r="F16" s="528"/>
      <c r="G16" s="528"/>
      <c r="H16" s="528"/>
      <c r="I16" s="528"/>
      <c r="J16" s="528"/>
      <c r="K16" s="528"/>
      <c r="L16" s="528"/>
      <c r="M16" s="528"/>
      <c r="N16" s="528"/>
      <c r="O16" s="528"/>
    </row>
    <row r="17" spans="1:15" ht="15">
      <c r="A17" s="532">
        <v>1</v>
      </c>
      <c r="B17" s="482" t="s">
        <v>898</v>
      </c>
      <c r="C17" s="539">
        <v>0.06</v>
      </c>
      <c r="D17" s="483">
        <v>37575</v>
      </c>
      <c r="E17" s="483">
        <v>48533</v>
      </c>
      <c r="F17" s="484">
        <v>100000</v>
      </c>
      <c r="G17" s="484">
        <v>100000</v>
      </c>
      <c r="H17" s="480">
        <v>99.456000000000003</v>
      </c>
      <c r="I17" s="540">
        <f t="shared" ref="I17:I31" si="0">IF($H17&lt;100,$G17*(100-H17),0)/100</f>
        <v>543.99999999999693</v>
      </c>
      <c r="J17" s="481">
        <f>F17*0.0075</f>
        <v>750</v>
      </c>
      <c r="K17" s="481">
        <v>441.21600000000001</v>
      </c>
      <c r="L17" s="541">
        <f t="shared" ref="L17:L31" si="1">(G17-I17-J17-K17)</f>
        <v>98264.784</v>
      </c>
      <c r="M17" s="542">
        <f t="shared" ref="M17:M31" si="2">YIELD(D17,E17,C17,(L17/F17*100),100,2)</f>
        <v>6.127109345623246E-2</v>
      </c>
      <c r="N17" s="481">
        <f t="shared" ref="N17:N31" si="3">G17*C17</f>
        <v>6000</v>
      </c>
      <c r="O17" s="543">
        <f t="shared" ref="O17:O28" si="4">(N17/L17*100)</f>
        <v>6.1059514464510505</v>
      </c>
    </row>
    <row r="18" spans="1:15" ht="15">
      <c r="A18" s="532">
        <v>2</v>
      </c>
      <c r="B18" s="482" t="s">
        <v>899</v>
      </c>
      <c r="C18" s="539">
        <v>4.2500000000000003E-2</v>
      </c>
      <c r="D18" s="483">
        <v>37754</v>
      </c>
      <c r="E18" s="483">
        <v>41548</v>
      </c>
      <c r="F18" s="484">
        <v>70000</v>
      </c>
      <c r="G18" s="484">
        <v>70000</v>
      </c>
      <c r="H18" s="480">
        <v>99.465000000000003</v>
      </c>
      <c r="I18" s="544">
        <f t="shared" si="0"/>
        <v>374.49999999999761</v>
      </c>
      <c r="J18" s="481">
        <f>F18*0.00625</f>
        <v>437.5</v>
      </c>
      <c r="K18" s="481">
        <v>203.70128</v>
      </c>
      <c r="L18" s="541">
        <f t="shared" si="1"/>
        <v>68984.298720000006</v>
      </c>
      <c r="M18" s="542">
        <f t="shared" si="2"/>
        <v>4.4253099545089838E-2</v>
      </c>
      <c r="N18" s="481">
        <f t="shared" si="3"/>
        <v>2975</v>
      </c>
      <c r="O18" s="543">
        <f t="shared" si="4"/>
        <v>4.3125755500903349</v>
      </c>
    </row>
    <row r="19" spans="1:15" ht="15">
      <c r="A19" s="532">
        <v>3</v>
      </c>
      <c r="B19" s="482" t="s">
        <v>582</v>
      </c>
      <c r="C19" s="539">
        <v>5.5E-2</v>
      </c>
      <c r="D19" s="483">
        <v>37754</v>
      </c>
      <c r="E19" s="483">
        <v>48670</v>
      </c>
      <c r="F19" s="484">
        <v>70000</v>
      </c>
      <c r="G19" s="484">
        <v>70000</v>
      </c>
      <c r="H19" s="480">
        <v>99.947999999999993</v>
      </c>
      <c r="I19" s="544">
        <f t="shared" si="0"/>
        <v>36.400000000004695</v>
      </c>
      <c r="J19" s="481">
        <f t="shared" ref="J19:J24" si="5">F19*0.0075</f>
        <v>525</v>
      </c>
      <c r="K19" s="481">
        <v>3810.2468900000003</v>
      </c>
      <c r="L19" s="541">
        <f t="shared" si="1"/>
        <v>65628.353109999996</v>
      </c>
      <c r="M19" s="542">
        <f t="shared" si="2"/>
        <v>5.9489763374888566E-2</v>
      </c>
      <c r="N19" s="481">
        <f t="shared" si="3"/>
        <v>3850</v>
      </c>
      <c r="O19" s="543">
        <f t="shared" si="4"/>
        <v>5.8663669245927847</v>
      </c>
    </row>
    <row r="20" spans="1:15" ht="15">
      <c r="A20" s="532">
        <v>4</v>
      </c>
      <c r="B20" s="482" t="s">
        <v>583</v>
      </c>
      <c r="C20" s="539">
        <v>5.5E-2</v>
      </c>
      <c r="D20" s="483">
        <v>38072</v>
      </c>
      <c r="E20" s="483">
        <v>49018</v>
      </c>
      <c r="F20" s="484">
        <v>50000</v>
      </c>
      <c r="G20" s="484">
        <v>50000</v>
      </c>
      <c r="H20" s="480">
        <v>99.233000000000004</v>
      </c>
      <c r="I20" s="544">
        <f t="shared" si="0"/>
        <v>383.49999999999795</v>
      </c>
      <c r="J20" s="545">
        <f t="shared" si="5"/>
        <v>375</v>
      </c>
      <c r="K20" s="481">
        <v>149.41932</v>
      </c>
      <c r="L20" s="541">
        <f t="shared" si="1"/>
        <v>49092.080679999999</v>
      </c>
      <c r="M20" s="542">
        <f t="shared" si="2"/>
        <v>5.6259085786513958E-2</v>
      </c>
      <c r="N20" s="481">
        <f t="shared" si="3"/>
        <v>2750</v>
      </c>
      <c r="O20" s="543">
        <f t="shared" si="4"/>
        <v>5.6017181629059447</v>
      </c>
    </row>
    <row r="21" spans="1:15" ht="15">
      <c r="A21" s="532">
        <v>5</v>
      </c>
      <c r="B21" s="482" t="s">
        <v>584</v>
      </c>
      <c r="C21" s="539">
        <v>5.8749999999999997E-2</v>
      </c>
      <c r="D21" s="483">
        <v>38215</v>
      </c>
      <c r="E21" s="483">
        <v>49171</v>
      </c>
      <c r="F21" s="546">
        <v>55000</v>
      </c>
      <c r="G21" s="546">
        <v>55000</v>
      </c>
      <c r="H21" s="547">
        <v>98.64</v>
      </c>
      <c r="I21" s="544">
        <f t="shared" si="0"/>
        <v>747.99999999999966</v>
      </c>
      <c r="J21" s="545">
        <f t="shared" si="5"/>
        <v>412.5</v>
      </c>
      <c r="K21" s="481">
        <v>173.25947999999997</v>
      </c>
      <c r="L21" s="541">
        <f t="shared" si="1"/>
        <v>53666.240519999999</v>
      </c>
      <c r="M21" s="542">
        <f t="shared" si="2"/>
        <v>6.0511966969041583E-2</v>
      </c>
      <c r="N21" s="481">
        <f t="shared" si="3"/>
        <v>3231.25</v>
      </c>
      <c r="O21" s="543">
        <f t="shared" si="4"/>
        <v>6.0210105434827277</v>
      </c>
    </row>
    <row r="22" spans="1:15" ht="15">
      <c r="A22" s="532">
        <v>6</v>
      </c>
      <c r="B22" s="482" t="s">
        <v>585</v>
      </c>
      <c r="C22" s="539">
        <v>5.2999999999999999E-2</v>
      </c>
      <c r="D22" s="483">
        <v>38590</v>
      </c>
      <c r="E22" s="483">
        <v>49536</v>
      </c>
      <c r="F22" s="484">
        <v>60000</v>
      </c>
      <c r="G22" s="484">
        <v>60000</v>
      </c>
      <c r="H22" s="480">
        <v>99.319000000000003</v>
      </c>
      <c r="I22" s="544">
        <f t="shared" si="0"/>
        <v>408.59999999999837</v>
      </c>
      <c r="J22" s="481">
        <f t="shared" si="5"/>
        <v>450</v>
      </c>
      <c r="K22" s="481">
        <v>3399.7387599999997</v>
      </c>
      <c r="L22" s="541">
        <f t="shared" si="1"/>
        <v>55741.661240000001</v>
      </c>
      <c r="M22" s="542">
        <f t="shared" si="2"/>
        <v>5.8021037371971895E-2</v>
      </c>
      <c r="N22" s="481">
        <f t="shared" si="3"/>
        <v>3180</v>
      </c>
      <c r="O22" s="543">
        <f t="shared" si="4"/>
        <v>5.7048891785055806</v>
      </c>
    </row>
    <row r="23" spans="1:15" ht="15">
      <c r="A23" s="532">
        <v>7</v>
      </c>
      <c r="B23" s="482" t="s">
        <v>883</v>
      </c>
      <c r="C23" s="539">
        <v>6.3E-2</v>
      </c>
      <c r="D23" s="483">
        <v>39255</v>
      </c>
      <c r="E23" s="483">
        <v>50206</v>
      </c>
      <c r="F23" s="484">
        <v>140000</v>
      </c>
      <c r="G23" s="484">
        <v>140000</v>
      </c>
      <c r="H23" s="480">
        <v>99.801000000000002</v>
      </c>
      <c r="I23" s="544">
        <f t="shared" si="0"/>
        <v>278.59999999999729</v>
      </c>
      <c r="J23" s="481">
        <f t="shared" si="5"/>
        <v>1050</v>
      </c>
      <c r="K23" s="481">
        <v>450.03067999999996</v>
      </c>
      <c r="L23" s="541">
        <f t="shared" si="1"/>
        <v>138221.36932</v>
      </c>
      <c r="M23" s="542">
        <f t="shared" si="2"/>
        <v>6.3956176346651808E-2</v>
      </c>
      <c r="N23" s="481">
        <f t="shared" si="3"/>
        <v>8820</v>
      </c>
      <c r="O23" s="543">
        <f t="shared" si="4"/>
        <v>6.3810683133811104</v>
      </c>
    </row>
    <row r="24" spans="1:15" ht="15">
      <c r="A24" s="532">
        <v>8</v>
      </c>
      <c r="B24" s="482" t="s">
        <v>884</v>
      </c>
      <c r="C24" s="539">
        <v>6.25E-2</v>
      </c>
      <c r="D24" s="483">
        <v>39373</v>
      </c>
      <c r="E24" s="483">
        <v>50328</v>
      </c>
      <c r="F24" s="484">
        <v>100000</v>
      </c>
      <c r="G24" s="484">
        <v>100000</v>
      </c>
      <c r="H24" s="480">
        <v>99.731999999999999</v>
      </c>
      <c r="I24" s="544">
        <f t="shared" si="0"/>
        <v>268.00000000000068</v>
      </c>
      <c r="J24" s="481">
        <f t="shared" si="5"/>
        <v>750</v>
      </c>
      <c r="K24" s="481">
        <v>477.48976999999996</v>
      </c>
      <c r="L24" s="541">
        <f t="shared" si="1"/>
        <v>98504.51023</v>
      </c>
      <c r="M24" s="542">
        <f t="shared" si="2"/>
        <v>6.362251555849123E-2</v>
      </c>
      <c r="N24" s="481">
        <f t="shared" si="3"/>
        <v>6250</v>
      </c>
      <c r="O24" s="543">
        <f t="shared" si="4"/>
        <v>6.3448871380678504</v>
      </c>
    </row>
    <row r="25" spans="1:15" ht="15">
      <c r="A25" s="532">
        <v>9</v>
      </c>
      <c r="B25" s="482" t="s">
        <v>885</v>
      </c>
      <c r="C25" s="539">
        <v>6.0249999999999998E-2</v>
      </c>
      <c r="D25" s="483">
        <v>39639</v>
      </c>
      <c r="E25" s="483">
        <v>43296</v>
      </c>
      <c r="F25" s="484">
        <v>120000</v>
      </c>
      <c r="G25" s="484">
        <v>120000</v>
      </c>
      <c r="H25" s="480">
        <v>100</v>
      </c>
      <c r="I25" s="544">
        <f t="shared" si="0"/>
        <v>0</v>
      </c>
      <c r="J25" s="481">
        <f>F25*0.00625</f>
        <v>750</v>
      </c>
      <c r="K25" s="481">
        <v>914.61737000000005</v>
      </c>
      <c r="L25" s="541">
        <f t="shared" si="1"/>
        <v>118335.38262999999</v>
      </c>
      <c r="M25" s="542">
        <f t="shared" si="2"/>
        <v>6.2129624361985596E-2</v>
      </c>
      <c r="N25" s="481">
        <f t="shared" si="3"/>
        <v>7230</v>
      </c>
      <c r="O25" s="543">
        <f t="shared" si="4"/>
        <v>6.1097533462211278</v>
      </c>
    </row>
    <row r="26" spans="1:15" ht="15">
      <c r="A26" s="532">
        <v>10</v>
      </c>
      <c r="B26" s="482" t="s">
        <v>900</v>
      </c>
      <c r="C26" s="539">
        <v>6.1499999999999999E-2</v>
      </c>
      <c r="D26" s="483">
        <v>39902</v>
      </c>
      <c r="E26" s="483">
        <v>43556</v>
      </c>
      <c r="F26" s="484">
        <v>100000</v>
      </c>
      <c r="G26" s="484">
        <v>100000</v>
      </c>
      <c r="H26" s="480">
        <v>99.814999999999998</v>
      </c>
      <c r="I26" s="544">
        <f t="shared" si="0"/>
        <v>185.00000000000225</v>
      </c>
      <c r="J26" s="481">
        <f>F26*0.00625</f>
        <v>625</v>
      </c>
      <c r="K26" s="481">
        <v>409.90922999999998</v>
      </c>
      <c r="L26" s="541">
        <f t="shared" si="1"/>
        <v>98780.090769999995</v>
      </c>
      <c r="M26" s="542">
        <f t="shared" si="2"/>
        <v>6.3163320807636036E-2</v>
      </c>
      <c r="N26" s="481">
        <f t="shared" si="3"/>
        <v>6150</v>
      </c>
      <c r="O26" s="543">
        <f t="shared" si="4"/>
        <v>6.2259509502979578</v>
      </c>
    </row>
    <row r="27" spans="1:15" ht="15">
      <c r="A27" s="532">
        <v>11</v>
      </c>
      <c r="B27" s="482" t="s">
        <v>901</v>
      </c>
      <c r="C27" s="539">
        <v>4.4999999999999998E-2</v>
      </c>
      <c r="D27" s="483">
        <v>40137</v>
      </c>
      <c r="E27" s="483">
        <v>43891</v>
      </c>
      <c r="F27" s="484">
        <v>130000</v>
      </c>
      <c r="G27" s="484">
        <v>130000</v>
      </c>
      <c r="H27" s="480">
        <v>99.819000000000003</v>
      </c>
      <c r="I27" s="544">
        <f t="shared" si="0"/>
        <v>235.29999999999663</v>
      </c>
      <c r="J27" s="481">
        <f>F27*0.00625</f>
        <v>812.5</v>
      </c>
      <c r="K27" s="481">
        <v>386.88333999999998</v>
      </c>
      <c r="L27" s="541">
        <f t="shared" si="1"/>
        <v>128565.31666</v>
      </c>
      <c r="M27" s="542">
        <f t="shared" si="2"/>
        <v>4.6353839852438648E-2</v>
      </c>
      <c r="N27" s="481">
        <f t="shared" si="3"/>
        <v>5850</v>
      </c>
      <c r="O27" s="543">
        <f t="shared" si="4"/>
        <v>4.5502163040369092</v>
      </c>
    </row>
    <row r="28" spans="1:15" ht="15">
      <c r="A28" s="532">
        <v>12</v>
      </c>
      <c r="B28" s="482" t="s">
        <v>971</v>
      </c>
      <c r="C28" s="539">
        <v>3.4000000000000002E-2</v>
      </c>
      <c r="D28" s="483">
        <v>40420</v>
      </c>
      <c r="E28" s="483">
        <v>44136</v>
      </c>
      <c r="F28" s="484">
        <v>100000</v>
      </c>
      <c r="G28" s="484">
        <v>100000</v>
      </c>
      <c r="H28" s="480">
        <v>99.501000000000005</v>
      </c>
      <c r="I28" s="544">
        <f t="shared" si="0"/>
        <v>498.99999999999523</v>
      </c>
      <c r="J28" s="481">
        <f>F28*0.00625</f>
        <v>625</v>
      </c>
      <c r="K28" s="481">
        <v>534.9</v>
      </c>
      <c r="L28" s="541">
        <f t="shared" si="1"/>
        <v>98341.1</v>
      </c>
      <c r="M28" s="542">
        <f t="shared" si="2"/>
        <v>3.595809330771968E-2</v>
      </c>
      <c r="N28" s="481">
        <f t="shared" si="3"/>
        <v>3400.0000000000005</v>
      </c>
      <c r="O28" s="543">
        <f t="shared" si="4"/>
        <v>3.4573540462736334</v>
      </c>
    </row>
    <row r="29" spans="1:15" ht="15">
      <c r="A29" s="532">
        <v>13</v>
      </c>
      <c r="B29" s="482" t="s">
        <v>972</v>
      </c>
      <c r="C29" s="539">
        <v>4.8500000000000001E-2</v>
      </c>
      <c r="D29" s="483">
        <v>40420</v>
      </c>
      <c r="E29" s="483">
        <v>51363</v>
      </c>
      <c r="F29" s="484">
        <v>100000</v>
      </c>
      <c r="G29" s="484">
        <v>100000</v>
      </c>
      <c r="H29" s="480">
        <v>99.83</v>
      </c>
      <c r="I29" s="544">
        <f t="shared" si="0"/>
        <v>170.00000000000171</v>
      </c>
      <c r="J29" s="481">
        <f>F29*0.0075</f>
        <v>750</v>
      </c>
      <c r="K29" s="481">
        <v>534.9</v>
      </c>
      <c r="L29" s="541">
        <f t="shared" si="1"/>
        <v>98545.1</v>
      </c>
      <c r="M29" s="542">
        <f t="shared" si="2"/>
        <v>4.9434486686447211E-2</v>
      </c>
      <c r="N29" s="481">
        <f t="shared" si="3"/>
        <v>4850</v>
      </c>
      <c r="O29" s="543">
        <f>(N29/L29*100)</f>
        <v>4.9216044227465394</v>
      </c>
    </row>
    <row r="30" spans="1:15" ht="15">
      <c r="A30" s="532">
        <v>14</v>
      </c>
      <c r="B30" s="482" t="s">
        <v>1162</v>
      </c>
      <c r="C30" s="548">
        <v>2.9499999999999998E-2</v>
      </c>
      <c r="D30" s="483">
        <v>41012</v>
      </c>
      <c r="E30" s="483">
        <v>44652</v>
      </c>
      <c r="F30" s="484">
        <v>75000</v>
      </c>
      <c r="G30" s="479">
        <v>75000</v>
      </c>
      <c r="H30" s="480">
        <v>99.828999999999994</v>
      </c>
      <c r="I30" s="544">
        <f t="shared" si="0"/>
        <v>128.25000000000486</v>
      </c>
      <c r="J30" s="481">
        <f>F30*0.00625</f>
        <v>468.75</v>
      </c>
      <c r="K30" s="481">
        <v>1397.79</v>
      </c>
      <c r="L30" s="541">
        <f t="shared" si="1"/>
        <v>73005.210000000006</v>
      </c>
      <c r="M30" s="542">
        <f t="shared" si="2"/>
        <v>3.2646932264447474E-2</v>
      </c>
      <c r="N30" s="481">
        <f t="shared" si="3"/>
        <v>2212.5</v>
      </c>
      <c r="O30" s="543">
        <f>(N30/L30*100)</f>
        <v>3.0306056238999926</v>
      </c>
    </row>
    <row r="31" spans="1:15" ht="15">
      <c r="A31" s="532">
        <v>15</v>
      </c>
      <c r="B31" s="482" t="s">
        <v>1163</v>
      </c>
      <c r="C31" s="548">
        <v>4.2999999999999997E-2</v>
      </c>
      <c r="D31" s="483">
        <v>41012</v>
      </c>
      <c r="E31" s="483">
        <v>51957</v>
      </c>
      <c r="F31" s="484">
        <v>75000</v>
      </c>
      <c r="G31" s="479">
        <v>75000</v>
      </c>
      <c r="H31" s="480">
        <v>99.933999999999997</v>
      </c>
      <c r="I31" s="544">
        <f t="shared" si="0"/>
        <v>49.500000000001876</v>
      </c>
      <c r="J31" s="481">
        <f>F31*0.0075</f>
        <v>562.5</v>
      </c>
      <c r="K31" s="481">
        <v>1397.79</v>
      </c>
      <c r="L31" s="541">
        <f t="shared" si="1"/>
        <v>72990.210000000006</v>
      </c>
      <c r="M31" s="542">
        <f t="shared" si="2"/>
        <v>4.4629381661078486E-2</v>
      </c>
      <c r="N31" s="481">
        <f t="shared" si="3"/>
        <v>3224.9999999999995</v>
      </c>
      <c r="O31" s="543">
        <f>(N31/L31*100)</f>
        <v>4.4184007690894429</v>
      </c>
    </row>
    <row r="32" spans="1:15" ht="15">
      <c r="A32" s="532"/>
      <c r="B32" s="482"/>
      <c r="C32" s="482"/>
      <c r="D32" s="483"/>
      <c r="E32" s="483"/>
      <c r="F32" s="549"/>
      <c r="G32" s="549"/>
      <c r="H32" s="550"/>
      <c r="I32" s="551"/>
      <c r="J32" s="552"/>
      <c r="K32" s="552"/>
      <c r="L32" s="553"/>
      <c r="M32" s="554"/>
      <c r="N32" s="552"/>
      <c r="O32" s="555"/>
    </row>
    <row r="33" spans="1:15" ht="15">
      <c r="A33" s="532"/>
      <c r="B33" s="482" t="s">
        <v>586</v>
      </c>
      <c r="C33" s="482"/>
      <c r="D33" s="556"/>
      <c r="E33" s="556"/>
      <c r="F33" s="546">
        <f>SUM(F17:F32)</f>
        <v>1345000</v>
      </c>
      <c r="G33" s="546">
        <f>SUM(G17:G32)</f>
        <v>1345000</v>
      </c>
      <c r="H33" s="547"/>
      <c r="I33" s="544">
        <f>SUM(I17:I32)</f>
        <v>4308.6499999999951</v>
      </c>
      <c r="J33" s="545">
        <f>SUM(J17:J32)</f>
        <v>9343.75</v>
      </c>
      <c r="K33" s="545">
        <f>SUM(K17:K32)</f>
        <v>14681.89212</v>
      </c>
      <c r="L33" s="541">
        <f>SUM(L17:L32)</f>
        <v>1316665.7078800001</v>
      </c>
      <c r="M33" s="557"/>
      <c r="N33" s="545">
        <f>SUM(N17:N32)</f>
        <v>69973.75</v>
      </c>
      <c r="O33" s="558">
        <f>(N33/L33)</f>
        <v>5.3144658952701568E-2</v>
      </c>
    </row>
    <row r="34" spans="1:15" ht="15">
      <c r="B34" s="482"/>
      <c r="C34" s="482"/>
      <c r="D34" s="556"/>
      <c r="E34" s="556"/>
      <c r="F34" s="546"/>
      <c r="G34" s="546"/>
      <c r="H34" s="547"/>
      <c r="I34" s="544"/>
      <c r="J34" s="546"/>
      <c r="K34" s="546"/>
      <c r="L34" s="546"/>
      <c r="M34" s="557"/>
      <c r="N34" s="546"/>
      <c r="O34" s="559"/>
    </row>
    <row r="35" spans="1:15" ht="15">
      <c r="A35" s="532"/>
      <c r="B35" s="482" t="s">
        <v>587</v>
      </c>
      <c r="C35" s="482"/>
      <c r="D35" s="556"/>
      <c r="E35" s="556"/>
      <c r="F35" s="546"/>
      <c r="G35" s="546"/>
      <c r="H35" s="547"/>
      <c r="I35" s="544"/>
      <c r="J35" s="545"/>
      <c r="K35" s="545"/>
      <c r="L35" s="545"/>
      <c r="M35" s="557"/>
      <c r="N35" s="545"/>
      <c r="O35" s="559"/>
    </row>
    <row r="36" spans="1:15" ht="15">
      <c r="A36" s="532">
        <v>16</v>
      </c>
      <c r="B36" s="560" t="s">
        <v>927</v>
      </c>
      <c r="C36" s="539">
        <v>5.2499999999999998E-2</v>
      </c>
      <c r="D36" s="483">
        <v>40045</v>
      </c>
      <c r="E36" s="483">
        <v>46218</v>
      </c>
      <c r="F36" s="484">
        <v>116300</v>
      </c>
      <c r="G36" s="484">
        <v>116300</v>
      </c>
      <c r="H36" s="547">
        <v>100</v>
      </c>
      <c r="I36" s="544">
        <f>IF($H36&lt;100,$G36*(100-H36),0)/100</f>
        <v>0</v>
      </c>
      <c r="J36" s="481">
        <v>930.4</v>
      </c>
      <c r="K36" s="481">
        <v>7703.9115110000002</v>
      </c>
      <c r="L36" s="545">
        <f>(G36-I36-J36-K36)</f>
        <v>107665.68848900001</v>
      </c>
      <c r="M36" s="542">
        <f t="shared" ref="M36:M38" si="6">YIELD(D36,E36,C36,(L36/F36*100),100,2)</f>
        <v>5.9520295507838376E-2</v>
      </c>
      <c r="N36" s="545">
        <f>G36*C36</f>
        <v>6105.75</v>
      </c>
      <c r="O36" s="559">
        <f>(N36/L36*100)</f>
        <v>5.6710267548456841</v>
      </c>
    </row>
    <row r="37" spans="1:15" ht="15">
      <c r="A37" s="532">
        <v>17</v>
      </c>
      <c r="B37" s="482" t="s">
        <v>928</v>
      </c>
      <c r="C37" s="539">
        <v>7.2500000000000004E-3</v>
      </c>
      <c r="D37" s="483">
        <v>36663</v>
      </c>
      <c r="E37" s="483">
        <v>46419</v>
      </c>
      <c r="F37" s="546">
        <v>4360</v>
      </c>
      <c r="G37" s="546">
        <v>4360</v>
      </c>
      <c r="H37" s="547">
        <v>100</v>
      </c>
      <c r="I37" s="544">
        <f>IF($H37&lt;100,$G37*(100-H37),0)/100</f>
        <v>0</v>
      </c>
      <c r="J37" s="481">
        <v>50</v>
      </c>
      <c r="K37" s="481">
        <v>120.34312999999999</v>
      </c>
      <c r="L37" s="545">
        <f t="shared" ref="L37:L38" si="7">(G37-I37-J37-K37)</f>
        <v>4189.6568699999998</v>
      </c>
      <c r="M37" s="542">
        <f t="shared" si="6"/>
        <v>8.8968005059474418E-3</v>
      </c>
      <c r="N37" s="545">
        <f>G37*C37</f>
        <v>31.610000000000003</v>
      </c>
      <c r="O37" s="559">
        <f>(N37/L37*100)</f>
        <v>0.75447706055221664</v>
      </c>
    </row>
    <row r="38" spans="1:15" ht="15">
      <c r="A38" s="532">
        <v>18</v>
      </c>
      <c r="B38" s="482" t="s">
        <v>929</v>
      </c>
      <c r="C38" s="539">
        <v>5.1499999999999997E-2</v>
      </c>
      <c r="D38" s="483">
        <v>40045</v>
      </c>
      <c r="E38" s="483">
        <v>45627</v>
      </c>
      <c r="F38" s="484">
        <v>49800</v>
      </c>
      <c r="G38" s="484">
        <v>49800</v>
      </c>
      <c r="H38" s="480">
        <v>100</v>
      </c>
      <c r="I38" s="540">
        <f>IF($H38&lt;100,$G38*(100-H38),0)/100</f>
        <v>0</v>
      </c>
      <c r="J38" s="481">
        <v>398.4</v>
      </c>
      <c r="K38" s="481">
        <v>3956.6490389999999</v>
      </c>
      <c r="L38" s="545">
        <f t="shared" si="7"/>
        <v>45444.950960999995</v>
      </c>
      <c r="M38" s="542">
        <f t="shared" si="6"/>
        <v>6.033134456052873E-2</v>
      </c>
      <c r="N38" s="545">
        <f>G38*C38</f>
        <v>2564.6999999999998</v>
      </c>
      <c r="O38" s="543">
        <f>(N38/L38*100)</f>
        <v>5.6435312301271425</v>
      </c>
    </row>
    <row r="39" spans="1:15" ht="15">
      <c r="A39" s="532"/>
      <c r="B39" s="482"/>
      <c r="C39" s="482"/>
      <c r="D39" s="483"/>
      <c r="E39" s="483"/>
      <c r="F39" s="549"/>
      <c r="G39" s="549"/>
      <c r="H39" s="550"/>
      <c r="I39" s="551"/>
      <c r="J39" s="552"/>
      <c r="K39" s="552"/>
      <c r="L39" s="552"/>
      <c r="M39" s="561"/>
      <c r="N39" s="552"/>
      <c r="O39" s="555"/>
    </row>
    <row r="40" spans="1:15" ht="15">
      <c r="A40" s="532">
        <v>19</v>
      </c>
      <c r="B40" s="482" t="s">
        <v>588</v>
      </c>
      <c r="C40" s="482"/>
      <c r="D40" s="538"/>
      <c r="E40" s="538"/>
      <c r="F40" s="546">
        <f>SUM(F36:F39)</f>
        <v>170460</v>
      </c>
      <c r="G40" s="546">
        <f>SUM(G36:G39)</f>
        <v>170460</v>
      </c>
      <c r="H40" s="547"/>
      <c r="I40" s="544">
        <f>SUM(I36:I39)</f>
        <v>0</v>
      </c>
      <c r="J40" s="545">
        <f>SUM(J36:J39)</f>
        <v>1378.8</v>
      </c>
      <c r="K40" s="545">
        <f>SUM(K36:K39)</f>
        <v>11780.903679999999</v>
      </c>
      <c r="L40" s="545">
        <f>SUM(L36:L39)</f>
        <v>157300.29632000002</v>
      </c>
      <c r="M40" s="557"/>
      <c r="N40" s="545">
        <f>SUM(N36:N39)</f>
        <v>8702.06</v>
      </c>
      <c r="O40" s="559">
        <f>(N40/L40*100)</f>
        <v>5.5321319816824603</v>
      </c>
    </row>
    <row r="41" spans="1:15" ht="15">
      <c r="A41" s="532"/>
      <c r="B41" s="482"/>
      <c r="C41" s="482"/>
      <c r="D41" s="538"/>
      <c r="E41" s="538"/>
      <c r="F41" s="546"/>
      <c r="G41" s="546"/>
      <c r="H41" s="547"/>
      <c r="I41" s="544"/>
      <c r="J41" s="545"/>
      <c r="K41" s="545"/>
      <c r="L41" s="545"/>
      <c r="M41" s="557"/>
      <c r="N41" s="545"/>
      <c r="O41" s="559"/>
    </row>
    <row r="42" spans="1:15" ht="15">
      <c r="A42" s="532"/>
      <c r="B42" s="482"/>
      <c r="C42" s="482"/>
      <c r="D42" s="534"/>
      <c r="E42" s="534"/>
      <c r="F42" s="546"/>
      <c r="G42" s="545"/>
      <c r="H42" s="547"/>
      <c r="I42" s="562"/>
      <c r="J42" s="563"/>
      <c r="K42" s="563"/>
      <c r="L42" s="545"/>
      <c r="M42" s="557"/>
      <c r="N42" s="545"/>
      <c r="O42" s="559"/>
    </row>
    <row r="43" spans="1:15" ht="15">
      <c r="A43" s="528"/>
      <c r="B43" s="482"/>
      <c r="C43" s="482"/>
      <c r="D43" s="538"/>
      <c r="E43" s="538"/>
      <c r="F43" s="546"/>
      <c r="G43" s="546"/>
      <c r="H43" s="546"/>
      <c r="I43" s="564"/>
      <c r="J43" s="545"/>
      <c r="K43" s="545"/>
      <c r="L43" s="545"/>
      <c r="M43" s="545"/>
      <c r="N43" s="545"/>
      <c r="O43" s="565"/>
    </row>
    <row r="44" spans="1:15" ht="15.75" thickBot="1">
      <c r="A44" s="532">
        <v>20</v>
      </c>
      <c r="B44" s="482" t="s">
        <v>589</v>
      </c>
      <c r="C44" s="482"/>
      <c r="D44" s="538"/>
      <c r="E44" s="538"/>
      <c r="F44" s="566">
        <f>SUM(F33,F40)</f>
        <v>1515460</v>
      </c>
      <c r="G44" s="567">
        <f>SUM(G33,G40)</f>
        <v>1515460</v>
      </c>
      <c r="H44" s="568"/>
      <c r="I44" s="569">
        <f>SUM(I33,I40)</f>
        <v>4308.6499999999951</v>
      </c>
      <c r="J44" s="567">
        <f>SUM(J33,J40)</f>
        <v>10722.55</v>
      </c>
      <c r="K44" s="567">
        <f>SUM(K33,K40)</f>
        <v>26462.7958</v>
      </c>
      <c r="L44" s="567">
        <f>SUM(L33,L40)</f>
        <v>1473966.0042000001</v>
      </c>
      <c r="M44" s="567"/>
      <c r="N44" s="567">
        <f>SUM(N33,N40)</f>
        <v>78675.81</v>
      </c>
      <c r="O44" s="570">
        <f>(N44/L44)</f>
        <v>5.3376950198184218E-2</v>
      </c>
    </row>
    <row r="45" spans="1:15" ht="15.75" thickTop="1">
      <c r="A45" s="532"/>
      <c r="B45" s="482"/>
      <c r="C45" s="482"/>
      <c r="D45" s="538"/>
      <c r="E45" s="538"/>
      <c r="F45" s="571"/>
      <c r="G45" s="571"/>
      <c r="H45" s="571"/>
      <c r="I45" s="572"/>
      <c r="J45" s="545"/>
      <c r="K45" s="545"/>
      <c r="L45" s="572"/>
      <c r="M45" s="572"/>
      <c r="N45" s="572"/>
      <c r="O45" s="573"/>
    </row>
    <row r="46" spans="1:15" ht="15">
      <c r="A46" s="482" t="s">
        <v>886</v>
      </c>
      <c r="B46" s="528" t="s">
        <v>1164</v>
      </c>
      <c r="C46" s="528"/>
      <c r="D46" s="538"/>
      <c r="E46" s="538"/>
      <c r="F46" s="528"/>
      <c r="G46" s="528"/>
      <c r="H46" s="528"/>
      <c r="I46" s="528"/>
      <c r="J46" s="545"/>
      <c r="K46" s="528"/>
      <c r="L46" s="528"/>
      <c r="M46" s="528"/>
      <c r="N46" s="528"/>
      <c r="O46" s="528"/>
    </row>
    <row r="47" spans="1:15" ht="15">
      <c r="B47" s="528" t="s">
        <v>930</v>
      </c>
      <c r="C47" s="528"/>
      <c r="D47" s="538"/>
      <c r="E47" s="538"/>
      <c r="F47" s="528"/>
      <c r="G47" s="528"/>
      <c r="H47" s="528"/>
      <c r="I47" s="528"/>
      <c r="J47" s="528"/>
      <c r="K47" s="528"/>
      <c r="L47" s="528"/>
      <c r="M47" s="528"/>
      <c r="N47" s="528"/>
      <c r="O47" s="528"/>
    </row>
    <row r="48" spans="1:15" ht="15">
      <c r="A48" s="528"/>
      <c r="M48" s="179"/>
      <c r="N48" s="179"/>
    </row>
    <row r="49" spans="1:14">
      <c r="A49" s="87"/>
      <c r="B49" s="179"/>
      <c r="C49" s="179"/>
      <c r="D49" s="179"/>
      <c r="E49" s="179"/>
      <c r="F49" s="179"/>
      <c r="G49" s="179"/>
      <c r="H49" s="179"/>
      <c r="I49" s="179"/>
      <c r="J49" s="179"/>
      <c r="K49" s="179"/>
      <c r="L49" s="179"/>
      <c r="M49" s="179"/>
      <c r="N49" s="179"/>
    </row>
    <row r="50" spans="1:14">
      <c r="A50" s="179"/>
      <c r="B50" s="87"/>
      <c r="C50" s="88"/>
      <c r="D50" s="89"/>
      <c r="E50" s="89"/>
      <c r="F50" s="90"/>
      <c r="G50" s="91"/>
      <c r="H50" s="92"/>
      <c r="I50" s="93"/>
      <c r="J50" s="93"/>
      <c r="K50" s="94"/>
      <c r="L50" s="95"/>
      <c r="M50" s="179"/>
      <c r="N50" s="179"/>
    </row>
  </sheetData>
  <sheetProtection formatCells="0"/>
  <mergeCells count="5">
    <mergeCell ref="F14:G14"/>
    <mergeCell ref="A10:O10"/>
    <mergeCell ref="A1:O1"/>
    <mergeCell ref="A2:O2"/>
    <mergeCell ref="A3:O3"/>
  </mergeCells>
  <phoneticPr fontId="12" type="noConversion"/>
  <printOptions horizontalCentered="1"/>
  <pageMargins left="0.75" right="0.75" top="1" bottom="1" header="0.5" footer="0.5"/>
  <pageSetup scale="62" orientation="landscape" r:id="rId1"/>
  <headerFooter alignWithMargins="0">
    <oddHeader>&amp;CIDAHO POWER COMPANY
Transmission Cost of Service Rate Development
12 Months Ended 12/31/2012</oddHeader>
    <oddFooter>&amp;L&amp;F, &amp;A</oddFooter>
  </headerFooter>
  <ignoredErrors>
    <ignoredError sqref="B11:O11" numberStoredAsText="1"/>
    <ignoredError sqref="I17:J17 L17:O31 I31:J31 I18:I29 F33:O33 I36:O40 I30 F40:G40 F44:O44" unlockedFormula="1"/>
    <ignoredError sqref="J18:J30" formula="1" unlockedFormula="1"/>
  </ignoredErrors>
</worksheet>
</file>

<file path=xl/worksheets/sheet36.xml><?xml version="1.0" encoding="utf-8"?>
<worksheet xmlns="http://schemas.openxmlformats.org/spreadsheetml/2006/main" xmlns:r="http://schemas.openxmlformats.org/officeDocument/2006/relationships">
  <sheetPr codeName="Sheet37"/>
  <dimension ref="A1:N22"/>
  <sheetViews>
    <sheetView zoomScaleNormal="100" zoomScaleSheetLayoutView="100" workbookViewId="0">
      <selection activeCell="D5" sqref="D5"/>
    </sheetView>
  </sheetViews>
  <sheetFormatPr defaultColWidth="9.85546875" defaultRowHeight="12.75"/>
  <cols>
    <col min="1" max="1" width="1.42578125" style="157" customWidth="1"/>
    <col min="2" max="2" width="28.42578125" style="157" bestFit="1" customWidth="1"/>
    <col min="3" max="6" width="12.7109375" style="157" customWidth="1"/>
    <col min="7" max="16384" width="9.85546875" style="157"/>
  </cols>
  <sheetData>
    <row r="1" spans="1:14">
      <c r="B1" s="660" t="s">
        <v>375</v>
      </c>
      <c r="C1" s="660"/>
      <c r="D1" s="660"/>
      <c r="E1" s="660"/>
      <c r="F1" s="660"/>
    </row>
    <row r="2" spans="1:14">
      <c r="B2" s="660" t="s">
        <v>105</v>
      </c>
      <c r="C2" s="660"/>
      <c r="D2" s="660"/>
      <c r="E2" s="660"/>
      <c r="F2" s="660"/>
    </row>
    <row r="3" spans="1:14">
      <c r="A3" s="660" t="str">
        <f>'Schedule 1 Workpaper'!A3:F3</f>
        <v>12 Months Ended 12/31/2012</v>
      </c>
      <c r="B3" s="660"/>
      <c r="C3" s="660"/>
      <c r="D3" s="660"/>
      <c r="E3" s="660"/>
      <c r="F3" s="660"/>
      <c r="G3" s="6"/>
      <c r="H3" s="6"/>
      <c r="I3" s="164"/>
      <c r="J3" s="164"/>
      <c r="K3" s="164"/>
      <c r="L3" s="164"/>
      <c r="M3" s="164"/>
      <c r="N3" s="164"/>
    </row>
    <row r="4" spans="1:14">
      <c r="B4" s="659"/>
      <c r="C4" s="659"/>
      <c r="D4" s="659"/>
      <c r="E4" s="659"/>
      <c r="F4" s="659"/>
    </row>
    <row r="5" spans="1:14">
      <c r="B5" s="164"/>
      <c r="C5" s="164"/>
      <c r="D5" s="164"/>
      <c r="E5" s="164"/>
      <c r="F5" s="164"/>
    </row>
    <row r="8" spans="1:14">
      <c r="C8" s="163" t="s">
        <v>100</v>
      </c>
      <c r="D8" s="163" t="s">
        <v>101</v>
      </c>
      <c r="E8" s="163" t="s">
        <v>102</v>
      </c>
      <c r="F8" s="163" t="s">
        <v>103</v>
      </c>
    </row>
    <row r="10" spans="1:14">
      <c r="B10" s="157" t="s">
        <v>104</v>
      </c>
      <c r="C10" s="223">
        <v>5.8999999999999997E-2</v>
      </c>
      <c r="D10" s="223">
        <v>3.0000000000000001E-3</v>
      </c>
      <c r="E10" s="223">
        <v>1E-3</v>
      </c>
      <c r="F10" s="86">
        <f>SUM(C10:E10)</f>
        <v>6.3E-2</v>
      </c>
    </row>
    <row r="15" spans="1:14">
      <c r="B15" s="5" t="s">
        <v>331</v>
      </c>
    </row>
    <row r="16" spans="1:14">
      <c r="B16" s="157" t="s">
        <v>332</v>
      </c>
    </row>
    <row r="17" spans="2:2">
      <c r="B17" s="157" t="s">
        <v>333</v>
      </c>
    </row>
    <row r="18" spans="2:2">
      <c r="B18" s="157" t="s">
        <v>334</v>
      </c>
    </row>
    <row r="19" spans="2:2">
      <c r="B19" s="157" t="s">
        <v>335</v>
      </c>
    </row>
    <row r="20" spans="2:2">
      <c r="B20" s="157" t="s">
        <v>336</v>
      </c>
    </row>
    <row r="22" spans="2:2">
      <c r="B22" s="157" t="s">
        <v>337</v>
      </c>
    </row>
  </sheetData>
  <sheetProtection formatCells="0"/>
  <mergeCells count="4">
    <mergeCell ref="B2:F2"/>
    <mergeCell ref="B1:F1"/>
    <mergeCell ref="B4:F4"/>
    <mergeCell ref="A3:F3"/>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7.xml><?xml version="1.0" encoding="utf-8"?>
<worksheet xmlns="http://schemas.openxmlformats.org/spreadsheetml/2006/main" xmlns:r="http://schemas.openxmlformats.org/officeDocument/2006/relationships">
  <sheetPr codeName="Sheet38"/>
  <dimension ref="A1:N18"/>
  <sheetViews>
    <sheetView zoomScaleNormal="100" zoomScaleSheetLayoutView="100" workbookViewId="0">
      <selection activeCell="D24" sqref="D24"/>
    </sheetView>
  </sheetViews>
  <sheetFormatPr defaultRowHeight="12.75"/>
  <cols>
    <col min="1" max="2" width="9.140625" style="179"/>
    <col min="3" max="3" width="13" style="179" bestFit="1" customWidth="1"/>
    <col min="4" max="4" width="9.140625" style="179"/>
    <col min="5" max="5" width="13" style="179" bestFit="1" customWidth="1"/>
    <col min="6" max="6" width="9.140625" style="179"/>
    <col min="7" max="7" width="11.42578125" style="179" bestFit="1" customWidth="1"/>
    <col min="8" max="16384" width="9.140625" style="179"/>
  </cols>
  <sheetData>
    <row r="1" spans="1:14">
      <c r="A1" s="668" t="s">
        <v>376</v>
      </c>
      <c r="B1" s="668"/>
      <c r="C1" s="668"/>
      <c r="D1" s="668"/>
      <c r="E1" s="668"/>
      <c r="F1" s="668"/>
      <c r="G1" s="668"/>
    </row>
    <row r="2" spans="1:14">
      <c r="A2" s="668" t="s">
        <v>110</v>
      </c>
      <c r="B2" s="668"/>
      <c r="C2" s="668"/>
      <c r="D2" s="668"/>
      <c r="E2" s="668"/>
      <c r="F2" s="668"/>
      <c r="G2" s="668"/>
    </row>
    <row r="3" spans="1:14">
      <c r="A3" s="668" t="s">
        <v>741</v>
      </c>
      <c r="B3" s="668"/>
      <c r="C3" s="668"/>
      <c r="D3" s="668"/>
      <c r="E3" s="668"/>
      <c r="F3" s="668"/>
      <c r="G3" s="668"/>
    </row>
    <row r="4" spans="1:14">
      <c r="A4" s="668" t="s">
        <v>740</v>
      </c>
      <c r="B4" s="668"/>
      <c r="C4" s="668"/>
      <c r="D4" s="668"/>
      <c r="E4" s="668"/>
      <c r="F4" s="668"/>
      <c r="G4" s="668"/>
    </row>
    <row r="5" spans="1:14">
      <c r="A5" s="668" t="str">
        <f>'Schedule 1 Workpaper'!A3:F3</f>
        <v>12 Months Ended 12/31/2012</v>
      </c>
      <c r="B5" s="668"/>
      <c r="C5" s="668"/>
      <c r="D5" s="668"/>
      <c r="E5" s="668"/>
      <c r="F5" s="668"/>
      <c r="G5" s="668"/>
      <c r="H5" s="212"/>
      <c r="I5" s="180"/>
      <c r="J5" s="180"/>
      <c r="K5" s="180"/>
      <c r="L5" s="180"/>
      <c r="M5" s="180"/>
      <c r="N5" s="180"/>
    </row>
    <row r="6" spans="1:14">
      <c r="A6" s="180"/>
      <c r="B6" s="180"/>
      <c r="C6" s="180"/>
      <c r="D6" s="180"/>
      <c r="E6" s="180"/>
      <c r="F6" s="180"/>
      <c r="G6" s="180"/>
    </row>
    <row r="7" spans="1:14">
      <c r="A7" s="180"/>
      <c r="B7" s="180"/>
      <c r="C7" s="180"/>
      <c r="D7" s="180"/>
      <c r="E7" s="180"/>
      <c r="F7" s="180"/>
      <c r="G7" s="180"/>
    </row>
    <row r="8" spans="1:14">
      <c r="A8" s="180"/>
      <c r="B8" s="180"/>
      <c r="C8" s="180"/>
      <c r="D8" s="180"/>
      <c r="E8" s="180"/>
      <c r="F8" s="180"/>
      <c r="G8" s="180"/>
    </row>
    <row r="9" spans="1:14" ht="13.5" thickBot="1">
      <c r="A9" s="213"/>
      <c r="B9" s="213"/>
      <c r="C9" s="214" t="s">
        <v>111</v>
      </c>
      <c r="D9" s="214" t="s">
        <v>418</v>
      </c>
      <c r="E9" s="215" t="s">
        <v>112</v>
      </c>
    </row>
    <row r="10" spans="1:14">
      <c r="A10" s="213"/>
      <c r="B10" s="213"/>
      <c r="C10" s="213">
        <v>107000</v>
      </c>
      <c r="D10" s="213">
        <v>451</v>
      </c>
      <c r="E10" s="650">
        <v>4006199.51</v>
      </c>
    </row>
    <row r="11" spans="1:14" ht="13.5" thickBot="1">
      <c r="A11" s="216"/>
      <c r="B11" s="216"/>
      <c r="C11" s="217" t="s">
        <v>973</v>
      </c>
      <c r="D11" s="217"/>
      <c r="E11" s="218">
        <f>SUM(E10:E10)</f>
        <v>4006199.51</v>
      </c>
    </row>
    <row r="12" spans="1:14" ht="13.5" thickTop="1">
      <c r="A12" s="216"/>
      <c r="B12" s="216"/>
      <c r="C12" s="217"/>
      <c r="D12" s="217"/>
      <c r="E12" s="219"/>
    </row>
    <row r="14" spans="1:14">
      <c r="C14" s="179" t="s">
        <v>241</v>
      </c>
      <c r="E14" s="220"/>
    </row>
    <row r="15" spans="1:14">
      <c r="C15" s="179" t="s">
        <v>242</v>
      </c>
      <c r="E15" s="220"/>
    </row>
    <row r="16" spans="1:14">
      <c r="C16" s="221">
        <v>2.0299999999999999E-2</v>
      </c>
      <c r="E16" s="220"/>
    </row>
    <row r="18" spans="3:7">
      <c r="C18" s="222">
        <f>E11</f>
        <v>4006199.51</v>
      </c>
      <c r="D18" s="180" t="s">
        <v>113</v>
      </c>
      <c r="E18" s="223">
        <f>C16</f>
        <v>2.0299999999999999E-2</v>
      </c>
      <c r="F18" s="224" t="s">
        <v>114</v>
      </c>
      <c r="G18" s="225">
        <f>ROUND(C18*E18,0)</f>
        <v>81326</v>
      </c>
    </row>
  </sheetData>
  <sheetProtection formatCells="0"/>
  <mergeCells count="5">
    <mergeCell ref="A2:G2"/>
    <mergeCell ref="A1:G1"/>
    <mergeCell ref="A3:G3"/>
    <mergeCell ref="A4:G4"/>
    <mergeCell ref="A5:G5"/>
  </mergeCells>
  <phoneticPr fontId="12" type="noConversion"/>
  <conditionalFormatting sqref="E10">
    <cfRule type="cellIs" dxfId="1" priority="2" operator="lessThan">
      <formula>0</formula>
    </cfRule>
  </conditionalFormatting>
  <conditionalFormatting sqref="C16">
    <cfRule type="cellIs" dxfId="0" priority="1" operator="notBetween">
      <formula>0.02</formula>
      <formula>0.0299</formula>
    </cfRule>
  </conditionalFormatting>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38.xml><?xml version="1.0" encoding="utf-8"?>
<worksheet xmlns="http://schemas.openxmlformats.org/spreadsheetml/2006/main" xmlns:r="http://schemas.openxmlformats.org/officeDocument/2006/relationships">
  <sheetPr codeName="Sheet39">
    <pageSetUpPr fitToPage="1"/>
  </sheetPr>
  <dimension ref="A1:U98"/>
  <sheetViews>
    <sheetView zoomScaleNormal="100" zoomScaleSheetLayoutView="70" zoomScalePageLayoutView="50" workbookViewId="0">
      <selection activeCell="B6" sqref="B6"/>
    </sheetView>
  </sheetViews>
  <sheetFormatPr defaultColWidth="30.140625" defaultRowHeight="12.75"/>
  <cols>
    <col min="1" max="1" width="11.5703125" style="493" customWidth="1"/>
    <col min="2" max="2" width="30.140625" style="493" customWidth="1"/>
    <col min="3" max="3" width="9.140625" style="497" bestFit="1" customWidth="1"/>
    <col min="4" max="4" width="5.140625" style="498" bestFit="1" customWidth="1"/>
    <col min="5" max="5" width="12.42578125" style="493" bestFit="1" customWidth="1"/>
    <col min="6" max="6" width="12.5703125" style="497" bestFit="1" customWidth="1"/>
    <col min="7" max="7" width="8.28515625" style="493" bestFit="1" customWidth="1"/>
    <col min="8" max="8" width="12.85546875" style="493" bestFit="1" customWidth="1"/>
    <col min="9" max="9" width="12.5703125" style="497" bestFit="1" customWidth="1"/>
    <col min="10" max="10" width="8.28515625" style="493" bestFit="1" customWidth="1"/>
    <col min="11" max="11" width="12.85546875" style="493" bestFit="1" customWidth="1"/>
    <col min="12" max="12" width="12.5703125" style="497" bestFit="1" customWidth="1"/>
    <col min="13" max="13" width="8.28515625" style="497" bestFit="1" customWidth="1"/>
    <col min="14" max="14" width="12.85546875" style="493" bestFit="1" customWidth="1"/>
    <col min="15" max="15" width="18.28515625" style="493" bestFit="1" customWidth="1"/>
    <col min="16" max="16" width="12.28515625" style="493" bestFit="1" customWidth="1"/>
    <col min="17" max="17" width="10" style="496" bestFit="1" customWidth="1"/>
    <col min="18" max="28" width="9.140625" style="493" customWidth="1"/>
    <col min="29" max="29" width="11.5703125" style="493" customWidth="1"/>
    <col min="30" max="16384" width="30.140625" style="493"/>
  </cols>
  <sheetData>
    <row r="1" spans="1:21">
      <c r="A1" s="692" t="s">
        <v>12</v>
      </c>
      <c r="B1" s="692"/>
      <c r="C1" s="692"/>
      <c r="D1" s="692"/>
      <c r="E1" s="692"/>
      <c r="F1" s="692"/>
      <c r="G1" s="692"/>
      <c r="H1" s="692"/>
      <c r="I1" s="692"/>
      <c r="J1" s="692"/>
      <c r="K1" s="692"/>
      <c r="L1" s="692"/>
      <c r="M1" s="692"/>
      <c r="N1" s="692"/>
      <c r="O1" s="692"/>
      <c r="P1" s="692"/>
      <c r="Q1" s="692"/>
    </row>
    <row r="2" spans="1:21">
      <c r="A2" s="668" t="s">
        <v>739</v>
      </c>
      <c r="B2" s="668"/>
      <c r="C2" s="668"/>
      <c r="D2" s="668"/>
      <c r="E2" s="668"/>
      <c r="F2" s="668"/>
      <c r="G2" s="668"/>
      <c r="H2" s="668"/>
      <c r="I2" s="668"/>
      <c r="J2" s="668"/>
      <c r="K2" s="668"/>
      <c r="L2" s="668"/>
      <c r="M2" s="668"/>
      <c r="N2" s="668"/>
      <c r="O2" s="668"/>
      <c r="P2" s="668"/>
      <c r="Q2" s="668"/>
    </row>
    <row r="3" spans="1:21">
      <c r="A3" s="672" t="s">
        <v>746</v>
      </c>
      <c r="B3" s="672"/>
      <c r="C3" s="672"/>
      <c r="D3" s="672"/>
      <c r="E3" s="672"/>
      <c r="F3" s="672"/>
      <c r="G3" s="672"/>
      <c r="H3" s="672"/>
      <c r="I3" s="672"/>
      <c r="J3" s="672"/>
      <c r="K3" s="672"/>
      <c r="L3" s="672"/>
      <c r="M3" s="672"/>
      <c r="N3" s="672"/>
      <c r="O3" s="672"/>
      <c r="P3" s="672"/>
      <c r="Q3" s="672"/>
    </row>
    <row r="4" spans="1:21">
      <c r="A4" s="672" t="s">
        <v>742</v>
      </c>
      <c r="B4" s="672"/>
      <c r="C4" s="672"/>
      <c r="D4" s="672"/>
      <c r="E4" s="672"/>
      <c r="F4" s="672"/>
      <c r="G4" s="672"/>
      <c r="H4" s="672"/>
      <c r="I4" s="672"/>
      <c r="J4" s="672"/>
      <c r="K4" s="672"/>
      <c r="L4" s="672"/>
      <c r="M4" s="672"/>
      <c r="N4" s="672"/>
      <c r="O4" s="672"/>
      <c r="P4" s="672"/>
      <c r="Q4" s="672"/>
    </row>
    <row r="5" spans="1:21" s="179" customFormat="1">
      <c r="A5" s="668" t="str">
        <f>'Schedule 1 Workpaper'!A3:F3</f>
        <v>12 Months Ended 12/31/2012</v>
      </c>
      <c r="B5" s="668"/>
      <c r="C5" s="668"/>
      <c r="D5" s="668"/>
      <c r="E5" s="668"/>
      <c r="F5" s="668"/>
      <c r="G5" s="668"/>
      <c r="H5" s="668"/>
      <c r="I5" s="668"/>
      <c r="J5" s="668"/>
      <c r="K5" s="668"/>
      <c r="L5" s="668"/>
      <c r="M5" s="668"/>
      <c r="N5" s="668"/>
      <c r="O5" s="668"/>
      <c r="P5" s="668"/>
      <c r="Q5" s="668"/>
    </row>
    <row r="6" spans="1:21">
      <c r="A6" s="490"/>
      <c r="B6" s="490"/>
      <c r="C6" s="490"/>
      <c r="D6" s="494"/>
      <c r="E6" s="490"/>
      <c r="F6" s="490"/>
      <c r="G6" s="490"/>
      <c r="H6" s="495"/>
      <c r="I6" s="495"/>
      <c r="J6" s="495"/>
      <c r="K6" s="495"/>
      <c r="L6" s="495"/>
      <c r="M6" s="495"/>
      <c r="N6" s="495"/>
      <c r="O6" s="495"/>
      <c r="P6" s="495"/>
    </row>
    <row r="7" spans="1:21">
      <c r="F7" s="689" t="s">
        <v>1155</v>
      </c>
      <c r="G7" s="690"/>
      <c r="H7" s="691"/>
      <c r="I7" s="689" t="s">
        <v>1156</v>
      </c>
      <c r="J7" s="690"/>
      <c r="K7" s="691"/>
      <c r="L7" s="689" t="s">
        <v>1157</v>
      </c>
      <c r="M7" s="690"/>
      <c r="N7" s="691"/>
      <c r="O7" s="499"/>
    </row>
    <row r="8" spans="1:21" ht="26.25" thickBot="1">
      <c r="A8" s="500" t="s">
        <v>41</v>
      </c>
      <c r="B8" s="500" t="s">
        <v>724</v>
      </c>
      <c r="C8" s="500" t="s">
        <v>846</v>
      </c>
      <c r="D8" s="501" t="s">
        <v>847</v>
      </c>
      <c r="E8" s="500" t="s">
        <v>848</v>
      </c>
      <c r="F8" s="500" t="s">
        <v>849</v>
      </c>
      <c r="G8" s="500" t="s">
        <v>162</v>
      </c>
      <c r="H8" s="502" t="s">
        <v>163</v>
      </c>
      <c r="I8" s="500" t="s">
        <v>849</v>
      </c>
      <c r="J8" s="500" t="s">
        <v>162</v>
      </c>
      <c r="K8" s="502" t="s">
        <v>163</v>
      </c>
      <c r="L8" s="500" t="s">
        <v>849</v>
      </c>
      <c r="M8" s="500" t="s">
        <v>162</v>
      </c>
      <c r="N8" s="502" t="s">
        <v>163</v>
      </c>
      <c r="O8" s="502" t="s">
        <v>850</v>
      </c>
      <c r="P8" s="502" t="s">
        <v>851</v>
      </c>
      <c r="Q8" s="502" t="s">
        <v>852</v>
      </c>
    </row>
    <row r="9" spans="1:21">
      <c r="A9" s="503" t="s">
        <v>864</v>
      </c>
      <c r="B9" s="503" t="s">
        <v>164</v>
      </c>
      <c r="C9" s="504">
        <v>353</v>
      </c>
      <c r="D9" s="505">
        <v>1978</v>
      </c>
      <c r="E9" s="506">
        <f>648863.15-968.78</f>
        <v>647894.37</v>
      </c>
      <c r="F9" s="507">
        <v>2.12E-2</v>
      </c>
      <c r="G9" s="488">
        <f>IF((2008-$D9)+0.58&lt;0, 0,(2008-$D9)+0.58)</f>
        <v>30.58</v>
      </c>
      <c r="H9" s="508">
        <f>ROUND(E9*G9*F9,2)</f>
        <v>420027.33</v>
      </c>
      <c r="I9" s="507">
        <v>2.06E-2</v>
      </c>
      <c r="J9" s="509">
        <f t="shared" ref="J9:J16" si="0">IF(G9=0,IF($J$87=D9,$J$87-D9+0.42,($J$87+0.42-D9)-G9),$J$87+0.42-D9)-G9</f>
        <v>3.8400000000000745</v>
      </c>
      <c r="K9" s="508">
        <f>ROUND(E9*J9*I9,2)</f>
        <v>51251.040000000001</v>
      </c>
      <c r="L9" s="507">
        <v>1.9E-2</v>
      </c>
      <c r="M9" s="509">
        <f t="shared" ref="M9:M40" si="1">$J$87+1-D9-J9-G9</f>
        <v>0.57999999999992724</v>
      </c>
      <c r="N9" s="508">
        <f>ROUND(E9*L9*M9,2)</f>
        <v>7139.8</v>
      </c>
      <c r="O9" s="508">
        <f>SUM(H9,K9,N9)</f>
        <v>478418.17</v>
      </c>
      <c r="P9" s="510">
        <f t="shared" ref="P9:P66" si="2">E9-O9</f>
        <v>169476.2</v>
      </c>
      <c r="Q9" s="508">
        <f>ROUND(E9*L9,2)</f>
        <v>12309.99</v>
      </c>
      <c r="S9" s="493">
        <f>2012+1-D9</f>
        <v>35</v>
      </c>
      <c r="T9" s="511">
        <f>G9+J9+M9</f>
        <v>35</v>
      </c>
      <c r="U9" s="511" t="str">
        <f>IF(S9-T9=0, "ok","error")</f>
        <v>ok</v>
      </c>
    </row>
    <row r="10" spans="1:21">
      <c r="A10" s="503" t="s">
        <v>853</v>
      </c>
      <c r="B10" s="503" t="s">
        <v>165</v>
      </c>
      <c r="C10" s="504">
        <v>353</v>
      </c>
      <c r="D10" s="505">
        <v>1959</v>
      </c>
      <c r="E10" s="506">
        <f>748173.1-275.63</f>
        <v>747897.47</v>
      </c>
      <c r="F10" s="507">
        <v>2.12E-2</v>
      </c>
      <c r="G10" s="488">
        <f t="shared" ref="G10:G67" si="3">IF((2008-D10)+0.58&lt;0, 0,(2008-D10)+0.58)</f>
        <v>49.58</v>
      </c>
      <c r="H10" s="508">
        <f>ROUND(E10*G10*F10,2)</f>
        <v>786112.04</v>
      </c>
      <c r="I10" s="507">
        <v>2.06E-2</v>
      </c>
      <c r="J10" s="509">
        <f t="shared" si="0"/>
        <v>3.8400000000000745</v>
      </c>
      <c r="K10" s="508">
        <f t="shared" ref="K10:K66" si="4">ROUND(E10*J10*I10,2)</f>
        <v>59161.68</v>
      </c>
      <c r="L10" s="507">
        <v>1.9E-2</v>
      </c>
      <c r="M10" s="509">
        <f t="shared" si="1"/>
        <v>0.57999999999992724</v>
      </c>
      <c r="N10" s="508">
        <f t="shared" ref="N10:N52" si="5">ROUND(E10*L10*M10,2)</f>
        <v>8241.83</v>
      </c>
      <c r="O10" s="508">
        <f t="shared" ref="O10:O11" si="6">SUM(H10,K10,N10)</f>
        <v>853515.55</v>
      </c>
      <c r="P10" s="510">
        <f t="shared" si="2"/>
        <v>-105618.08000000007</v>
      </c>
      <c r="Q10" s="508">
        <f t="shared" ref="Q10:Q66" si="7">ROUND(E10*L10,2)</f>
        <v>14210.05</v>
      </c>
      <c r="S10" s="493">
        <f t="shared" ref="S10:S65" si="8">2012+1-D10</f>
        <v>54</v>
      </c>
      <c r="T10" s="511">
        <f t="shared" ref="T10:T65" si="9">G10+J10+M10</f>
        <v>54</v>
      </c>
      <c r="U10" s="511" t="str">
        <f t="shared" ref="U10:U65" si="10">IF(S10-T10=0, "ok","error")</f>
        <v>ok</v>
      </c>
    </row>
    <row r="11" spans="1:21">
      <c r="A11" s="503" t="s">
        <v>853</v>
      </c>
      <c r="B11" s="503" t="s">
        <v>165</v>
      </c>
      <c r="C11" s="504">
        <v>353</v>
      </c>
      <c r="D11" s="505">
        <v>1980</v>
      </c>
      <c r="E11" s="506">
        <v>1541721.69</v>
      </c>
      <c r="F11" s="507">
        <v>2.12E-2</v>
      </c>
      <c r="G11" s="488">
        <f t="shared" si="3"/>
        <v>28.58</v>
      </c>
      <c r="H11" s="508">
        <f>ROUND(E11*G11*F11,2)</f>
        <v>934123.01</v>
      </c>
      <c r="I11" s="507">
        <v>2.06E-2</v>
      </c>
      <c r="J11" s="509">
        <f t="shared" si="0"/>
        <v>3.8400000000000745</v>
      </c>
      <c r="K11" s="508">
        <f t="shared" si="4"/>
        <v>121956.35</v>
      </c>
      <c r="L11" s="507">
        <v>1.9E-2</v>
      </c>
      <c r="M11" s="509">
        <f t="shared" si="1"/>
        <v>0.57999999999992724</v>
      </c>
      <c r="N11" s="508">
        <f t="shared" si="5"/>
        <v>16989.77</v>
      </c>
      <c r="O11" s="508">
        <f t="shared" si="6"/>
        <v>1073069.1300000001</v>
      </c>
      <c r="P11" s="510">
        <f t="shared" si="2"/>
        <v>468652.55999999982</v>
      </c>
      <c r="Q11" s="508">
        <f t="shared" si="7"/>
        <v>29292.71</v>
      </c>
      <c r="S11" s="493">
        <f t="shared" si="8"/>
        <v>33</v>
      </c>
      <c r="T11" s="511">
        <f t="shared" si="9"/>
        <v>33</v>
      </c>
      <c r="U11" s="511" t="str">
        <f t="shared" si="10"/>
        <v>ok</v>
      </c>
    </row>
    <row r="12" spans="1:21">
      <c r="A12" s="503" t="s">
        <v>853</v>
      </c>
      <c r="B12" s="503" t="s">
        <v>165</v>
      </c>
      <c r="C12" s="504">
        <v>353</v>
      </c>
      <c r="D12" s="505">
        <v>2000</v>
      </c>
      <c r="E12" s="506">
        <v>11284.55</v>
      </c>
      <c r="F12" s="507">
        <v>2.12E-2</v>
      </c>
      <c r="G12" s="488">
        <f t="shared" si="3"/>
        <v>8.58</v>
      </c>
      <c r="H12" s="508">
        <f t="shared" ref="H12:H21" si="11">ROUND(E12*G12*F12,2)</f>
        <v>2052.61</v>
      </c>
      <c r="I12" s="507">
        <v>2.06E-2</v>
      </c>
      <c r="J12" s="509">
        <f t="shared" si="0"/>
        <v>3.8400000000000727</v>
      </c>
      <c r="K12" s="508">
        <f t="shared" si="4"/>
        <v>892.65</v>
      </c>
      <c r="L12" s="507">
        <v>1.9E-2</v>
      </c>
      <c r="M12" s="509">
        <f t="shared" si="1"/>
        <v>0.57999999999992724</v>
      </c>
      <c r="N12" s="508">
        <f t="shared" si="5"/>
        <v>124.36</v>
      </c>
      <c r="O12" s="508">
        <f t="shared" ref="O12:O52" si="12">SUM(H12,K12,N12)</f>
        <v>3069.6200000000003</v>
      </c>
      <c r="P12" s="510">
        <f t="shared" si="2"/>
        <v>8214.9299999999985</v>
      </c>
      <c r="Q12" s="508">
        <f t="shared" si="7"/>
        <v>214.41</v>
      </c>
      <c r="S12" s="493">
        <f t="shared" si="8"/>
        <v>13</v>
      </c>
      <c r="T12" s="511">
        <f t="shared" si="9"/>
        <v>13</v>
      </c>
      <c r="U12" s="511" t="str">
        <f t="shared" si="10"/>
        <v>ok</v>
      </c>
    </row>
    <row r="13" spans="1:21">
      <c r="A13" s="503" t="s">
        <v>853</v>
      </c>
      <c r="B13" s="503" t="s">
        <v>165</v>
      </c>
      <c r="C13" s="504">
        <v>353</v>
      </c>
      <c r="D13" s="505">
        <v>2003</v>
      </c>
      <c r="E13" s="506">
        <v>15167.15</v>
      </c>
      <c r="F13" s="507">
        <v>2.12E-2</v>
      </c>
      <c r="G13" s="488">
        <f t="shared" si="3"/>
        <v>5.58</v>
      </c>
      <c r="H13" s="508">
        <f t="shared" si="11"/>
        <v>1794.21</v>
      </c>
      <c r="I13" s="507">
        <v>2.06E-2</v>
      </c>
      <c r="J13" s="509">
        <f t="shared" si="0"/>
        <v>3.8400000000000727</v>
      </c>
      <c r="K13" s="508">
        <f t="shared" si="4"/>
        <v>1199.78</v>
      </c>
      <c r="L13" s="507">
        <v>1.9E-2</v>
      </c>
      <c r="M13" s="509">
        <f t="shared" si="1"/>
        <v>0.57999999999992724</v>
      </c>
      <c r="N13" s="508">
        <f t="shared" si="5"/>
        <v>167.14</v>
      </c>
      <c r="O13" s="508">
        <f t="shared" si="12"/>
        <v>3161.1299999999997</v>
      </c>
      <c r="P13" s="510">
        <f t="shared" si="2"/>
        <v>12006.02</v>
      </c>
      <c r="Q13" s="508">
        <f t="shared" si="7"/>
        <v>288.18</v>
      </c>
      <c r="S13" s="493">
        <f t="shared" si="8"/>
        <v>10</v>
      </c>
      <c r="T13" s="511">
        <f t="shared" si="9"/>
        <v>10</v>
      </c>
      <c r="U13" s="511" t="str">
        <f t="shared" si="10"/>
        <v>ok</v>
      </c>
    </row>
    <row r="14" spans="1:21">
      <c r="A14" s="503" t="s">
        <v>853</v>
      </c>
      <c r="B14" s="503" t="s">
        <v>165</v>
      </c>
      <c r="C14" s="504">
        <v>353</v>
      </c>
      <c r="D14" s="505">
        <v>2012</v>
      </c>
      <c r="E14" s="506">
        <v>1855783.59</v>
      </c>
      <c r="F14" s="507">
        <v>2.12E-2</v>
      </c>
      <c r="G14" s="488">
        <f t="shared" si="3"/>
        <v>0</v>
      </c>
      <c r="H14" s="508">
        <f t="shared" si="11"/>
        <v>0</v>
      </c>
      <c r="I14" s="507">
        <v>2.06E-2</v>
      </c>
      <c r="J14" s="509">
        <f t="shared" si="0"/>
        <v>0.42</v>
      </c>
      <c r="K14" s="508">
        <f t="shared" si="4"/>
        <v>16056.24</v>
      </c>
      <c r="L14" s="507">
        <v>1.9E-2</v>
      </c>
      <c r="M14" s="509">
        <f t="shared" si="1"/>
        <v>0.58000000000000007</v>
      </c>
      <c r="N14" s="508">
        <f t="shared" si="5"/>
        <v>20450.740000000002</v>
      </c>
      <c r="O14" s="508">
        <f t="shared" si="12"/>
        <v>36506.980000000003</v>
      </c>
      <c r="P14" s="510">
        <f t="shared" si="2"/>
        <v>1819276.61</v>
      </c>
      <c r="Q14" s="508">
        <f t="shared" si="7"/>
        <v>35259.89</v>
      </c>
      <c r="S14" s="493">
        <f t="shared" si="8"/>
        <v>1</v>
      </c>
      <c r="T14" s="511">
        <f t="shared" si="9"/>
        <v>1</v>
      </c>
      <c r="U14" s="511" t="str">
        <f t="shared" si="10"/>
        <v>ok</v>
      </c>
    </row>
    <row r="15" spans="1:21">
      <c r="A15" s="503" t="s">
        <v>866</v>
      </c>
      <c r="B15" s="503" t="s">
        <v>166</v>
      </c>
      <c r="C15" s="504">
        <v>353</v>
      </c>
      <c r="D15" s="505">
        <v>1950</v>
      </c>
      <c r="E15" s="506">
        <v>316403.89</v>
      </c>
      <c r="F15" s="507">
        <v>2.12E-2</v>
      </c>
      <c r="G15" s="488">
        <f t="shared" si="3"/>
        <v>58.58</v>
      </c>
      <c r="H15" s="508">
        <f t="shared" si="11"/>
        <v>392940.73</v>
      </c>
      <c r="I15" s="507">
        <v>2.06E-2</v>
      </c>
      <c r="J15" s="509">
        <f t="shared" si="0"/>
        <v>3.8400000000000745</v>
      </c>
      <c r="K15" s="508">
        <f t="shared" si="4"/>
        <v>25028.81</v>
      </c>
      <c r="L15" s="507">
        <v>1.9E-2</v>
      </c>
      <c r="M15" s="509">
        <f t="shared" si="1"/>
        <v>0.57999999999992724</v>
      </c>
      <c r="N15" s="508">
        <f t="shared" si="5"/>
        <v>3486.77</v>
      </c>
      <c r="O15" s="508">
        <f t="shared" si="12"/>
        <v>421456.31</v>
      </c>
      <c r="P15" s="510">
        <f t="shared" si="2"/>
        <v>-105052.41999999998</v>
      </c>
      <c r="Q15" s="508">
        <f t="shared" si="7"/>
        <v>6011.67</v>
      </c>
      <c r="S15" s="493">
        <f t="shared" si="8"/>
        <v>63</v>
      </c>
      <c r="T15" s="511">
        <f t="shared" si="9"/>
        <v>63</v>
      </c>
      <c r="U15" s="511" t="str">
        <f t="shared" si="10"/>
        <v>ok</v>
      </c>
    </row>
    <row r="16" spans="1:21">
      <c r="A16" s="503" t="s">
        <v>866</v>
      </c>
      <c r="B16" s="503" t="s">
        <v>166</v>
      </c>
      <c r="C16" s="504">
        <v>353</v>
      </c>
      <c r="D16" s="505">
        <v>1964</v>
      </c>
      <c r="E16" s="506">
        <v>1416.21</v>
      </c>
      <c r="F16" s="507">
        <v>2.12E-2</v>
      </c>
      <c r="G16" s="488">
        <f t="shared" si="3"/>
        <v>44.58</v>
      </c>
      <c r="H16" s="508">
        <f t="shared" si="11"/>
        <v>1338.45</v>
      </c>
      <c r="I16" s="507">
        <v>2.06E-2</v>
      </c>
      <c r="J16" s="509">
        <f t="shared" si="0"/>
        <v>3.8400000000000745</v>
      </c>
      <c r="K16" s="508">
        <f t="shared" si="4"/>
        <v>112.03</v>
      </c>
      <c r="L16" s="507">
        <v>1.9E-2</v>
      </c>
      <c r="M16" s="509">
        <f t="shared" si="1"/>
        <v>0.57999999999992724</v>
      </c>
      <c r="N16" s="508">
        <f t="shared" si="5"/>
        <v>15.61</v>
      </c>
      <c r="O16" s="508">
        <f t="shared" si="12"/>
        <v>1466.09</v>
      </c>
      <c r="P16" s="510">
        <f t="shared" si="2"/>
        <v>-49.879999999999882</v>
      </c>
      <c r="Q16" s="508">
        <f t="shared" si="7"/>
        <v>26.91</v>
      </c>
      <c r="S16" s="493">
        <f t="shared" si="8"/>
        <v>49</v>
      </c>
      <c r="T16" s="511">
        <f t="shared" si="9"/>
        <v>49</v>
      </c>
      <c r="U16" s="511" t="str">
        <f t="shared" si="10"/>
        <v>ok</v>
      </c>
    </row>
    <row r="17" spans="1:21">
      <c r="A17" s="503" t="s">
        <v>862</v>
      </c>
      <c r="B17" s="503" t="s">
        <v>167</v>
      </c>
      <c r="C17" s="504">
        <v>353</v>
      </c>
      <c r="D17" s="505">
        <v>1983</v>
      </c>
      <c r="E17" s="506">
        <v>257772.45</v>
      </c>
      <c r="F17" s="507">
        <v>2.12E-2</v>
      </c>
      <c r="G17" s="488">
        <f t="shared" si="3"/>
        <v>25.58</v>
      </c>
      <c r="H17" s="508">
        <f t="shared" si="11"/>
        <v>139788.97</v>
      </c>
      <c r="I17" s="507">
        <v>2.06E-2</v>
      </c>
      <c r="J17" s="509">
        <f t="shared" ref="J17:J19" si="13">IF(G17=0,IF($J$87=D17,$J$87-D17+0.42,($J$87+0.42-D17)-G17),$J$87+0.42-D17)-G17</f>
        <v>3.8400000000000745</v>
      </c>
      <c r="K17" s="508">
        <f t="shared" si="4"/>
        <v>20390.830000000002</v>
      </c>
      <c r="L17" s="507">
        <v>1.9E-2</v>
      </c>
      <c r="M17" s="509">
        <f t="shared" si="1"/>
        <v>0.57999999999992724</v>
      </c>
      <c r="N17" s="508">
        <f t="shared" si="5"/>
        <v>2840.65</v>
      </c>
      <c r="O17" s="508">
        <f t="shared" si="12"/>
        <v>163020.44999999998</v>
      </c>
      <c r="P17" s="510">
        <f t="shared" si="2"/>
        <v>94752.000000000029</v>
      </c>
      <c r="Q17" s="508">
        <f t="shared" si="7"/>
        <v>4897.68</v>
      </c>
      <c r="S17" s="493">
        <f t="shared" si="8"/>
        <v>30</v>
      </c>
      <c r="T17" s="511">
        <f t="shared" si="9"/>
        <v>30</v>
      </c>
      <c r="U17" s="511" t="str">
        <f t="shared" si="10"/>
        <v>ok</v>
      </c>
    </row>
    <row r="18" spans="1:21">
      <c r="A18" s="503" t="s">
        <v>865</v>
      </c>
      <c r="B18" s="503" t="s">
        <v>169</v>
      </c>
      <c r="C18" s="504">
        <v>353</v>
      </c>
      <c r="D18" s="505">
        <v>1965</v>
      </c>
      <c r="E18" s="506">
        <v>19807.669999999998</v>
      </c>
      <c r="F18" s="507">
        <v>2.12E-2</v>
      </c>
      <c r="G18" s="488">
        <f t="shared" si="3"/>
        <v>43.58</v>
      </c>
      <c r="H18" s="508">
        <f t="shared" si="11"/>
        <v>18300.23</v>
      </c>
      <c r="I18" s="507">
        <v>2.06E-2</v>
      </c>
      <c r="J18" s="509">
        <f t="shared" si="13"/>
        <v>3.8400000000000745</v>
      </c>
      <c r="K18" s="508">
        <f t="shared" si="4"/>
        <v>1566.87</v>
      </c>
      <c r="L18" s="507">
        <v>1.9E-2</v>
      </c>
      <c r="M18" s="509">
        <f t="shared" si="1"/>
        <v>0.57999999999992724</v>
      </c>
      <c r="N18" s="508">
        <f t="shared" si="5"/>
        <v>218.28</v>
      </c>
      <c r="O18" s="508">
        <f t="shared" si="12"/>
        <v>20085.379999999997</v>
      </c>
      <c r="P18" s="510">
        <f t="shared" si="2"/>
        <v>-277.70999999999913</v>
      </c>
      <c r="Q18" s="508">
        <f t="shared" si="7"/>
        <v>376.35</v>
      </c>
      <c r="S18" s="493">
        <f t="shared" si="8"/>
        <v>48</v>
      </c>
      <c r="T18" s="511">
        <f t="shared" si="9"/>
        <v>48</v>
      </c>
      <c r="U18" s="511" t="str">
        <f t="shared" si="10"/>
        <v>ok</v>
      </c>
    </row>
    <row r="19" spans="1:21">
      <c r="A19" s="503" t="s">
        <v>854</v>
      </c>
      <c r="B19" s="503" t="s">
        <v>170</v>
      </c>
      <c r="C19" s="504">
        <v>353</v>
      </c>
      <c r="D19" s="505">
        <v>2001</v>
      </c>
      <c r="E19" s="506">
        <v>259219.44</v>
      </c>
      <c r="F19" s="507">
        <v>2.12E-2</v>
      </c>
      <c r="G19" s="488">
        <f t="shared" si="3"/>
        <v>7.58</v>
      </c>
      <c r="H19" s="508">
        <f t="shared" si="11"/>
        <v>41655.53</v>
      </c>
      <c r="I19" s="507">
        <v>2.06E-2</v>
      </c>
      <c r="J19" s="509">
        <f t="shared" si="13"/>
        <v>3.8400000000000727</v>
      </c>
      <c r="K19" s="508">
        <f t="shared" si="4"/>
        <v>20505.29</v>
      </c>
      <c r="L19" s="507">
        <v>1.9E-2</v>
      </c>
      <c r="M19" s="509">
        <f t="shared" si="1"/>
        <v>0.57999999999992724</v>
      </c>
      <c r="N19" s="508">
        <f t="shared" si="5"/>
        <v>2856.6</v>
      </c>
      <c r="O19" s="508">
        <f t="shared" si="12"/>
        <v>65017.42</v>
      </c>
      <c r="P19" s="510">
        <f t="shared" si="2"/>
        <v>194202.02000000002</v>
      </c>
      <c r="Q19" s="508">
        <f t="shared" si="7"/>
        <v>4925.17</v>
      </c>
      <c r="S19" s="493">
        <f t="shared" si="8"/>
        <v>12</v>
      </c>
      <c r="T19" s="511">
        <f t="shared" si="9"/>
        <v>12</v>
      </c>
      <c r="U19" s="511" t="str">
        <f t="shared" si="10"/>
        <v>ok</v>
      </c>
    </row>
    <row r="20" spans="1:21">
      <c r="A20" s="503" t="s">
        <v>854</v>
      </c>
      <c r="B20" s="503" t="s">
        <v>170</v>
      </c>
      <c r="C20" s="504">
        <v>353</v>
      </c>
      <c r="D20" s="505">
        <v>2008</v>
      </c>
      <c r="E20" s="506">
        <v>7041.17</v>
      </c>
      <c r="F20" s="507">
        <v>2.12E-2</v>
      </c>
      <c r="G20" s="488">
        <f t="shared" si="3"/>
        <v>0.57999999999999996</v>
      </c>
      <c r="H20" s="508">
        <f t="shared" si="11"/>
        <v>86.58</v>
      </c>
      <c r="I20" s="507">
        <v>2.06E-2</v>
      </c>
      <c r="J20" s="509">
        <f t="shared" ref="J20:J51" si="14">IF(G20=0,IF($J$87=D20,$J$87-D20+0.42,($J$87+0.42-D20)-G20),$J$87+0.42-D20)-G20</f>
        <v>3.8400000000000727</v>
      </c>
      <c r="K20" s="508">
        <f t="shared" si="4"/>
        <v>556.98</v>
      </c>
      <c r="L20" s="507">
        <v>1.9E-2</v>
      </c>
      <c r="M20" s="509">
        <f t="shared" si="1"/>
        <v>0.57999999999992735</v>
      </c>
      <c r="N20" s="508">
        <f t="shared" si="5"/>
        <v>77.59</v>
      </c>
      <c r="O20" s="508">
        <f t="shared" si="12"/>
        <v>721.15000000000009</v>
      </c>
      <c r="P20" s="510">
        <f t="shared" si="2"/>
        <v>6320.02</v>
      </c>
      <c r="Q20" s="508">
        <f t="shared" si="7"/>
        <v>133.78</v>
      </c>
      <c r="S20" s="493">
        <f t="shared" si="8"/>
        <v>5</v>
      </c>
      <c r="T20" s="511">
        <f t="shared" si="9"/>
        <v>5</v>
      </c>
      <c r="U20" s="511" t="str">
        <f t="shared" si="10"/>
        <v>ok</v>
      </c>
    </row>
    <row r="21" spans="1:21">
      <c r="A21" s="503" t="s">
        <v>854</v>
      </c>
      <c r="B21" s="503" t="s">
        <v>170</v>
      </c>
      <c r="C21" s="504">
        <v>353</v>
      </c>
      <c r="D21" s="512">
        <v>2009</v>
      </c>
      <c r="E21" s="506">
        <v>3878240.38</v>
      </c>
      <c r="F21" s="507">
        <v>2.12E-2</v>
      </c>
      <c r="G21" s="488">
        <f t="shared" si="3"/>
        <v>0</v>
      </c>
      <c r="H21" s="508">
        <f t="shared" si="11"/>
        <v>0</v>
      </c>
      <c r="I21" s="507">
        <v>2.06E-2</v>
      </c>
      <c r="J21" s="509">
        <f t="shared" si="14"/>
        <v>3.4200000000000728</v>
      </c>
      <c r="K21" s="508">
        <f t="shared" si="4"/>
        <v>273229.78999999998</v>
      </c>
      <c r="L21" s="507">
        <v>1.9E-2</v>
      </c>
      <c r="M21" s="509">
        <f t="shared" si="1"/>
        <v>0.57999999999992724</v>
      </c>
      <c r="N21" s="508">
        <f t="shared" si="5"/>
        <v>42738.21</v>
      </c>
      <c r="O21" s="508">
        <f t="shared" si="12"/>
        <v>315968</v>
      </c>
      <c r="P21" s="510">
        <f t="shared" si="2"/>
        <v>3562272.38</v>
      </c>
      <c r="Q21" s="508">
        <f t="shared" si="7"/>
        <v>73686.570000000007</v>
      </c>
      <c r="S21" s="493">
        <f t="shared" si="8"/>
        <v>4</v>
      </c>
      <c r="T21" s="511">
        <f t="shared" si="9"/>
        <v>4</v>
      </c>
      <c r="U21" s="511" t="str">
        <f t="shared" si="10"/>
        <v>ok</v>
      </c>
    </row>
    <row r="22" spans="1:21">
      <c r="A22" s="503" t="s">
        <v>855</v>
      </c>
      <c r="B22" s="503" t="s">
        <v>171</v>
      </c>
      <c r="C22" s="504">
        <v>353</v>
      </c>
      <c r="D22" s="505">
        <v>1967</v>
      </c>
      <c r="E22" s="506">
        <v>945897.18</v>
      </c>
      <c r="F22" s="507">
        <v>2.12E-2</v>
      </c>
      <c r="G22" s="488">
        <f t="shared" si="3"/>
        <v>41.58</v>
      </c>
      <c r="H22" s="508">
        <f>ROUND(E22*G22*F22,2)</f>
        <v>833804.58</v>
      </c>
      <c r="I22" s="507">
        <v>2.06E-2</v>
      </c>
      <c r="J22" s="509">
        <f t="shared" si="14"/>
        <v>3.8400000000000745</v>
      </c>
      <c r="K22" s="508">
        <f t="shared" si="4"/>
        <v>74824.25</v>
      </c>
      <c r="L22" s="507">
        <v>1.9E-2</v>
      </c>
      <c r="M22" s="509">
        <f t="shared" si="1"/>
        <v>0.57999999999992724</v>
      </c>
      <c r="N22" s="508">
        <f t="shared" si="5"/>
        <v>10423.790000000001</v>
      </c>
      <c r="O22" s="508">
        <f t="shared" si="12"/>
        <v>919052.62</v>
      </c>
      <c r="P22" s="510">
        <f t="shared" si="2"/>
        <v>26844.560000000056</v>
      </c>
      <c r="Q22" s="508">
        <f t="shared" si="7"/>
        <v>17972.05</v>
      </c>
      <c r="S22" s="493">
        <f t="shared" si="8"/>
        <v>46</v>
      </c>
      <c r="T22" s="511">
        <f t="shared" si="9"/>
        <v>46</v>
      </c>
      <c r="U22" s="511" t="str">
        <f t="shared" si="10"/>
        <v>ok</v>
      </c>
    </row>
    <row r="23" spans="1:21">
      <c r="A23" s="503" t="s">
        <v>855</v>
      </c>
      <c r="B23" s="503" t="s">
        <v>171</v>
      </c>
      <c r="C23" s="504">
        <v>353</v>
      </c>
      <c r="D23" s="505">
        <v>2000</v>
      </c>
      <c r="E23" s="506">
        <v>2680.97</v>
      </c>
      <c r="F23" s="507">
        <v>2.12E-2</v>
      </c>
      <c r="G23" s="488">
        <f t="shared" si="3"/>
        <v>8.58</v>
      </c>
      <c r="H23" s="508">
        <f>ROUND(E23*G23*F23,2)</f>
        <v>487.66</v>
      </c>
      <c r="I23" s="507">
        <v>2.06E-2</v>
      </c>
      <c r="J23" s="509">
        <f t="shared" si="14"/>
        <v>3.8400000000000727</v>
      </c>
      <c r="K23" s="508">
        <f t="shared" si="4"/>
        <v>212.08</v>
      </c>
      <c r="L23" s="507">
        <v>1.9E-2</v>
      </c>
      <c r="M23" s="509">
        <f t="shared" si="1"/>
        <v>0.57999999999992724</v>
      </c>
      <c r="N23" s="508">
        <f t="shared" si="5"/>
        <v>29.54</v>
      </c>
      <c r="O23" s="508">
        <f t="shared" si="12"/>
        <v>729.28</v>
      </c>
      <c r="P23" s="510">
        <f t="shared" si="2"/>
        <v>1951.6899999999998</v>
      </c>
      <c r="Q23" s="508">
        <f t="shared" si="7"/>
        <v>50.94</v>
      </c>
      <c r="S23" s="493">
        <f t="shared" si="8"/>
        <v>13</v>
      </c>
      <c r="T23" s="511">
        <f t="shared" si="9"/>
        <v>13</v>
      </c>
      <c r="U23" s="511" t="str">
        <f t="shared" si="10"/>
        <v>ok</v>
      </c>
    </row>
    <row r="24" spans="1:21">
      <c r="A24" s="503" t="s">
        <v>867</v>
      </c>
      <c r="B24" s="503" t="s">
        <v>172</v>
      </c>
      <c r="C24" s="504">
        <v>353</v>
      </c>
      <c r="D24" s="505">
        <v>1948</v>
      </c>
      <c r="E24" s="506">
        <v>81118.75</v>
      </c>
      <c r="F24" s="507">
        <v>2.12E-2</v>
      </c>
      <c r="G24" s="488">
        <f t="shared" si="3"/>
        <v>60.58</v>
      </c>
      <c r="H24" s="508">
        <f t="shared" ref="H24:H31" si="15">ROUND(E24*G24*F24,2)</f>
        <v>104180.49</v>
      </c>
      <c r="I24" s="507">
        <v>2.06E-2</v>
      </c>
      <c r="J24" s="509">
        <f t="shared" si="14"/>
        <v>3.8400000000000745</v>
      </c>
      <c r="K24" s="508">
        <f t="shared" si="4"/>
        <v>6416.82</v>
      </c>
      <c r="L24" s="507">
        <v>1.9E-2</v>
      </c>
      <c r="M24" s="509">
        <f t="shared" si="1"/>
        <v>0.57999999999992724</v>
      </c>
      <c r="N24" s="508">
        <f t="shared" si="5"/>
        <v>893.93</v>
      </c>
      <c r="O24" s="508">
        <f t="shared" si="12"/>
        <v>111491.23999999999</v>
      </c>
      <c r="P24" s="510">
        <f t="shared" si="2"/>
        <v>-30372.489999999991</v>
      </c>
      <c r="Q24" s="508">
        <f t="shared" si="7"/>
        <v>1541.26</v>
      </c>
      <c r="S24" s="493">
        <f t="shared" si="8"/>
        <v>65</v>
      </c>
      <c r="T24" s="511">
        <f t="shared" si="9"/>
        <v>65</v>
      </c>
      <c r="U24" s="511" t="str">
        <f t="shared" si="10"/>
        <v>ok</v>
      </c>
    </row>
    <row r="25" spans="1:21">
      <c r="A25" s="503" t="s">
        <v>867</v>
      </c>
      <c r="B25" s="503" t="s">
        <v>172</v>
      </c>
      <c r="C25" s="504">
        <v>353</v>
      </c>
      <c r="D25" s="505">
        <v>1958</v>
      </c>
      <c r="E25" s="506">
        <v>1551.05</v>
      </c>
      <c r="F25" s="507">
        <v>2.12E-2</v>
      </c>
      <c r="G25" s="488">
        <f t="shared" si="3"/>
        <v>50.58</v>
      </c>
      <c r="H25" s="508">
        <f t="shared" si="15"/>
        <v>1663.18</v>
      </c>
      <c r="I25" s="507">
        <v>2.06E-2</v>
      </c>
      <c r="J25" s="509">
        <f t="shared" si="14"/>
        <v>3.8400000000000745</v>
      </c>
      <c r="K25" s="508">
        <f t="shared" si="4"/>
        <v>122.69</v>
      </c>
      <c r="L25" s="507">
        <v>1.9E-2</v>
      </c>
      <c r="M25" s="509">
        <f t="shared" si="1"/>
        <v>0.57999999999992724</v>
      </c>
      <c r="N25" s="508">
        <f t="shared" si="5"/>
        <v>17.09</v>
      </c>
      <c r="O25" s="508">
        <f t="shared" si="12"/>
        <v>1802.96</v>
      </c>
      <c r="P25" s="510">
        <f t="shared" si="2"/>
        <v>-251.91000000000008</v>
      </c>
      <c r="Q25" s="508">
        <f t="shared" si="7"/>
        <v>29.47</v>
      </c>
      <c r="S25" s="493">
        <f t="shared" si="8"/>
        <v>55</v>
      </c>
      <c r="T25" s="511">
        <f t="shared" si="9"/>
        <v>55</v>
      </c>
      <c r="U25" s="511" t="str">
        <f t="shared" si="10"/>
        <v>ok</v>
      </c>
    </row>
    <row r="26" spans="1:21">
      <c r="A26" s="503" t="s">
        <v>870</v>
      </c>
      <c r="B26" s="503" t="s">
        <v>173</v>
      </c>
      <c r="C26" s="504">
        <v>353</v>
      </c>
      <c r="D26" s="505">
        <v>1949</v>
      </c>
      <c r="E26" s="506">
        <v>303512.28999999998</v>
      </c>
      <c r="F26" s="507">
        <v>2.12E-2</v>
      </c>
      <c r="G26" s="488">
        <f t="shared" si="3"/>
        <v>59.58</v>
      </c>
      <c r="H26" s="508">
        <f t="shared" si="15"/>
        <v>383365.16</v>
      </c>
      <c r="I26" s="507">
        <v>2.06E-2</v>
      </c>
      <c r="J26" s="509">
        <f t="shared" si="14"/>
        <v>3.8400000000000745</v>
      </c>
      <c r="K26" s="508">
        <f t="shared" si="4"/>
        <v>24009.040000000001</v>
      </c>
      <c r="L26" s="507">
        <v>1.9E-2</v>
      </c>
      <c r="M26" s="509">
        <f t="shared" si="1"/>
        <v>0.57999999999992724</v>
      </c>
      <c r="N26" s="508">
        <f t="shared" si="5"/>
        <v>3344.71</v>
      </c>
      <c r="O26" s="508">
        <f t="shared" si="12"/>
        <v>410718.91</v>
      </c>
      <c r="P26" s="510">
        <f t="shared" si="2"/>
        <v>-107206.62</v>
      </c>
      <c r="Q26" s="508">
        <f t="shared" si="7"/>
        <v>5766.73</v>
      </c>
      <c r="S26" s="493">
        <f t="shared" si="8"/>
        <v>64</v>
      </c>
      <c r="T26" s="511">
        <f t="shared" si="9"/>
        <v>64</v>
      </c>
      <c r="U26" s="511" t="str">
        <f t="shared" si="10"/>
        <v>ok</v>
      </c>
    </row>
    <row r="27" spans="1:21">
      <c r="A27" s="503" t="s">
        <v>859</v>
      </c>
      <c r="B27" s="503" t="s">
        <v>174</v>
      </c>
      <c r="C27" s="504">
        <v>353</v>
      </c>
      <c r="D27" s="505">
        <v>1992</v>
      </c>
      <c r="E27" s="506">
        <v>664293.88</v>
      </c>
      <c r="F27" s="507">
        <v>2.12E-2</v>
      </c>
      <c r="G27" s="488">
        <f t="shared" si="3"/>
        <v>16.579999999999998</v>
      </c>
      <c r="H27" s="508">
        <f t="shared" si="15"/>
        <v>233496.64</v>
      </c>
      <c r="I27" s="507">
        <v>2.06E-2</v>
      </c>
      <c r="J27" s="509">
        <f t="shared" si="14"/>
        <v>3.8400000000000745</v>
      </c>
      <c r="K27" s="508">
        <f t="shared" si="4"/>
        <v>52548.3</v>
      </c>
      <c r="L27" s="507">
        <v>1.9E-2</v>
      </c>
      <c r="M27" s="509">
        <f t="shared" si="1"/>
        <v>0.57999999999992724</v>
      </c>
      <c r="N27" s="508">
        <f t="shared" si="5"/>
        <v>7320.52</v>
      </c>
      <c r="O27" s="508">
        <f t="shared" si="12"/>
        <v>293365.46000000002</v>
      </c>
      <c r="P27" s="510">
        <f t="shared" si="2"/>
        <v>370928.42</v>
      </c>
      <c r="Q27" s="508">
        <f t="shared" si="7"/>
        <v>12621.58</v>
      </c>
      <c r="S27" s="493">
        <f t="shared" si="8"/>
        <v>21</v>
      </c>
      <c r="T27" s="511">
        <f t="shared" si="9"/>
        <v>21</v>
      </c>
      <c r="U27" s="511" t="str">
        <f t="shared" si="10"/>
        <v>ok</v>
      </c>
    </row>
    <row r="28" spans="1:21">
      <c r="A28" s="503" t="s">
        <v>856</v>
      </c>
      <c r="B28" s="503" t="s">
        <v>175</v>
      </c>
      <c r="C28" s="504">
        <v>353</v>
      </c>
      <c r="D28" s="505">
        <v>1949</v>
      </c>
      <c r="E28" s="506">
        <v>100827.22</v>
      </c>
      <c r="F28" s="507">
        <v>2.12E-2</v>
      </c>
      <c r="G28" s="488">
        <f t="shared" si="3"/>
        <v>59.58</v>
      </c>
      <c r="H28" s="508">
        <f t="shared" si="15"/>
        <v>127354.46</v>
      </c>
      <c r="I28" s="507">
        <v>2.06E-2</v>
      </c>
      <c r="J28" s="509">
        <f t="shared" si="14"/>
        <v>3.8400000000000745</v>
      </c>
      <c r="K28" s="508">
        <f t="shared" si="4"/>
        <v>7975.84</v>
      </c>
      <c r="L28" s="507">
        <v>1.9E-2</v>
      </c>
      <c r="M28" s="509">
        <f t="shared" si="1"/>
        <v>0.57999999999992724</v>
      </c>
      <c r="N28" s="508">
        <f t="shared" si="5"/>
        <v>1111.1199999999999</v>
      </c>
      <c r="O28" s="508">
        <f t="shared" si="12"/>
        <v>136441.42000000001</v>
      </c>
      <c r="P28" s="510">
        <f t="shared" si="2"/>
        <v>-35614.200000000012</v>
      </c>
      <c r="Q28" s="508">
        <f t="shared" si="7"/>
        <v>1915.72</v>
      </c>
      <c r="S28" s="493">
        <f t="shared" si="8"/>
        <v>64</v>
      </c>
      <c r="T28" s="511">
        <f t="shared" si="9"/>
        <v>64</v>
      </c>
      <c r="U28" s="511" t="str">
        <f t="shared" si="10"/>
        <v>ok</v>
      </c>
    </row>
    <row r="29" spans="1:21">
      <c r="A29" s="503" t="s">
        <v>856</v>
      </c>
      <c r="B29" s="503" t="s">
        <v>175</v>
      </c>
      <c r="C29" s="504">
        <v>353</v>
      </c>
      <c r="D29" s="505">
        <v>1951</v>
      </c>
      <c r="E29" s="506">
        <v>43216.23</v>
      </c>
      <c r="F29" s="507">
        <v>2.12E-2</v>
      </c>
      <c r="G29" s="488">
        <f t="shared" si="3"/>
        <v>57.58</v>
      </c>
      <c r="H29" s="508">
        <f t="shared" si="15"/>
        <v>52753.88</v>
      </c>
      <c r="I29" s="507">
        <v>2.06E-2</v>
      </c>
      <c r="J29" s="509">
        <f t="shared" si="14"/>
        <v>3.8400000000000745</v>
      </c>
      <c r="K29" s="508">
        <f t="shared" si="4"/>
        <v>3418.58</v>
      </c>
      <c r="L29" s="507">
        <v>1.9E-2</v>
      </c>
      <c r="M29" s="509">
        <f t="shared" si="1"/>
        <v>0.57999999999992724</v>
      </c>
      <c r="N29" s="508">
        <f t="shared" si="5"/>
        <v>476.24</v>
      </c>
      <c r="O29" s="508">
        <f t="shared" si="12"/>
        <v>56648.7</v>
      </c>
      <c r="P29" s="510">
        <f t="shared" si="2"/>
        <v>-13432.469999999994</v>
      </c>
      <c r="Q29" s="508">
        <f t="shared" si="7"/>
        <v>821.11</v>
      </c>
      <c r="S29" s="493">
        <f t="shared" si="8"/>
        <v>62</v>
      </c>
      <c r="T29" s="511">
        <f t="shared" si="9"/>
        <v>62</v>
      </c>
      <c r="U29" s="511" t="str">
        <f t="shared" si="10"/>
        <v>ok</v>
      </c>
    </row>
    <row r="30" spans="1:21">
      <c r="A30" s="503" t="s">
        <v>856</v>
      </c>
      <c r="B30" s="503" t="s">
        <v>175</v>
      </c>
      <c r="C30" s="504">
        <v>353</v>
      </c>
      <c r="D30" s="505">
        <v>1957</v>
      </c>
      <c r="E30" s="506">
        <v>208866.2</v>
      </c>
      <c r="F30" s="507">
        <v>2.12E-2</v>
      </c>
      <c r="G30" s="488">
        <f t="shared" si="3"/>
        <v>51.58</v>
      </c>
      <c r="H30" s="508">
        <f t="shared" si="15"/>
        <v>228394.35</v>
      </c>
      <c r="I30" s="507">
        <v>2.06E-2</v>
      </c>
      <c r="J30" s="509">
        <f t="shared" si="14"/>
        <v>3.8400000000000745</v>
      </c>
      <c r="K30" s="508">
        <f t="shared" si="4"/>
        <v>16522.150000000001</v>
      </c>
      <c r="L30" s="507">
        <v>1.9E-2</v>
      </c>
      <c r="M30" s="509">
        <f t="shared" si="1"/>
        <v>0.57999999999992724</v>
      </c>
      <c r="N30" s="508">
        <f t="shared" si="5"/>
        <v>2301.71</v>
      </c>
      <c r="O30" s="508">
        <f t="shared" si="12"/>
        <v>247218.21</v>
      </c>
      <c r="P30" s="510">
        <f t="shared" si="2"/>
        <v>-38352.00999999998</v>
      </c>
      <c r="Q30" s="508">
        <f t="shared" si="7"/>
        <v>3968.46</v>
      </c>
      <c r="S30" s="493">
        <f t="shared" si="8"/>
        <v>56</v>
      </c>
      <c r="T30" s="511">
        <f t="shared" si="9"/>
        <v>56</v>
      </c>
      <c r="U30" s="511" t="str">
        <f t="shared" si="10"/>
        <v>ok</v>
      </c>
    </row>
    <row r="31" spans="1:21">
      <c r="A31" s="503" t="s">
        <v>856</v>
      </c>
      <c r="B31" s="503" t="s">
        <v>175</v>
      </c>
      <c r="C31" s="504">
        <v>353</v>
      </c>
      <c r="D31" s="505">
        <v>1961</v>
      </c>
      <c r="E31" s="506">
        <v>423845.86</v>
      </c>
      <c r="F31" s="507">
        <v>2.12E-2</v>
      </c>
      <c r="G31" s="488">
        <f t="shared" si="3"/>
        <v>47.58</v>
      </c>
      <c r="H31" s="508">
        <f t="shared" si="15"/>
        <v>427531.62</v>
      </c>
      <c r="I31" s="507">
        <v>2.06E-2</v>
      </c>
      <c r="J31" s="509">
        <f t="shared" si="14"/>
        <v>3.8400000000000745</v>
      </c>
      <c r="K31" s="508">
        <f t="shared" si="4"/>
        <v>33527.9</v>
      </c>
      <c r="L31" s="507">
        <v>1.9E-2</v>
      </c>
      <c r="M31" s="509">
        <f t="shared" si="1"/>
        <v>0.57999999999992724</v>
      </c>
      <c r="N31" s="508">
        <f t="shared" si="5"/>
        <v>4670.78</v>
      </c>
      <c r="O31" s="508">
        <f t="shared" si="12"/>
        <v>465730.30000000005</v>
      </c>
      <c r="P31" s="510">
        <f t="shared" si="2"/>
        <v>-41884.440000000061</v>
      </c>
      <c r="Q31" s="508">
        <f t="shared" si="7"/>
        <v>8053.07</v>
      </c>
      <c r="S31" s="493">
        <f t="shared" si="8"/>
        <v>52</v>
      </c>
      <c r="T31" s="511">
        <f t="shared" si="9"/>
        <v>52</v>
      </c>
      <c r="U31" s="511" t="str">
        <f t="shared" si="10"/>
        <v>ok</v>
      </c>
    </row>
    <row r="32" spans="1:21">
      <c r="A32" s="503" t="s">
        <v>856</v>
      </c>
      <c r="B32" s="503" t="s">
        <v>175</v>
      </c>
      <c r="C32" s="504">
        <v>353</v>
      </c>
      <c r="D32" s="505">
        <v>1979</v>
      </c>
      <c r="E32" s="506">
        <v>2963.82</v>
      </c>
      <c r="F32" s="507">
        <v>2.12E-2</v>
      </c>
      <c r="G32" s="488">
        <f t="shared" si="3"/>
        <v>29.58</v>
      </c>
      <c r="H32" s="508">
        <f>ROUND(E32*G32*F32,2)</f>
        <v>1858.6</v>
      </c>
      <c r="I32" s="507">
        <v>2.06E-2</v>
      </c>
      <c r="J32" s="509">
        <f t="shared" si="14"/>
        <v>3.8400000000000745</v>
      </c>
      <c r="K32" s="508">
        <f t="shared" si="4"/>
        <v>234.45</v>
      </c>
      <c r="L32" s="507">
        <v>1.9E-2</v>
      </c>
      <c r="M32" s="509">
        <f t="shared" si="1"/>
        <v>0.57999999999992724</v>
      </c>
      <c r="N32" s="508">
        <f t="shared" si="5"/>
        <v>32.659999999999997</v>
      </c>
      <c r="O32" s="508">
        <f t="shared" si="12"/>
        <v>2125.7099999999996</v>
      </c>
      <c r="P32" s="510">
        <f t="shared" si="2"/>
        <v>838.11000000000058</v>
      </c>
      <c r="Q32" s="508">
        <f t="shared" si="7"/>
        <v>56.31</v>
      </c>
      <c r="S32" s="493">
        <f t="shared" si="8"/>
        <v>34</v>
      </c>
      <c r="T32" s="511">
        <f t="shared" si="9"/>
        <v>34</v>
      </c>
      <c r="U32" s="511" t="str">
        <f t="shared" si="10"/>
        <v>ok</v>
      </c>
    </row>
    <row r="33" spans="1:21">
      <c r="A33" s="503" t="s">
        <v>856</v>
      </c>
      <c r="B33" s="503" t="s">
        <v>175</v>
      </c>
      <c r="C33" s="504">
        <v>353</v>
      </c>
      <c r="D33" s="505">
        <v>1980</v>
      </c>
      <c r="E33" s="506">
        <v>6099.17</v>
      </c>
      <c r="F33" s="507">
        <v>2.12E-2</v>
      </c>
      <c r="G33" s="488">
        <f t="shared" si="3"/>
        <v>28.58</v>
      </c>
      <c r="H33" s="508">
        <f>ROUND(E33*G33*F33,2)</f>
        <v>3695.46</v>
      </c>
      <c r="I33" s="507">
        <v>2.06E-2</v>
      </c>
      <c r="J33" s="509">
        <f t="shared" si="14"/>
        <v>3.8400000000000745</v>
      </c>
      <c r="K33" s="508">
        <f t="shared" si="4"/>
        <v>482.47</v>
      </c>
      <c r="L33" s="507">
        <v>1.9E-2</v>
      </c>
      <c r="M33" s="509">
        <f t="shared" si="1"/>
        <v>0.57999999999992724</v>
      </c>
      <c r="N33" s="508">
        <f t="shared" si="5"/>
        <v>67.209999999999994</v>
      </c>
      <c r="O33" s="508">
        <f t="shared" si="12"/>
        <v>4245.1400000000003</v>
      </c>
      <c r="P33" s="510">
        <f t="shared" si="2"/>
        <v>1854.0299999999997</v>
      </c>
      <c r="Q33" s="508">
        <f t="shared" si="7"/>
        <v>115.88</v>
      </c>
      <c r="S33" s="493">
        <f t="shared" si="8"/>
        <v>33</v>
      </c>
      <c r="T33" s="511">
        <f t="shared" si="9"/>
        <v>33</v>
      </c>
      <c r="U33" s="511" t="str">
        <f t="shared" si="10"/>
        <v>ok</v>
      </c>
    </row>
    <row r="34" spans="1:21">
      <c r="A34" s="503" t="s">
        <v>856</v>
      </c>
      <c r="B34" s="503" t="s">
        <v>175</v>
      </c>
      <c r="C34" s="504">
        <v>353</v>
      </c>
      <c r="D34" s="505">
        <v>2000</v>
      </c>
      <c r="E34" s="506">
        <v>132897.45000000001</v>
      </c>
      <c r="F34" s="507">
        <v>2.12E-2</v>
      </c>
      <c r="G34" s="488">
        <f t="shared" si="3"/>
        <v>8.58</v>
      </c>
      <c r="H34" s="508">
        <f t="shared" ref="H34:H42" si="16">ROUND(E34*G34*F34,2)</f>
        <v>24173.51</v>
      </c>
      <c r="I34" s="507">
        <v>2.06E-2</v>
      </c>
      <c r="J34" s="509">
        <f t="shared" si="14"/>
        <v>3.8400000000000727</v>
      </c>
      <c r="K34" s="508">
        <f t="shared" si="4"/>
        <v>10512.72</v>
      </c>
      <c r="L34" s="507">
        <v>1.9E-2</v>
      </c>
      <c r="M34" s="509">
        <f t="shared" si="1"/>
        <v>0.57999999999992724</v>
      </c>
      <c r="N34" s="508">
        <f t="shared" si="5"/>
        <v>1464.53</v>
      </c>
      <c r="O34" s="508">
        <f t="shared" si="12"/>
        <v>36150.759999999995</v>
      </c>
      <c r="P34" s="510">
        <f t="shared" si="2"/>
        <v>96746.690000000017</v>
      </c>
      <c r="Q34" s="508">
        <f t="shared" si="7"/>
        <v>2525.0500000000002</v>
      </c>
      <c r="S34" s="493">
        <f t="shared" si="8"/>
        <v>13</v>
      </c>
      <c r="T34" s="511">
        <f t="shared" si="9"/>
        <v>13</v>
      </c>
      <c r="U34" s="511" t="str">
        <f t="shared" si="10"/>
        <v>ok</v>
      </c>
    </row>
    <row r="35" spans="1:21">
      <c r="A35" s="503" t="s">
        <v>856</v>
      </c>
      <c r="B35" s="503" t="s">
        <v>175</v>
      </c>
      <c r="C35" s="504">
        <v>353</v>
      </c>
      <c r="D35" s="505">
        <v>2000</v>
      </c>
      <c r="E35" s="506">
        <v>3395.4</v>
      </c>
      <c r="F35" s="507">
        <v>2.12E-2</v>
      </c>
      <c r="G35" s="488">
        <f t="shared" si="3"/>
        <v>8.58</v>
      </c>
      <c r="H35" s="508">
        <f t="shared" si="16"/>
        <v>617.61</v>
      </c>
      <c r="I35" s="507">
        <v>2.06E-2</v>
      </c>
      <c r="J35" s="509">
        <f t="shared" si="14"/>
        <v>3.8400000000000727</v>
      </c>
      <c r="K35" s="508">
        <f t="shared" si="4"/>
        <v>268.58999999999997</v>
      </c>
      <c r="L35" s="507">
        <v>1.9E-2</v>
      </c>
      <c r="M35" s="509">
        <f t="shared" si="1"/>
        <v>0.57999999999992724</v>
      </c>
      <c r="N35" s="508">
        <f t="shared" si="5"/>
        <v>37.42</v>
      </c>
      <c r="O35" s="508">
        <f t="shared" si="12"/>
        <v>923.62</v>
      </c>
      <c r="P35" s="510">
        <f t="shared" si="2"/>
        <v>2471.7800000000002</v>
      </c>
      <c r="Q35" s="508">
        <f t="shared" si="7"/>
        <v>64.510000000000005</v>
      </c>
      <c r="S35" s="493">
        <f t="shared" si="8"/>
        <v>13</v>
      </c>
      <c r="T35" s="511">
        <f t="shared" si="9"/>
        <v>13</v>
      </c>
      <c r="U35" s="511" t="str">
        <f t="shared" si="10"/>
        <v>ok</v>
      </c>
    </row>
    <row r="36" spans="1:21">
      <c r="A36" s="503" t="s">
        <v>860</v>
      </c>
      <c r="B36" s="503" t="s">
        <v>176</v>
      </c>
      <c r="C36" s="504">
        <v>353</v>
      </c>
      <c r="D36" s="505">
        <v>1992</v>
      </c>
      <c r="E36" s="506">
        <v>306659.17</v>
      </c>
      <c r="F36" s="507">
        <v>2.12E-2</v>
      </c>
      <c r="G36" s="488">
        <f t="shared" si="3"/>
        <v>16.579999999999998</v>
      </c>
      <c r="H36" s="508">
        <f t="shared" si="16"/>
        <v>107789.47</v>
      </c>
      <c r="I36" s="507">
        <v>2.06E-2</v>
      </c>
      <c r="J36" s="509">
        <f t="shared" si="14"/>
        <v>3.8400000000000745</v>
      </c>
      <c r="K36" s="508">
        <f t="shared" si="4"/>
        <v>24257.97</v>
      </c>
      <c r="L36" s="507">
        <v>1.9E-2</v>
      </c>
      <c r="M36" s="509">
        <f t="shared" si="1"/>
        <v>0.57999999999992724</v>
      </c>
      <c r="N36" s="508">
        <f t="shared" si="5"/>
        <v>3379.38</v>
      </c>
      <c r="O36" s="508">
        <f t="shared" si="12"/>
        <v>135426.82</v>
      </c>
      <c r="P36" s="510">
        <f t="shared" si="2"/>
        <v>171232.34999999998</v>
      </c>
      <c r="Q36" s="508">
        <f t="shared" si="7"/>
        <v>5826.52</v>
      </c>
      <c r="S36" s="493">
        <f t="shared" si="8"/>
        <v>21</v>
      </c>
      <c r="T36" s="511">
        <f t="shared" si="9"/>
        <v>21</v>
      </c>
      <c r="U36" s="511" t="str">
        <f t="shared" si="10"/>
        <v>ok</v>
      </c>
    </row>
    <row r="37" spans="1:21">
      <c r="A37" s="503" t="s">
        <v>863</v>
      </c>
      <c r="B37" s="503" t="s">
        <v>177</v>
      </c>
      <c r="C37" s="504">
        <v>353</v>
      </c>
      <c r="D37" s="505">
        <v>1952</v>
      </c>
      <c r="E37" s="506">
        <v>344946.87</v>
      </c>
      <c r="F37" s="507">
        <v>2.12E-2</v>
      </c>
      <c r="G37" s="488">
        <f t="shared" si="3"/>
        <v>56.58</v>
      </c>
      <c r="H37" s="508">
        <f t="shared" si="16"/>
        <v>413762.39</v>
      </c>
      <c r="I37" s="507">
        <v>2.06E-2</v>
      </c>
      <c r="J37" s="509">
        <f t="shared" si="14"/>
        <v>3.8400000000000745</v>
      </c>
      <c r="K37" s="508">
        <f t="shared" si="4"/>
        <v>27286.68</v>
      </c>
      <c r="L37" s="507">
        <v>1.9E-2</v>
      </c>
      <c r="M37" s="509">
        <f t="shared" si="1"/>
        <v>0.57999999999992724</v>
      </c>
      <c r="N37" s="508">
        <f t="shared" si="5"/>
        <v>3801.31</v>
      </c>
      <c r="O37" s="508">
        <f t="shared" si="12"/>
        <v>444850.38</v>
      </c>
      <c r="P37" s="510">
        <f t="shared" si="2"/>
        <v>-99903.510000000009</v>
      </c>
      <c r="Q37" s="508">
        <f t="shared" si="7"/>
        <v>6553.99</v>
      </c>
      <c r="S37" s="493">
        <f t="shared" si="8"/>
        <v>61</v>
      </c>
      <c r="T37" s="511">
        <f t="shared" si="9"/>
        <v>61</v>
      </c>
      <c r="U37" s="511" t="str">
        <f t="shared" si="10"/>
        <v>ok</v>
      </c>
    </row>
    <row r="38" spans="1:21">
      <c r="A38" s="503" t="s">
        <v>863</v>
      </c>
      <c r="B38" s="503" t="s">
        <v>177</v>
      </c>
      <c r="C38" s="504">
        <v>353</v>
      </c>
      <c r="D38" s="505">
        <v>1965</v>
      </c>
      <c r="E38" s="506">
        <v>1480.23</v>
      </c>
      <c r="F38" s="507">
        <v>2.12E-2</v>
      </c>
      <c r="G38" s="488">
        <f t="shared" si="3"/>
        <v>43.58</v>
      </c>
      <c r="H38" s="508">
        <f t="shared" si="16"/>
        <v>1367.58</v>
      </c>
      <c r="I38" s="507">
        <v>2.06E-2</v>
      </c>
      <c r="J38" s="509">
        <f t="shared" si="14"/>
        <v>3.8400000000000745</v>
      </c>
      <c r="K38" s="508">
        <f t="shared" si="4"/>
        <v>117.09</v>
      </c>
      <c r="L38" s="507">
        <v>1.9E-2</v>
      </c>
      <c r="M38" s="509">
        <f t="shared" si="1"/>
        <v>0.57999999999992724</v>
      </c>
      <c r="N38" s="508">
        <f t="shared" si="5"/>
        <v>16.309999999999999</v>
      </c>
      <c r="O38" s="508">
        <f t="shared" si="12"/>
        <v>1500.9799999999998</v>
      </c>
      <c r="P38" s="510">
        <f t="shared" si="2"/>
        <v>-20.749999999999773</v>
      </c>
      <c r="Q38" s="508">
        <f t="shared" si="7"/>
        <v>28.12</v>
      </c>
      <c r="S38" s="493">
        <f t="shared" si="8"/>
        <v>48</v>
      </c>
      <c r="T38" s="511">
        <f t="shared" si="9"/>
        <v>48</v>
      </c>
      <c r="U38" s="511" t="str">
        <f t="shared" si="10"/>
        <v>ok</v>
      </c>
    </row>
    <row r="39" spans="1:21">
      <c r="A39" s="503" t="s">
        <v>863</v>
      </c>
      <c r="B39" s="503" t="s">
        <v>177</v>
      </c>
      <c r="C39" s="504">
        <v>353</v>
      </c>
      <c r="D39" s="505">
        <v>1972</v>
      </c>
      <c r="E39" s="506">
        <v>609.84</v>
      </c>
      <c r="F39" s="507">
        <v>2.12E-2</v>
      </c>
      <c r="G39" s="488">
        <f t="shared" si="3"/>
        <v>36.58</v>
      </c>
      <c r="H39" s="508">
        <f t="shared" si="16"/>
        <v>472.93</v>
      </c>
      <c r="I39" s="507">
        <v>2.06E-2</v>
      </c>
      <c r="J39" s="509">
        <f t="shared" si="14"/>
        <v>3.8400000000000745</v>
      </c>
      <c r="K39" s="508">
        <f t="shared" si="4"/>
        <v>48.24</v>
      </c>
      <c r="L39" s="507">
        <v>1.9E-2</v>
      </c>
      <c r="M39" s="509">
        <f t="shared" si="1"/>
        <v>0.57999999999992724</v>
      </c>
      <c r="N39" s="508">
        <f t="shared" si="5"/>
        <v>6.72</v>
      </c>
      <c r="O39" s="508">
        <f t="shared" si="12"/>
        <v>527.89</v>
      </c>
      <c r="P39" s="510">
        <f t="shared" si="2"/>
        <v>81.950000000000045</v>
      </c>
      <c r="Q39" s="508">
        <f t="shared" si="7"/>
        <v>11.59</v>
      </c>
      <c r="S39" s="493">
        <f t="shared" si="8"/>
        <v>41</v>
      </c>
      <c r="T39" s="511">
        <f t="shared" si="9"/>
        <v>41</v>
      </c>
      <c r="U39" s="511" t="str">
        <f t="shared" si="10"/>
        <v>ok</v>
      </c>
    </row>
    <row r="40" spans="1:21">
      <c r="A40" s="503" t="s">
        <v>863</v>
      </c>
      <c r="B40" s="503" t="s">
        <v>177</v>
      </c>
      <c r="C40" s="504">
        <v>353</v>
      </c>
      <c r="D40" s="505">
        <v>1973</v>
      </c>
      <c r="E40" s="506">
        <v>316.68</v>
      </c>
      <c r="F40" s="507">
        <v>2.12E-2</v>
      </c>
      <c r="G40" s="488">
        <f t="shared" si="3"/>
        <v>35.58</v>
      </c>
      <c r="H40" s="508">
        <f t="shared" si="16"/>
        <v>238.87</v>
      </c>
      <c r="I40" s="507">
        <v>2.06E-2</v>
      </c>
      <c r="J40" s="509">
        <f t="shared" si="14"/>
        <v>3.8400000000000745</v>
      </c>
      <c r="K40" s="508">
        <f t="shared" si="4"/>
        <v>25.05</v>
      </c>
      <c r="L40" s="507">
        <v>1.9E-2</v>
      </c>
      <c r="M40" s="509">
        <f t="shared" si="1"/>
        <v>0.57999999999992724</v>
      </c>
      <c r="N40" s="508">
        <f t="shared" si="5"/>
        <v>3.49</v>
      </c>
      <c r="O40" s="508">
        <f t="shared" si="12"/>
        <v>267.41000000000003</v>
      </c>
      <c r="P40" s="510">
        <f t="shared" si="2"/>
        <v>49.269999999999982</v>
      </c>
      <c r="Q40" s="508">
        <f t="shared" si="7"/>
        <v>6.02</v>
      </c>
      <c r="S40" s="493">
        <f t="shared" si="8"/>
        <v>40</v>
      </c>
      <c r="T40" s="511">
        <f t="shared" si="9"/>
        <v>40</v>
      </c>
      <c r="U40" s="511" t="str">
        <f t="shared" si="10"/>
        <v>ok</v>
      </c>
    </row>
    <row r="41" spans="1:21">
      <c r="A41" s="503" t="s">
        <v>863</v>
      </c>
      <c r="B41" s="503" t="s">
        <v>177</v>
      </c>
      <c r="C41" s="504">
        <v>353</v>
      </c>
      <c r="D41" s="505">
        <v>1982</v>
      </c>
      <c r="E41" s="506">
        <v>32437.37</v>
      </c>
      <c r="F41" s="507">
        <v>2.12E-2</v>
      </c>
      <c r="G41" s="488">
        <f t="shared" si="3"/>
        <v>26.58</v>
      </c>
      <c r="H41" s="508">
        <f t="shared" si="16"/>
        <v>18278.330000000002</v>
      </c>
      <c r="I41" s="507">
        <v>2.06E-2</v>
      </c>
      <c r="J41" s="509">
        <f t="shared" si="14"/>
        <v>3.8400000000000745</v>
      </c>
      <c r="K41" s="508">
        <f t="shared" si="4"/>
        <v>2565.9299999999998</v>
      </c>
      <c r="L41" s="507">
        <v>1.9E-2</v>
      </c>
      <c r="M41" s="509">
        <f t="shared" ref="M41:M72" si="17">$J$87+1-D41-J41-G41</f>
        <v>0.57999999999992724</v>
      </c>
      <c r="N41" s="508">
        <f t="shared" si="5"/>
        <v>357.46</v>
      </c>
      <c r="O41" s="508">
        <f t="shared" si="12"/>
        <v>21201.72</v>
      </c>
      <c r="P41" s="510">
        <f t="shared" si="2"/>
        <v>11235.649999999998</v>
      </c>
      <c r="Q41" s="508">
        <f t="shared" si="7"/>
        <v>616.30999999999995</v>
      </c>
      <c r="S41" s="493">
        <f t="shared" si="8"/>
        <v>31</v>
      </c>
      <c r="T41" s="511">
        <f t="shared" si="9"/>
        <v>31</v>
      </c>
      <c r="U41" s="511" t="str">
        <f t="shared" si="10"/>
        <v>ok</v>
      </c>
    </row>
    <row r="42" spans="1:21">
      <c r="A42" s="503" t="s">
        <v>857</v>
      </c>
      <c r="B42" s="503" t="s">
        <v>178</v>
      </c>
      <c r="C42" s="504">
        <v>353</v>
      </c>
      <c r="D42" s="505">
        <v>1994</v>
      </c>
      <c r="E42" s="506">
        <v>432054.7</v>
      </c>
      <c r="F42" s="507">
        <v>2.12E-2</v>
      </c>
      <c r="G42" s="488">
        <f t="shared" si="3"/>
        <v>14.58</v>
      </c>
      <c r="H42" s="508">
        <f t="shared" si="16"/>
        <v>133546.38</v>
      </c>
      <c r="I42" s="507">
        <v>2.06E-2</v>
      </c>
      <c r="J42" s="509">
        <f t="shared" si="14"/>
        <v>3.8400000000000727</v>
      </c>
      <c r="K42" s="508">
        <f t="shared" si="4"/>
        <v>34177.25</v>
      </c>
      <c r="L42" s="507">
        <v>1.9E-2</v>
      </c>
      <c r="M42" s="509">
        <f t="shared" si="17"/>
        <v>0.57999999999992724</v>
      </c>
      <c r="N42" s="508">
        <f t="shared" si="5"/>
        <v>4761.24</v>
      </c>
      <c r="O42" s="508">
        <f t="shared" si="12"/>
        <v>172484.87</v>
      </c>
      <c r="P42" s="510">
        <f t="shared" si="2"/>
        <v>259569.83000000002</v>
      </c>
      <c r="Q42" s="508">
        <f t="shared" si="7"/>
        <v>8209.0400000000009</v>
      </c>
      <c r="S42" s="493">
        <f t="shared" si="8"/>
        <v>19</v>
      </c>
      <c r="T42" s="511">
        <f t="shared" si="9"/>
        <v>19</v>
      </c>
      <c r="U42" s="511" t="str">
        <f t="shared" si="10"/>
        <v>ok</v>
      </c>
    </row>
    <row r="43" spans="1:21">
      <c r="A43" s="503" t="s">
        <v>857</v>
      </c>
      <c r="B43" s="503" t="s">
        <v>178</v>
      </c>
      <c r="C43" s="504">
        <v>353</v>
      </c>
      <c r="D43" s="505">
        <v>1999</v>
      </c>
      <c r="E43" s="506">
        <v>3.04</v>
      </c>
      <c r="F43" s="507">
        <v>2.12E-2</v>
      </c>
      <c r="G43" s="488">
        <f t="shared" si="3"/>
        <v>9.58</v>
      </c>
      <c r="H43" s="508">
        <f>ROUND(E43*G43*F43,2)</f>
        <v>0.62</v>
      </c>
      <c r="I43" s="507">
        <v>2.06E-2</v>
      </c>
      <c r="J43" s="509">
        <f t="shared" si="14"/>
        <v>3.8400000000000727</v>
      </c>
      <c r="K43" s="508">
        <f t="shared" si="4"/>
        <v>0.24</v>
      </c>
      <c r="L43" s="507">
        <v>1.9E-2</v>
      </c>
      <c r="M43" s="509">
        <f t="shared" si="17"/>
        <v>0.57999999999992724</v>
      </c>
      <c r="N43" s="508">
        <f t="shared" si="5"/>
        <v>0.03</v>
      </c>
      <c r="O43" s="508">
        <f t="shared" si="12"/>
        <v>0.89</v>
      </c>
      <c r="P43" s="510">
        <f t="shared" si="2"/>
        <v>2.15</v>
      </c>
      <c r="Q43" s="508">
        <f t="shared" si="7"/>
        <v>0.06</v>
      </c>
      <c r="S43" s="493">
        <f t="shared" si="8"/>
        <v>14</v>
      </c>
      <c r="T43" s="511">
        <f t="shared" si="9"/>
        <v>14</v>
      </c>
      <c r="U43" s="511" t="str">
        <f t="shared" si="10"/>
        <v>ok</v>
      </c>
    </row>
    <row r="44" spans="1:21">
      <c r="A44" s="503" t="s">
        <v>871</v>
      </c>
      <c r="B44" s="503" t="s">
        <v>179</v>
      </c>
      <c r="C44" s="504">
        <v>353</v>
      </c>
      <c r="D44" s="505">
        <v>1949</v>
      </c>
      <c r="E44" s="506">
        <v>39458.78</v>
      </c>
      <c r="F44" s="507">
        <v>2.12E-2</v>
      </c>
      <c r="G44" s="488">
        <f t="shared" si="3"/>
        <v>59.58</v>
      </c>
      <c r="H44" s="508">
        <f>ROUND(E44*G44*F44,2)</f>
        <v>49840.23</v>
      </c>
      <c r="I44" s="507">
        <v>2.06E-2</v>
      </c>
      <c r="J44" s="509">
        <f t="shared" si="14"/>
        <v>3.8400000000000745</v>
      </c>
      <c r="K44" s="508">
        <f t="shared" si="4"/>
        <v>3121.35</v>
      </c>
      <c r="L44" s="507">
        <v>1.9E-2</v>
      </c>
      <c r="M44" s="509">
        <f t="shared" si="17"/>
        <v>0.57999999999992724</v>
      </c>
      <c r="N44" s="508">
        <f t="shared" si="5"/>
        <v>434.84</v>
      </c>
      <c r="O44" s="508">
        <f t="shared" si="12"/>
        <v>53396.42</v>
      </c>
      <c r="P44" s="510">
        <f t="shared" si="2"/>
        <v>-13937.64</v>
      </c>
      <c r="Q44" s="508">
        <f t="shared" si="7"/>
        <v>749.72</v>
      </c>
      <c r="S44" s="493">
        <f t="shared" si="8"/>
        <v>64</v>
      </c>
      <c r="T44" s="511">
        <f t="shared" si="9"/>
        <v>64</v>
      </c>
      <c r="U44" s="511" t="str">
        <f t="shared" si="10"/>
        <v>ok</v>
      </c>
    </row>
    <row r="45" spans="1:21">
      <c r="A45" s="503" t="s">
        <v>858</v>
      </c>
      <c r="B45" s="503" t="s">
        <v>180</v>
      </c>
      <c r="C45" s="504">
        <v>353</v>
      </c>
      <c r="D45" s="505">
        <v>1995</v>
      </c>
      <c r="E45" s="506">
        <v>430708.27</v>
      </c>
      <c r="F45" s="507">
        <v>2.12E-2</v>
      </c>
      <c r="G45" s="488">
        <f t="shared" si="3"/>
        <v>13.58</v>
      </c>
      <c r="H45" s="508">
        <f t="shared" ref="H45:H52" si="18">ROUND(E45*G45*F45,2)</f>
        <v>123999.19</v>
      </c>
      <c r="I45" s="507">
        <v>2.06E-2</v>
      </c>
      <c r="J45" s="509">
        <f t="shared" si="14"/>
        <v>3.8400000000000727</v>
      </c>
      <c r="K45" s="508">
        <f t="shared" si="4"/>
        <v>34070.75</v>
      </c>
      <c r="L45" s="507">
        <v>1.9E-2</v>
      </c>
      <c r="M45" s="509">
        <f t="shared" si="17"/>
        <v>0.57999999999992724</v>
      </c>
      <c r="N45" s="508">
        <f t="shared" si="5"/>
        <v>4746.41</v>
      </c>
      <c r="O45" s="508">
        <f t="shared" si="12"/>
        <v>162816.35</v>
      </c>
      <c r="P45" s="510">
        <f t="shared" si="2"/>
        <v>267891.92000000004</v>
      </c>
      <c r="Q45" s="508">
        <f t="shared" si="7"/>
        <v>8183.46</v>
      </c>
      <c r="S45" s="493">
        <f t="shared" si="8"/>
        <v>18</v>
      </c>
      <c r="T45" s="511">
        <f t="shared" si="9"/>
        <v>18</v>
      </c>
      <c r="U45" s="511" t="str">
        <f t="shared" si="10"/>
        <v>ok</v>
      </c>
    </row>
    <row r="46" spans="1:21">
      <c r="A46" s="503" t="s">
        <v>868</v>
      </c>
      <c r="B46" s="503" t="s">
        <v>181</v>
      </c>
      <c r="C46" s="504">
        <v>353</v>
      </c>
      <c r="D46" s="505">
        <v>1956</v>
      </c>
      <c r="E46" s="506">
        <v>36470.01</v>
      </c>
      <c r="F46" s="507">
        <v>2.12E-2</v>
      </c>
      <c r="G46" s="488">
        <f t="shared" si="3"/>
        <v>52.58</v>
      </c>
      <c r="H46" s="508">
        <f t="shared" si="18"/>
        <v>40652.97</v>
      </c>
      <c r="I46" s="507">
        <v>2.06E-2</v>
      </c>
      <c r="J46" s="509">
        <f t="shared" si="14"/>
        <v>3.8400000000000745</v>
      </c>
      <c r="K46" s="508">
        <f t="shared" si="4"/>
        <v>2884.92</v>
      </c>
      <c r="L46" s="507">
        <v>1.9E-2</v>
      </c>
      <c r="M46" s="509">
        <f t="shared" si="17"/>
        <v>0.57999999999992724</v>
      </c>
      <c r="N46" s="508">
        <f t="shared" si="5"/>
        <v>401.9</v>
      </c>
      <c r="O46" s="508">
        <f t="shared" si="12"/>
        <v>43939.79</v>
      </c>
      <c r="P46" s="510">
        <f t="shared" si="2"/>
        <v>-7469.7799999999988</v>
      </c>
      <c r="Q46" s="508">
        <f t="shared" si="7"/>
        <v>692.93</v>
      </c>
      <c r="S46" s="493">
        <f t="shared" si="8"/>
        <v>57</v>
      </c>
      <c r="T46" s="511">
        <f t="shared" si="9"/>
        <v>57</v>
      </c>
      <c r="U46" s="511" t="str">
        <f t="shared" si="10"/>
        <v>ok</v>
      </c>
    </row>
    <row r="47" spans="1:21">
      <c r="A47" s="503" t="s">
        <v>861</v>
      </c>
      <c r="B47" s="503" t="s">
        <v>182</v>
      </c>
      <c r="C47" s="504">
        <v>353</v>
      </c>
      <c r="D47" s="505">
        <v>1948</v>
      </c>
      <c r="E47" s="506">
        <v>31129.21</v>
      </c>
      <c r="F47" s="507">
        <v>2.12E-2</v>
      </c>
      <c r="G47" s="488">
        <f t="shared" si="3"/>
        <v>60.58</v>
      </c>
      <c r="H47" s="508">
        <f t="shared" si="18"/>
        <v>39979.120000000003</v>
      </c>
      <c r="I47" s="507">
        <v>2.06E-2</v>
      </c>
      <c r="J47" s="509">
        <f t="shared" si="14"/>
        <v>3.8400000000000745</v>
      </c>
      <c r="K47" s="508">
        <f t="shared" si="4"/>
        <v>2462.4499999999998</v>
      </c>
      <c r="L47" s="507">
        <v>1.9E-2</v>
      </c>
      <c r="M47" s="509">
        <f t="shared" si="17"/>
        <v>0.57999999999992724</v>
      </c>
      <c r="N47" s="508">
        <f t="shared" si="5"/>
        <v>343.04</v>
      </c>
      <c r="O47" s="508">
        <f t="shared" si="12"/>
        <v>42784.61</v>
      </c>
      <c r="P47" s="510">
        <f t="shared" si="2"/>
        <v>-11655.400000000001</v>
      </c>
      <c r="Q47" s="508">
        <f t="shared" si="7"/>
        <v>591.45000000000005</v>
      </c>
      <c r="S47" s="493">
        <f t="shared" si="8"/>
        <v>65</v>
      </c>
      <c r="T47" s="511">
        <f t="shared" si="9"/>
        <v>65</v>
      </c>
      <c r="U47" s="511" t="str">
        <f t="shared" si="10"/>
        <v>ok</v>
      </c>
    </row>
    <row r="48" spans="1:21">
      <c r="A48" s="503" t="s">
        <v>861</v>
      </c>
      <c r="B48" s="503" t="s">
        <v>182</v>
      </c>
      <c r="C48" s="504">
        <v>353</v>
      </c>
      <c r="D48" s="505">
        <v>1987</v>
      </c>
      <c r="E48" s="506">
        <v>2109.16</v>
      </c>
      <c r="F48" s="507">
        <v>2.12E-2</v>
      </c>
      <c r="G48" s="488">
        <f t="shared" si="3"/>
        <v>21.58</v>
      </c>
      <c r="H48" s="508">
        <f t="shared" si="18"/>
        <v>964.93</v>
      </c>
      <c r="I48" s="507">
        <v>2.06E-2</v>
      </c>
      <c r="J48" s="509">
        <f t="shared" si="14"/>
        <v>3.8400000000000745</v>
      </c>
      <c r="K48" s="508">
        <f t="shared" si="4"/>
        <v>166.84</v>
      </c>
      <c r="L48" s="507">
        <v>1.9E-2</v>
      </c>
      <c r="M48" s="509">
        <f t="shared" si="17"/>
        <v>0.57999999999992724</v>
      </c>
      <c r="N48" s="508">
        <f t="shared" si="5"/>
        <v>23.24</v>
      </c>
      <c r="O48" s="508">
        <f t="shared" si="12"/>
        <v>1155.01</v>
      </c>
      <c r="P48" s="510">
        <f t="shared" si="2"/>
        <v>954.14999999999986</v>
      </c>
      <c r="Q48" s="508">
        <f t="shared" si="7"/>
        <v>40.07</v>
      </c>
      <c r="S48" s="493">
        <f t="shared" si="8"/>
        <v>26</v>
      </c>
      <c r="T48" s="511">
        <f t="shared" si="9"/>
        <v>26</v>
      </c>
      <c r="U48" s="511" t="str">
        <f t="shared" si="10"/>
        <v>ok</v>
      </c>
    </row>
    <row r="49" spans="1:21">
      <c r="A49" s="503" t="s">
        <v>861</v>
      </c>
      <c r="B49" s="503" t="s">
        <v>182</v>
      </c>
      <c r="C49" s="504">
        <v>353</v>
      </c>
      <c r="D49" s="505">
        <v>1988</v>
      </c>
      <c r="E49" s="506">
        <v>278.93</v>
      </c>
      <c r="F49" s="507">
        <v>2.12E-2</v>
      </c>
      <c r="G49" s="488">
        <f t="shared" si="3"/>
        <v>20.58</v>
      </c>
      <c r="H49" s="508">
        <f t="shared" si="18"/>
        <v>121.7</v>
      </c>
      <c r="I49" s="507">
        <v>2.06E-2</v>
      </c>
      <c r="J49" s="509">
        <f t="shared" si="14"/>
        <v>3.8400000000000745</v>
      </c>
      <c r="K49" s="508">
        <f t="shared" si="4"/>
        <v>22.06</v>
      </c>
      <c r="L49" s="507">
        <v>1.9E-2</v>
      </c>
      <c r="M49" s="509">
        <f t="shared" si="17"/>
        <v>0.57999999999992724</v>
      </c>
      <c r="N49" s="508">
        <f t="shared" si="5"/>
        <v>3.07</v>
      </c>
      <c r="O49" s="508">
        <f t="shared" si="12"/>
        <v>146.82999999999998</v>
      </c>
      <c r="P49" s="510">
        <f t="shared" si="2"/>
        <v>132.10000000000002</v>
      </c>
      <c r="Q49" s="508">
        <f t="shared" si="7"/>
        <v>5.3</v>
      </c>
      <c r="S49" s="493">
        <f t="shared" si="8"/>
        <v>25</v>
      </c>
      <c r="T49" s="511">
        <f t="shared" si="9"/>
        <v>25</v>
      </c>
      <c r="U49" s="511" t="str">
        <f t="shared" si="10"/>
        <v>ok</v>
      </c>
    </row>
    <row r="50" spans="1:21">
      <c r="A50" s="503" t="s">
        <v>869</v>
      </c>
      <c r="B50" s="503" t="s">
        <v>183</v>
      </c>
      <c r="C50" s="504">
        <v>353</v>
      </c>
      <c r="D50" s="505">
        <v>1937</v>
      </c>
      <c r="E50" s="506">
        <v>72167.73</v>
      </c>
      <c r="F50" s="507">
        <v>2.12E-2</v>
      </c>
      <c r="G50" s="488">
        <f t="shared" si="3"/>
        <v>71.58</v>
      </c>
      <c r="H50" s="508">
        <f t="shared" si="18"/>
        <v>109514.24000000001</v>
      </c>
      <c r="I50" s="507">
        <v>2.06E-2</v>
      </c>
      <c r="J50" s="509">
        <f t="shared" si="14"/>
        <v>3.8400000000000745</v>
      </c>
      <c r="K50" s="508">
        <f t="shared" si="4"/>
        <v>5708.76</v>
      </c>
      <c r="L50" s="507">
        <v>1.9E-2</v>
      </c>
      <c r="M50" s="509">
        <f t="shared" si="17"/>
        <v>0.57999999999992724</v>
      </c>
      <c r="N50" s="508">
        <f t="shared" si="5"/>
        <v>795.29</v>
      </c>
      <c r="O50" s="508">
        <f t="shared" si="12"/>
        <v>116018.29</v>
      </c>
      <c r="P50" s="510">
        <f t="shared" si="2"/>
        <v>-43850.559999999998</v>
      </c>
      <c r="Q50" s="508">
        <f t="shared" si="7"/>
        <v>1371.19</v>
      </c>
      <c r="S50" s="493">
        <f t="shared" si="8"/>
        <v>76</v>
      </c>
      <c r="T50" s="511">
        <f t="shared" si="9"/>
        <v>76</v>
      </c>
      <c r="U50" s="511" t="str">
        <f t="shared" si="10"/>
        <v>ok</v>
      </c>
    </row>
    <row r="51" spans="1:21">
      <c r="A51" s="503" t="s">
        <v>869</v>
      </c>
      <c r="B51" s="503" t="s">
        <v>183</v>
      </c>
      <c r="C51" s="504">
        <v>353</v>
      </c>
      <c r="D51" s="505">
        <v>1954</v>
      </c>
      <c r="E51" s="506">
        <v>418.06</v>
      </c>
      <c r="F51" s="507">
        <v>2.12E-2</v>
      </c>
      <c r="G51" s="488">
        <f t="shared" si="3"/>
        <v>54.58</v>
      </c>
      <c r="H51" s="508">
        <f t="shared" si="18"/>
        <v>483.74</v>
      </c>
      <c r="I51" s="507">
        <v>2.06E-2</v>
      </c>
      <c r="J51" s="509">
        <f t="shared" si="14"/>
        <v>3.8400000000000745</v>
      </c>
      <c r="K51" s="508">
        <f t="shared" si="4"/>
        <v>33.07</v>
      </c>
      <c r="L51" s="507">
        <v>1.9E-2</v>
      </c>
      <c r="M51" s="509">
        <f t="shared" si="17"/>
        <v>0.57999999999992724</v>
      </c>
      <c r="N51" s="508">
        <f t="shared" si="5"/>
        <v>4.6100000000000003</v>
      </c>
      <c r="O51" s="508">
        <f t="shared" si="12"/>
        <v>521.42000000000007</v>
      </c>
      <c r="P51" s="510">
        <f t="shared" si="2"/>
        <v>-103.36000000000007</v>
      </c>
      <c r="Q51" s="508">
        <f t="shared" si="7"/>
        <v>7.94</v>
      </c>
      <c r="S51" s="493">
        <f t="shared" si="8"/>
        <v>59</v>
      </c>
      <c r="T51" s="511">
        <f t="shared" si="9"/>
        <v>59</v>
      </c>
      <c r="U51" s="511" t="str">
        <f t="shared" si="10"/>
        <v>ok</v>
      </c>
    </row>
    <row r="52" spans="1:21">
      <c r="A52" s="503" t="s">
        <v>872</v>
      </c>
      <c r="B52" s="503" t="s">
        <v>184</v>
      </c>
      <c r="C52" s="504">
        <v>353</v>
      </c>
      <c r="D52" s="505">
        <v>1947</v>
      </c>
      <c r="E52" s="506">
        <v>70392.59</v>
      </c>
      <c r="F52" s="507">
        <v>2.12E-2</v>
      </c>
      <c r="G52" s="488">
        <f t="shared" si="3"/>
        <v>61.58</v>
      </c>
      <c r="H52" s="508">
        <f t="shared" si="18"/>
        <v>91897.24</v>
      </c>
      <c r="I52" s="507">
        <v>2.06E-2</v>
      </c>
      <c r="J52" s="509">
        <f t="shared" ref="J52:J76" si="19">IF(G52=0,IF($J$87=D52,$J$87-D52+0.42,($J$87+0.42-D52)-G52),$J$87+0.42-D52)-G52</f>
        <v>3.8400000000000745</v>
      </c>
      <c r="K52" s="508">
        <f t="shared" si="4"/>
        <v>5568.34</v>
      </c>
      <c r="L52" s="507">
        <v>1.9E-2</v>
      </c>
      <c r="M52" s="509">
        <f t="shared" si="17"/>
        <v>0.57999999999992724</v>
      </c>
      <c r="N52" s="508">
        <f t="shared" si="5"/>
        <v>775.73</v>
      </c>
      <c r="O52" s="508">
        <f t="shared" si="12"/>
        <v>98241.31</v>
      </c>
      <c r="P52" s="510">
        <f t="shared" si="2"/>
        <v>-27848.720000000001</v>
      </c>
      <c r="Q52" s="508">
        <f t="shared" si="7"/>
        <v>1337.46</v>
      </c>
      <c r="S52" s="493">
        <f t="shared" si="8"/>
        <v>66</v>
      </c>
      <c r="T52" s="511">
        <f t="shared" si="9"/>
        <v>66</v>
      </c>
      <c r="U52" s="511" t="str">
        <f t="shared" si="10"/>
        <v>ok</v>
      </c>
    </row>
    <row r="53" spans="1:21">
      <c r="A53" s="503"/>
      <c r="B53" s="503" t="s">
        <v>192</v>
      </c>
      <c r="C53" s="504">
        <v>353</v>
      </c>
      <c r="D53" s="505">
        <v>1980</v>
      </c>
      <c r="E53" s="506">
        <v>373215.24</v>
      </c>
      <c r="F53" s="507">
        <v>2.12E-2</v>
      </c>
      <c r="G53" s="488">
        <f t="shared" si="3"/>
        <v>28.58</v>
      </c>
      <c r="H53" s="508">
        <f t="shared" ref="H53:H79" si="20">ROUND(E53*G53*F53,2)</f>
        <v>226129.62</v>
      </c>
      <c r="I53" s="507">
        <v>2.06E-2</v>
      </c>
      <c r="J53" s="509">
        <f t="shared" si="19"/>
        <v>3.8400000000000745</v>
      </c>
      <c r="K53" s="508">
        <f t="shared" si="4"/>
        <v>29522.82</v>
      </c>
      <c r="L53" s="507">
        <v>1.9E-2</v>
      </c>
      <c r="M53" s="509">
        <f t="shared" si="17"/>
        <v>0.57999999999992724</v>
      </c>
      <c r="N53" s="508">
        <f t="shared" ref="N53:N79" si="21">ROUND(E53*L53*M53,2)</f>
        <v>4112.83</v>
      </c>
      <c r="O53" s="508">
        <f t="shared" ref="O53:O79" si="22">SUM(H53,K53,N53)</f>
        <v>259765.27</v>
      </c>
      <c r="P53" s="510">
        <f t="shared" si="2"/>
        <v>113449.97</v>
      </c>
      <c r="Q53" s="508">
        <f t="shared" si="7"/>
        <v>7091.09</v>
      </c>
      <c r="S53" s="493">
        <f t="shared" si="8"/>
        <v>33</v>
      </c>
      <c r="T53" s="511">
        <f t="shared" si="9"/>
        <v>33</v>
      </c>
      <c r="U53" s="511" t="str">
        <f t="shared" si="10"/>
        <v>ok</v>
      </c>
    </row>
    <row r="54" spans="1:21">
      <c r="A54" s="503"/>
      <c r="B54" s="503" t="s">
        <v>192</v>
      </c>
      <c r="C54" s="504">
        <v>353</v>
      </c>
      <c r="D54" s="505">
        <v>1992</v>
      </c>
      <c r="E54" s="506">
        <v>2010.51</v>
      </c>
      <c r="F54" s="507">
        <v>2.12E-2</v>
      </c>
      <c r="G54" s="488">
        <f t="shared" si="3"/>
        <v>16.579999999999998</v>
      </c>
      <c r="H54" s="508">
        <f t="shared" si="20"/>
        <v>706.69</v>
      </c>
      <c r="I54" s="507">
        <v>2.06E-2</v>
      </c>
      <c r="J54" s="509">
        <f t="shared" si="19"/>
        <v>3.8400000000000745</v>
      </c>
      <c r="K54" s="508">
        <f t="shared" si="4"/>
        <v>159.04</v>
      </c>
      <c r="L54" s="507">
        <v>1.9E-2</v>
      </c>
      <c r="M54" s="509">
        <f t="shared" si="17"/>
        <v>0.57999999999992724</v>
      </c>
      <c r="N54" s="508">
        <f t="shared" si="21"/>
        <v>22.16</v>
      </c>
      <c r="O54" s="508">
        <f t="shared" si="22"/>
        <v>887.89</v>
      </c>
      <c r="P54" s="510">
        <f t="shared" si="2"/>
        <v>1122.6199999999999</v>
      </c>
      <c r="Q54" s="508">
        <f t="shared" si="7"/>
        <v>38.200000000000003</v>
      </c>
      <c r="S54" s="493">
        <f t="shared" si="8"/>
        <v>21</v>
      </c>
      <c r="T54" s="511">
        <f t="shared" si="9"/>
        <v>21</v>
      </c>
      <c r="U54" s="511" t="str">
        <f t="shared" si="10"/>
        <v>ok</v>
      </c>
    </row>
    <row r="55" spans="1:21">
      <c r="A55" s="503"/>
      <c r="B55" s="503" t="s">
        <v>192</v>
      </c>
      <c r="C55" s="504">
        <v>353</v>
      </c>
      <c r="D55" s="505">
        <v>2003</v>
      </c>
      <c r="E55" s="506">
        <v>64212.69</v>
      </c>
      <c r="F55" s="507">
        <v>2.12E-2</v>
      </c>
      <c r="G55" s="488">
        <f t="shared" si="3"/>
        <v>5.58</v>
      </c>
      <c r="H55" s="508">
        <f t="shared" si="20"/>
        <v>7596.1</v>
      </c>
      <c r="I55" s="507">
        <v>2.06E-2</v>
      </c>
      <c r="J55" s="509">
        <f t="shared" si="19"/>
        <v>3.8400000000000727</v>
      </c>
      <c r="K55" s="508">
        <f t="shared" si="4"/>
        <v>5079.4799999999996</v>
      </c>
      <c r="L55" s="507">
        <v>1.9E-2</v>
      </c>
      <c r="M55" s="509">
        <f t="shared" si="17"/>
        <v>0.57999999999992724</v>
      </c>
      <c r="N55" s="508">
        <f t="shared" si="21"/>
        <v>707.62</v>
      </c>
      <c r="O55" s="508">
        <f t="shared" si="22"/>
        <v>13383.2</v>
      </c>
      <c r="P55" s="510">
        <f t="shared" si="2"/>
        <v>50829.490000000005</v>
      </c>
      <c r="Q55" s="508">
        <f t="shared" si="7"/>
        <v>1220.04</v>
      </c>
      <c r="S55" s="493">
        <f t="shared" si="8"/>
        <v>10</v>
      </c>
      <c r="T55" s="511">
        <f t="shared" si="9"/>
        <v>10</v>
      </c>
      <c r="U55" s="511" t="str">
        <f t="shared" si="10"/>
        <v>ok</v>
      </c>
    </row>
    <row r="56" spans="1:21">
      <c r="A56" s="503"/>
      <c r="B56" s="503" t="s">
        <v>192</v>
      </c>
      <c r="C56" s="504">
        <v>353</v>
      </c>
      <c r="D56" s="505">
        <v>2007</v>
      </c>
      <c r="E56" s="506">
        <v>3243.66</v>
      </c>
      <c r="F56" s="507">
        <v>2.12E-2</v>
      </c>
      <c r="G56" s="488">
        <f t="shared" si="3"/>
        <v>1.58</v>
      </c>
      <c r="H56" s="508">
        <f t="shared" si="20"/>
        <v>108.65</v>
      </c>
      <c r="I56" s="507">
        <v>2.06E-2</v>
      </c>
      <c r="J56" s="509">
        <f t="shared" si="19"/>
        <v>3.8400000000000727</v>
      </c>
      <c r="K56" s="508">
        <f t="shared" si="4"/>
        <v>256.58999999999997</v>
      </c>
      <c r="L56" s="507">
        <v>1.9E-2</v>
      </c>
      <c r="M56" s="509">
        <f t="shared" si="17"/>
        <v>0.57999999999992724</v>
      </c>
      <c r="N56" s="508">
        <f t="shared" si="21"/>
        <v>35.75</v>
      </c>
      <c r="O56" s="508">
        <f t="shared" si="22"/>
        <v>400.99</v>
      </c>
      <c r="P56" s="510">
        <f t="shared" si="2"/>
        <v>2842.67</v>
      </c>
      <c r="Q56" s="508">
        <f t="shared" si="7"/>
        <v>61.63</v>
      </c>
      <c r="S56" s="493">
        <f t="shared" si="8"/>
        <v>6</v>
      </c>
      <c r="T56" s="511">
        <f t="shared" si="9"/>
        <v>6</v>
      </c>
      <c r="U56" s="511" t="str">
        <f t="shared" si="10"/>
        <v>ok</v>
      </c>
    </row>
    <row r="57" spans="1:21">
      <c r="A57" s="503"/>
      <c r="B57" s="503" t="s">
        <v>192</v>
      </c>
      <c r="C57" s="504">
        <v>353</v>
      </c>
      <c r="D57" s="505">
        <v>2009</v>
      </c>
      <c r="E57" s="506">
        <v>6429.87</v>
      </c>
      <c r="F57" s="507">
        <v>2.12E-2</v>
      </c>
      <c r="G57" s="488">
        <f t="shared" si="3"/>
        <v>0</v>
      </c>
      <c r="H57" s="508">
        <f t="shared" si="20"/>
        <v>0</v>
      </c>
      <c r="I57" s="507">
        <v>2.06E-2</v>
      </c>
      <c r="J57" s="509">
        <f t="shared" si="19"/>
        <v>3.4200000000000728</v>
      </c>
      <c r="K57" s="508">
        <f t="shared" si="4"/>
        <v>453</v>
      </c>
      <c r="L57" s="507">
        <v>1.9E-2</v>
      </c>
      <c r="M57" s="509">
        <f t="shared" si="17"/>
        <v>0.57999999999992724</v>
      </c>
      <c r="N57" s="508">
        <f t="shared" si="21"/>
        <v>70.86</v>
      </c>
      <c r="O57" s="508">
        <f t="shared" si="22"/>
        <v>523.86</v>
      </c>
      <c r="P57" s="510">
        <f t="shared" si="2"/>
        <v>5906.01</v>
      </c>
      <c r="Q57" s="508">
        <f t="shared" si="7"/>
        <v>122.17</v>
      </c>
      <c r="S57" s="493">
        <f t="shared" si="8"/>
        <v>4</v>
      </c>
      <c r="T57" s="511">
        <f t="shared" si="9"/>
        <v>4</v>
      </c>
      <c r="U57" s="511" t="str">
        <f t="shared" si="10"/>
        <v>ok</v>
      </c>
    </row>
    <row r="58" spans="1:21">
      <c r="A58" s="503"/>
      <c r="B58" s="503" t="s">
        <v>192</v>
      </c>
      <c r="C58" s="504">
        <v>353</v>
      </c>
      <c r="D58" s="505">
        <v>2010</v>
      </c>
      <c r="E58" s="506">
        <v>4030.25</v>
      </c>
      <c r="F58" s="507">
        <v>2.12E-2</v>
      </c>
      <c r="G58" s="488">
        <f t="shared" si="3"/>
        <v>0</v>
      </c>
      <c r="H58" s="508">
        <f t="shared" si="20"/>
        <v>0</v>
      </c>
      <c r="I58" s="507">
        <v>2.06E-2</v>
      </c>
      <c r="J58" s="509">
        <f t="shared" si="19"/>
        <v>2.4200000000000728</v>
      </c>
      <c r="K58" s="508">
        <f t="shared" si="4"/>
        <v>200.92</v>
      </c>
      <c r="L58" s="507">
        <v>1.9E-2</v>
      </c>
      <c r="M58" s="509">
        <f t="shared" si="17"/>
        <v>0.57999999999992724</v>
      </c>
      <c r="N58" s="508">
        <f t="shared" si="21"/>
        <v>44.41</v>
      </c>
      <c r="O58" s="508">
        <f t="shared" si="22"/>
        <v>245.32999999999998</v>
      </c>
      <c r="P58" s="510">
        <f t="shared" si="2"/>
        <v>3784.92</v>
      </c>
      <c r="Q58" s="508">
        <f t="shared" si="7"/>
        <v>76.569999999999993</v>
      </c>
      <c r="S58" s="493">
        <f t="shared" si="8"/>
        <v>3</v>
      </c>
      <c r="T58" s="511">
        <f t="shared" si="9"/>
        <v>3</v>
      </c>
      <c r="U58" s="511" t="str">
        <f t="shared" si="10"/>
        <v>ok</v>
      </c>
    </row>
    <row r="59" spans="1:21">
      <c r="A59" s="503"/>
      <c r="B59" s="503" t="s">
        <v>193</v>
      </c>
      <c r="C59" s="504">
        <f>C57</f>
        <v>353</v>
      </c>
      <c r="D59" s="505">
        <v>1975</v>
      </c>
      <c r="E59" s="506">
        <v>262266</v>
      </c>
      <c r="F59" s="507">
        <v>2.12E-2</v>
      </c>
      <c r="G59" s="488">
        <f t="shared" si="3"/>
        <v>33.58</v>
      </c>
      <c r="H59" s="508">
        <f t="shared" si="20"/>
        <v>186706.12</v>
      </c>
      <c r="I59" s="507">
        <f>I57</f>
        <v>2.06E-2</v>
      </c>
      <c r="J59" s="509">
        <f t="shared" si="19"/>
        <v>3.8400000000000745</v>
      </c>
      <c r="K59" s="508">
        <f t="shared" si="4"/>
        <v>20746.29</v>
      </c>
      <c r="L59" s="507">
        <v>1.9E-2</v>
      </c>
      <c r="M59" s="509">
        <f t="shared" si="17"/>
        <v>0.57999999999992724</v>
      </c>
      <c r="N59" s="508">
        <f t="shared" si="21"/>
        <v>2890.17</v>
      </c>
      <c r="O59" s="508">
        <f t="shared" si="22"/>
        <v>210342.58000000002</v>
      </c>
      <c r="P59" s="510">
        <f t="shared" si="2"/>
        <v>51923.419999999984</v>
      </c>
      <c r="Q59" s="508">
        <f t="shared" si="7"/>
        <v>4983.05</v>
      </c>
      <c r="S59" s="493">
        <f t="shared" si="8"/>
        <v>38</v>
      </c>
      <c r="T59" s="511">
        <f t="shared" si="9"/>
        <v>38</v>
      </c>
      <c r="U59" s="511" t="str">
        <f t="shared" si="10"/>
        <v>ok</v>
      </c>
    </row>
    <row r="60" spans="1:21">
      <c r="A60" s="503"/>
      <c r="B60" s="503" t="s">
        <v>193</v>
      </c>
      <c r="C60" s="504">
        <f t="shared" ref="C60:C65" si="23">C59</f>
        <v>353</v>
      </c>
      <c r="D60" s="505">
        <v>1976</v>
      </c>
      <c r="E60" s="506">
        <f>842488-533657.09-37722.28</f>
        <v>271108.63</v>
      </c>
      <c r="F60" s="507">
        <v>2.12E-2</v>
      </c>
      <c r="G60" s="488">
        <f t="shared" si="3"/>
        <v>32.58</v>
      </c>
      <c r="H60" s="508">
        <f t="shared" si="20"/>
        <v>187253.65</v>
      </c>
      <c r="I60" s="507">
        <f t="shared" ref="I60:I66" si="24">I59</f>
        <v>2.06E-2</v>
      </c>
      <c r="J60" s="509">
        <f t="shared" si="19"/>
        <v>3.8400000000000745</v>
      </c>
      <c r="K60" s="508">
        <f t="shared" si="4"/>
        <v>21445.78</v>
      </c>
      <c r="L60" s="507">
        <v>1.9E-2</v>
      </c>
      <c r="M60" s="509">
        <f t="shared" si="17"/>
        <v>0.57999999999992724</v>
      </c>
      <c r="N60" s="508">
        <f t="shared" si="21"/>
        <v>2987.62</v>
      </c>
      <c r="O60" s="508">
        <f t="shared" si="22"/>
        <v>211687.05</v>
      </c>
      <c r="P60" s="510">
        <f t="shared" si="2"/>
        <v>59421.580000000016</v>
      </c>
      <c r="Q60" s="508">
        <f t="shared" si="7"/>
        <v>5151.0600000000004</v>
      </c>
      <c r="S60" s="493">
        <f t="shared" si="8"/>
        <v>37</v>
      </c>
      <c r="T60" s="511">
        <f t="shared" si="9"/>
        <v>37</v>
      </c>
      <c r="U60" s="511" t="str">
        <f t="shared" si="10"/>
        <v>ok</v>
      </c>
    </row>
    <row r="61" spans="1:21">
      <c r="A61" s="503"/>
      <c r="B61" s="503" t="s">
        <v>193</v>
      </c>
      <c r="C61" s="504">
        <f t="shared" si="23"/>
        <v>353</v>
      </c>
      <c r="D61" s="505">
        <v>1990</v>
      </c>
      <c r="E61" s="506">
        <f>965852-14490.31-36852.2</f>
        <v>914509.49</v>
      </c>
      <c r="F61" s="507">
        <v>2.12E-2</v>
      </c>
      <c r="G61" s="488">
        <f t="shared" si="3"/>
        <v>18.579999999999998</v>
      </c>
      <c r="H61" s="508">
        <f t="shared" si="20"/>
        <v>360221.63</v>
      </c>
      <c r="I61" s="507">
        <f t="shared" si="24"/>
        <v>2.06E-2</v>
      </c>
      <c r="J61" s="509">
        <f t="shared" si="19"/>
        <v>3.8400000000000745</v>
      </c>
      <c r="K61" s="508">
        <f t="shared" si="4"/>
        <v>72341.36</v>
      </c>
      <c r="L61" s="507">
        <v>1.9E-2</v>
      </c>
      <c r="M61" s="509">
        <f t="shared" si="17"/>
        <v>0.57999999999992724</v>
      </c>
      <c r="N61" s="508">
        <f t="shared" si="21"/>
        <v>10077.89</v>
      </c>
      <c r="O61" s="508">
        <f t="shared" si="22"/>
        <v>442640.88</v>
      </c>
      <c r="P61" s="510">
        <f t="shared" si="2"/>
        <v>471868.61</v>
      </c>
      <c r="Q61" s="508">
        <f t="shared" si="7"/>
        <v>17375.68</v>
      </c>
      <c r="S61" s="493">
        <f t="shared" si="8"/>
        <v>23</v>
      </c>
      <c r="T61" s="511">
        <f t="shared" si="9"/>
        <v>23</v>
      </c>
      <c r="U61" s="511" t="str">
        <f t="shared" si="10"/>
        <v>ok</v>
      </c>
    </row>
    <row r="62" spans="1:21">
      <c r="A62" s="503"/>
      <c r="B62" s="503" t="s">
        <v>193</v>
      </c>
      <c r="C62" s="504">
        <f t="shared" si="23"/>
        <v>353</v>
      </c>
      <c r="D62" s="505">
        <v>1994</v>
      </c>
      <c r="E62" s="506">
        <v>42236</v>
      </c>
      <c r="F62" s="507">
        <v>2.12E-2</v>
      </c>
      <c r="G62" s="488">
        <f t="shared" si="3"/>
        <v>14.58</v>
      </c>
      <c r="H62" s="508">
        <f t="shared" si="20"/>
        <v>13054.98</v>
      </c>
      <c r="I62" s="507">
        <f t="shared" si="24"/>
        <v>2.06E-2</v>
      </c>
      <c r="J62" s="509">
        <f t="shared" si="19"/>
        <v>3.8400000000000727</v>
      </c>
      <c r="K62" s="508">
        <f t="shared" si="4"/>
        <v>3341.04</v>
      </c>
      <c r="L62" s="507">
        <v>1.9E-2</v>
      </c>
      <c r="M62" s="509">
        <f t="shared" si="17"/>
        <v>0.57999999999992724</v>
      </c>
      <c r="N62" s="508">
        <f t="shared" si="21"/>
        <v>465.44</v>
      </c>
      <c r="O62" s="508">
        <f t="shared" si="22"/>
        <v>16861.46</v>
      </c>
      <c r="P62" s="510">
        <f t="shared" si="2"/>
        <v>25374.54</v>
      </c>
      <c r="Q62" s="508">
        <f t="shared" si="7"/>
        <v>802.48</v>
      </c>
      <c r="S62" s="493">
        <f t="shared" si="8"/>
        <v>19</v>
      </c>
      <c r="T62" s="511">
        <f t="shared" si="9"/>
        <v>19</v>
      </c>
      <c r="U62" s="511" t="str">
        <f t="shared" si="10"/>
        <v>ok</v>
      </c>
    </row>
    <row r="63" spans="1:21">
      <c r="A63" s="503"/>
      <c r="B63" s="503" t="s">
        <v>193</v>
      </c>
      <c r="C63" s="504">
        <f t="shared" si="23"/>
        <v>353</v>
      </c>
      <c r="D63" s="505">
        <v>1995</v>
      </c>
      <c r="E63" s="506">
        <v>27259</v>
      </c>
      <c r="F63" s="507">
        <v>2.12E-2</v>
      </c>
      <c r="G63" s="488">
        <f t="shared" si="3"/>
        <v>13.58</v>
      </c>
      <c r="H63" s="508">
        <f t="shared" si="20"/>
        <v>7847.76</v>
      </c>
      <c r="I63" s="507">
        <f t="shared" si="24"/>
        <v>2.06E-2</v>
      </c>
      <c r="J63" s="509">
        <f t="shared" si="19"/>
        <v>3.8400000000000727</v>
      </c>
      <c r="K63" s="508">
        <f t="shared" si="4"/>
        <v>2156.3000000000002</v>
      </c>
      <c r="L63" s="507">
        <v>1.9E-2</v>
      </c>
      <c r="M63" s="509">
        <f t="shared" si="17"/>
        <v>0.57999999999992724</v>
      </c>
      <c r="N63" s="508">
        <f t="shared" si="21"/>
        <v>300.39</v>
      </c>
      <c r="O63" s="508">
        <f t="shared" si="22"/>
        <v>10304.450000000001</v>
      </c>
      <c r="P63" s="510">
        <f t="shared" si="2"/>
        <v>16954.55</v>
      </c>
      <c r="Q63" s="508">
        <f t="shared" si="7"/>
        <v>517.91999999999996</v>
      </c>
      <c r="S63" s="493">
        <f t="shared" si="8"/>
        <v>18</v>
      </c>
      <c r="T63" s="511">
        <f t="shared" si="9"/>
        <v>18</v>
      </c>
      <c r="U63" s="511" t="str">
        <f t="shared" si="10"/>
        <v>ok</v>
      </c>
    </row>
    <row r="64" spans="1:21">
      <c r="A64" s="503"/>
      <c r="B64" s="503" t="s">
        <v>193</v>
      </c>
      <c r="C64" s="504">
        <f t="shared" si="23"/>
        <v>353</v>
      </c>
      <c r="D64" s="505">
        <v>1996</v>
      </c>
      <c r="E64" s="506">
        <v>45684</v>
      </c>
      <c r="F64" s="507">
        <v>2.12E-2</v>
      </c>
      <c r="G64" s="488">
        <f t="shared" si="3"/>
        <v>12.58</v>
      </c>
      <c r="H64" s="508">
        <f t="shared" si="20"/>
        <v>12183.74</v>
      </c>
      <c r="I64" s="507">
        <f t="shared" si="24"/>
        <v>2.06E-2</v>
      </c>
      <c r="J64" s="509">
        <f t="shared" si="19"/>
        <v>3.8400000000000727</v>
      </c>
      <c r="K64" s="508">
        <f t="shared" si="4"/>
        <v>3613.79</v>
      </c>
      <c r="L64" s="507">
        <v>1.9E-2</v>
      </c>
      <c r="M64" s="509">
        <f t="shared" si="17"/>
        <v>0.57999999999992724</v>
      </c>
      <c r="N64" s="508">
        <f t="shared" si="21"/>
        <v>503.44</v>
      </c>
      <c r="O64" s="508">
        <f t="shared" si="22"/>
        <v>16300.97</v>
      </c>
      <c r="P64" s="510">
        <f t="shared" si="2"/>
        <v>29383.03</v>
      </c>
      <c r="Q64" s="508">
        <f t="shared" si="7"/>
        <v>868</v>
      </c>
      <c r="S64" s="493">
        <f t="shared" si="8"/>
        <v>17</v>
      </c>
      <c r="T64" s="511">
        <f t="shared" si="9"/>
        <v>17</v>
      </c>
      <c r="U64" s="511" t="str">
        <f t="shared" si="10"/>
        <v>ok</v>
      </c>
    </row>
    <row r="65" spans="1:21">
      <c r="A65" s="503"/>
      <c r="B65" s="503" t="s">
        <v>193</v>
      </c>
      <c r="C65" s="504">
        <f t="shared" si="23"/>
        <v>353</v>
      </c>
      <c r="D65" s="505">
        <v>2000</v>
      </c>
      <c r="E65" s="506">
        <v>972906</v>
      </c>
      <c r="F65" s="507">
        <v>2.12E-2</v>
      </c>
      <c r="G65" s="488">
        <f t="shared" si="3"/>
        <v>8.58</v>
      </c>
      <c r="H65" s="508">
        <f t="shared" si="20"/>
        <v>176967.71</v>
      </c>
      <c r="I65" s="507">
        <f t="shared" si="24"/>
        <v>2.06E-2</v>
      </c>
      <c r="J65" s="509">
        <f t="shared" si="19"/>
        <v>3.8400000000000727</v>
      </c>
      <c r="K65" s="508">
        <f t="shared" si="4"/>
        <v>76960.759999999995</v>
      </c>
      <c r="L65" s="507">
        <v>1.9E-2</v>
      </c>
      <c r="M65" s="509">
        <f t="shared" si="17"/>
        <v>0.57999999999992724</v>
      </c>
      <c r="N65" s="508">
        <f t="shared" si="21"/>
        <v>10721.42</v>
      </c>
      <c r="O65" s="508">
        <f t="shared" si="22"/>
        <v>264649.88999999996</v>
      </c>
      <c r="P65" s="510">
        <f t="shared" si="2"/>
        <v>708256.1100000001</v>
      </c>
      <c r="Q65" s="508">
        <f t="shared" si="7"/>
        <v>18485.21</v>
      </c>
      <c r="S65" s="493">
        <f t="shared" si="8"/>
        <v>13</v>
      </c>
      <c r="T65" s="511">
        <f t="shared" si="9"/>
        <v>13</v>
      </c>
      <c r="U65" s="511" t="str">
        <f t="shared" si="10"/>
        <v>ok</v>
      </c>
    </row>
    <row r="66" spans="1:21">
      <c r="A66" s="503"/>
      <c r="B66" s="503" t="s">
        <v>193</v>
      </c>
      <c r="C66" s="504">
        <v>353</v>
      </c>
      <c r="D66" s="505">
        <v>2008</v>
      </c>
      <c r="E66" s="506">
        <f>29415.43+73352.25</f>
        <v>102767.67999999999</v>
      </c>
      <c r="F66" s="507">
        <v>2.12E-2</v>
      </c>
      <c r="G66" s="488">
        <f t="shared" si="3"/>
        <v>0.57999999999999996</v>
      </c>
      <c r="H66" s="508">
        <f t="shared" si="20"/>
        <v>1263.6300000000001</v>
      </c>
      <c r="I66" s="507">
        <f t="shared" si="24"/>
        <v>2.06E-2</v>
      </c>
      <c r="J66" s="509">
        <f t="shared" si="19"/>
        <v>3.8400000000000727</v>
      </c>
      <c r="K66" s="508">
        <f t="shared" si="4"/>
        <v>8129.33</v>
      </c>
      <c r="L66" s="507">
        <v>1.9E-2</v>
      </c>
      <c r="M66" s="509">
        <f t="shared" si="17"/>
        <v>0.57999999999992735</v>
      </c>
      <c r="N66" s="508">
        <f t="shared" si="21"/>
        <v>1132.5</v>
      </c>
      <c r="O66" s="508">
        <f t="shared" si="22"/>
        <v>10525.46</v>
      </c>
      <c r="P66" s="510">
        <f t="shared" si="2"/>
        <v>92242.22</v>
      </c>
      <c r="Q66" s="508">
        <f t="shared" si="7"/>
        <v>1952.59</v>
      </c>
      <c r="S66" s="493">
        <f t="shared" ref="S66:S79" si="25">2012+1-D66</f>
        <v>5</v>
      </c>
      <c r="T66" s="511">
        <f t="shared" ref="T66:T79" si="26">G66+J66+M66</f>
        <v>5</v>
      </c>
      <c r="U66" s="511" t="str">
        <f t="shared" ref="U66:U79" si="27">IF(S66-T66=0, "ok","error")</f>
        <v>ok</v>
      </c>
    </row>
    <row r="67" spans="1:21">
      <c r="A67" s="503"/>
      <c r="B67" s="503" t="s">
        <v>193</v>
      </c>
      <c r="C67" s="504">
        <v>353</v>
      </c>
      <c r="D67" s="505">
        <v>2011</v>
      </c>
      <c r="E67" s="506">
        <f>482673.57-78424.03</f>
        <v>404249.54000000004</v>
      </c>
      <c r="F67" s="507">
        <v>2.12E-2</v>
      </c>
      <c r="G67" s="488">
        <f t="shared" si="3"/>
        <v>0</v>
      </c>
      <c r="H67" s="508">
        <f t="shared" si="20"/>
        <v>0</v>
      </c>
      <c r="I67" s="507">
        <v>2.06E-2</v>
      </c>
      <c r="J67" s="509">
        <f t="shared" si="19"/>
        <v>1.4200000000000728</v>
      </c>
      <c r="K67" s="508">
        <f t="shared" ref="K67:K79" si="28">ROUND(E67*J67*I67,2)</f>
        <v>11825.11</v>
      </c>
      <c r="L67" s="507">
        <v>1.9E-2</v>
      </c>
      <c r="M67" s="509">
        <f t="shared" si="17"/>
        <v>0.57999999999992724</v>
      </c>
      <c r="N67" s="508">
        <f t="shared" si="21"/>
        <v>4454.83</v>
      </c>
      <c r="O67" s="508">
        <f t="shared" si="22"/>
        <v>16279.94</v>
      </c>
      <c r="P67" s="510">
        <f t="shared" ref="P67:P79" si="29">E67-O67</f>
        <v>387969.60000000003</v>
      </c>
      <c r="Q67" s="508">
        <f t="shared" ref="Q67:Q79" si="30">ROUND(E67*L67,2)</f>
        <v>7680.74</v>
      </c>
      <c r="S67" s="493">
        <f t="shared" si="25"/>
        <v>2</v>
      </c>
      <c r="T67" s="511">
        <f t="shared" si="26"/>
        <v>2</v>
      </c>
      <c r="U67" s="511" t="str">
        <f t="shared" si="27"/>
        <v>ok</v>
      </c>
    </row>
    <row r="68" spans="1:21">
      <c r="A68" s="503"/>
      <c r="B68" s="503" t="s">
        <v>1126</v>
      </c>
      <c r="C68" s="504">
        <v>353</v>
      </c>
      <c r="D68" s="505">
        <v>2008</v>
      </c>
      <c r="E68" s="506">
        <f>2223479.04</f>
        <v>2223479.04</v>
      </c>
      <c r="F68" s="507">
        <v>2.12E-2</v>
      </c>
      <c r="G68" s="488">
        <f t="shared" ref="G68:G79" si="31">IF((2008-D68)+0.58&lt;0, 0,(2008-D68)+0.58)</f>
        <v>0.57999999999999996</v>
      </c>
      <c r="H68" s="508">
        <f t="shared" ref="H68:H69" si="32">ROUND(E68*G68*F68,2)</f>
        <v>27339.9</v>
      </c>
      <c r="I68" s="507">
        <v>2.06E-2</v>
      </c>
      <c r="J68" s="509">
        <f t="shared" si="19"/>
        <v>3.8400000000000727</v>
      </c>
      <c r="K68" s="508">
        <f t="shared" si="28"/>
        <v>175886.09</v>
      </c>
      <c r="L68" s="507">
        <v>1.9E-2</v>
      </c>
      <c r="M68" s="509">
        <f t="shared" si="17"/>
        <v>0.57999999999992735</v>
      </c>
      <c r="N68" s="508">
        <f t="shared" si="21"/>
        <v>24502.74</v>
      </c>
      <c r="O68" s="508">
        <f t="shared" si="22"/>
        <v>227728.72999999998</v>
      </c>
      <c r="P68" s="510">
        <f t="shared" si="29"/>
        <v>1995750.31</v>
      </c>
      <c r="Q68" s="508">
        <f t="shared" si="30"/>
        <v>42246.1</v>
      </c>
      <c r="S68" s="493">
        <f t="shared" si="25"/>
        <v>5</v>
      </c>
      <c r="T68" s="511">
        <f t="shared" si="26"/>
        <v>5</v>
      </c>
      <c r="U68" s="511" t="str">
        <f t="shared" si="27"/>
        <v>ok</v>
      </c>
    </row>
    <row r="69" spans="1:21">
      <c r="A69" s="503"/>
      <c r="B69" s="503" t="s">
        <v>1126</v>
      </c>
      <c r="C69" s="504">
        <v>353</v>
      </c>
      <c r="D69" s="505">
        <v>2011</v>
      </c>
      <c r="E69" s="506">
        <v>63402.18</v>
      </c>
      <c r="F69" s="507">
        <v>2.12E-2</v>
      </c>
      <c r="G69" s="488">
        <f t="shared" si="31"/>
        <v>0</v>
      </c>
      <c r="H69" s="508">
        <f t="shared" si="32"/>
        <v>0</v>
      </c>
      <c r="I69" s="507">
        <v>2.06E-2</v>
      </c>
      <c r="J69" s="509">
        <f t="shared" si="19"/>
        <v>1.4200000000000728</v>
      </c>
      <c r="K69" s="508">
        <f t="shared" si="28"/>
        <v>1854.64</v>
      </c>
      <c r="L69" s="507">
        <v>1.9E-2</v>
      </c>
      <c r="M69" s="509">
        <f t="shared" si="17"/>
        <v>0.57999999999992724</v>
      </c>
      <c r="N69" s="508">
        <f t="shared" si="21"/>
        <v>698.69</v>
      </c>
      <c r="O69" s="508">
        <f t="shared" si="22"/>
        <v>2553.33</v>
      </c>
      <c r="P69" s="510">
        <f t="shared" si="29"/>
        <v>60848.85</v>
      </c>
      <c r="Q69" s="508">
        <f t="shared" si="30"/>
        <v>1204.6400000000001</v>
      </c>
      <c r="S69" s="493">
        <f t="shared" si="25"/>
        <v>2</v>
      </c>
      <c r="T69" s="511">
        <f t="shared" si="26"/>
        <v>2</v>
      </c>
      <c r="U69" s="511" t="str">
        <f t="shared" si="27"/>
        <v>ok</v>
      </c>
    </row>
    <row r="70" spans="1:21">
      <c r="A70" s="503"/>
      <c r="B70" s="503" t="s">
        <v>1127</v>
      </c>
      <c r="C70" s="504">
        <v>352</v>
      </c>
      <c r="D70" s="505">
        <v>1982</v>
      </c>
      <c r="E70" s="506">
        <v>55381.11</v>
      </c>
      <c r="F70" s="507">
        <v>1.29E-2</v>
      </c>
      <c r="G70" s="488">
        <f t="shared" si="31"/>
        <v>26.58</v>
      </c>
      <c r="H70" s="508">
        <f t="shared" si="20"/>
        <v>18989.189999999999</v>
      </c>
      <c r="I70" s="507">
        <v>1.6799999999999999E-2</v>
      </c>
      <c r="J70" s="509">
        <f t="shared" si="19"/>
        <v>3.8400000000000745</v>
      </c>
      <c r="K70" s="508">
        <f t="shared" si="28"/>
        <v>3572.75</v>
      </c>
      <c r="L70" s="507">
        <v>1.84E-2</v>
      </c>
      <c r="M70" s="509">
        <f t="shared" si="17"/>
        <v>0.57999999999992724</v>
      </c>
      <c r="N70" s="508">
        <f t="shared" si="21"/>
        <v>591.03</v>
      </c>
      <c r="O70" s="508">
        <f t="shared" si="22"/>
        <v>23152.969999999998</v>
      </c>
      <c r="P70" s="510">
        <f t="shared" si="29"/>
        <v>32228.140000000003</v>
      </c>
      <c r="Q70" s="508">
        <f t="shared" si="30"/>
        <v>1019.01</v>
      </c>
      <c r="S70" s="493">
        <f t="shared" si="25"/>
        <v>31</v>
      </c>
      <c r="T70" s="511">
        <f t="shared" si="26"/>
        <v>31</v>
      </c>
      <c r="U70" s="511" t="str">
        <f t="shared" si="27"/>
        <v>ok</v>
      </c>
    </row>
    <row r="71" spans="1:21">
      <c r="A71" s="503"/>
      <c r="B71" s="503" t="s">
        <v>1128</v>
      </c>
      <c r="C71" s="504">
        <v>353</v>
      </c>
      <c r="D71" s="505">
        <v>1981</v>
      </c>
      <c r="E71" s="506">
        <f>1386229.29-18917.49-17.2</f>
        <v>1367294.6</v>
      </c>
      <c r="F71" s="507">
        <v>2.12E-2</v>
      </c>
      <c r="G71" s="488">
        <f t="shared" si="31"/>
        <v>27.58</v>
      </c>
      <c r="H71" s="508">
        <f t="shared" si="20"/>
        <v>799451.68</v>
      </c>
      <c r="I71" s="507">
        <v>2.06E-2</v>
      </c>
      <c r="J71" s="509">
        <f t="shared" si="19"/>
        <v>3.8400000000000745</v>
      </c>
      <c r="K71" s="508">
        <f t="shared" si="28"/>
        <v>108158.47</v>
      </c>
      <c r="L71" s="507">
        <v>1.9E-2</v>
      </c>
      <c r="M71" s="509">
        <f t="shared" si="17"/>
        <v>0.57999999999992724</v>
      </c>
      <c r="N71" s="508">
        <f t="shared" si="21"/>
        <v>15067.59</v>
      </c>
      <c r="O71" s="508">
        <f t="shared" si="22"/>
        <v>922677.74</v>
      </c>
      <c r="P71" s="510">
        <f t="shared" si="29"/>
        <v>444616.8600000001</v>
      </c>
      <c r="Q71" s="508">
        <f t="shared" si="30"/>
        <v>25978.6</v>
      </c>
      <c r="S71" s="493">
        <f t="shared" si="25"/>
        <v>32</v>
      </c>
      <c r="T71" s="511">
        <f t="shared" si="26"/>
        <v>32</v>
      </c>
      <c r="U71" s="511" t="str">
        <f t="shared" si="27"/>
        <v>ok</v>
      </c>
    </row>
    <row r="72" spans="1:21">
      <c r="A72" s="503"/>
      <c r="B72" s="503" t="s">
        <v>1128</v>
      </c>
      <c r="C72" s="504">
        <v>353</v>
      </c>
      <c r="D72" s="505">
        <v>1982</v>
      </c>
      <c r="E72" s="506">
        <v>107606.74</v>
      </c>
      <c r="F72" s="507">
        <v>2.12E-2</v>
      </c>
      <c r="G72" s="488">
        <f>IF((2008-D72)+0.58&lt;0, 0,(2008-D72)+0.58)</f>
        <v>26.58</v>
      </c>
      <c r="H72" s="508">
        <f>ROUND(E72*G72*F72,2)</f>
        <v>60635.97</v>
      </c>
      <c r="I72" s="507">
        <v>2.06E-2</v>
      </c>
      <c r="J72" s="509">
        <f t="shared" si="19"/>
        <v>3.8400000000000745</v>
      </c>
      <c r="K72" s="508">
        <f t="shared" si="28"/>
        <v>8512.1200000000008</v>
      </c>
      <c r="L72" s="507">
        <v>1.9E-2</v>
      </c>
      <c r="M72" s="509">
        <f t="shared" si="17"/>
        <v>0.57999999999992724</v>
      </c>
      <c r="N72" s="508">
        <f t="shared" si="21"/>
        <v>1185.83</v>
      </c>
      <c r="O72" s="508">
        <f t="shared" si="22"/>
        <v>70333.919999999998</v>
      </c>
      <c r="P72" s="510">
        <f t="shared" si="29"/>
        <v>37272.820000000007</v>
      </c>
      <c r="Q72" s="508">
        <f t="shared" si="30"/>
        <v>2044.53</v>
      </c>
      <c r="S72" s="493">
        <f t="shared" si="25"/>
        <v>31</v>
      </c>
      <c r="T72" s="511">
        <f t="shared" si="26"/>
        <v>31</v>
      </c>
      <c r="U72" s="511" t="str">
        <f t="shared" si="27"/>
        <v>ok</v>
      </c>
    </row>
    <row r="73" spans="1:21">
      <c r="A73" s="503"/>
      <c r="B73" s="503" t="s">
        <v>1128</v>
      </c>
      <c r="C73" s="504">
        <v>353</v>
      </c>
      <c r="D73" s="505">
        <v>2005</v>
      </c>
      <c r="E73" s="506">
        <v>38513.699999999997</v>
      </c>
      <c r="F73" s="507">
        <v>2.12E-2</v>
      </c>
      <c r="G73" s="488">
        <f>IF((2008-D73)+0.58&lt;0, 0,(2008-D73)+0.58)</f>
        <v>3.58</v>
      </c>
      <c r="H73" s="508">
        <f>ROUND(E73*G73*F73,2)</f>
        <v>2923.04</v>
      </c>
      <c r="I73" s="507">
        <v>2.06E-2</v>
      </c>
      <c r="J73" s="509">
        <f t="shared" si="19"/>
        <v>3.8400000000000727</v>
      </c>
      <c r="K73" s="508">
        <f t="shared" si="28"/>
        <v>3046.59</v>
      </c>
      <c r="L73" s="507">
        <v>1.9E-2</v>
      </c>
      <c r="M73" s="509">
        <f t="shared" ref="M73:M79" si="33">$J$87+1-D73-J73-G73</f>
        <v>0.57999999999992724</v>
      </c>
      <c r="N73" s="508">
        <f t="shared" si="21"/>
        <v>424.42</v>
      </c>
      <c r="O73" s="508">
        <f t="shared" si="22"/>
        <v>6394.05</v>
      </c>
      <c r="P73" s="510">
        <f t="shared" si="29"/>
        <v>32119.649999999998</v>
      </c>
      <c r="Q73" s="508">
        <f t="shared" si="30"/>
        <v>731.76</v>
      </c>
      <c r="S73" s="493">
        <f t="shared" si="25"/>
        <v>8</v>
      </c>
      <c r="T73" s="511">
        <f t="shared" si="26"/>
        <v>8</v>
      </c>
      <c r="U73" s="511" t="str">
        <f t="shared" si="27"/>
        <v>ok</v>
      </c>
    </row>
    <row r="74" spans="1:21">
      <c r="A74" s="503"/>
      <c r="B74" s="503" t="s">
        <v>1128</v>
      </c>
      <c r="C74" s="504">
        <v>352</v>
      </c>
      <c r="D74" s="505">
        <v>1977</v>
      </c>
      <c r="E74" s="506">
        <f>228712.7-2725.26-2.46</f>
        <v>225984.98</v>
      </c>
      <c r="F74" s="507">
        <v>1.29E-2</v>
      </c>
      <c r="G74" s="488">
        <f t="shared" si="31"/>
        <v>31.58</v>
      </c>
      <c r="H74" s="508">
        <f t="shared" si="20"/>
        <v>92062.21</v>
      </c>
      <c r="I74" s="507">
        <v>1.6799999999999999E-2</v>
      </c>
      <c r="J74" s="509">
        <f t="shared" si="19"/>
        <v>3.8400000000000745</v>
      </c>
      <c r="K74" s="508">
        <f t="shared" si="28"/>
        <v>14578.74</v>
      </c>
      <c r="L74" s="507">
        <v>1.84E-2</v>
      </c>
      <c r="M74" s="509">
        <f t="shared" si="33"/>
        <v>0.57999999999992724</v>
      </c>
      <c r="N74" s="508">
        <f t="shared" si="21"/>
        <v>2411.71</v>
      </c>
      <c r="O74" s="508">
        <f t="shared" si="22"/>
        <v>109052.66000000002</v>
      </c>
      <c r="P74" s="510">
        <f t="shared" si="29"/>
        <v>116932.31999999999</v>
      </c>
      <c r="Q74" s="508">
        <f t="shared" si="30"/>
        <v>4158.12</v>
      </c>
      <c r="S74" s="493">
        <f t="shared" si="25"/>
        <v>36</v>
      </c>
      <c r="T74" s="511">
        <f t="shared" si="26"/>
        <v>36</v>
      </c>
      <c r="U74" s="511" t="str">
        <f t="shared" si="27"/>
        <v>ok</v>
      </c>
    </row>
    <row r="75" spans="1:21">
      <c r="A75" s="503"/>
      <c r="B75" s="503" t="s">
        <v>1128</v>
      </c>
      <c r="C75" s="504">
        <v>352</v>
      </c>
      <c r="D75" s="505">
        <v>1982</v>
      </c>
      <c r="E75" s="506">
        <v>130830.17</v>
      </c>
      <c r="F75" s="507">
        <v>1.29E-2</v>
      </c>
      <c r="G75" s="488">
        <f t="shared" si="31"/>
        <v>26.58</v>
      </c>
      <c r="H75" s="508">
        <f t="shared" si="20"/>
        <v>44859.31</v>
      </c>
      <c r="I75" s="507">
        <v>1.6799999999999999E-2</v>
      </c>
      <c r="J75" s="509">
        <f t="shared" si="19"/>
        <v>3.8400000000000745</v>
      </c>
      <c r="K75" s="508">
        <f t="shared" si="28"/>
        <v>8440.1200000000008</v>
      </c>
      <c r="L75" s="507">
        <v>1.84E-2</v>
      </c>
      <c r="M75" s="509">
        <f t="shared" si="33"/>
        <v>0.57999999999992724</v>
      </c>
      <c r="N75" s="508">
        <f t="shared" si="21"/>
        <v>1396.22</v>
      </c>
      <c r="O75" s="508">
        <f t="shared" si="22"/>
        <v>54695.65</v>
      </c>
      <c r="P75" s="510">
        <f t="shared" si="29"/>
        <v>76134.51999999999</v>
      </c>
      <c r="Q75" s="508">
        <f t="shared" si="30"/>
        <v>2407.2800000000002</v>
      </c>
      <c r="S75" s="493">
        <f t="shared" si="25"/>
        <v>31</v>
      </c>
      <c r="T75" s="511">
        <f t="shared" si="26"/>
        <v>31</v>
      </c>
      <c r="U75" s="511" t="str">
        <f t="shared" si="27"/>
        <v>ok</v>
      </c>
    </row>
    <row r="76" spans="1:21">
      <c r="A76" s="503"/>
      <c r="B76" s="503" t="s">
        <v>1127</v>
      </c>
      <c r="C76" s="504">
        <v>353</v>
      </c>
      <c r="D76" s="505">
        <v>1985</v>
      </c>
      <c r="E76" s="506">
        <v>518465.7</v>
      </c>
      <c r="F76" s="507">
        <v>2.12E-2</v>
      </c>
      <c r="G76" s="488">
        <f t="shared" si="31"/>
        <v>23.58</v>
      </c>
      <c r="H76" s="508">
        <f t="shared" si="20"/>
        <v>259178.93</v>
      </c>
      <c r="I76" s="507">
        <v>2.06E-2</v>
      </c>
      <c r="J76" s="509">
        <f t="shared" si="19"/>
        <v>3.8400000000000745</v>
      </c>
      <c r="K76" s="508">
        <f t="shared" si="28"/>
        <v>41012.71</v>
      </c>
      <c r="L76" s="507">
        <v>1.9E-2</v>
      </c>
      <c r="M76" s="509">
        <f t="shared" si="33"/>
        <v>0.57999999999992724</v>
      </c>
      <c r="N76" s="508">
        <f t="shared" si="21"/>
        <v>5713.49</v>
      </c>
      <c r="O76" s="508">
        <f t="shared" si="22"/>
        <v>305905.13</v>
      </c>
      <c r="P76" s="510">
        <f t="shared" si="29"/>
        <v>212560.57</v>
      </c>
      <c r="Q76" s="508">
        <f t="shared" si="30"/>
        <v>9850.85</v>
      </c>
      <c r="S76" s="493">
        <f t="shared" si="25"/>
        <v>28</v>
      </c>
      <c r="T76" s="511">
        <f t="shared" si="26"/>
        <v>28</v>
      </c>
      <c r="U76" s="511" t="str">
        <f t="shared" si="27"/>
        <v>ok</v>
      </c>
    </row>
    <row r="77" spans="1:21">
      <c r="A77" s="503"/>
      <c r="B77" s="503" t="s">
        <v>1127</v>
      </c>
      <c r="C77" s="504">
        <v>353</v>
      </c>
      <c r="D77" s="505">
        <v>1986</v>
      </c>
      <c r="E77" s="506">
        <v>4161.2299999999996</v>
      </c>
      <c r="F77" s="507">
        <v>2.12E-2</v>
      </c>
      <c r="G77" s="488">
        <f t="shared" si="31"/>
        <v>22.58</v>
      </c>
      <c r="H77" s="508">
        <f t="shared" si="20"/>
        <v>1991.96</v>
      </c>
      <c r="I77" s="507">
        <v>2.06E-2</v>
      </c>
      <c r="J77" s="509">
        <f t="shared" ref="J77:J79" si="34">IF(G77=0,IF($J$87=D77,$J$87-D77+0.42,($J$87+0.42-D77)-G77),$J$87+0.42-D77)-G77</f>
        <v>3.8400000000000745</v>
      </c>
      <c r="K77" s="508">
        <f t="shared" si="28"/>
        <v>329.17</v>
      </c>
      <c r="L77" s="507">
        <v>1.9E-2</v>
      </c>
      <c r="M77" s="509">
        <f t="shared" si="33"/>
        <v>0.57999999999992724</v>
      </c>
      <c r="N77" s="508">
        <f t="shared" si="21"/>
        <v>45.86</v>
      </c>
      <c r="O77" s="508">
        <f t="shared" si="22"/>
        <v>2366.9900000000002</v>
      </c>
      <c r="P77" s="510">
        <f t="shared" si="29"/>
        <v>1794.2399999999993</v>
      </c>
      <c r="Q77" s="508">
        <f t="shared" si="30"/>
        <v>79.06</v>
      </c>
      <c r="S77" s="493">
        <f t="shared" si="25"/>
        <v>27</v>
      </c>
      <c r="T77" s="511">
        <f t="shared" si="26"/>
        <v>27</v>
      </c>
      <c r="U77" s="511" t="str">
        <f t="shared" si="27"/>
        <v>ok</v>
      </c>
    </row>
    <row r="78" spans="1:21">
      <c r="A78" s="503"/>
      <c r="B78" s="503" t="s">
        <v>1127</v>
      </c>
      <c r="C78" s="504">
        <v>353</v>
      </c>
      <c r="D78" s="505">
        <v>1987</v>
      </c>
      <c r="E78" s="506">
        <v>70.08</v>
      </c>
      <c r="F78" s="507">
        <v>2.12E-2</v>
      </c>
      <c r="G78" s="488">
        <f t="shared" si="31"/>
        <v>21.58</v>
      </c>
      <c r="H78" s="508">
        <f t="shared" si="20"/>
        <v>32.06</v>
      </c>
      <c r="I78" s="507">
        <v>2.06E-2</v>
      </c>
      <c r="J78" s="509">
        <f t="shared" si="34"/>
        <v>3.8400000000000745</v>
      </c>
      <c r="K78" s="508">
        <f t="shared" si="28"/>
        <v>5.54</v>
      </c>
      <c r="L78" s="507">
        <v>1.9E-2</v>
      </c>
      <c r="M78" s="509">
        <f t="shared" si="33"/>
        <v>0.57999999999992724</v>
      </c>
      <c r="N78" s="508">
        <f t="shared" si="21"/>
        <v>0.77</v>
      </c>
      <c r="O78" s="508">
        <f t="shared" si="22"/>
        <v>38.370000000000005</v>
      </c>
      <c r="P78" s="510">
        <f t="shared" si="29"/>
        <v>31.709999999999994</v>
      </c>
      <c r="Q78" s="508">
        <f t="shared" si="30"/>
        <v>1.33</v>
      </c>
      <c r="S78" s="493">
        <f t="shared" si="25"/>
        <v>26</v>
      </c>
      <c r="T78" s="511">
        <f t="shared" si="26"/>
        <v>26</v>
      </c>
      <c r="U78" s="511" t="str">
        <f t="shared" si="27"/>
        <v>ok</v>
      </c>
    </row>
    <row r="79" spans="1:21">
      <c r="A79" s="503"/>
      <c r="B79" s="503" t="s">
        <v>1127</v>
      </c>
      <c r="C79" s="504">
        <v>353</v>
      </c>
      <c r="D79" s="505">
        <v>2011</v>
      </c>
      <c r="E79" s="506">
        <v>22115.47</v>
      </c>
      <c r="F79" s="507">
        <v>2.12E-2</v>
      </c>
      <c r="G79" s="488">
        <f t="shared" si="31"/>
        <v>0</v>
      </c>
      <c r="H79" s="508">
        <f t="shared" si="20"/>
        <v>0</v>
      </c>
      <c r="I79" s="507">
        <v>2.06E-2</v>
      </c>
      <c r="J79" s="509">
        <f t="shared" si="34"/>
        <v>1.4200000000000728</v>
      </c>
      <c r="K79" s="508">
        <f t="shared" si="28"/>
        <v>646.91999999999996</v>
      </c>
      <c r="L79" s="507">
        <v>1.9E-2</v>
      </c>
      <c r="M79" s="509">
        <f t="shared" si="33"/>
        <v>0.57999999999992724</v>
      </c>
      <c r="N79" s="508">
        <f t="shared" si="21"/>
        <v>243.71</v>
      </c>
      <c r="O79" s="508">
        <f t="shared" si="22"/>
        <v>890.63</v>
      </c>
      <c r="P79" s="510">
        <f t="shared" si="29"/>
        <v>21224.84</v>
      </c>
      <c r="Q79" s="508">
        <f t="shared" si="30"/>
        <v>420.19</v>
      </c>
      <c r="S79" s="493">
        <f t="shared" si="25"/>
        <v>2</v>
      </c>
      <c r="T79" s="511">
        <f t="shared" si="26"/>
        <v>2</v>
      </c>
      <c r="U79" s="511" t="str">
        <f t="shared" si="27"/>
        <v>ok</v>
      </c>
    </row>
    <row r="80" spans="1:21">
      <c r="E80" s="105"/>
      <c r="F80" s="513"/>
      <c r="G80" s="514"/>
      <c r="H80" s="105"/>
      <c r="I80" s="513"/>
      <c r="J80" s="515"/>
      <c r="K80" s="105"/>
      <c r="L80" s="516"/>
      <c r="M80" s="516"/>
      <c r="N80" s="105"/>
      <c r="O80" s="105"/>
      <c r="P80" s="105"/>
      <c r="Q80" s="105"/>
    </row>
    <row r="81" spans="1:17">
      <c r="A81" s="493" t="s">
        <v>462</v>
      </c>
      <c r="E81" s="517">
        <f>SUM(E9:E80)</f>
        <v>22535889.699999992</v>
      </c>
      <c r="F81" s="518"/>
      <c r="H81" s="517">
        <f>SUM(H9:H80)</f>
        <v>8782011.3500000034</v>
      </c>
      <c r="I81" s="518"/>
      <c r="J81" s="519"/>
      <c r="K81" s="517">
        <f>SUM(K9:K80)</f>
        <v>1587776.6800000002</v>
      </c>
      <c r="L81" s="520"/>
      <c r="M81" s="520"/>
      <c r="N81" s="517">
        <f>SUM(N9:N80)</f>
        <v>248202.05999999988</v>
      </c>
      <c r="O81" s="517">
        <f>SUM(O9:O80)</f>
        <v>10617990.090000005</v>
      </c>
      <c r="P81" s="517">
        <f>SUM(P9:P80)</f>
        <v>11917899.610000005</v>
      </c>
      <c r="Q81" s="517">
        <f>SUM(Q9:Q80)</f>
        <v>427934.57000000007</v>
      </c>
    </row>
    <row r="82" spans="1:17">
      <c r="B82" s="216"/>
      <c r="E82" s="521"/>
      <c r="F82" s="518"/>
      <c r="H82" s="521"/>
      <c r="I82" s="518"/>
      <c r="J82" s="519"/>
      <c r="K82" s="521"/>
      <c r="L82" s="522"/>
      <c r="M82" s="522"/>
      <c r="N82" s="521"/>
      <c r="O82" s="521"/>
      <c r="P82" s="521"/>
      <c r="Q82" s="523"/>
    </row>
    <row r="83" spans="1:17">
      <c r="B83" s="216"/>
      <c r="E83" s="521"/>
      <c r="F83" s="518"/>
      <c r="H83" s="521"/>
      <c r="I83" s="518"/>
      <c r="J83" s="519"/>
      <c r="K83" s="521"/>
      <c r="L83" s="522"/>
      <c r="M83" s="522"/>
      <c r="N83" s="521"/>
      <c r="O83" s="521"/>
      <c r="P83" s="521"/>
      <c r="Q83" s="523"/>
    </row>
    <row r="84" spans="1:17">
      <c r="B84" s="216"/>
      <c r="E84" s="521"/>
      <c r="F84" s="518"/>
      <c r="H84" s="521"/>
      <c r="I84" s="518"/>
      <c r="J84" s="519"/>
      <c r="K84" s="521"/>
      <c r="L84" s="522"/>
      <c r="M84" s="522"/>
      <c r="N84" s="521"/>
      <c r="O84" s="521"/>
      <c r="P84" s="521"/>
      <c r="Q84" s="523"/>
    </row>
    <row r="85" spans="1:17">
      <c r="B85" s="216"/>
      <c r="E85" s="521"/>
      <c r="J85" s="493">
        <v>2010</v>
      </c>
      <c r="O85" s="105"/>
      <c r="P85" s="105"/>
      <c r="Q85" s="105"/>
    </row>
    <row r="86" spans="1:17">
      <c r="E86" s="521"/>
      <c r="J86" s="493">
        <v>2011</v>
      </c>
    </row>
    <row r="87" spans="1:17">
      <c r="E87" s="521"/>
      <c r="J87" s="493">
        <v>2012</v>
      </c>
    </row>
    <row r="88" spans="1:17">
      <c r="E88" s="521"/>
    </row>
    <row r="89" spans="1:17">
      <c r="E89" s="521"/>
    </row>
    <row r="90" spans="1:17">
      <c r="E90" s="521"/>
    </row>
    <row r="91" spans="1:17">
      <c r="E91" s="521"/>
    </row>
    <row r="92" spans="1:17">
      <c r="E92" s="521"/>
    </row>
    <row r="93" spans="1:17">
      <c r="E93" s="521"/>
    </row>
    <row r="94" spans="1:17">
      <c r="E94" s="521"/>
    </row>
    <row r="95" spans="1:17">
      <c r="E95" s="521"/>
    </row>
    <row r="96" spans="1:17">
      <c r="E96" s="521"/>
      <c r="F96" s="522"/>
    </row>
    <row r="97" spans="5:5">
      <c r="E97" s="521"/>
    </row>
    <row r="98" spans="5:5">
      <c r="E98" s="521"/>
    </row>
  </sheetData>
  <sheetProtection formatCells="0"/>
  <sortState ref="A9:N84">
    <sortCondition ref="A9:A84"/>
  </sortState>
  <mergeCells count="8">
    <mergeCell ref="F7:H7"/>
    <mergeCell ref="I7:K7"/>
    <mergeCell ref="A1:Q1"/>
    <mergeCell ref="A2:Q2"/>
    <mergeCell ref="A3:Q3"/>
    <mergeCell ref="A4:Q4"/>
    <mergeCell ref="A5:Q5"/>
    <mergeCell ref="L7:N7"/>
  </mergeCells>
  <phoneticPr fontId="0" type="noConversion"/>
  <printOptions horizontalCentered="1"/>
  <pageMargins left="0.75" right="0.75" top="1" bottom="1" header="0.5" footer="0.5"/>
  <pageSetup paperSize="17" scale="62" orientation="landscape" r:id="rId1"/>
  <headerFooter alignWithMargins="0">
    <oddHeader>&amp;CIDAHO POWER COMPANY
Transmission Cost of Service Rate Development
12 Months Ended 12/31/2012</oddHeader>
    <oddFooter>&amp;L&amp;F, &amp;A</oddFooter>
  </headerFooter>
  <ignoredErrors>
    <ignoredError sqref="I60:I66 C59:C65 E81 H81 K81 N81:Q81 E59:E68 M74:Q77 G74:H77 J74:K77 G9:H54 M9:Q54 J9:K54 E71:E74 G78:H79 J78:K79 M78:Q79 E9:E10 E54 G57:H73 J57:K73 M57:Q73 G55:H56 J55:K56 E55 M55:Q56" unlockedFormula="1"/>
    <ignoredError sqref="I59" formula="1" unlockedFormula="1"/>
  </ignoredErrors>
</worksheet>
</file>

<file path=xl/worksheets/sheet39.xml><?xml version="1.0" encoding="utf-8"?>
<worksheet xmlns="http://schemas.openxmlformats.org/spreadsheetml/2006/main" xmlns:r="http://schemas.openxmlformats.org/officeDocument/2006/relationships">
  <sheetPr codeName="Sheet40">
    <pageSetUpPr fitToPage="1"/>
  </sheetPr>
  <dimension ref="A2:S19"/>
  <sheetViews>
    <sheetView zoomScaleNormal="100" zoomScaleSheetLayoutView="100" zoomScalePageLayoutView="75" workbookViewId="0">
      <selection activeCell="A25" sqref="A25"/>
    </sheetView>
  </sheetViews>
  <sheetFormatPr defaultColWidth="11.5703125" defaultRowHeight="12.75"/>
  <cols>
    <col min="1" max="1" width="30.140625" style="127" customWidth="1"/>
    <col min="2" max="2" width="10.28515625" style="129" customWidth="1"/>
    <col min="3" max="3" width="8.7109375" style="130" customWidth="1"/>
    <col min="4" max="4" width="13.28515625" style="127" customWidth="1"/>
    <col min="5" max="5" width="15.42578125" style="127" customWidth="1"/>
    <col min="6" max="6" width="13.28515625" style="127" customWidth="1"/>
    <col min="7" max="8" width="16.140625" style="127" customWidth="1"/>
    <col min="9" max="9" width="13.28515625" style="127" customWidth="1"/>
    <col min="10" max="14" width="17.28515625" style="127" customWidth="1"/>
    <col min="15" max="15" width="13.28515625" style="127" customWidth="1"/>
    <col min="16" max="16" width="13.28515625" style="128" customWidth="1"/>
    <col min="17" max="17" width="7.5703125" style="127" customWidth="1"/>
    <col min="18" max="20" width="9.140625" style="127" customWidth="1"/>
    <col min="21" max="43" width="28.28515625" style="127" customWidth="1"/>
    <col min="44" max="258" width="9.140625" style="127" customWidth="1"/>
    <col min="259" max="16384" width="11.5703125" style="127"/>
  </cols>
  <sheetData>
    <row r="2" spans="1:19">
      <c r="A2" s="696" t="s">
        <v>9</v>
      </c>
      <c r="B2" s="696"/>
      <c r="C2" s="696"/>
      <c r="D2" s="696"/>
      <c r="E2" s="696"/>
      <c r="F2" s="696"/>
      <c r="G2" s="696"/>
      <c r="H2" s="696"/>
      <c r="I2" s="696"/>
      <c r="J2" s="696"/>
      <c r="K2" s="696"/>
      <c r="L2" s="696"/>
      <c r="M2" s="696"/>
      <c r="N2" s="696"/>
      <c r="O2" s="696"/>
      <c r="P2" s="696"/>
    </row>
    <row r="3" spans="1:19">
      <c r="A3" s="673" t="s">
        <v>595</v>
      </c>
      <c r="B3" s="673"/>
      <c r="C3" s="673"/>
      <c r="D3" s="673"/>
      <c r="E3" s="673"/>
      <c r="F3" s="673"/>
      <c r="G3" s="673"/>
      <c r="H3" s="673"/>
      <c r="I3" s="673"/>
      <c r="J3" s="673"/>
      <c r="K3" s="673"/>
      <c r="L3" s="673"/>
      <c r="M3" s="673"/>
      <c r="N3" s="673"/>
      <c r="O3" s="673"/>
      <c r="P3" s="673"/>
    </row>
    <row r="4" spans="1:19">
      <c r="A4" s="673" t="s">
        <v>596</v>
      </c>
      <c r="B4" s="673"/>
      <c r="C4" s="673"/>
      <c r="D4" s="673"/>
      <c r="E4" s="673"/>
      <c r="F4" s="673"/>
      <c r="G4" s="673"/>
      <c r="H4" s="673"/>
      <c r="I4" s="673"/>
      <c r="J4" s="673"/>
      <c r="K4" s="673"/>
      <c r="L4" s="673"/>
      <c r="M4" s="673"/>
      <c r="N4" s="673"/>
      <c r="O4" s="673"/>
      <c r="P4" s="673"/>
    </row>
    <row r="5" spans="1:19">
      <c r="A5" s="673" t="s">
        <v>210</v>
      </c>
      <c r="B5" s="673"/>
      <c r="C5" s="673"/>
      <c r="D5" s="673"/>
      <c r="E5" s="673"/>
      <c r="F5" s="673"/>
      <c r="G5" s="673"/>
      <c r="H5" s="673"/>
      <c r="I5" s="673"/>
      <c r="J5" s="673"/>
      <c r="K5" s="673"/>
      <c r="L5" s="673"/>
      <c r="M5" s="673"/>
      <c r="N5" s="673"/>
      <c r="O5" s="673"/>
      <c r="P5" s="673"/>
    </row>
    <row r="6" spans="1:19" s="157" customFormat="1">
      <c r="A6" s="696" t="str">
        <f>'Schedule 1 Workpaper'!A3:F3</f>
        <v>12 Months Ended 12/31/2012</v>
      </c>
      <c r="B6" s="696"/>
      <c r="C6" s="696"/>
      <c r="D6" s="696"/>
      <c r="E6" s="696"/>
      <c r="F6" s="696"/>
      <c r="G6" s="696"/>
      <c r="H6" s="696"/>
      <c r="I6" s="696"/>
      <c r="J6" s="696"/>
      <c r="K6" s="696"/>
      <c r="L6" s="696"/>
      <c r="M6" s="696"/>
      <c r="N6" s="696"/>
      <c r="O6" s="696"/>
      <c r="P6" s="696"/>
      <c r="Q6" s="127"/>
    </row>
    <row r="7" spans="1:19">
      <c r="A7" s="145"/>
      <c r="B7" s="166"/>
      <c r="C7" s="166"/>
      <c r="D7" s="166"/>
      <c r="E7" s="166"/>
      <c r="F7" s="166"/>
      <c r="G7" s="166"/>
      <c r="H7" s="166"/>
      <c r="I7" s="166"/>
      <c r="J7" s="166"/>
      <c r="K7" s="456"/>
      <c r="L7" s="456"/>
      <c r="M7" s="456"/>
      <c r="N7" s="166"/>
      <c r="O7" s="166"/>
    </row>
    <row r="8" spans="1:19">
      <c r="E8" s="693" t="s">
        <v>1155</v>
      </c>
      <c r="F8" s="694"/>
      <c r="G8" s="695"/>
      <c r="H8" s="693" t="s">
        <v>1156</v>
      </c>
      <c r="I8" s="694"/>
      <c r="J8" s="695"/>
      <c r="K8" s="693" t="s">
        <v>1157</v>
      </c>
      <c r="L8" s="694"/>
      <c r="M8" s="695"/>
      <c r="N8" s="151"/>
    </row>
    <row r="9" spans="1:19" ht="39" thickBot="1">
      <c r="A9" s="131" t="s">
        <v>41</v>
      </c>
      <c r="B9" s="131" t="s">
        <v>42</v>
      </c>
      <c r="C9" s="131" t="s">
        <v>161</v>
      </c>
      <c r="D9" s="131" t="s">
        <v>10</v>
      </c>
      <c r="E9" s="131" t="s">
        <v>849</v>
      </c>
      <c r="F9" s="131" t="s">
        <v>162</v>
      </c>
      <c r="G9" s="152" t="s">
        <v>163</v>
      </c>
      <c r="H9" s="131" t="s">
        <v>849</v>
      </c>
      <c r="I9" s="174" t="s">
        <v>162</v>
      </c>
      <c r="J9" s="152" t="s">
        <v>163</v>
      </c>
      <c r="K9" s="131" t="s">
        <v>849</v>
      </c>
      <c r="L9" s="174" t="s">
        <v>162</v>
      </c>
      <c r="M9" s="152" t="s">
        <v>163</v>
      </c>
      <c r="N9" s="152" t="s">
        <v>850</v>
      </c>
      <c r="O9" s="152" t="s">
        <v>851</v>
      </c>
      <c r="P9" s="152" t="s">
        <v>852</v>
      </c>
    </row>
    <row r="10" spans="1:19">
      <c r="A10" s="49" t="s">
        <v>597</v>
      </c>
      <c r="B10" s="50">
        <v>352</v>
      </c>
      <c r="C10" s="51">
        <v>2005</v>
      </c>
      <c r="D10" s="44">
        <v>59325</v>
      </c>
      <c r="E10" s="132">
        <v>1.29E-2</v>
      </c>
      <c r="F10" s="153">
        <f t="shared" ref="F10:F15" si="0">(2008-C10)+0.58</f>
        <v>3.58</v>
      </c>
      <c r="G10" s="44">
        <f t="shared" ref="G10:G15" si="1">ROUND(D10*F10*E10,2)</f>
        <v>2739.75</v>
      </c>
      <c r="H10" s="132">
        <v>1.6799999999999999E-2</v>
      </c>
      <c r="I10" s="175">
        <f t="shared" ref="I10:I15" si="2">IF(C10&gt;2008.9, 0.42, 1.42)+2+0.42</f>
        <v>3.84</v>
      </c>
      <c r="J10" s="44">
        <f t="shared" ref="J10:J17" si="3">ROUND(D10*I10*H10,2)</f>
        <v>3827.17</v>
      </c>
      <c r="K10" s="458">
        <v>1.84E-2</v>
      </c>
      <c r="L10" s="459">
        <f>(2012+1-C10)-I10-F10</f>
        <v>0.58000000000000007</v>
      </c>
      <c r="M10" s="44">
        <f>ROUND(D10*L10*K10,2)</f>
        <v>633.12</v>
      </c>
      <c r="N10" s="44">
        <f>SUM(G10,J10,M10)</f>
        <v>7200.04</v>
      </c>
      <c r="O10" s="44">
        <f t="shared" ref="O10:O15" si="4">D10-N10</f>
        <v>52124.959999999999</v>
      </c>
      <c r="P10" s="44">
        <f>ROUND((D10 * K10),2)</f>
        <v>1091.58</v>
      </c>
      <c r="R10" s="127">
        <f>2012+1-C10</f>
        <v>8</v>
      </c>
      <c r="S10" s="460">
        <f>F10+I10+L10</f>
        <v>8</v>
      </c>
    </row>
    <row r="11" spans="1:19">
      <c r="A11" s="49" t="s">
        <v>597</v>
      </c>
      <c r="B11" s="50">
        <v>353</v>
      </c>
      <c r="C11" s="51">
        <v>2005</v>
      </c>
      <c r="D11" s="44">
        <v>49372</v>
      </c>
      <c r="E11" s="132">
        <v>2.12E-2</v>
      </c>
      <c r="F11" s="153">
        <f t="shared" si="0"/>
        <v>3.58</v>
      </c>
      <c r="G11" s="44">
        <f t="shared" si="1"/>
        <v>3747.14</v>
      </c>
      <c r="H11" s="132">
        <v>2.06E-2</v>
      </c>
      <c r="I11" s="175">
        <f t="shared" si="2"/>
        <v>3.84</v>
      </c>
      <c r="J11" s="44">
        <f t="shared" si="3"/>
        <v>3905.52</v>
      </c>
      <c r="K11" s="458">
        <v>1.9E-2</v>
      </c>
      <c r="L11" s="459">
        <f t="shared" ref="L11:L17" si="5">(2012+1-C11)-I11-F11</f>
        <v>0.58000000000000007</v>
      </c>
      <c r="M11" s="44">
        <f>ROUND(D11*L11*K11,2)</f>
        <v>544.08000000000004</v>
      </c>
      <c r="N11" s="44">
        <f t="shared" ref="N11:N15" si="6">SUM(G11,J11,M11)</f>
        <v>8196.74</v>
      </c>
      <c r="O11" s="44">
        <f t="shared" si="4"/>
        <v>41175.26</v>
      </c>
      <c r="P11" s="44">
        <f t="shared" ref="P11:P15" si="7">ROUND((D11 * K11),2)</f>
        <v>938.07</v>
      </c>
      <c r="R11" s="127">
        <f t="shared" ref="R11:R17" si="8">2012+1-C11</f>
        <v>8</v>
      </c>
      <c r="S11" s="460">
        <f t="shared" ref="S11:S17" si="9">F11+I11+L11</f>
        <v>8</v>
      </c>
    </row>
    <row r="12" spans="1:19">
      <c r="A12" s="49" t="s">
        <v>170</v>
      </c>
      <c r="B12" s="50">
        <v>352</v>
      </c>
      <c r="C12" s="51">
        <v>2001</v>
      </c>
      <c r="D12" s="44">
        <v>89955.44</v>
      </c>
      <c r="E12" s="132">
        <v>1.29E-2</v>
      </c>
      <c r="F12" s="153">
        <f t="shared" si="0"/>
        <v>7.58</v>
      </c>
      <c r="G12" s="44">
        <f t="shared" si="1"/>
        <v>8796.02</v>
      </c>
      <c r="H12" s="132">
        <v>1.6799999999999999E-2</v>
      </c>
      <c r="I12" s="175">
        <f t="shared" si="2"/>
        <v>3.84</v>
      </c>
      <c r="J12" s="44">
        <f t="shared" si="3"/>
        <v>5803.21</v>
      </c>
      <c r="K12" s="458">
        <v>1.84E-2</v>
      </c>
      <c r="L12" s="459">
        <f t="shared" si="5"/>
        <v>0.58000000000000007</v>
      </c>
      <c r="M12" s="44">
        <f t="shared" ref="M12:M17" si="10">ROUND(D12*L12*K12,2)</f>
        <v>960</v>
      </c>
      <c r="N12" s="44">
        <f t="shared" si="6"/>
        <v>15559.23</v>
      </c>
      <c r="O12" s="44">
        <f t="shared" si="4"/>
        <v>74396.210000000006</v>
      </c>
      <c r="P12" s="44">
        <f t="shared" si="7"/>
        <v>1655.18</v>
      </c>
      <c r="R12" s="127">
        <f t="shared" si="8"/>
        <v>12</v>
      </c>
      <c r="S12" s="460">
        <f t="shared" si="9"/>
        <v>12</v>
      </c>
    </row>
    <row r="13" spans="1:19">
      <c r="A13" s="49" t="s">
        <v>170</v>
      </c>
      <c r="B13" s="50">
        <v>353</v>
      </c>
      <c r="C13" s="51">
        <v>2001</v>
      </c>
      <c r="D13" s="44">
        <v>433103.7</v>
      </c>
      <c r="E13" s="132">
        <v>2.12E-2</v>
      </c>
      <c r="F13" s="153">
        <f t="shared" si="0"/>
        <v>7.58</v>
      </c>
      <c r="G13" s="44">
        <f t="shared" si="1"/>
        <v>69598.03</v>
      </c>
      <c r="H13" s="132">
        <v>2.06E-2</v>
      </c>
      <c r="I13" s="175">
        <f t="shared" si="2"/>
        <v>3.84</v>
      </c>
      <c r="J13" s="44">
        <f t="shared" si="3"/>
        <v>34260.239999999998</v>
      </c>
      <c r="K13" s="132">
        <v>1.9E-2</v>
      </c>
      <c r="L13" s="459">
        <f t="shared" si="5"/>
        <v>0.58000000000000007</v>
      </c>
      <c r="M13" s="44">
        <f t="shared" si="10"/>
        <v>4772.8</v>
      </c>
      <c r="N13" s="44">
        <f t="shared" si="6"/>
        <v>108631.06999999999</v>
      </c>
      <c r="O13" s="44">
        <f t="shared" si="4"/>
        <v>324472.63</v>
      </c>
      <c r="P13" s="44">
        <f t="shared" si="7"/>
        <v>8228.9699999999993</v>
      </c>
      <c r="R13" s="127">
        <f t="shared" si="8"/>
        <v>12</v>
      </c>
      <c r="S13" s="460">
        <f t="shared" si="9"/>
        <v>12</v>
      </c>
    </row>
    <row r="14" spans="1:19">
      <c r="A14" s="49" t="s">
        <v>170</v>
      </c>
      <c r="B14" s="50">
        <v>352</v>
      </c>
      <c r="C14" s="164">
        <v>2008</v>
      </c>
      <c r="D14" s="44">
        <v>63308</v>
      </c>
      <c r="E14" s="132">
        <v>1.29E-2</v>
      </c>
      <c r="F14" s="153">
        <f t="shared" si="0"/>
        <v>0.57999999999999996</v>
      </c>
      <c r="G14" s="44">
        <f t="shared" si="1"/>
        <v>473.67</v>
      </c>
      <c r="H14" s="132">
        <v>1.6799999999999999E-2</v>
      </c>
      <c r="I14" s="175">
        <f t="shared" si="2"/>
        <v>3.84</v>
      </c>
      <c r="J14" s="44">
        <f t="shared" si="3"/>
        <v>4084.13</v>
      </c>
      <c r="K14" s="458">
        <v>1.84E-2</v>
      </c>
      <c r="L14" s="459">
        <f t="shared" si="5"/>
        <v>0.58000000000000018</v>
      </c>
      <c r="M14" s="44">
        <f t="shared" si="10"/>
        <v>675.62</v>
      </c>
      <c r="N14" s="44">
        <f t="shared" si="6"/>
        <v>5233.42</v>
      </c>
      <c r="O14" s="44">
        <f t="shared" si="4"/>
        <v>58074.58</v>
      </c>
      <c r="P14" s="44">
        <f t="shared" si="7"/>
        <v>1164.8699999999999</v>
      </c>
      <c r="R14" s="127">
        <f t="shared" si="8"/>
        <v>5</v>
      </c>
      <c r="S14" s="460">
        <f t="shared" si="9"/>
        <v>5</v>
      </c>
    </row>
    <row r="15" spans="1:19">
      <c r="A15" s="49" t="s">
        <v>170</v>
      </c>
      <c r="B15" s="50">
        <v>353</v>
      </c>
      <c r="C15" s="164">
        <v>2008</v>
      </c>
      <c r="D15" s="26">
        <v>126618</v>
      </c>
      <c r="E15" s="132">
        <v>2.12E-2</v>
      </c>
      <c r="F15" s="153">
        <f t="shared" si="0"/>
        <v>0.57999999999999996</v>
      </c>
      <c r="G15" s="44">
        <f t="shared" si="1"/>
        <v>1556.89</v>
      </c>
      <c r="H15" s="132">
        <v>2.06E-2</v>
      </c>
      <c r="I15" s="175">
        <f t="shared" si="2"/>
        <v>3.84</v>
      </c>
      <c r="J15" s="44">
        <f t="shared" si="3"/>
        <v>10015.99</v>
      </c>
      <c r="K15" s="458">
        <v>1.9E-2</v>
      </c>
      <c r="L15" s="459">
        <f t="shared" si="5"/>
        <v>0.58000000000000018</v>
      </c>
      <c r="M15" s="44">
        <f t="shared" si="10"/>
        <v>1395.33</v>
      </c>
      <c r="N15" s="44">
        <f t="shared" si="6"/>
        <v>12968.21</v>
      </c>
      <c r="O15" s="44">
        <f t="shared" si="4"/>
        <v>113649.79000000001</v>
      </c>
      <c r="P15" s="44">
        <f t="shared" si="7"/>
        <v>2405.7399999999998</v>
      </c>
      <c r="R15" s="127">
        <f t="shared" si="8"/>
        <v>5</v>
      </c>
      <c r="S15" s="460">
        <f t="shared" si="9"/>
        <v>5</v>
      </c>
    </row>
    <row r="16" spans="1:19" ht="15">
      <c r="A16" s="49" t="s">
        <v>1198</v>
      </c>
      <c r="B16" s="50">
        <v>352</v>
      </c>
      <c r="C16" s="486">
        <v>2012</v>
      </c>
      <c r="D16" s="26">
        <v>150491.68</v>
      </c>
      <c r="E16" s="132"/>
      <c r="F16" s="153">
        <v>0</v>
      </c>
      <c r="G16" s="154"/>
      <c r="H16" s="132">
        <v>1.6799999999999999E-2</v>
      </c>
      <c r="I16" s="175">
        <f>0.42</f>
        <v>0.42</v>
      </c>
      <c r="J16" s="44">
        <f t="shared" si="3"/>
        <v>1061.8699999999999</v>
      </c>
      <c r="K16" s="458">
        <v>1.84E-2</v>
      </c>
      <c r="L16" s="459">
        <f t="shared" si="5"/>
        <v>0.58000000000000007</v>
      </c>
      <c r="M16" s="44">
        <f t="shared" si="10"/>
        <v>1606.05</v>
      </c>
      <c r="N16" s="44">
        <f t="shared" ref="N16:N17" si="11">SUM(G16,J16,M16)</f>
        <v>2667.92</v>
      </c>
      <c r="O16" s="44">
        <f t="shared" ref="O16:O17" si="12">D16-N16</f>
        <v>147823.75999999998</v>
      </c>
      <c r="P16" s="44">
        <f t="shared" ref="P16:P17" si="13">ROUND((D16 * K16),2)</f>
        <v>2769.05</v>
      </c>
      <c r="R16" s="127">
        <f t="shared" si="8"/>
        <v>1</v>
      </c>
      <c r="S16" s="460">
        <f t="shared" si="9"/>
        <v>1</v>
      </c>
    </row>
    <row r="17" spans="1:19" ht="15">
      <c r="A17" s="49" t="s">
        <v>1198</v>
      </c>
      <c r="B17" s="50">
        <v>353</v>
      </c>
      <c r="C17" s="486">
        <v>2012</v>
      </c>
      <c r="D17" s="234">
        <v>68973.52</v>
      </c>
      <c r="E17" s="132"/>
      <c r="F17" s="153">
        <v>0</v>
      </c>
      <c r="G17" s="487"/>
      <c r="H17" s="132">
        <v>2.06E-2</v>
      </c>
      <c r="I17" s="175">
        <f>0.42</f>
        <v>0.42</v>
      </c>
      <c r="J17" s="234">
        <f t="shared" si="3"/>
        <v>596.76</v>
      </c>
      <c r="K17" s="458">
        <v>1.9E-2</v>
      </c>
      <c r="L17" s="459">
        <f t="shared" si="5"/>
        <v>0.58000000000000007</v>
      </c>
      <c r="M17" s="234">
        <f t="shared" si="10"/>
        <v>760.09</v>
      </c>
      <c r="N17" s="234">
        <f t="shared" si="11"/>
        <v>1356.85</v>
      </c>
      <c r="O17" s="234">
        <f t="shared" si="12"/>
        <v>67616.67</v>
      </c>
      <c r="P17" s="234">
        <f t="shared" si="13"/>
        <v>1310.5</v>
      </c>
      <c r="R17" s="127">
        <f t="shared" si="8"/>
        <v>1</v>
      </c>
      <c r="S17" s="460">
        <f t="shared" si="9"/>
        <v>1</v>
      </c>
    </row>
    <row r="18" spans="1:19">
      <c r="D18" s="44"/>
      <c r="E18" s="132"/>
      <c r="F18" s="134"/>
      <c r="G18" s="44"/>
      <c r="H18" s="132"/>
      <c r="I18" s="133"/>
      <c r="J18" s="44"/>
      <c r="K18" s="44"/>
      <c r="L18" s="44"/>
      <c r="M18" s="44"/>
      <c r="N18" s="44"/>
      <c r="O18" s="44"/>
      <c r="P18" s="44"/>
    </row>
    <row r="19" spans="1:19">
      <c r="A19" s="127" t="s">
        <v>561</v>
      </c>
      <c r="D19" s="44">
        <f>SUM(D10:D18)</f>
        <v>1041147.3400000001</v>
      </c>
      <c r="E19" s="135"/>
      <c r="G19" s="44">
        <f>SUM(G10:G18)</f>
        <v>86911.5</v>
      </c>
      <c r="H19" s="135"/>
      <c r="I19" s="135"/>
      <c r="J19" s="44">
        <f>SUM(J10:J18)</f>
        <v>63554.89</v>
      </c>
      <c r="K19" s="44"/>
      <c r="L19" s="44"/>
      <c r="M19" s="44">
        <f>SUM(M10:M18)</f>
        <v>11347.09</v>
      </c>
      <c r="N19" s="44">
        <f>SUM(N10:N18)</f>
        <v>161813.48000000001</v>
      </c>
      <c r="O19" s="44">
        <f>SUM(O10:O18)</f>
        <v>879333.8600000001</v>
      </c>
      <c r="P19" s="44">
        <f>SUM(P10:P18)</f>
        <v>19563.96</v>
      </c>
    </row>
  </sheetData>
  <mergeCells count="8">
    <mergeCell ref="E8:G8"/>
    <mergeCell ref="H8:J8"/>
    <mergeCell ref="A2:P2"/>
    <mergeCell ref="A3:P3"/>
    <mergeCell ref="A4:P4"/>
    <mergeCell ref="A5:P5"/>
    <mergeCell ref="A6:P6"/>
    <mergeCell ref="K8:M8"/>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12/31/2012</oddHeader>
    <oddFooter>&amp;L&amp;F, &amp;A</oddFooter>
  </headerFooter>
</worksheet>
</file>

<file path=xl/worksheets/sheet4.xml><?xml version="1.0" encoding="utf-8"?>
<worksheet xmlns="http://schemas.openxmlformats.org/spreadsheetml/2006/main" xmlns:r="http://schemas.openxmlformats.org/officeDocument/2006/relationships">
  <sheetPr codeName="Sheet4"/>
  <dimension ref="A2:H26"/>
  <sheetViews>
    <sheetView zoomScaleNormal="100" zoomScaleSheetLayoutView="100" workbookViewId="0">
      <selection activeCell="C15" sqref="C15"/>
    </sheetView>
  </sheetViews>
  <sheetFormatPr defaultRowHeight="12.75"/>
  <cols>
    <col min="1" max="1" width="32.42578125" style="1" customWidth="1"/>
    <col min="2" max="2" width="1.28515625" style="1" customWidth="1"/>
    <col min="3" max="3" width="15.42578125" style="78" bestFit="1" customWidth="1"/>
    <col min="4" max="4" width="1.7109375" style="1" customWidth="1"/>
    <col min="5" max="5" width="19.5703125" style="78" customWidth="1"/>
    <col min="6" max="6" width="1.140625" style="1" customWidth="1"/>
    <col min="7" max="7" width="10.85546875" style="1" bestFit="1" customWidth="1"/>
    <col min="8" max="8" width="9.42578125" style="78" bestFit="1" customWidth="1"/>
    <col min="9" max="16384" width="9.140625" style="1"/>
  </cols>
  <sheetData>
    <row r="2" spans="1:8">
      <c r="A2" s="660"/>
      <c r="B2" s="660"/>
      <c r="C2" s="660"/>
      <c r="D2" s="660"/>
      <c r="E2" s="660"/>
      <c r="F2" s="660"/>
      <c r="G2" s="660"/>
      <c r="H2" s="660"/>
    </row>
    <row r="3" spans="1:8">
      <c r="A3" s="659" t="s">
        <v>747</v>
      </c>
      <c r="B3" s="659"/>
      <c r="C3" s="659"/>
      <c r="D3" s="659"/>
      <c r="E3" s="659"/>
      <c r="F3" s="659"/>
      <c r="G3" s="659"/>
      <c r="H3" s="659"/>
    </row>
    <row r="4" spans="1:8">
      <c r="A4" s="660"/>
      <c r="B4" s="660"/>
      <c r="C4" s="660"/>
      <c r="D4" s="660"/>
      <c r="E4" s="660"/>
      <c r="F4" s="660"/>
      <c r="G4" s="660"/>
      <c r="H4" s="660"/>
    </row>
    <row r="5" spans="1:8">
      <c r="A5" s="659"/>
      <c r="B5" s="659"/>
      <c r="C5" s="659"/>
      <c r="D5" s="659"/>
      <c r="E5" s="659"/>
      <c r="F5" s="659"/>
      <c r="G5" s="659"/>
      <c r="H5" s="659"/>
    </row>
    <row r="10" spans="1:8">
      <c r="H10" s="78" t="s">
        <v>748</v>
      </c>
    </row>
    <row r="11" spans="1:8" s="78" customFormat="1">
      <c r="C11" s="78" t="s">
        <v>543</v>
      </c>
      <c r="E11" s="78" t="s">
        <v>150</v>
      </c>
      <c r="G11" s="78" t="s">
        <v>749</v>
      </c>
      <c r="H11" s="78" t="s">
        <v>750</v>
      </c>
    </row>
    <row r="12" spans="1:8" s="78" customFormat="1">
      <c r="A12" s="59" t="s">
        <v>751</v>
      </c>
      <c r="C12" s="59" t="s">
        <v>752</v>
      </c>
      <c r="E12" s="59" t="s">
        <v>753</v>
      </c>
      <c r="G12" s="59" t="s">
        <v>762</v>
      </c>
      <c r="H12" s="59" t="s">
        <v>754</v>
      </c>
    </row>
    <row r="15" spans="1:8" s="63" customFormat="1">
      <c r="A15" s="56">
        <f>'Rate Calculation'!E47</f>
        <v>136131194.88008001</v>
      </c>
      <c r="B15" s="56"/>
      <c r="C15" s="56">
        <f>'Schedule 4'!E23</f>
        <v>17890979.185288437</v>
      </c>
      <c r="D15" s="56"/>
      <c r="E15" s="56">
        <f>A15-C15</f>
        <v>118240215.69479159</v>
      </c>
      <c r="F15" s="71"/>
      <c r="G15" s="62">
        <f>'Rate Calculation'!E53</f>
        <v>5186.3333333333339</v>
      </c>
      <c r="H15" s="63">
        <f>ROUND(E15/G15/1000,2)</f>
        <v>22.8</v>
      </c>
    </row>
    <row r="18" spans="3:8" ht="12" customHeight="1"/>
    <row r="21" spans="3:8">
      <c r="C21" s="55" t="s">
        <v>310</v>
      </c>
      <c r="G21" s="64"/>
      <c r="H21" s="7">
        <f>ROUND(H15/12,4)</f>
        <v>1.9</v>
      </c>
    </row>
    <row r="22" spans="3:8">
      <c r="C22" s="55" t="s">
        <v>311</v>
      </c>
      <c r="G22" s="78"/>
      <c r="H22" s="7">
        <f>ROUND(H15/52,4)</f>
        <v>0.4385</v>
      </c>
    </row>
    <row r="23" spans="3:8">
      <c r="C23" s="55" t="s">
        <v>312</v>
      </c>
      <c r="G23" s="78"/>
      <c r="H23" s="7">
        <f>ROUND(H22/6,4)</f>
        <v>7.3099999999999998E-2</v>
      </c>
    </row>
    <row r="24" spans="3:8">
      <c r="C24" s="55" t="s">
        <v>313</v>
      </c>
      <c r="G24" s="64"/>
      <c r="H24" s="7">
        <f>ROUND(H22/7,4)</f>
        <v>6.2600000000000003E-2</v>
      </c>
    </row>
    <row r="25" spans="3:8">
      <c r="C25" s="55" t="s">
        <v>314</v>
      </c>
      <c r="G25" s="78"/>
      <c r="H25" s="8">
        <f>ROUND(H15*1000/4896,2)</f>
        <v>4.66</v>
      </c>
    </row>
    <row r="26" spans="3:8">
      <c r="C26" s="55" t="s">
        <v>315</v>
      </c>
      <c r="G26" s="78"/>
      <c r="H26" s="8">
        <f>ROUND(H15*1000/8760,2)</f>
        <v>2.6</v>
      </c>
    </row>
  </sheetData>
  <mergeCells count="4">
    <mergeCell ref="A2:H2"/>
    <mergeCell ref="A3:H3"/>
    <mergeCell ref="A4:H4"/>
    <mergeCell ref="A5:H5"/>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5.xml><?xml version="1.0" encoding="utf-8"?>
<worksheet xmlns="http://schemas.openxmlformats.org/spreadsheetml/2006/main" xmlns:r="http://schemas.openxmlformats.org/officeDocument/2006/relationships">
  <sheetPr codeName="Sheet5"/>
  <dimension ref="A2:K44"/>
  <sheetViews>
    <sheetView zoomScaleNormal="100" zoomScaleSheetLayoutView="100" workbookViewId="0"/>
  </sheetViews>
  <sheetFormatPr defaultRowHeight="12.75"/>
  <cols>
    <col min="1" max="1" width="6.7109375" style="1" customWidth="1"/>
    <col min="2" max="2" width="2.140625" style="1" customWidth="1"/>
    <col min="3" max="3" width="10.42578125" style="1" bestFit="1" customWidth="1"/>
    <col min="4" max="4" width="11.28515625" style="1" customWidth="1"/>
    <col min="5" max="5" width="10.7109375" style="1" bestFit="1" customWidth="1"/>
    <col min="6" max="6" width="3.85546875" style="1" customWidth="1"/>
    <col min="7" max="7" width="13.28515625" style="1" bestFit="1" customWidth="1"/>
    <col min="8" max="8" width="2.140625" style="1" customWidth="1"/>
    <col min="9" max="9" width="26.85546875" style="78" bestFit="1" customWidth="1"/>
    <col min="10" max="10" width="2.140625" style="1" customWidth="1"/>
    <col min="11" max="11" width="22.7109375" style="78" customWidth="1"/>
    <col min="12" max="16384" width="9.140625" style="1"/>
  </cols>
  <sheetData>
    <row r="2" spans="1:11">
      <c r="A2" s="660"/>
      <c r="B2" s="660"/>
      <c r="C2" s="660"/>
      <c r="D2" s="660"/>
      <c r="E2" s="660"/>
      <c r="F2" s="660"/>
      <c r="G2" s="660"/>
      <c r="H2" s="660"/>
      <c r="I2" s="660"/>
      <c r="J2" s="660"/>
      <c r="K2" s="660"/>
    </row>
    <row r="3" spans="1:11">
      <c r="A3" s="659" t="s">
        <v>755</v>
      </c>
      <c r="B3" s="659"/>
      <c r="C3" s="659"/>
      <c r="D3" s="659"/>
      <c r="E3" s="659"/>
      <c r="F3" s="659"/>
      <c r="G3" s="659"/>
      <c r="H3" s="659"/>
      <c r="I3" s="659"/>
      <c r="J3" s="659"/>
      <c r="K3" s="659"/>
    </row>
    <row r="4" spans="1:11">
      <c r="A4" s="660"/>
      <c r="B4" s="660"/>
      <c r="C4" s="660"/>
      <c r="D4" s="660"/>
      <c r="E4" s="660"/>
      <c r="F4" s="660"/>
      <c r="G4" s="660"/>
      <c r="H4" s="660"/>
      <c r="I4" s="660"/>
      <c r="J4" s="660"/>
      <c r="K4" s="660"/>
    </row>
    <row r="5" spans="1:11">
      <c r="A5" s="78"/>
      <c r="B5" s="78"/>
      <c r="C5" s="78"/>
      <c r="D5" s="78"/>
      <c r="E5" s="78"/>
      <c r="F5" s="78"/>
      <c r="G5" s="78"/>
      <c r="H5" s="78"/>
      <c r="J5" s="78"/>
    </row>
    <row r="6" spans="1:11">
      <c r="I6" s="659"/>
      <c r="J6" s="659"/>
      <c r="K6" s="659"/>
    </row>
    <row r="10" spans="1:11">
      <c r="F10" s="58"/>
      <c r="G10" s="58" t="s">
        <v>152</v>
      </c>
      <c r="I10" s="56">
        <f>'Rate Calculation'!E47</f>
        <v>136131194.88008001</v>
      </c>
      <c r="J10" s="57"/>
      <c r="K10" s="57"/>
    </row>
    <row r="11" spans="1:11">
      <c r="A11" s="24"/>
      <c r="E11" s="61"/>
      <c r="F11" s="61"/>
      <c r="G11" s="61"/>
      <c r="I11" s="23"/>
      <c r="K11" s="23"/>
    </row>
    <row r="12" spans="1:11">
      <c r="G12" s="58" t="s">
        <v>153</v>
      </c>
      <c r="I12" s="79">
        <f>ABS('Rate Calculation'!E49)</f>
        <v>17890979.185288437</v>
      </c>
    </row>
    <row r="13" spans="1:11">
      <c r="G13" s="56"/>
    </row>
    <row r="14" spans="1:11">
      <c r="G14" s="27" t="s">
        <v>154</v>
      </c>
      <c r="I14" s="56">
        <f>'Rate Calculation'!E51</f>
        <v>118240215.69479159</v>
      </c>
    </row>
    <row r="15" spans="1:11">
      <c r="G15" s="56"/>
    </row>
    <row r="16" spans="1:11">
      <c r="G16" s="58" t="s">
        <v>346</v>
      </c>
      <c r="H16" s="58"/>
      <c r="I16" s="79">
        <f>C44</f>
        <v>995032.78153415769</v>
      </c>
    </row>
    <row r="17" spans="1:10">
      <c r="I17" s="56"/>
    </row>
    <row r="18" spans="1:10">
      <c r="B18" s="57"/>
      <c r="C18" s="57"/>
      <c r="D18" s="57"/>
      <c r="E18" s="57"/>
      <c r="F18" s="57"/>
      <c r="G18" s="58" t="s">
        <v>155</v>
      </c>
      <c r="H18" s="57"/>
      <c r="I18" s="56">
        <f>I14 + I16</f>
        <v>119235248.47632575</v>
      </c>
    </row>
    <row r="28" spans="1:10">
      <c r="I28" s="59" t="s">
        <v>347</v>
      </c>
    </row>
    <row r="29" spans="1:10">
      <c r="I29" s="23"/>
    </row>
    <row r="30" spans="1:10">
      <c r="A30" s="27" t="s">
        <v>592</v>
      </c>
      <c r="B30" s="60" t="s">
        <v>114</v>
      </c>
      <c r="C30" s="662" t="s">
        <v>151</v>
      </c>
      <c r="D30" s="662"/>
      <c r="E30" s="662"/>
      <c r="F30" s="662"/>
      <c r="G30" s="662"/>
      <c r="H30" s="60"/>
      <c r="I30" s="61" t="s">
        <v>348</v>
      </c>
      <c r="J30" s="119"/>
    </row>
    <row r="31" spans="1:10">
      <c r="C31" s="57" t="s">
        <v>349</v>
      </c>
      <c r="I31" s="57"/>
      <c r="J31" s="57"/>
    </row>
    <row r="34" spans="2:11">
      <c r="C34" s="661" t="s">
        <v>350</v>
      </c>
      <c r="D34" s="661"/>
      <c r="I34" s="23"/>
    </row>
    <row r="35" spans="2:11">
      <c r="C35" s="664" t="s">
        <v>351</v>
      </c>
      <c r="D35" s="664"/>
      <c r="E35" s="39">
        <f>'Schedule 5'!H68</f>
        <v>567</v>
      </c>
      <c r="I35" s="78" t="s">
        <v>352</v>
      </c>
    </row>
    <row r="36" spans="2:11">
      <c r="C36" s="664" t="s">
        <v>353</v>
      </c>
      <c r="D36" s="664"/>
      <c r="E36" s="39">
        <f>ROUND('Schedule 5'!F24+'Schedule 5'!E24,0)</f>
        <v>4856</v>
      </c>
      <c r="I36" s="78" t="s">
        <v>352</v>
      </c>
    </row>
    <row r="37" spans="2:11">
      <c r="C37" s="665" t="s">
        <v>354</v>
      </c>
      <c r="D37" s="665"/>
      <c r="E37" s="120">
        <f>ROUND('Rate Calculation'!E51/E36/1000, 2)</f>
        <v>24.35</v>
      </c>
      <c r="I37" s="82" t="s">
        <v>503</v>
      </c>
      <c r="J37" s="84"/>
    </row>
    <row r="38" spans="2:11">
      <c r="C38" s="664" t="s">
        <v>355</v>
      </c>
      <c r="D38" s="664"/>
      <c r="E38" s="66">
        <f>'Rate Calculation'!E55</f>
        <v>22.8</v>
      </c>
      <c r="I38" s="155" t="s">
        <v>1017</v>
      </c>
    </row>
    <row r="41" spans="2:11">
      <c r="B41" s="45" t="s">
        <v>114</v>
      </c>
      <c r="C41" s="79" t="str">
        <f>E35&amp; " MW * "</f>
        <v xml:space="preserve">567 MW * </v>
      </c>
      <c r="D41" s="121" t="str">
        <f>E36&amp;" MW * ( "</f>
        <v xml:space="preserve">4856 MW * ( </v>
      </c>
      <c r="E41" s="122">
        <f>E37</f>
        <v>24.35</v>
      </c>
      <c r="F41" s="110" t="str">
        <f>" -  $ "</f>
        <v xml:space="preserve"> -  $ </v>
      </c>
      <c r="G41" s="123" t="str">
        <f>E38&amp; " ) * 1000 "</f>
        <v xml:space="preserve">22.8 ) * 1000 </v>
      </c>
      <c r="H41" s="45"/>
      <c r="I41" s="32"/>
      <c r="J41" s="5"/>
      <c r="K41" s="32"/>
    </row>
    <row r="42" spans="2:11">
      <c r="D42" s="124" t="str">
        <f>E36&amp; " MW - "</f>
        <v xml:space="preserve">4856 MW - </v>
      </c>
      <c r="E42" s="55" t="str">
        <f>E35&amp; " MW "</f>
        <v xml:space="preserve">567 MW </v>
      </c>
      <c r="I42" s="663"/>
      <c r="J42" s="663"/>
    </row>
    <row r="44" spans="2:11">
      <c r="B44" s="45" t="s">
        <v>114</v>
      </c>
      <c r="C44" s="56">
        <f>(E35*E36*((E37)-ROUND(E38,2))*1000)/(E36-E35)</f>
        <v>995032.78153415769</v>
      </c>
      <c r="D44" s="45"/>
      <c r="E44" s="45"/>
      <c r="F44" s="45"/>
      <c r="G44" s="45"/>
      <c r="H44" s="45"/>
    </row>
  </sheetData>
  <mergeCells count="11">
    <mergeCell ref="I42:J42"/>
    <mergeCell ref="I6:K6"/>
    <mergeCell ref="C38:D38"/>
    <mergeCell ref="C35:D35"/>
    <mergeCell ref="C36:D36"/>
    <mergeCell ref="C37:D37"/>
    <mergeCell ref="A2:K2"/>
    <mergeCell ref="A3:K3"/>
    <mergeCell ref="A4:K4"/>
    <mergeCell ref="C34:D34"/>
    <mergeCell ref="C30:G30"/>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6.xml><?xml version="1.0" encoding="utf-8"?>
<worksheet xmlns="http://schemas.openxmlformats.org/spreadsheetml/2006/main" xmlns:r="http://schemas.openxmlformats.org/officeDocument/2006/relationships">
  <sheetPr codeName="Sheet6"/>
  <dimension ref="A4:F16"/>
  <sheetViews>
    <sheetView zoomScaleNormal="100" zoomScaleSheetLayoutView="100" workbookViewId="0">
      <selection activeCell="D16" sqref="D16"/>
    </sheetView>
  </sheetViews>
  <sheetFormatPr defaultRowHeight="12.75"/>
  <cols>
    <col min="1" max="1" width="1.28515625" style="1" customWidth="1"/>
    <col min="2" max="2" width="24.5703125" style="56" bestFit="1" customWidth="1"/>
    <col min="3" max="3" width="1" style="1" customWidth="1"/>
    <col min="4" max="4" width="44.42578125" style="78" bestFit="1" customWidth="1"/>
    <col min="5" max="5" width="1" style="1" customWidth="1"/>
    <col min="6" max="6" width="20.28515625" style="78" bestFit="1" customWidth="1"/>
    <col min="7" max="16384" width="9.140625" style="1"/>
  </cols>
  <sheetData>
    <row r="4" spans="1:6">
      <c r="B4" s="660"/>
      <c r="C4" s="660"/>
      <c r="D4" s="660"/>
      <c r="E4" s="660"/>
      <c r="F4" s="660"/>
    </row>
    <row r="5" spans="1:6">
      <c r="B5" s="659" t="s">
        <v>768</v>
      </c>
      <c r="C5" s="659"/>
      <c r="D5" s="659"/>
      <c r="E5" s="659"/>
      <c r="F5" s="659"/>
    </row>
    <row r="6" spans="1:6">
      <c r="B6" s="660"/>
      <c r="C6" s="660"/>
      <c r="D6" s="660"/>
      <c r="E6" s="660"/>
      <c r="F6" s="660"/>
    </row>
    <row r="7" spans="1:6">
      <c r="B7" s="78"/>
      <c r="C7" s="78"/>
      <c r="E7" s="78"/>
    </row>
    <row r="8" spans="1:6">
      <c r="A8" s="659"/>
      <c r="B8" s="659"/>
      <c r="C8" s="659"/>
      <c r="D8" s="659"/>
      <c r="E8" s="659"/>
      <c r="F8" s="659"/>
    </row>
    <row r="11" spans="1:6">
      <c r="D11" s="78" t="s">
        <v>757</v>
      </c>
    </row>
    <row r="12" spans="1:6">
      <c r="B12" s="56" t="s">
        <v>758</v>
      </c>
      <c r="D12" s="78" t="s">
        <v>759</v>
      </c>
      <c r="F12" s="78" t="s">
        <v>760</v>
      </c>
    </row>
    <row r="13" spans="1:6">
      <c r="B13" s="79" t="s">
        <v>761</v>
      </c>
      <c r="D13" s="59" t="s">
        <v>763</v>
      </c>
      <c r="F13" s="59" t="s">
        <v>756</v>
      </c>
    </row>
    <row r="16" spans="1:6">
      <c r="B16" s="56">
        <f>'Schedule 4'!E13</f>
        <v>1311964.2852884352</v>
      </c>
      <c r="D16" s="56">
        <f>'Schedule 4'!E19</f>
        <v>16579014.9</v>
      </c>
      <c r="F16" s="56">
        <f>'Schedule 4'!E23</f>
        <v>17890979.185288437</v>
      </c>
    </row>
  </sheetData>
  <mergeCells count="4">
    <mergeCell ref="B4:F4"/>
    <mergeCell ref="B5:F5"/>
    <mergeCell ref="B6:F6"/>
    <mergeCell ref="A8:F8"/>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7.xml><?xml version="1.0" encoding="utf-8"?>
<worksheet xmlns="http://schemas.openxmlformats.org/spreadsheetml/2006/main" xmlns:r="http://schemas.openxmlformats.org/officeDocument/2006/relationships">
  <sheetPr codeName="Sheet7"/>
  <dimension ref="A1:G66"/>
  <sheetViews>
    <sheetView zoomScaleNormal="100" zoomScaleSheetLayoutView="80" workbookViewId="0">
      <selection activeCell="E8" sqref="E8"/>
    </sheetView>
  </sheetViews>
  <sheetFormatPr defaultRowHeight="12.75"/>
  <cols>
    <col min="1" max="1" width="5.140625" style="179" customWidth="1"/>
    <col min="2" max="2" width="2.7109375" style="179" customWidth="1"/>
    <col min="3" max="3" width="67.42578125" style="179" customWidth="1"/>
    <col min="4" max="4" width="29.140625" style="186" bestFit="1" customWidth="1"/>
    <col min="5" max="5" width="17" style="195" customWidth="1"/>
    <col min="6" max="6" width="29" style="179" customWidth="1"/>
    <col min="7" max="7" width="9.7109375" style="179" bestFit="1" customWidth="1"/>
    <col min="8" max="16384" width="9.140625" style="179"/>
  </cols>
  <sheetData>
    <row r="1" spans="1:7" ht="18">
      <c r="C1" s="667"/>
      <c r="D1" s="667"/>
      <c r="E1" s="667"/>
    </row>
    <row r="2" spans="1:7">
      <c r="A2" s="666" t="s">
        <v>550</v>
      </c>
      <c r="B2" s="666"/>
      <c r="C2" s="666"/>
      <c r="D2" s="666"/>
      <c r="E2" s="666"/>
    </row>
    <row r="3" spans="1:7">
      <c r="A3" s="666" t="s">
        <v>342</v>
      </c>
      <c r="B3" s="666"/>
      <c r="C3" s="666"/>
      <c r="D3" s="666"/>
      <c r="E3" s="666"/>
    </row>
    <row r="4" spans="1:7">
      <c r="A4" s="488"/>
      <c r="B4" s="488"/>
      <c r="C4" s="488"/>
      <c r="D4" s="488"/>
      <c r="E4" s="488"/>
    </row>
    <row r="5" spans="1:7">
      <c r="C5" s="184"/>
      <c r="D5" s="489" t="s">
        <v>233</v>
      </c>
      <c r="E5" s="235" t="s">
        <v>234</v>
      </c>
    </row>
    <row r="6" spans="1:7">
      <c r="C6" s="184" t="s">
        <v>235</v>
      </c>
    </row>
    <row r="7" spans="1:7">
      <c r="A7" s="179">
        <v>1</v>
      </c>
      <c r="C7" s="179" t="s">
        <v>330</v>
      </c>
      <c r="D7" s="186" t="s">
        <v>1115</v>
      </c>
      <c r="E7" s="236">
        <f>931402602-0-'Schedule 10'!D18</f>
        <v>930229982.66999996</v>
      </c>
      <c r="F7" s="236"/>
      <c r="G7" s="236"/>
    </row>
    <row r="8" spans="1:7">
      <c r="A8" s="179">
        <f>A7+1</f>
        <v>2</v>
      </c>
      <c r="C8" s="179" t="s">
        <v>545</v>
      </c>
      <c r="D8" s="186" t="s">
        <v>185</v>
      </c>
      <c r="E8" s="195">
        <f>-'Schedule 7'!E80</f>
        <v>-22535889.699999992</v>
      </c>
      <c r="F8" s="195"/>
      <c r="G8" s="236"/>
    </row>
    <row r="9" spans="1:7">
      <c r="A9" s="179">
        <f t="shared" ref="A9:A61" si="0">A8+1</f>
        <v>3</v>
      </c>
      <c r="C9" s="179" t="s">
        <v>219</v>
      </c>
      <c r="D9" s="186" t="s">
        <v>593</v>
      </c>
      <c r="E9" s="195">
        <f>-'Schedule 8'!E17</f>
        <v>-1041147.3400000001</v>
      </c>
      <c r="F9" s="195"/>
      <c r="G9" s="236"/>
    </row>
    <row r="10" spans="1:7">
      <c r="A10" s="179">
        <f t="shared" si="0"/>
        <v>4</v>
      </c>
      <c r="C10" s="179" t="s">
        <v>203</v>
      </c>
      <c r="D10" s="186" t="s">
        <v>45</v>
      </c>
      <c r="E10" s="195">
        <f>-'Schedule 9'!M42</f>
        <v>-1332405.2933399167</v>
      </c>
      <c r="F10" s="195"/>
      <c r="G10" s="236"/>
    </row>
    <row r="11" spans="1:7">
      <c r="A11" s="179">
        <f t="shared" si="0"/>
        <v>5</v>
      </c>
      <c r="C11" s="179" t="s">
        <v>393</v>
      </c>
      <c r="D11" s="186" t="s">
        <v>237</v>
      </c>
      <c r="E11" s="195">
        <f>'Schedule 1'!F22</f>
        <v>38319569.142566577</v>
      </c>
      <c r="F11" s="195"/>
      <c r="G11" s="236"/>
    </row>
    <row r="12" spans="1:7">
      <c r="A12" s="179">
        <f t="shared" si="0"/>
        <v>6</v>
      </c>
      <c r="C12" s="179" t="s">
        <v>238</v>
      </c>
      <c r="D12" s="186" t="s">
        <v>237</v>
      </c>
      <c r="E12" s="237">
        <f>'Schedule 1'!F36</f>
        <v>7815583.1393417399</v>
      </c>
      <c r="F12" s="237"/>
      <c r="G12" s="236"/>
    </row>
    <row r="13" spans="1:7">
      <c r="A13" s="179">
        <f t="shared" si="0"/>
        <v>7</v>
      </c>
      <c r="C13" s="179" t="s">
        <v>518</v>
      </c>
      <c r="D13" s="186" t="s">
        <v>1072</v>
      </c>
      <c r="E13" s="238">
        <f>429822+195517+308066+199069</f>
        <v>1132474</v>
      </c>
      <c r="F13" s="238"/>
      <c r="G13" s="236"/>
    </row>
    <row r="14" spans="1:7">
      <c r="A14" s="179">
        <f t="shared" si="0"/>
        <v>8</v>
      </c>
      <c r="C14" s="179" t="s">
        <v>519</v>
      </c>
      <c r="D14" s="186" t="s">
        <v>237</v>
      </c>
      <c r="E14" s="238">
        <f>'Schedule 1'!F75</f>
        <v>436134.17122421996</v>
      </c>
      <c r="F14" s="238"/>
      <c r="G14" s="236"/>
    </row>
    <row r="15" spans="1:7">
      <c r="A15" s="179">
        <f t="shared" si="0"/>
        <v>9</v>
      </c>
      <c r="C15" s="179" t="s">
        <v>358</v>
      </c>
      <c r="D15" s="186" t="s">
        <v>1116</v>
      </c>
      <c r="E15" s="195">
        <v>-285425520</v>
      </c>
      <c r="F15" s="195"/>
      <c r="G15" s="236"/>
    </row>
    <row r="16" spans="1:7">
      <c r="A16" s="179">
        <f t="shared" si="0"/>
        <v>10</v>
      </c>
      <c r="C16" s="179" t="s">
        <v>202</v>
      </c>
      <c r="D16" s="186" t="s">
        <v>185</v>
      </c>
      <c r="E16" s="195">
        <f>'Schedule 7'!F80</f>
        <v>10617990.090000005</v>
      </c>
      <c r="F16" s="195"/>
      <c r="G16" s="236"/>
    </row>
    <row r="17" spans="1:7">
      <c r="A17" s="179">
        <f t="shared" si="0"/>
        <v>11</v>
      </c>
      <c r="C17" s="179" t="s">
        <v>220</v>
      </c>
      <c r="D17" s="186" t="s">
        <v>593</v>
      </c>
      <c r="E17" s="195">
        <f>'Schedule 8'!F17</f>
        <v>161813.48000000001</v>
      </c>
      <c r="F17" s="195"/>
      <c r="G17" s="236"/>
    </row>
    <row r="18" spans="1:7">
      <c r="A18" s="179">
        <f t="shared" si="0"/>
        <v>12</v>
      </c>
      <c r="C18" s="179" t="s">
        <v>344</v>
      </c>
      <c r="D18" s="186" t="s">
        <v>237</v>
      </c>
      <c r="E18" s="195">
        <f>-'Schedule 1'!F29</f>
        <v>-14284411.581767999</v>
      </c>
      <c r="F18" s="195"/>
      <c r="G18" s="236"/>
    </row>
    <row r="19" spans="1:7">
      <c r="A19" s="179">
        <f t="shared" si="0"/>
        <v>13</v>
      </c>
      <c r="C19" s="179" t="s">
        <v>494</v>
      </c>
      <c r="D19" s="186" t="s">
        <v>237</v>
      </c>
      <c r="E19" s="195">
        <f>-'Schedule 1'!F43</f>
        <v>-2979941.1480550799</v>
      </c>
      <c r="F19" s="195"/>
      <c r="G19" s="236"/>
    </row>
    <row r="20" spans="1:7">
      <c r="A20" s="179">
        <f t="shared" si="0"/>
        <v>14</v>
      </c>
      <c r="C20" s="179" t="s">
        <v>236</v>
      </c>
      <c r="D20" s="186" t="s">
        <v>237</v>
      </c>
      <c r="E20" s="195">
        <f xml:space="preserve"> - 'Schedule 1'!F15</f>
        <v>-63360246.093928516</v>
      </c>
      <c r="F20" s="195"/>
      <c r="G20" s="236"/>
    </row>
    <row r="21" spans="1:7">
      <c r="A21" s="179">
        <f t="shared" si="0"/>
        <v>15</v>
      </c>
      <c r="C21" s="179" t="s">
        <v>491</v>
      </c>
      <c r="D21" s="186" t="s">
        <v>237</v>
      </c>
      <c r="E21" s="195">
        <f xml:space="preserve"> - 'Schedule 1'!F54</f>
        <v>-3224093.1319674002</v>
      </c>
      <c r="F21" s="195"/>
      <c r="G21" s="236"/>
    </row>
    <row r="22" spans="1:7">
      <c r="A22" s="179">
        <f t="shared" si="0"/>
        <v>16</v>
      </c>
      <c r="C22" s="179" t="s">
        <v>432</v>
      </c>
      <c r="D22" s="186" t="s">
        <v>237</v>
      </c>
      <c r="E22" s="238">
        <f>'Schedule 1'!F70</f>
        <v>1647568.6659372</v>
      </c>
      <c r="F22" s="238"/>
      <c r="G22" s="236"/>
    </row>
    <row r="23" spans="1:7">
      <c r="A23" s="179">
        <f t="shared" si="0"/>
        <v>17</v>
      </c>
      <c r="C23" s="179" t="s">
        <v>522</v>
      </c>
      <c r="D23" s="186" t="s">
        <v>526</v>
      </c>
      <c r="E23" s="195">
        <f>'Schedule 1'!F85</f>
        <v>13712115.77540968</v>
      </c>
      <c r="F23" s="195"/>
      <c r="G23" s="236"/>
    </row>
    <row r="24" spans="1:7">
      <c r="A24" s="179">
        <f t="shared" si="0"/>
        <v>18</v>
      </c>
      <c r="C24" s="179" t="s">
        <v>546</v>
      </c>
      <c r="D24" s="186" t="s">
        <v>237</v>
      </c>
      <c r="E24" s="238">
        <f>'Schedule 1'!F61</f>
        <v>4970026.9318361674</v>
      </c>
      <c r="F24" s="238"/>
      <c r="G24" s="236"/>
    </row>
    <row r="25" spans="1:7">
      <c r="A25" s="179">
        <f t="shared" si="0"/>
        <v>19</v>
      </c>
      <c r="C25" s="179" t="s">
        <v>38</v>
      </c>
      <c r="D25" s="186" t="s">
        <v>1074</v>
      </c>
      <c r="E25" s="238">
        <v>0</v>
      </c>
      <c r="F25" s="238"/>
      <c r="G25" s="236"/>
    </row>
    <row r="26" spans="1:7">
      <c r="A26" s="179">
        <f t="shared" si="0"/>
        <v>20</v>
      </c>
      <c r="C26" s="179" t="s">
        <v>239</v>
      </c>
      <c r="D26" s="188" t="s">
        <v>456</v>
      </c>
      <c r="E26" s="195">
        <f>SUM(E7:E25)</f>
        <v>614859603.77725637</v>
      </c>
      <c r="F26" s="195"/>
      <c r="G26" s="236"/>
    </row>
    <row r="27" spans="1:7">
      <c r="A27" s="179">
        <f t="shared" si="0"/>
        <v>21</v>
      </c>
      <c r="F27" s="195"/>
      <c r="G27" s="236"/>
    </row>
    <row r="28" spans="1:7">
      <c r="A28" s="179">
        <f t="shared" si="0"/>
        <v>22</v>
      </c>
      <c r="C28" s="184" t="s">
        <v>446</v>
      </c>
      <c r="F28" s="195"/>
      <c r="G28" s="236"/>
    </row>
    <row r="29" spans="1:7">
      <c r="A29" s="179">
        <f t="shared" si="0"/>
        <v>23</v>
      </c>
      <c r="C29" s="179" t="s">
        <v>240</v>
      </c>
      <c r="D29" s="186" t="s">
        <v>243</v>
      </c>
      <c r="E29" s="239">
        <f>ROUND('Schedule 6'!I20,5)</f>
        <v>8.1129999999999994E-2</v>
      </c>
      <c r="F29" s="239"/>
      <c r="G29" s="236"/>
    </row>
    <row r="30" spans="1:7">
      <c r="A30" s="179">
        <f t="shared" si="0"/>
        <v>24</v>
      </c>
      <c r="C30" s="179" t="s">
        <v>493</v>
      </c>
      <c r="D30" s="186" t="s">
        <v>243</v>
      </c>
      <c r="E30" s="239">
        <f xml:space="preserve"> 'Schedule 6'!I34</f>
        <v>3.4959999999999998E-2</v>
      </c>
      <c r="F30" s="239"/>
      <c r="G30" s="236"/>
    </row>
    <row r="31" spans="1:7">
      <c r="A31" s="179">
        <f t="shared" si="0"/>
        <v>25</v>
      </c>
      <c r="C31" s="179" t="s">
        <v>488</v>
      </c>
      <c r="D31" s="188" t="s">
        <v>17</v>
      </c>
      <c r="E31" s="195">
        <f>E26*(E29+E30)</f>
        <v>71379051.402501687</v>
      </c>
      <c r="F31" s="195"/>
      <c r="G31" s="236"/>
    </row>
    <row r="32" spans="1:7">
      <c r="A32" s="179">
        <f t="shared" si="0"/>
        <v>26</v>
      </c>
    </row>
    <row r="33" spans="1:7">
      <c r="A33" s="179">
        <f t="shared" si="0"/>
        <v>27</v>
      </c>
    </row>
    <row r="34" spans="1:7">
      <c r="A34" s="179">
        <f t="shared" si="0"/>
        <v>28</v>
      </c>
      <c r="C34" s="184" t="s">
        <v>244</v>
      </c>
    </row>
    <row r="35" spans="1:7">
      <c r="A35" s="179">
        <f t="shared" si="0"/>
        <v>29</v>
      </c>
      <c r="C35" s="179" t="s">
        <v>302</v>
      </c>
      <c r="D35" s="186" t="s">
        <v>247</v>
      </c>
      <c r="E35" s="195">
        <f>'Schedule 2'!F71</f>
        <v>17663011.469999999</v>
      </c>
      <c r="F35" s="195"/>
      <c r="G35" s="195"/>
    </row>
    <row r="36" spans="1:7">
      <c r="A36" s="179">
        <f t="shared" si="0"/>
        <v>30</v>
      </c>
      <c r="C36" s="179" t="s">
        <v>303</v>
      </c>
      <c r="D36" s="186" t="s">
        <v>247</v>
      </c>
      <c r="E36" s="195">
        <f>'Schedule 2'!F34</f>
        <v>1349157.05657574</v>
      </c>
      <c r="F36" s="195"/>
      <c r="G36" s="195"/>
    </row>
    <row r="37" spans="1:7">
      <c r="A37" s="179">
        <f t="shared" si="0"/>
        <v>31</v>
      </c>
      <c r="C37" s="179" t="s">
        <v>1046</v>
      </c>
      <c r="D37" s="186" t="s">
        <v>247</v>
      </c>
      <c r="E37" s="195">
        <f>'Schedule 2'!F65</f>
        <v>971739.61472039996</v>
      </c>
      <c r="F37" s="195"/>
      <c r="G37" s="195"/>
    </row>
    <row r="38" spans="1:7">
      <c r="A38" s="179">
        <f t="shared" si="0"/>
        <v>32</v>
      </c>
      <c r="C38" s="179" t="s">
        <v>489</v>
      </c>
      <c r="D38" s="186" t="s">
        <v>247</v>
      </c>
      <c r="E38" s="238">
        <f xml:space="preserve"> 'Schedule 2'!F41</f>
        <v>-634572.00056171999</v>
      </c>
      <c r="F38" s="238"/>
      <c r="G38" s="195"/>
    </row>
    <row r="39" spans="1:7">
      <c r="A39" s="179">
        <f t="shared" si="0"/>
        <v>33</v>
      </c>
      <c r="C39" s="179" t="s">
        <v>245</v>
      </c>
      <c r="D39" s="186" t="s">
        <v>247</v>
      </c>
      <c r="E39" s="195">
        <f>'Schedule 2'!F77</f>
        <v>28521539.919084284</v>
      </c>
      <c r="F39" s="195"/>
      <c r="G39" s="195"/>
    </row>
    <row r="40" spans="1:7">
      <c r="A40" s="179">
        <f t="shared" si="0"/>
        <v>34</v>
      </c>
      <c r="C40" s="179" t="s">
        <v>441</v>
      </c>
      <c r="D40" s="186" t="s">
        <v>530</v>
      </c>
      <c r="E40" s="195">
        <f>-(130631+1170321+1345152+97740)</f>
        <v>-2743844</v>
      </c>
      <c r="F40" s="195"/>
      <c r="G40" s="195"/>
    </row>
    <row r="41" spans="1:7">
      <c r="A41" s="179">
        <f t="shared" si="0"/>
        <v>35</v>
      </c>
      <c r="C41" s="179" t="s">
        <v>442</v>
      </c>
      <c r="D41" s="186" t="s">
        <v>343</v>
      </c>
      <c r="E41" s="195">
        <v>-6294410</v>
      </c>
      <c r="F41" s="195"/>
      <c r="G41" s="195"/>
    </row>
    <row r="42" spans="1:7">
      <c r="A42" s="179">
        <f t="shared" si="0"/>
        <v>36</v>
      </c>
      <c r="C42" s="179" t="s">
        <v>246</v>
      </c>
      <c r="D42" s="186" t="s">
        <v>247</v>
      </c>
      <c r="E42" s="195">
        <f>'Schedule 2'!F28</f>
        <v>20276929.535605054</v>
      </c>
      <c r="F42" s="195"/>
      <c r="G42" s="195"/>
    </row>
    <row r="43" spans="1:7">
      <c r="A43" s="179">
        <f t="shared" si="0"/>
        <v>37</v>
      </c>
      <c r="C43" s="179" t="s">
        <v>536</v>
      </c>
      <c r="D43" s="186" t="s">
        <v>247</v>
      </c>
      <c r="E43" s="238">
        <f>'Schedule 2'!F58</f>
        <v>5560568.5021545598</v>
      </c>
      <c r="F43" s="238"/>
      <c r="G43" s="195"/>
    </row>
    <row r="44" spans="1:7">
      <c r="A44" s="179">
        <f t="shared" si="0"/>
        <v>38</v>
      </c>
      <c r="C44" s="179" t="s">
        <v>39</v>
      </c>
      <c r="D44" s="186" t="s">
        <v>148</v>
      </c>
      <c r="E44" s="195">
        <v>0</v>
      </c>
      <c r="F44" s="195"/>
      <c r="G44" s="195"/>
    </row>
    <row r="45" spans="1:7" ht="15">
      <c r="A45" s="179">
        <f t="shared" si="0"/>
        <v>39</v>
      </c>
      <c r="C45" s="179" t="s">
        <v>35</v>
      </c>
      <c r="D45" s="186" t="s">
        <v>45</v>
      </c>
      <c r="E45" s="240">
        <f>'Schedule 9'!E53</f>
        <v>82023.38</v>
      </c>
      <c r="F45" s="240"/>
      <c r="G45" s="195"/>
    </row>
    <row r="46" spans="1:7">
      <c r="A46" s="179">
        <f t="shared" si="0"/>
        <v>40</v>
      </c>
      <c r="C46" s="179" t="s">
        <v>304</v>
      </c>
      <c r="D46" s="188" t="s">
        <v>18</v>
      </c>
      <c r="E46" s="195">
        <f>SUM(E35:E45)</f>
        <v>64752143.47757832</v>
      </c>
      <c r="F46" s="195"/>
      <c r="G46" s="195"/>
    </row>
    <row r="47" spans="1:7">
      <c r="A47" s="179">
        <f t="shared" si="0"/>
        <v>41</v>
      </c>
      <c r="C47" s="205" t="s">
        <v>305</v>
      </c>
      <c r="D47" s="241" t="s">
        <v>26</v>
      </c>
      <c r="E47" s="238">
        <f>E31+E46</f>
        <v>136131194.88008001</v>
      </c>
      <c r="F47" s="238"/>
      <c r="G47" s="195"/>
    </row>
    <row r="48" spans="1:7">
      <c r="A48" s="179">
        <f t="shared" si="0"/>
        <v>42</v>
      </c>
      <c r="C48" s="205"/>
      <c r="D48" s="206"/>
      <c r="E48" s="238"/>
      <c r="F48" s="238"/>
      <c r="G48" s="195"/>
    </row>
    <row r="49" spans="1:7">
      <c r="A49" s="179">
        <f t="shared" si="0"/>
        <v>43</v>
      </c>
      <c r="C49" s="205" t="s">
        <v>306</v>
      </c>
      <c r="D49" s="206" t="s">
        <v>307</v>
      </c>
      <c r="E49" s="238">
        <f>-'Schedule 4'!E23</f>
        <v>-17890979.185288437</v>
      </c>
      <c r="F49" s="238"/>
      <c r="G49" s="195"/>
    </row>
    <row r="50" spans="1:7">
      <c r="A50" s="179">
        <f t="shared" si="0"/>
        <v>44</v>
      </c>
      <c r="C50" s="205"/>
      <c r="D50" s="206"/>
      <c r="E50" s="238"/>
      <c r="F50" s="238"/>
      <c r="G50" s="195"/>
    </row>
    <row r="51" spans="1:7">
      <c r="A51" s="179">
        <f t="shared" si="0"/>
        <v>45</v>
      </c>
      <c r="C51" s="242" t="s">
        <v>275</v>
      </c>
      <c r="D51" s="241"/>
      <c r="E51" s="243">
        <f>SUM(E47:E49)</f>
        <v>118240215.69479159</v>
      </c>
      <c r="F51" s="243"/>
      <c r="G51" s="195"/>
    </row>
    <row r="52" spans="1:7">
      <c r="A52" s="179">
        <f t="shared" si="0"/>
        <v>46</v>
      </c>
      <c r="C52" s="205"/>
      <c r="D52" s="206"/>
      <c r="E52" s="238"/>
      <c r="F52" s="238"/>
      <c r="G52" s="195"/>
    </row>
    <row r="53" spans="1:7">
      <c r="A53" s="179">
        <f t="shared" si="0"/>
        <v>47</v>
      </c>
      <c r="C53" s="242" t="s">
        <v>540</v>
      </c>
      <c r="D53" s="206" t="s">
        <v>308</v>
      </c>
      <c r="E53" s="238">
        <f>'Schedule 5'!H24</f>
        <v>5186.3333333333339</v>
      </c>
      <c r="F53" s="238"/>
      <c r="G53" s="195"/>
    </row>
    <row r="54" spans="1:7">
      <c r="A54" s="179">
        <f t="shared" si="0"/>
        <v>48</v>
      </c>
      <c r="C54" s="242"/>
      <c r="D54" s="206"/>
      <c r="E54" s="238"/>
      <c r="F54" s="238"/>
      <c r="G54" s="195"/>
    </row>
    <row r="55" spans="1:7">
      <c r="A55" s="179">
        <f t="shared" si="0"/>
        <v>49</v>
      </c>
      <c r="C55" s="205" t="s">
        <v>309</v>
      </c>
      <c r="D55" s="241" t="s">
        <v>19</v>
      </c>
      <c r="E55" s="244">
        <f>ROUND(E51/(E53*1000),2)</f>
        <v>22.8</v>
      </c>
      <c r="F55" s="244"/>
      <c r="G55" s="195"/>
    </row>
    <row r="56" spans="1:7">
      <c r="A56" s="179">
        <f t="shared" si="0"/>
        <v>50</v>
      </c>
      <c r="C56" s="205" t="s">
        <v>310</v>
      </c>
      <c r="D56" s="241" t="s">
        <v>20</v>
      </c>
      <c r="E56" s="245">
        <f>ROUND(E55/12,4)</f>
        <v>1.9</v>
      </c>
      <c r="F56" s="245"/>
      <c r="G56" s="195"/>
    </row>
    <row r="57" spans="1:7">
      <c r="A57" s="179">
        <f t="shared" si="0"/>
        <v>51</v>
      </c>
      <c r="C57" s="205" t="s">
        <v>311</v>
      </c>
      <c r="D57" s="241" t="s">
        <v>21</v>
      </c>
      <c r="E57" s="245">
        <f>ROUND(E55/52,4)</f>
        <v>0.4385</v>
      </c>
      <c r="F57" s="245"/>
      <c r="G57" s="195"/>
    </row>
    <row r="58" spans="1:7">
      <c r="A58" s="179">
        <f t="shared" si="0"/>
        <v>52</v>
      </c>
      <c r="C58" s="205" t="s">
        <v>312</v>
      </c>
      <c r="D58" s="241" t="s">
        <v>22</v>
      </c>
      <c r="E58" s="245">
        <f>ROUND(E57/6,4)</f>
        <v>7.3099999999999998E-2</v>
      </c>
      <c r="F58" s="245"/>
      <c r="G58" s="195"/>
    </row>
    <row r="59" spans="1:7">
      <c r="A59" s="179">
        <f t="shared" si="0"/>
        <v>53</v>
      </c>
      <c r="C59" s="205" t="s">
        <v>313</v>
      </c>
      <c r="D59" s="206" t="s">
        <v>23</v>
      </c>
      <c r="E59" s="245">
        <f>ROUND(E57/7,4)</f>
        <v>6.2600000000000003E-2</v>
      </c>
      <c r="F59" s="245"/>
      <c r="G59" s="195"/>
    </row>
    <row r="60" spans="1:7">
      <c r="A60" s="179">
        <f t="shared" si="0"/>
        <v>54</v>
      </c>
      <c r="C60" s="205" t="s">
        <v>314</v>
      </c>
      <c r="D60" s="241" t="s">
        <v>24</v>
      </c>
      <c r="E60" s="244">
        <f>ROUND(E55*1000/4896,2)</f>
        <v>4.66</v>
      </c>
      <c r="F60" s="244"/>
      <c r="G60" s="195"/>
    </row>
    <row r="61" spans="1:7">
      <c r="A61" s="179">
        <f t="shared" si="0"/>
        <v>55</v>
      </c>
      <c r="C61" s="205" t="s">
        <v>315</v>
      </c>
      <c r="D61" s="241" t="s">
        <v>25</v>
      </c>
      <c r="E61" s="244">
        <f>ROUND(E55*1000/8760,2)</f>
        <v>2.6</v>
      </c>
      <c r="F61" s="244"/>
      <c r="G61" s="195"/>
    </row>
    <row r="66" spans="3:3">
      <c r="C66" s="195"/>
    </row>
  </sheetData>
  <sheetProtection formatCells="0"/>
  <mergeCells count="3">
    <mergeCell ref="A3:E3"/>
    <mergeCell ref="A2:E2"/>
    <mergeCell ref="C1:E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12/31/2012</oddHeader>
    <oddFooter>&amp;L&amp;F, &amp;A</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85"/>
  <sheetViews>
    <sheetView zoomScaleNormal="100" zoomScaleSheetLayoutView="100" workbookViewId="0">
      <selection activeCell="D5" sqref="D5"/>
    </sheetView>
  </sheetViews>
  <sheetFormatPr defaultRowHeight="12.75"/>
  <cols>
    <col min="1" max="1" width="5.140625" style="488" customWidth="1"/>
    <col min="2" max="2" width="4.140625" style="179" customWidth="1"/>
    <col min="3" max="3" width="4" style="179" customWidth="1"/>
    <col min="4" max="4" width="52.140625" style="179" customWidth="1"/>
    <col min="5" max="5" width="56.28515625" style="186" customWidth="1"/>
    <col min="6" max="6" width="17.85546875" style="185" customWidth="1"/>
    <col min="7" max="16384" width="9.140625" style="179"/>
  </cols>
  <sheetData>
    <row r="1" spans="1:6">
      <c r="A1" s="668" t="s">
        <v>377</v>
      </c>
      <c r="B1" s="668"/>
      <c r="C1" s="668"/>
      <c r="D1" s="668"/>
      <c r="E1" s="668"/>
      <c r="F1" s="668"/>
    </row>
    <row r="2" spans="1:6">
      <c r="A2" s="668" t="s">
        <v>316</v>
      </c>
      <c r="B2" s="668"/>
      <c r="C2" s="668"/>
      <c r="D2" s="668"/>
      <c r="E2" s="668"/>
      <c r="F2" s="668"/>
    </row>
    <row r="3" spans="1:6">
      <c r="B3" s="246"/>
      <c r="C3" s="246"/>
      <c r="D3" s="246"/>
      <c r="E3" s="246"/>
      <c r="F3" s="247"/>
    </row>
    <row r="6" spans="1:6">
      <c r="E6" s="182" t="s">
        <v>233</v>
      </c>
      <c r="F6" s="183" t="s">
        <v>234</v>
      </c>
    </row>
    <row r="7" spans="1:6">
      <c r="A7" s="488">
        <v>1</v>
      </c>
      <c r="B7" s="184" t="s">
        <v>222</v>
      </c>
      <c r="E7" s="182"/>
    </row>
    <row r="8" spans="1:6">
      <c r="A8" s="488">
        <f>A7+1</f>
        <v>2</v>
      </c>
      <c r="E8" s="182"/>
    </row>
    <row r="9" spans="1:6">
      <c r="A9" s="488">
        <f t="shared" ref="A9:A72" si="0">A8+1</f>
        <v>3</v>
      </c>
      <c r="D9" s="179" t="s">
        <v>481</v>
      </c>
      <c r="E9" s="207"/>
      <c r="F9" s="185">
        <v>0</v>
      </c>
    </row>
    <row r="10" spans="1:6">
      <c r="A10" s="488">
        <f t="shared" si="0"/>
        <v>4</v>
      </c>
      <c r="D10" s="179" t="s">
        <v>482</v>
      </c>
      <c r="E10" s="186" t="s">
        <v>394</v>
      </c>
      <c r="F10" s="185">
        <v>406282859</v>
      </c>
    </row>
    <row r="11" spans="1:6">
      <c r="A11" s="488">
        <f t="shared" si="0"/>
        <v>5</v>
      </c>
      <c r="D11" s="179" t="s">
        <v>483</v>
      </c>
      <c r="E11" s="186" t="s">
        <v>484</v>
      </c>
      <c r="F11" s="185">
        <v>180386916</v>
      </c>
    </row>
    <row r="12" spans="1:6">
      <c r="A12" s="488">
        <f t="shared" si="0"/>
        <v>6</v>
      </c>
      <c r="D12" s="179" t="s">
        <v>480</v>
      </c>
      <c r="E12" s="186" t="s">
        <v>395</v>
      </c>
      <c r="F12" s="185">
        <f>-'Schedule 1 Workpaper'!F11</f>
        <v>-243896289</v>
      </c>
    </row>
    <row r="13" spans="1:6">
      <c r="A13" s="488">
        <f t="shared" si="0"/>
        <v>7</v>
      </c>
      <c r="D13" s="179" t="s">
        <v>487</v>
      </c>
      <c r="F13" s="185">
        <f>SUM(F9:F12)</f>
        <v>342773486</v>
      </c>
    </row>
    <row r="14" spans="1:6">
      <c r="A14" s="488">
        <f t="shared" si="0"/>
        <v>8</v>
      </c>
      <c r="D14" s="179" t="s">
        <v>318</v>
      </c>
      <c r="E14" s="186" t="s">
        <v>319</v>
      </c>
      <c r="F14" s="187">
        <f>'Schedule 3'!F46</f>
        <v>0.18484581999999999</v>
      </c>
    </row>
    <row r="15" spans="1:6">
      <c r="A15" s="488">
        <f t="shared" si="0"/>
        <v>9</v>
      </c>
      <c r="D15" s="179" t="s">
        <v>317</v>
      </c>
      <c r="E15" s="241" t="s">
        <v>280</v>
      </c>
      <c r="F15" s="185">
        <f>F13*F14</f>
        <v>63360246.093928516</v>
      </c>
    </row>
    <row r="16" spans="1:6">
      <c r="A16" s="488">
        <f t="shared" si="0"/>
        <v>10</v>
      </c>
      <c r="E16" s="182"/>
    </row>
    <row r="17" spans="1:6">
      <c r="A17" s="488">
        <f t="shared" si="0"/>
        <v>11</v>
      </c>
      <c r="E17" s="182"/>
    </row>
    <row r="18" spans="1:6">
      <c r="A18" s="488">
        <f t="shared" si="0"/>
        <v>12</v>
      </c>
      <c r="B18" s="184" t="s">
        <v>320</v>
      </c>
    </row>
    <row r="19" spans="1:6">
      <c r="A19" s="488">
        <f t="shared" si="0"/>
        <v>13</v>
      </c>
    </row>
    <row r="20" spans="1:6">
      <c r="A20" s="488">
        <f t="shared" si="0"/>
        <v>14</v>
      </c>
      <c r="D20" s="179" t="s">
        <v>396</v>
      </c>
      <c r="E20" s="186" t="s">
        <v>359</v>
      </c>
      <c r="F20" s="185">
        <f>295105833-0</f>
        <v>295105833</v>
      </c>
    </row>
    <row r="21" spans="1:6">
      <c r="A21" s="488">
        <f t="shared" si="0"/>
        <v>15</v>
      </c>
      <c r="D21" s="179" t="s">
        <v>539</v>
      </c>
      <c r="E21" s="188" t="s">
        <v>319</v>
      </c>
      <c r="F21" s="187">
        <f>'Schedule 3'!F27</f>
        <v>0.12985026</v>
      </c>
    </row>
    <row r="22" spans="1:6">
      <c r="A22" s="488">
        <f t="shared" si="0"/>
        <v>16</v>
      </c>
      <c r="D22" s="179" t="s">
        <v>321</v>
      </c>
      <c r="E22" s="241" t="s">
        <v>281</v>
      </c>
      <c r="F22" s="185">
        <f>F21*F20</f>
        <v>38319569.142566577</v>
      </c>
    </row>
    <row r="23" spans="1:6">
      <c r="A23" s="488">
        <f t="shared" si="0"/>
        <v>17</v>
      </c>
    </row>
    <row r="24" spans="1:6">
      <c r="A24" s="488">
        <f t="shared" si="0"/>
        <v>18</v>
      </c>
    </row>
    <row r="25" spans="1:6">
      <c r="A25" s="488">
        <f t="shared" si="0"/>
        <v>19</v>
      </c>
      <c r="B25" s="184" t="s">
        <v>445</v>
      </c>
    </row>
    <row r="26" spans="1:6">
      <c r="A26" s="488">
        <f t="shared" si="0"/>
        <v>20</v>
      </c>
    </row>
    <row r="27" spans="1:6">
      <c r="A27" s="488">
        <f t="shared" si="0"/>
        <v>21</v>
      </c>
      <c r="D27" s="179" t="s">
        <v>397</v>
      </c>
      <c r="E27" s="186" t="s">
        <v>1129</v>
      </c>
      <c r="F27" s="105">
        <f>110006800-0</f>
        <v>110006800</v>
      </c>
    </row>
    <row r="28" spans="1:6">
      <c r="A28" s="488">
        <f t="shared" si="0"/>
        <v>22</v>
      </c>
      <c r="D28" s="179" t="s">
        <v>539</v>
      </c>
      <c r="E28" s="188" t="s">
        <v>319</v>
      </c>
      <c r="F28" s="187">
        <f>'Schedule 3'!F27</f>
        <v>0.12985026</v>
      </c>
    </row>
    <row r="29" spans="1:6">
      <c r="A29" s="488">
        <f t="shared" si="0"/>
        <v>23</v>
      </c>
      <c r="D29" s="179" t="s">
        <v>322</v>
      </c>
      <c r="E29" s="241" t="s">
        <v>282</v>
      </c>
      <c r="F29" s="185">
        <f>F28*F27</f>
        <v>14284411.581767999</v>
      </c>
    </row>
    <row r="30" spans="1:6">
      <c r="A30" s="488">
        <f t="shared" si="0"/>
        <v>24</v>
      </c>
    </row>
    <row r="31" spans="1:6">
      <c r="A31" s="488">
        <f t="shared" si="0"/>
        <v>25</v>
      </c>
    </row>
    <row r="32" spans="1:6">
      <c r="A32" s="488">
        <f t="shared" si="0"/>
        <v>26</v>
      </c>
      <c r="B32" s="184" t="s">
        <v>323</v>
      </c>
    </row>
    <row r="33" spans="1:6">
      <c r="A33" s="488">
        <f t="shared" si="0"/>
        <v>27</v>
      </c>
    </row>
    <row r="34" spans="1:6">
      <c r="A34" s="488">
        <f t="shared" si="0"/>
        <v>28</v>
      </c>
      <c r="D34" s="179" t="s">
        <v>324</v>
      </c>
      <c r="E34" s="186" t="s">
        <v>941</v>
      </c>
      <c r="F34" s="185">
        <v>60189199</v>
      </c>
    </row>
    <row r="35" spans="1:6">
      <c r="A35" s="488">
        <f t="shared" si="0"/>
        <v>29</v>
      </c>
      <c r="D35" s="179" t="s">
        <v>539</v>
      </c>
      <c r="E35" s="188" t="s">
        <v>319</v>
      </c>
      <c r="F35" s="187">
        <f>'Schedule 3'!F27</f>
        <v>0.12985026</v>
      </c>
    </row>
    <row r="36" spans="1:6">
      <c r="A36" s="488">
        <f t="shared" si="0"/>
        <v>30</v>
      </c>
      <c r="D36" s="179" t="s">
        <v>325</v>
      </c>
      <c r="E36" s="241" t="s">
        <v>283</v>
      </c>
      <c r="F36" s="185">
        <f>F35*F34</f>
        <v>7815583.1393417399</v>
      </c>
    </row>
    <row r="37" spans="1:6">
      <c r="A37" s="488">
        <f t="shared" si="0"/>
        <v>31</v>
      </c>
    </row>
    <row r="38" spans="1:6">
      <c r="A38" s="488">
        <f t="shared" si="0"/>
        <v>32</v>
      </c>
    </row>
    <row r="39" spans="1:6">
      <c r="A39" s="488">
        <f t="shared" si="0"/>
        <v>33</v>
      </c>
      <c r="B39" s="184" t="s">
        <v>494</v>
      </c>
    </row>
    <row r="40" spans="1:6">
      <c r="A40" s="488">
        <f t="shared" si="0"/>
        <v>34</v>
      </c>
      <c r="B40" s="184"/>
    </row>
    <row r="41" spans="1:6">
      <c r="A41" s="488">
        <f t="shared" si="0"/>
        <v>35</v>
      </c>
      <c r="D41" s="179" t="s">
        <v>494</v>
      </c>
      <c r="E41" s="186" t="s">
        <v>1018</v>
      </c>
      <c r="F41" s="185">
        <v>22949058</v>
      </c>
    </row>
    <row r="42" spans="1:6">
      <c r="A42" s="488">
        <f t="shared" si="0"/>
        <v>36</v>
      </c>
      <c r="D42" s="179" t="s">
        <v>539</v>
      </c>
      <c r="E42" s="186" t="s">
        <v>319</v>
      </c>
      <c r="F42" s="187">
        <f>'Schedule 3'!F27</f>
        <v>0.12985026</v>
      </c>
    </row>
    <row r="43" spans="1:6">
      <c r="A43" s="488">
        <f t="shared" si="0"/>
        <v>37</v>
      </c>
      <c r="D43" s="179" t="s">
        <v>504</v>
      </c>
      <c r="E43" s="241" t="s">
        <v>284</v>
      </c>
      <c r="F43" s="185">
        <f>F41*F42</f>
        <v>2979941.1480550799</v>
      </c>
    </row>
    <row r="44" spans="1:6">
      <c r="A44" s="488">
        <f t="shared" si="0"/>
        <v>38</v>
      </c>
    </row>
    <row r="45" spans="1:6">
      <c r="A45" s="488">
        <f t="shared" si="0"/>
        <v>39</v>
      </c>
    </row>
    <row r="46" spans="1:6">
      <c r="A46" s="488">
        <f t="shared" si="0"/>
        <v>40</v>
      </c>
      <c r="B46" s="184" t="s">
        <v>492</v>
      </c>
    </row>
    <row r="47" spans="1:6">
      <c r="A47" s="488">
        <f t="shared" si="0"/>
        <v>41</v>
      </c>
    </row>
    <row r="48" spans="1:6">
      <c r="A48" s="488">
        <f t="shared" si="0"/>
        <v>42</v>
      </c>
      <c r="D48" s="179" t="s">
        <v>481</v>
      </c>
      <c r="E48" s="207"/>
      <c r="F48" s="185">
        <f xml:space="preserve"> F9</f>
        <v>0</v>
      </c>
    </row>
    <row r="49" spans="1:7">
      <c r="A49" s="488">
        <f t="shared" si="0"/>
        <v>43</v>
      </c>
      <c r="D49" s="179" t="s">
        <v>482</v>
      </c>
      <c r="E49" s="186" t="s">
        <v>485</v>
      </c>
      <c r="F49" s="185">
        <f>F10</f>
        <v>406282859</v>
      </c>
    </row>
    <row r="50" spans="1:7">
      <c r="A50" s="488">
        <f t="shared" si="0"/>
        <v>44</v>
      </c>
      <c r="D50" s="179" t="s">
        <v>483</v>
      </c>
      <c r="E50" s="186" t="s">
        <v>484</v>
      </c>
      <c r="F50" s="185">
        <f xml:space="preserve"> F11</f>
        <v>180386916</v>
      </c>
    </row>
    <row r="51" spans="1:7">
      <c r="A51" s="488">
        <f t="shared" si="0"/>
        <v>45</v>
      </c>
      <c r="D51" s="179" t="s">
        <v>480</v>
      </c>
      <c r="E51" s="186" t="s">
        <v>194</v>
      </c>
      <c r="F51" s="185">
        <f xml:space="preserve"> F12</f>
        <v>-243896289</v>
      </c>
    </row>
    <row r="52" spans="1:7">
      <c r="A52" s="488">
        <f t="shared" si="0"/>
        <v>46</v>
      </c>
      <c r="D52" s="179" t="s">
        <v>487</v>
      </c>
      <c r="E52" s="188" t="s">
        <v>276</v>
      </c>
      <c r="F52" s="185">
        <f>SUM(F48:F51)</f>
        <v>342773486</v>
      </c>
    </row>
    <row r="53" spans="1:7">
      <c r="A53" s="488">
        <f t="shared" si="0"/>
        <v>47</v>
      </c>
      <c r="D53" s="179" t="s">
        <v>443</v>
      </c>
      <c r="E53" s="188" t="s">
        <v>319</v>
      </c>
      <c r="F53" s="187">
        <f>'Schedule 3'!F55</f>
        <v>9.4059E-3</v>
      </c>
    </row>
    <row r="54" spans="1:7">
      <c r="A54" s="488">
        <f t="shared" si="0"/>
        <v>48</v>
      </c>
      <c r="D54" s="179" t="s">
        <v>444</v>
      </c>
      <c r="E54" s="241" t="s">
        <v>285</v>
      </c>
      <c r="F54" s="185">
        <f>F52*F53</f>
        <v>3224093.1319674002</v>
      </c>
    </row>
    <row r="55" spans="1:7">
      <c r="A55" s="488">
        <f t="shared" si="0"/>
        <v>49</v>
      </c>
    </row>
    <row r="56" spans="1:7">
      <c r="A56" s="488">
        <f t="shared" si="0"/>
        <v>50</v>
      </c>
      <c r="E56" s="179"/>
      <c r="F56" s="179"/>
    </row>
    <row r="57" spans="1:7">
      <c r="A57" s="488">
        <f t="shared" si="0"/>
        <v>51</v>
      </c>
      <c r="B57" s="184" t="s">
        <v>357</v>
      </c>
      <c r="E57" s="179"/>
      <c r="F57" s="179"/>
    </row>
    <row r="58" spans="1:7">
      <c r="A58" s="488">
        <f t="shared" si="0"/>
        <v>52</v>
      </c>
    </row>
    <row r="59" spans="1:7">
      <c r="A59" s="488">
        <f t="shared" si="0"/>
        <v>53</v>
      </c>
      <c r="D59" s="179" t="s">
        <v>245</v>
      </c>
      <c r="E59" s="186" t="s">
        <v>1318</v>
      </c>
      <c r="F59" s="190">
        <f>'Schedule 2'!F77+'Rate Calculation'!E40+'Rate Calculation'!E41</f>
        <v>19483285.919084284</v>
      </c>
    </row>
    <row r="60" spans="1:7">
      <c r="A60" s="488">
        <f t="shared" si="0"/>
        <v>54</v>
      </c>
      <c r="D60" s="179" t="s">
        <v>402</v>
      </c>
      <c r="E60" s="188" t="s">
        <v>247</v>
      </c>
      <c r="F60" s="185">
        <f>'Schedule 2'!F28</f>
        <v>20276929.535605054</v>
      </c>
    </row>
    <row r="61" spans="1:7">
      <c r="A61" s="488">
        <f t="shared" si="0"/>
        <v>55</v>
      </c>
      <c r="D61" s="179" t="s">
        <v>403</v>
      </c>
      <c r="E61" s="188" t="s">
        <v>286</v>
      </c>
      <c r="F61" s="185">
        <f>(F59+F60)*0.125</f>
        <v>4970026.9318361674</v>
      </c>
      <c r="G61" s="248"/>
    </row>
    <row r="62" spans="1:7">
      <c r="A62" s="488">
        <f t="shared" si="0"/>
        <v>56</v>
      </c>
      <c r="F62" s="249"/>
    </row>
    <row r="63" spans="1:7">
      <c r="A63" s="488">
        <f t="shared" si="0"/>
        <v>57</v>
      </c>
    </row>
    <row r="64" spans="1:7">
      <c r="A64" s="488">
        <f t="shared" si="0"/>
        <v>58</v>
      </c>
      <c r="B64" s="184" t="s">
        <v>431</v>
      </c>
    </row>
    <row r="65" spans="1:6">
      <c r="A65" s="488">
        <f t="shared" si="0"/>
        <v>59</v>
      </c>
    </row>
    <row r="66" spans="1:6">
      <c r="A66" s="488">
        <f t="shared" si="0"/>
        <v>60</v>
      </c>
      <c r="D66" s="179" t="s">
        <v>398</v>
      </c>
      <c r="E66" s="186" t="s">
        <v>457</v>
      </c>
      <c r="F66" s="185">
        <v>12688220</v>
      </c>
    </row>
    <row r="67" spans="1:6">
      <c r="A67" s="488">
        <f t="shared" si="0"/>
        <v>61</v>
      </c>
      <c r="D67" s="179" t="s">
        <v>204</v>
      </c>
      <c r="F67" s="185">
        <v>0</v>
      </c>
    </row>
    <row r="68" spans="1:6">
      <c r="A68" s="488">
        <f t="shared" si="0"/>
        <v>62</v>
      </c>
      <c r="D68" s="179" t="s">
        <v>205</v>
      </c>
      <c r="E68" s="241" t="s">
        <v>277</v>
      </c>
      <c r="F68" s="185">
        <f>F66-F67</f>
        <v>12688220</v>
      </c>
    </row>
    <row r="69" spans="1:6">
      <c r="A69" s="488">
        <f t="shared" si="0"/>
        <v>63</v>
      </c>
      <c r="D69" s="179" t="s">
        <v>539</v>
      </c>
      <c r="E69" s="186" t="s">
        <v>319</v>
      </c>
      <c r="F69" s="187">
        <f>'Schedule 3'!F27</f>
        <v>0.12985026</v>
      </c>
    </row>
    <row r="70" spans="1:6">
      <c r="A70" s="488">
        <f t="shared" si="0"/>
        <v>64</v>
      </c>
      <c r="D70" s="179" t="s">
        <v>432</v>
      </c>
      <c r="E70" s="241" t="s">
        <v>287</v>
      </c>
      <c r="F70" s="185">
        <f>F68*F69</f>
        <v>1647568.6659372</v>
      </c>
    </row>
    <row r="71" spans="1:6">
      <c r="A71" s="488">
        <f t="shared" si="0"/>
        <v>65</v>
      </c>
    </row>
    <row r="72" spans="1:6">
      <c r="A72" s="488">
        <f t="shared" si="0"/>
        <v>66</v>
      </c>
      <c r="B72" s="184" t="s">
        <v>520</v>
      </c>
    </row>
    <row r="73" spans="1:6">
      <c r="A73" s="488">
        <f t="shared" ref="A73:A85" si="1">A72+1</f>
        <v>67</v>
      </c>
      <c r="D73" s="179" t="s">
        <v>520</v>
      </c>
      <c r="E73" s="186" t="s">
        <v>1073</v>
      </c>
      <c r="F73" s="185">
        <f>655550+2630412+72785</f>
        <v>3358747</v>
      </c>
    </row>
    <row r="74" spans="1:6">
      <c r="A74" s="488">
        <f t="shared" si="1"/>
        <v>68</v>
      </c>
      <c r="D74" s="179" t="s">
        <v>539</v>
      </c>
      <c r="E74" s="186" t="s">
        <v>319</v>
      </c>
      <c r="F74" s="187">
        <f>'Schedule 3'!F27</f>
        <v>0.12985026</v>
      </c>
    </row>
    <row r="75" spans="1:6">
      <c r="A75" s="488">
        <f t="shared" si="1"/>
        <v>69</v>
      </c>
      <c r="D75" s="179" t="s">
        <v>521</v>
      </c>
      <c r="E75" s="241" t="s">
        <v>288</v>
      </c>
      <c r="F75" s="185">
        <f>F73*F74</f>
        <v>436134.17122421996</v>
      </c>
    </row>
    <row r="76" spans="1:6">
      <c r="A76" s="488">
        <f t="shared" si="1"/>
        <v>70</v>
      </c>
    </row>
    <row r="77" spans="1:6">
      <c r="A77" s="488">
        <f t="shared" si="1"/>
        <v>71</v>
      </c>
      <c r="B77" s="184" t="s">
        <v>523</v>
      </c>
    </row>
    <row r="78" spans="1:6">
      <c r="A78" s="488">
        <f t="shared" si="1"/>
        <v>72</v>
      </c>
      <c r="D78" s="179" t="s">
        <v>527</v>
      </c>
      <c r="E78" s="186" t="s">
        <v>942</v>
      </c>
      <c r="F78" s="185">
        <v>12836658</v>
      </c>
    </row>
    <row r="79" spans="1:6">
      <c r="A79" s="488">
        <f t="shared" si="1"/>
        <v>73</v>
      </c>
      <c r="D79" s="179" t="s">
        <v>528</v>
      </c>
      <c r="E79" s="186" t="s">
        <v>399</v>
      </c>
      <c r="F79" s="185">
        <v>1384672</v>
      </c>
    </row>
    <row r="80" spans="1:6">
      <c r="A80" s="488">
        <f t="shared" si="1"/>
        <v>74</v>
      </c>
      <c r="D80" s="179" t="s">
        <v>539</v>
      </c>
      <c r="E80" s="186" t="s">
        <v>319</v>
      </c>
      <c r="F80" s="187">
        <f>'Schedule 3'!F27</f>
        <v>0.12985026</v>
      </c>
    </row>
    <row r="81" spans="1:6">
      <c r="A81" s="488">
        <f t="shared" si="1"/>
        <v>75</v>
      </c>
      <c r="D81" s="179" t="s">
        <v>529</v>
      </c>
      <c r="E81" s="241" t="s">
        <v>289</v>
      </c>
      <c r="F81" s="185">
        <f>F79*F80</f>
        <v>179800.01921472</v>
      </c>
    </row>
    <row r="82" spans="1:6">
      <c r="A82" s="488">
        <f t="shared" si="1"/>
        <v>76</v>
      </c>
      <c r="D82" s="179" t="s">
        <v>882</v>
      </c>
      <c r="E82" s="186" t="s">
        <v>400</v>
      </c>
      <c r="F82" s="185">
        <v>3581218</v>
      </c>
    </row>
    <row r="83" spans="1:6">
      <c r="A83" s="488">
        <f t="shared" si="1"/>
        <v>77</v>
      </c>
      <c r="D83" s="179" t="s">
        <v>538</v>
      </c>
      <c r="E83" s="186" t="s">
        <v>319</v>
      </c>
      <c r="F83" s="187">
        <f>'Schedule 3'!F39</f>
        <v>0.19425171999999999</v>
      </c>
    </row>
    <row r="84" spans="1:6">
      <c r="A84" s="488">
        <f t="shared" si="1"/>
        <v>78</v>
      </c>
      <c r="D84" s="179" t="s">
        <v>524</v>
      </c>
      <c r="E84" s="241" t="s">
        <v>290</v>
      </c>
      <c r="F84" s="185">
        <f>F82*F83</f>
        <v>695657.75619495998</v>
      </c>
    </row>
    <row r="85" spans="1:6">
      <c r="A85" s="488">
        <f t="shared" si="1"/>
        <v>79</v>
      </c>
      <c r="D85" s="179" t="s">
        <v>525</v>
      </c>
      <c r="E85" s="241" t="s">
        <v>278</v>
      </c>
      <c r="F85" s="185">
        <f>F78+F81+F84</f>
        <v>13712115.77540968</v>
      </c>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12/31/2012</oddHeader>
    <oddFooter>&amp;L&amp;F, &amp;A</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O80"/>
  <sheetViews>
    <sheetView zoomScaleNormal="100" zoomScaleSheetLayoutView="100" zoomScalePageLayoutView="75" workbookViewId="0">
      <selection activeCell="D4" sqref="D4"/>
    </sheetView>
  </sheetViews>
  <sheetFormatPr defaultRowHeight="12.75"/>
  <cols>
    <col min="1" max="1" width="4.5703125" style="488" customWidth="1"/>
    <col min="2" max="2" width="4" style="179" customWidth="1"/>
    <col min="3" max="3" width="3.7109375" style="181" customWidth="1"/>
    <col min="4" max="4" width="73.7109375" style="179" customWidth="1"/>
    <col min="5" max="5" width="36.5703125" style="186" customWidth="1"/>
    <col min="6" max="6" width="18" style="179" customWidth="1"/>
    <col min="7" max="7" width="9.140625" style="179"/>
    <col min="8" max="8" width="11.28515625" style="179" bestFit="1" customWidth="1"/>
    <col min="9" max="16384" width="9.140625" style="179"/>
  </cols>
  <sheetData>
    <row r="1" spans="1:6">
      <c r="A1" s="668" t="s">
        <v>378</v>
      </c>
      <c r="B1" s="668"/>
      <c r="C1" s="668"/>
      <c r="D1" s="668"/>
      <c r="E1" s="668"/>
      <c r="F1" s="668"/>
    </row>
    <row r="2" spans="1:6">
      <c r="A2" s="668" t="s">
        <v>404</v>
      </c>
      <c r="B2" s="668"/>
      <c r="C2" s="668"/>
      <c r="D2" s="668"/>
      <c r="E2" s="668"/>
      <c r="F2" s="668"/>
    </row>
    <row r="6" spans="1:6">
      <c r="E6" s="182" t="s">
        <v>233</v>
      </c>
      <c r="F6" s="183" t="s">
        <v>234</v>
      </c>
    </row>
    <row r="7" spans="1:6">
      <c r="A7" s="488">
        <v>1</v>
      </c>
      <c r="B7" s="184" t="s">
        <v>405</v>
      </c>
      <c r="E7" s="182"/>
      <c r="F7" s="185"/>
    </row>
    <row r="8" spans="1:6">
      <c r="A8" s="488">
        <f>A7+1</f>
        <v>2</v>
      </c>
      <c r="E8" s="182"/>
      <c r="F8" s="185"/>
    </row>
    <row r="9" spans="1:6">
      <c r="A9" s="488">
        <f t="shared" ref="A9:A72" si="0">A8+1</f>
        <v>3</v>
      </c>
      <c r="D9" s="179" t="s">
        <v>966</v>
      </c>
      <c r="E9" s="186" t="s">
        <v>1328</v>
      </c>
      <c r="F9" s="185">
        <f>154097684-0</f>
        <v>154097684</v>
      </c>
    </row>
    <row r="10" spans="1:6">
      <c r="A10" s="488">
        <f t="shared" si="0"/>
        <v>4</v>
      </c>
      <c r="D10" s="179" t="s">
        <v>451</v>
      </c>
      <c r="E10" s="186" t="s">
        <v>5</v>
      </c>
      <c r="F10" s="185">
        <v>-3506576</v>
      </c>
    </row>
    <row r="11" spans="1:6">
      <c r="A11" s="488">
        <f t="shared" si="0"/>
        <v>5</v>
      </c>
      <c r="D11" s="179" t="s">
        <v>452</v>
      </c>
      <c r="E11" s="186" t="s">
        <v>6</v>
      </c>
      <c r="F11" s="185">
        <v>-5692486</v>
      </c>
    </row>
    <row r="12" spans="1:6">
      <c r="A12" s="488">
        <f t="shared" si="0"/>
        <v>6</v>
      </c>
      <c r="D12" s="179" t="s">
        <v>453</v>
      </c>
      <c r="E12" s="186" t="s">
        <v>7</v>
      </c>
      <c r="F12" s="185">
        <v>-493057</v>
      </c>
    </row>
    <row r="13" spans="1:6">
      <c r="A13" s="488">
        <f t="shared" si="0"/>
        <v>7</v>
      </c>
      <c r="D13" s="179" t="s">
        <v>539</v>
      </c>
      <c r="E13" s="186" t="s">
        <v>319</v>
      </c>
      <c r="F13" s="187">
        <f>'Schedule 3'!F27</f>
        <v>0.12985026</v>
      </c>
    </row>
    <row r="14" spans="1:6">
      <c r="A14" s="488">
        <f t="shared" si="0"/>
        <v>8</v>
      </c>
      <c r="D14" s="179" t="s">
        <v>440</v>
      </c>
      <c r="E14" s="188" t="s">
        <v>296</v>
      </c>
      <c r="F14" s="185">
        <f>(F9+F10+F11+F12) * F13</f>
        <v>18751100.160696898</v>
      </c>
    </row>
    <row r="15" spans="1:6">
      <c r="A15" s="488">
        <f t="shared" si="0"/>
        <v>9</v>
      </c>
      <c r="E15" s="182"/>
      <c r="F15" s="185"/>
    </row>
    <row r="16" spans="1:6">
      <c r="A16" s="488">
        <f t="shared" si="0"/>
        <v>10</v>
      </c>
      <c r="D16" s="179" t="s">
        <v>434</v>
      </c>
      <c r="E16" s="186" t="s">
        <v>805</v>
      </c>
      <c r="F16" s="185">
        <f>-F10</f>
        <v>3506576</v>
      </c>
    </row>
    <row r="17" spans="1:15">
      <c r="A17" s="488">
        <f t="shared" si="0"/>
        <v>11</v>
      </c>
      <c r="D17" s="179" t="s">
        <v>538</v>
      </c>
      <c r="E17" s="186" t="s">
        <v>319</v>
      </c>
      <c r="F17" s="189">
        <f>'Schedule 3'!F39</f>
        <v>0.19425171999999999</v>
      </c>
    </row>
    <row r="18" spans="1:15">
      <c r="A18" s="488">
        <f t="shared" si="0"/>
        <v>12</v>
      </c>
      <c r="D18" s="179" t="s">
        <v>435</v>
      </c>
      <c r="E18" s="188" t="s">
        <v>279</v>
      </c>
      <c r="F18" s="185">
        <f>F16*F17</f>
        <v>681158.41931071994</v>
      </c>
    </row>
    <row r="19" spans="1:15">
      <c r="A19" s="488">
        <f t="shared" si="0"/>
        <v>13</v>
      </c>
      <c r="E19" s="182"/>
      <c r="F19" s="185"/>
    </row>
    <row r="20" spans="1:15">
      <c r="A20" s="488">
        <f t="shared" si="0"/>
        <v>14</v>
      </c>
      <c r="D20" s="179" t="s">
        <v>436</v>
      </c>
      <c r="E20" s="186" t="s">
        <v>1158</v>
      </c>
      <c r="F20" s="185">
        <f>3862917+381035</f>
        <v>4243952</v>
      </c>
      <c r="G20" s="207"/>
      <c r="H20" s="207"/>
      <c r="I20" s="207"/>
      <c r="J20" s="207"/>
      <c r="K20" s="207"/>
      <c r="L20" s="207"/>
      <c r="M20" s="207"/>
      <c r="N20" s="207"/>
      <c r="O20" s="207"/>
    </row>
    <row r="21" spans="1:15">
      <c r="A21" s="488">
        <f t="shared" si="0"/>
        <v>15</v>
      </c>
      <c r="D21" s="179" t="s">
        <v>538</v>
      </c>
      <c r="E21" s="186" t="s">
        <v>319</v>
      </c>
      <c r="F21" s="189">
        <f>'Schedule 3'!F39</f>
        <v>0.19425171999999999</v>
      </c>
    </row>
    <row r="22" spans="1:15">
      <c r="A22" s="488">
        <f t="shared" si="0"/>
        <v>16</v>
      </c>
      <c r="D22" s="179" t="s">
        <v>437</v>
      </c>
      <c r="E22" s="188" t="s">
        <v>281</v>
      </c>
      <c r="F22" s="185">
        <f>F20*F21</f>
        <v>824394.97559743992</v>
      </c>
    </row>
    <row r="23" spans="1:15">
      <c r="A23" s="488">
        <f t="shared" si="0"/>
        <v>17</v>
      </c>
      <c r="E23" s="182"/>
      <c r="F23" s="185"/>
    </row>
    <row r="24" spans="1:15">
      <c r="A24" s="488">
        <f t="shared" si="0"/>
        <v>18</v>
      </c>
      <c r="D24" s="179" t="s">
        <v>438</v>
      </c>
      <c r="E24" s="186" t="s">
        <v>1020</v>
      </c>
      <c r="F24" s="185">
        <f>3190+3421.65</f>
        <v>6611.65</v>
      </c>
    </row>
    <row r="25" spans="1:15">
      <c r="A25" s="488">
        <f t="shared" si="0"/>
        <v>19</v>
      </c>
      <c r="F25" s="189"/>
    </row>
    <row r="26" spans="1:15">
      <c r="A26" s="488">
        <f t="shared" si="0"/>
        <v>20</v>
      </c>
      <c r="D26" s="179" t="s">
        <v>1019</v>
      </c>
      <c r="E26" s="186" t="s">
        <v>531</v>
      </c>
      <c r="F26" s="185">
        <v>13664.33</v>
      </c>
      <c r="H26" s="190"/>
    </row>
    <row r="27" spans="1:15">
      <c r="A27" s="488">
        <f t="shared" si="0"/>
        <v>21</v>
      </c>
      <c r="E27" s="182"/>
      <c r="F27" s="185"/>
    </row>
    <row r="28" spans="1:15">
      <c r="A28" s="488">
        <f t="shared" si="0"/>
        <v>22</v>
      </c>
      <c r="D28" s="179" t="s">
        <v>439</v>
      </c>
      <c r="E28" s="188" t="s">
        <v>208</v>
      </c>
      <c r="F28" s="185">
        <f>F14+F18+F22+F24+F26</f>
        <v>20276929.535605054</v>
      </c>
    </row>
    <row r="29" spans="1:15">
      <c r="A29" s="488">
        <f t="shared" si="0"/>
        <v>23</v>
      </c>
      <c r="E29" s="182"/>
      <c r="F29" s="189"/>
    </row>
    <row r="30" spans="1:15">
      <c r="A30" s="488">
        <f t="shared" si="0"/>
        <v>24</v>
      </c>
      <c r="B30" s="184" t="s">
        <v>37</v>
      </c>
      <c r="F30" s="185"/>
    </row>
    <row r="31" spans="1:15">
      <c r="A31" s="488">
        <f t="shared" si="0"/>
        <v>25</v>
      </c>
      <c r="F31" s="185"/>
    </row>
    <row r="32" spans="1:15">
      <c r="A32" s="488">
        <f t="shared" si="0"/>
        <v>26</v>
      </c>
      <c r="D32" s="179" t="s">
        <v>532</v>
      </c>
      <c r="E32" s="186" t="s">
        <v>943</v>
      </c>
      <c r="F32" s="185">
        <v>10390099</v>
      </c>
    </row>
    <row r="33" spans="1:15">
      <c r="A33" s="488">
        <f t="shared" si="0"/>
        <v>27</v>
      </c>
      <c r="D33" s="179" t="s">
        <v>539</v>
      </c>
      <c r="E33" s="188" t="s">
        <v>319</v>
      </c>
      <c r="F33" s="187">
        <f>'Schedule 3'!F27</f>
        <v>0.12985026</v>
      </c>
    </row>
    <row r="34" spans="1:15">
      <c r="A34" s="488">
        <f t="shared" si="0"/>
        <v>28</v>
      </c>
      <c r="D34" s="179" t="s">
        <v>321</v>
      </c>
      <c r="E34" s="188" t="s">
        <v>291</v>
      </c>
      <c r="F34" s="185">
        <f>F33*F32</f>
        <v>1349157.05657574</v>
      </c>
    </row>
    <row r="35" spans="1:15">
      <c r="A35" s="488">
        <f t="shared" si="0"/>
        <v>29</v>
      </c>
      <c r="F35" s="185"/>
    </row>
    <row r="36" spans="1:15">
      <c r="A36" s="488">
        <f t="shared" si="0"/>
        <v>30</v>
      </c>
      <c r="B36" s="184" t="s">
        <v>406</v>
      </c>
    </row>
    <row r="37" spans="1:15">
      <c r="A37" s="488">
        <f t="shared" si="0"/>
        <v>31</v>
      </c>
    </row>
    <row r="38" spans="1:15">
      <c r="A38" s="488">
        <f t="shared" si="0"/>
        <v>32</v>
      </c>
      <c r="D38" s="179" t="s">
        <v>460</v>
      </c>
      <c r="E38" s="186" t="s">
        <v>1117</v>
      </c>
      <c r="F38" s="105">
        <v>-3266751</v>
      </c>
      <c r="G38" s="207"/>
      <c r="H38" s="207"/>
      <c r="I38" s="207"/>
      <c r="J38" s="207"/>
      <c r="K38" s="207"/>
      <c r="L38" s="207"/>
      <c r="M38" s="207"/>
      <c r="N38" s="207"/>
      <c r="O38" s="207"/>
    </row>
    <row r="39" spans="1:15">
      <c r="A39" s="488">
        <f t="shared" si="0"/>
        <v>33</v>
      </c>
      <c r="D39" s="179" t="s">
        <v>538</v>
      </c>
      <c r="E39" s="186" t="s">
        <v>319</v>
      </c>
      <c r="F39" s="179">
        <f>'Schedule 3'!F39</f>
        <v>0.19425171999999999</v>
      </c>
    </row>
    <row r="40" spans="1:15">
      <c r="A40" s="488">
        <f t="shared" si="0"/>
        <v>34</v>
      </c>
      <c r="D40" s="179" t="s">
        <v>407</v>
      </c>
      <c r="E40" s="188" t="s">
        <v>541</v>
      </c>
      <c r="F40" s="105">
        <f>F38*F39</f>
        <v>-634572.00056171999</v>
      </c>
    </row>
    <row r="41" spans="1:15">
      <c r="A41" s="488">
        <f t="shared" si="0"/>
        <v>35</v>
      </c>
      <c r="D41" s="179" t="s">
        <v>408</v>
      </c>
      <c r="E41" s="191">
        <v>-34</v>
      </c>
      <c r="F41" s="190">
        <f>F40</f>
        <v>-634572.00056171999</v>
      </c>
    </row>
    <row r="42" spans="1:15">
      <c r="A42" s="488">
        <f t="shared" si="0"/>
        <v>36</v>
      </c>
    </row>
    <row r="43" spans="1:15">
      <c r="A43" s="488">
        <f t="shared" si="0"/>
        <v>37</v>
      </c>
    </row>
    <row r="44" spans="1:15">
      <c r="A44" s="488">
        <f t="shared" si="0"/>
        <v>38</v>
      </c>
      <c r="B44" s="184" t="s">
        <v>409</v>
      </c>
    </row>
    <row r="45" spans="1:15">
      <c r="A45" s="488">
        <f t="shared" si="0"/>
        <v>39</v>
      </c>
    </row>
    <row r="46" spans="1:15">
      <c r="A46" s="488">
        <f t="shared" si="0"/>
        <v>40</v>
      </c>
      <c r="D46" s="179" t="s">
        <v>1023</v>
      </c>
      <c r="E46" s="186" t="s">
        <v>1076</v>
      </c>
      <c r="F46" s="192">
        <f>20314893+2407945+270367+985247+1642855</f>
        <v>25621307</v>
      </c>
    </row>
    <row r="47" spans="1:15">
      <c r="A47" s="488">
        <f t="shared" si="0"/>
        <v>41</v>
      </c>
      <c r="D47" s="179" t="s">
        <v>230</v>
      </c>
      <c r="E47" s="186" t="s">
        <v>81</v>
      </c>
      <c r="F47" s="192">
        <f>'Schedule 2 Workpaper page 3'!C12</f>
        <v>5474010</v>
      </c>
    </row>
    <row r="48" spans="1:15">
      <c r="A48" s="488">
        <f t="shared" si="0"/>
        <v>42</v>
      </c>
      <c r="D48" s="179" t="s">
        <v>590</v>
      </c>
      <c r="E48" s="186" t="s">
        <v>1021</v>
      </c>
      <c r="F48" s="105">
        <f>-(F47*'Schedule 3'!F9)</f>
        <v>-132614.18736149999</v>
      </c>
    </row>
    <row r="49" spans="1:6">
      <c r="A49" s="488">
        <f t="shared" si="0"/>
        <v>43</v>
      </c>
      <c r="D49" s="179" t="s">
        <v>591</v>
      </c>
      <c r="E49" s="186" t="s">
        <v>1022</v>
      </c>
      <c r="F49" s="193">
        <f>-(F47*'Schedule 3'!F16)</f>
        <v>-6126.7309524000002</v>
      </c>
    </row>
    <row r="50" spans="1:6">
      <c r="A50" s="488">
        <f t="shared" si="0"/>
        <v>44</v>
      </c>
      <c r="D50" s="179" t="s">
        <v>231</v>
      </c>
      <c r="E50" s="186" t="s">
        <v>81</v>
      </c>
      <c r="F50" s="192">
        <f>'Schedule 2 Workpaper page 3'!C14</f>
        <v>1735071</v>
      </c>
    </row>
    <row r="51" spans="1:6">
      <c r="A51" s="488">
        <f t="shared" si="0"/>
        <v>45</v>
      </c>
      <c r="D51" s="179" t="s">
        <v>539</v>
      </c>
      <c r="E51" s="186" t="s">
        <v>319</v>
      </c>
      <c r="F51" s="194">
        <f>'Schedule 3'!F27</f>
        <v>0.12985026</v>
      </c>
    </row>
    <row r="52" spans="1:6">
      <c r="A52" s="488">
        <f t="shared" si="0"/>
        <v>46</v>
      </c>
      <c r="D52" s="179" t="s">
        <v>454</v>
      </c>
      <c r="E52" s="186" t="s">
        <v>548</v>
      </c>
      <c r="F52" s="192">
        <f>F50*F51</f>
        <v>225299.42046845998</v>
      </c>
    </row>
    <row r="53" spans="1:6">
      <c r="A53" s="488">
        <f t="shared" si="0"/>
        <v>47</v>
      </c>
      <c r="D53" s="179" t="s">
        <v>461</v>
      </c>
      <c r="E53" s="186" t="s">
        <v>433</v>
      </c>
      <c r="F53" s="192">
        <f>13701846+93541+681157+45074</f>
        <v>14521618</v>
      </c>
    </row>
    <row r="54" spans="1:6">
      <c r="A54" s="488">
        <f t="shared" si="0"/>
        <v>48</v>
      </c>
      <c r="D54" s="179" t="s">
        <v>537</v>
      </c>
      <c r="E54" s="186" t="s">
        <v>547</v>
      </c>
      <c r="F54" s="193">
        <f>-F53</f>
        <v>-14521618</v>
      </c>
    </row>
    <row r="55" spans="1:6">
      <c r="A55" s="488">
        <f t="shared" si="0"/>
        <v>49</v>
      </c>
      <c r="D55" s="179" t="s">
        <v>539</v>
      </c>
      <c r="E55" s="186" t="s">
        <v>319</v>
      </c>
      <c r="F55" s="194">
        <f>'Schedule 3'!F27</f>
        <v>0.12985026</v>
      </c>
    </row>
    <row r="56" spans="1:6">
      <c r="A56" s="488">
        <f t="shared" si="0"/>
        <v>50</v>
      </c>
      <c r="D56" s="179" t="s">
        <v>410</v>
      </c>
      <c r="E56" s="188" t="s">
        <v>292</v>
      </c>
      <c r="F56" s="193">
        <f>(F53+F54)*F55</f>
        <v>0</v>
      </c>
    </row>
    <row r="57" spans="1:6">
      <c r="A57" s="488">
        <f t="shared" si="0"/>
        <v>51</v>
      </c>
      <c r="F57" s="192"/>
    </row>
    <row r="58" spans="1:6">
      <c r="A58" s="488">
        <f t="shared" si="0"/>
        <v>52</v>
      </c>
      <c r="D58" s="179" t="s">
        <v>455</v>
      </c>
      <c r="E58" s="188" t="s">
        <v>293</v>
      </c>
      <c r="F58" s="192">
        <f>F47+F48+F49+F52+F56</f>
        <v>5560568.5021545598</v>
      </c>
    </row>
    <row r="59" spans="1:6">
      <c r="A59" s="488">
        <f t="shared" si="0"/>
        <v>53</v>
      </c>
    </row>
    <row r="60" spans="1:6">
      <c r="A60" s="488">
        <f t="shared" si="0"/>
        <v>54</v>
      </c>
    </row>
    <row r="61" spans="1:6">
      <c r="A61" s="488">
        <f t="shared" si="0"/>
        <v>55</v>
      </c>
      <c r="B61" s="184" t="s">
        <v>533</v>
      </c>
    </row>
    <row r="62" spans="1:6">
      <c r="A62" s="488">
        <f t="shared" si="0"/>
        <v>56</v>
      </c>
    </row>
    <row r="63" spans="1:6">
      <c r="A63" s="488">
        <f t="shared" si="0"/>
        <v>57</v>
      </c>
      <c r="D63" s="184" t="s">
        <v>533</v>
      </c>
      <c r="E63" s="186" t="s">
        <v>944</v>
      </c>
      <c r="F63" s="105">
        <v>7483540</v>
      </c>
    </row>
    <row r="64" spans="1:6">
      <c r="A64" s="488">
        <f t="shared" si="0"/>
        <v>58</v>
      </c>
      <c r="D64" s="179" t="s">
        <v>539</v>
      </c>
      <c r="E64" s="186" t="s">
        <v>319</v>
      </c>
      <c r="F64" s="179">
        <f>'Schedule 3'!F27</f>
        <v>0.12985026</v>
      </c>
    </row>
    <row r="65" spans="1:6">
      <c r="A65" s="488">
        <f t="shared" si="0"/>
        <v>59</v>
      </c>
      <c r="D65" s="179" t="s">
        <v>505</v>
      </c>
      <c r="E65" s="188" t="s">
        <v>294</v>
      </c>
      <c r="F65" s="190">
        <f>F63*F64</f>
        <v>971739.61472039996</v>
      </c>
    </row>
    <row r="66" spans="1:6">
      <c r="A66" s="488">
        <f t="shared" si="0"/>
        <v>60</v>
      </c>
    </row>
    <row r="67" spans="1:6">
      <c r="A67" s="488">
        <f t="shared" si="0"/>
        <v>61</v>
      </c>
      <c r="B67" s="184" t="s">
        <v>211</v>
      </c>
    </row>
    <row r="68" spans="1:6">
      <c r="A68" s="488">
        <f t="shared" si="0"/>
        <v>62</v>
      </c>
      <c r="D68" s="181" t="s">
        <v>213</v>
      </c>
      <c r="E68" s="186" t="s">
        <v>212</v>
      </c>
      <c r="F68" s="195">
        <v>18110510</v>
      </c>
    </row>
    <row r="69" spans="1:6">
      <c r="A69" s="488">
        <f t="shared" si="0"/>
        <v>63</v>
      </c>
      <c r="D69" s="179" t="s">
        <v>214</v>
      </c>
      <c r="E69" s="186" t="s">
        <v>185</v>
      </c>
      <c r="F69" s="105">
        <f>- 'Schedule 7'!G80</f>
        <v>-427934.57000000007</v>
      </c>
    </row>
    <row r="70" spans="1:6">
      <c r="A70" s="488">
        <f t="shared" si="0"/>
        <v>64</v>
      </c>
      <c r="D70" s="179" t="s">
        <v>215</v>
      </c>
      <c r="E70" s="186" t="s">
        <v>593</v>
      </c>
      <c r="F70" s="196">
        <f>-'Schedule 8'!G17</f>
        <v>-19563.96</v>
      </c>
    </row>
    <row r="71" spans="1:6">
      <c r="A71" s="488">
        <f t="shared" si="0"/>
        <v>65</v>
      </c>
      <c r="D71" s="179" t="s">
        <v>211</v>
      </c>
      <c r="E71" s="188" t="s">
        <v>295</v>
      </c>
      <c r="F71" s="195">
        <f>SUM(F68:F70)</f>
        <v>17663011.469999999</v>
      </c>
    </row>
    <row r="72" spans="1:6">
      <c r="A72" s="488">
        <f t="shared" si="0"/>
        <v>66</v>
      </c>
    </row>
    <row r="73" spans="1:6">
      <c r="A73" s="488">
        <f>A72+1</f>
        <v>67</v>
      </c>
      <c r="B73" s="184" t="s">
        <v>216</v>
      </c>
    </row>
    <row r="74" spans="1:6">
      <c r="A74" s="488">
        <f>A73+1</f>
        <v>68</v>
      </c>
      <c r="D74" s="179" t="s">
        <v>168</v>
      </c>
      <c r="E74" s="186" t="s">
        <v>1154</v>
      </c>
      <c r="F74" s="411">
        <f>29051217-(83796.24+14190.72)</f>
        <v>28953230.039999999</v>
      </c>
    </row>
    <row r="75" spans="1:6">
      <c r="A75" s="488">
        <f>A74+1</f>
        <v>69</v>
      </c>
      <c r="D75" s="179" t="s">
        <v>198</v>
      </c>
      <c r="E75" s="186" t="s">
        <v>495</v>
      </c>
      <c r="F75" s="193">
        <f>-'Schedule 2 Workpaper page 1'!E58</f>
        <v>-399284.1209157157</v>
      </c>
    </row>
    <row r="76" spans="1:6">
      <c r="A76" s="488">
        <f>A75+1</f>
        <v>70</v>
      </c>
      <c r="D76" s="179" t="s">
        <v>199</v>
      </c>
      <c r="E76" s="186" t="s">
        <v>496</v>
      </c>
      <c r="F76" s="197">
        <f>-'Schedule 2 Workpaper page 2'!F10</f>
        <v>-32406</v>
      </c>
    </row>
    <row r="77" spans="1:6">
      <c r="A77" s="488">
        <f>A76+1</f>
        <v>71</v>
      </c>
      <c r="D77" s="179" t="s">
        <v>217</v>
      </c>
      <c r="E77" s="188" t="s">
        <v>799</v>
      </c>
      <c r="F77" s="195">
        <f>SUM(F74:F76)</f>
        <v>28521539.919084284</v>
      </c>
    </row>
    <row r="80" spans="1:6">
      <c r="D80" s="195"/>
    </row>
  </sheetData>
  <sheetProtection formatCells="0"/>
  <mergeCells count="2">
    <mergeCell ref="A1:F1"/>
    <mergeCell ref="A2:F2"/>
  </mergeCells>
  <phoneticPr fontId="0" type="noConversion"/>
  <conditionalFormatting sqref="F75">
    <cfRule type="cellIs" dxfId="4" priority="2" operator="greaterThan">
      <formula>0</formula>
    </cfRule>
  </conditionalFormatting>
  <conditionalFormatting sqref="F47 F50">
    <cfRule type="cellIs" dxfId="3" priority="1" operator="lessThan">
      <formula>0</formula>
    </cfRule>
  </conditionalFormatting>
  <printOptions horizontalCentered="1"/>
  <pageMargins left="0.75" right="0.75" top="1" bottom="1" header="0.5" footer="0.5"/>
  <pageSetup scale="64" orientation="portrait" r:id="rId1"/>
  <headerFooter alignWithMargins="0">
    <oddHeader>&amp;CIDAHO POWER COMPANY
Transmission Cost of Service Rate Development
12 Months Ended 12/31/2012</oddHeader>
    <oddFooter>&amp;L&amp;F, &amp;A</oddFooter>
  </headerFooter>
  <ignoredErrors>
    <ignoredError sqref="F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22</vt:i4>
      </vt:variant>
    </vt:vector>
  </HeadingPairs>
  <TitlesOfParts>
    <vt:vector size="61"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12'!Print_Area</vt:lpstr>
      <vt:lpstr>'Schedule 13'!Print_Area</vt:lpstr>
      <vt:lpstr>'Schedule 2'!Print_Area</vt:lpstr>
      <vt:lpstr>'Schedule 2 Workpaper page 1'!Print_Area</vt:lpstr>
      <vt:lpstr>'Schedule 2 Workpaper page 4'!Print_Area</vt:lpstr>
      <vt:lpstr>'Schedule 3'!Print_Area</vt:lpstr>
      <vt:lpstr>'Schedule 4 Workpaper page 2'!Print_Area</vt:lpstr>
      <vt:lpstr>'Schedule 4 Workpaper page 4'!Print_Area</vt:lpstr>
      <vt:lpstr>'Schedule 5'!Print_Area</vt:lpstr>
      <vt:lpstr>'Schedule 5 Workpaper '!Print_Area</vt:lpstr>
      <vt:lpstr>'Schedule 7'!Print_Area</vt:lpstr>
      <vt:lpstr>'Schedule 7 Workpaper'!Print_Area</vt:lpstr>
      <vt:lpstr>'Schedule 7, 8 and 9 Rates'!Print_Area</vt:lpstr>
      <vt:lpstr>'Schedule 8'!Print_Area</vt:lpstr>
      <vt:lpstr>'Schedule 8 Workpaper'!Print_Area</vt:lpstr>
      <vt:lpstr>'Schedule 9'!Print_Area</vt:lpstr>
      <vt:lpstr>'Title Page'!Print_Area</vt:lpstr>
      <vt:lpstr>'Schedule 2 Workpaper page 4'!Print_Titles</vt:lpstr>
      <vt:lpstr>'Schedule 4 Workpaper page 2'!Print_Titles</vt:lpstr>
      <vt:lpstr>'Schedule 7 Workpaper'!Print_Titles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2008-08-26T14:24:20Z</cp:lastPrinted>
  <dcterms:created xsi:type="dcterms:W3CDTF">1970-01-01T05:00:00Z</dcterms:created>
  <dcterms:modified xsi:type="dcterms:W3CDTF">2013-07-11T18:28:25Z</dcterms:modified>
</cp:coreProperties>
</file>