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170" windowHeight="6270" tabRatio="882" firstSheet="1" activeTab="1"/>
  </bookViews>
  <sheets>
    <sheet name="Cash Flow - EIA 412" sheetId="1" state="hidden" r:id="rId1"/>
    <sheet name="Att O Flux" sheetId="15" r:id="rId2"/>
    <sheet name="Trial Balance" sheetId="9" r:id="rId3"/>
    <sheet name="Balance sheet" sheetId="2" r:id="rId4"/>
    <sheet name="Income Statement" sheetId="3" r:id="rId5"/>
    <sheet name="Electric Plant" sheetId="4" r:id="rId6"/>
    <sheet name="Taxes" sheetId="5" r:id="rId7"/>
    <sheet name="Op &amp; Maint" sheetId="6" r:id="rId8"/>
    <sheet name="Revenue Credits" sheetId="12" r:id="rId9"/>
    <sheet name="FERC Chgs" sheetId="13" r:id="rId10"/>
    <sheet name="JTS Peak" sheetId="14" r:id="rId11"/>
    <sheet name="Transmission Assets" sheetId="18" r:id="rId12"/>
    <sheet name="CELP Assets" sheetId="11" r:id="rId13"/>
    <sheet name="Peru Assets" sheetId="10" r:id="rId14"/>
    <sheet name="Error Checks" sheetId="17" state="hidden" r:id="rId15"/>
  </sheets>
  <definedNames>
    <definedName name="_xlnm._FilterDatabase" localSheetId="2" hidden="1">'Trial Balance'!$A$1:$F$1512</definedName>
    <definedName name="_xlnm.Print_Area" localSheetId="0">'Cash Flow - EIA 412'!$A$1:$K$245</definedName>
    <definedName name="_xlnm.Print_Area" localSheetId="12">'CELP Assets'!$A$1:$Z$64</definedName>
    <definedName name="_xlnm.Print_Area" localSheetId="5">'Electric Plant'!$A$1:$J$29</definedName>
    <definedName name="_xlnm.Print_Area" localSheetId="9">'FERC Chgs'!$A$1:$G$20</definedName>
    <definedName name="_xlnm.Print_Area" localSheetId="4">'Income Statement'!$A$1:$C$31</definedName>
    <definedName name="_xlnm.Print_Area" localSheetId="10">'JTS Peak'!$A$1:$J$22</definedName>
    <definedName name="_xlnm.Print_Area" localSheetId="7">'Op &amp; Maint'!$A$1:$F$37</definedName>
    <definedName name="_xlnm.Print_Area" localSheetId="13">'Peru Assets'!$A$1:$Z$64</definedName>
    <definedName name="_xlnm.Print_Area" localSheetId="8">'Revenue Credits'!$A$1:$F$46</definedName>
    <definedName name="_xlnm.Print_Area" localSheetId="11">'Transmission Assets'!$A$1:$C$13</definedName>
    <definedName name="_xlnm.Print_Area" localSheetId="2">'Trial Balance'!$A$18:$L$41</definedName>
    <definedName name="_xlnm.Print_Titles" localSheetId="2">'Trial Balance'!$1:$1</definedName>
  </definedNames>
  <calcPr calcId="145621"/>
</workbook>
</file>

<file path=xl/calcChain.xml><?xml version="1.0" encoding="utf-8"?>
<calcChain xmlns="http://schemas.openxmlformats.org/spreadsheetml/2006/main">
  <c r="C9" i="18" l="1"/>
  <c r="C7" i="18"/>
  <c r="C6" i="18"/>
  <c r="C4" i="18"/>
  <c r="D21" i="6" l="1"/>
  <c r="D18" i="6"/>
  <c r="D10" i="6" l="1"/>
  <c r="H27" i="4"/>
  <c r="H28" i="4"/>
  <c r="H25" i="4"/>
  <c r="H20" i="4"/>
  <c r="H19" i="4"/>
  <c r="H18" i="4"/>
  <c r="H17" i="4"/>
  <c r="H15" i="4"/>
  <c r="H12" i="4"/>
  <c r="H13" i="4"/>
  <c r="H14" i="4"/>
  <c r="H11" i="4"/>
  <c r="D29" i="6" l="1"/>
  <c r="E39" i="6"/>
  <c r="E15" i="6"/>
  <c r="D18" i="12" l="1"/>
  <c r="H9" i="10" l="1"/>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C35" i="2" l="1"/>
  <c r="H1318" i="9"/>
  <c r="H1319" i="9"/>
  <c r="H1320" i="9"/>
  <c r="H1321" i="9"/>
  <c r="H1322" i="9"/>
  <c r="H1323" i="9"/>
  <c r="H1324" i="9"/>
  <c r="H1325" i="9"/>
  <c r="H1326" i="9"/>
  <c r="H1316" i="9"/>
  <c r="H1317" i="9"/>
  <c r="H1315" i="9"/>
  <c r="H1314" i="9"/>
  <c r="H1313" i="9"/>
  <c r="T63" i="10" l="1"/>
  <c r="U63" i="10"/>
  <c r="V63" i="10"/>
  <c r="W63" i="10"/>
  <c r="X63" i="10"/>
  <c r="Q63" i="10"/>
  <c r="P64" i="11" l="1"/>
  <c r="O64" i="11"/>
  <c r="N64" i="11"/>
  <c r="M64" i="11"/>
  <c r="L64" i="11"/>
  <c r="K64" i="11"/>
  <c r="Y63" i="11"/>
  <c r="X63" i="11"/>
  <c r="W63" i="11"/>
  <c r="V63" i="11"/>
  <c r="U63" i="11"/>
  <c r="T63" i="11"/>
  <c r="S63" i="11"/>
  <c r="X62" i="11"/>
  <c r="W62" i="11"/>
  <c r="T62" i="11"/>
  <c r="S62" i="11"/>
  <c r="Q62" i="11"/>
  <c r="J62" i="11"/>
  <c r="V62" i="11"/>
  <c r="U62" i="11"/>
  <c r="Q61" i="11"/>
  <c r="Y61" i="11"/>
  <c r="X61" i="11"/>
  <c r="W61" i="11"/>
  <c r="V61" i="11"/>
  <c r="U61" i="11"/>
  <c r="T61" i="11"/>
  <c r="W60" i="11"/>
  <c r="Q60" i="11"/>
  <c r="Y60" i="11"/>
  <c r="X60" i="11"/>
  <c r="V60" i="11"/>
  <c r="U60" i="11"/>
  <c r="T60" i="11"/>
  <c r="Q59" i="11"/>
  <c r="Y59" i="11"/>
  <c r="X59" i="11"/>
  <c r="W59" i="11"/>
  <c r="U59" i="11"/>
  <c r="T59" i="11"/>
  <c r="V58" i="11"/>
  <c r="Q58" i="11"/>
  <c r="Y58" i="11"/>
  <c r="X58" i="11"/>
  <c r="W58" i="11"/>
  <c r="U58" i="11"/>
  <c r="T58" i="11"/>
  <c r="V57" i="11"/>
  <c r="U57" i="11"/>
  <c r="T57" i="11"/>
  <c r="Q57" i="11"/>
  <c r="Y57" i="11"/>
  <c r="X57" i="11"/>
  <c r="W57" i="11"/>
  <c r="H57" i="11"/>
  <c r="U56" i="11"/>
  <c r="Q56" i="11"/>
  <c r="Y56" i="11"/>
  <c r="X56" i="11"/>
  <c r="W56" i="11"/>
  <c r="V56" i="11"/>
  <c r="H56" i="11"/>
  <c r="Q55" i="11"/>
  <c r="Y55" i="11"/>
  <c r="X55" i="11"/>
  <c r="W55" i="11"/>
  <c r="V55" i="11"/>
  <c r="U55" i="11"/>
  <c r="H55" i="11"/>
  <c r="Q54" i="11"/>
  <c r="Y54" i="11"/>
  <c r="X54" i="11"/>
  <c r="W54" i="11"/>
  <c r="V54" i="11"/>
  <c r="U54" i="11"/>
  <c r="T54" i="11"/>
  <c r="X53" i="11"/>
  <c r="Q53" i="11"/>
  <c r="W53" i="11"/>
  <c r="V53" i="11"/>
  <c r="U53" i="11"/>
  <c r="T53" i="11"/>
  <c r="Y52" i="11"/>
  <c r="X52" i="11"/>
  <c r="Q52" i="11"/>
  <c r="W52" i="11"/>
  <c r="V52" i="11"/>
  <c r="U52" i="11"/>
  <c r="T52" i="11"/>
  <c r="Q51" i="11"/>
  <c r="Y51" i="11"/>
  <c r="X51" i="11"/>
  <c r="W51" i="11"/>
  <c r="V51" i="11"/>
  <c r="U51" i="11"/>
  <c r="T51" i="11"/>
  <c r="Q50" i="11"/>
  <c r="Y50" i="11"/>
  <c r="X50" i="11"/>
  <c r="W50" i="11"/>
  <c r="V50" i="11"/>
  <c r="U50" i="11"/>
  <c r="T50" i="11"/>
  <c r="V49" i="11"/>
  <c r="T49" i="11"/>
  <c r="Q49" i="11"/>
  <c r="Y49" i="11"/>
  <c r="X49" i="11"/>
  <c r="W49" i="11"/>
  <c r="U49" i="11"/>
  <c r="U48" i="11"/>
  <c r="Q48" i="11"/>
  <c r="Y48" i="11"/>
  <c r="X48" i="11"/>
  <c r="W48" i="11"/>
  <c r="V48" i="11"/>
  <c r="T48" i="11"/>
  <c r="Q47" i="11"/>
  <c r="Y47" i="11"/>
  <c r="X47" i="11"/>
  <c r="W47" i="11"/>
  <c r="V47" i="11"/>
  <c r="U47" i="11"/>
  <c r="Q46" i="11"/>
  <c r="Y46" i="11"/>
  <c r="X46" i="11"/>
  <c r="W46" i="11"/>
  <c r="V46" i="11"/>
  <c r="U46" i="11"/>
  <c r="T46" i="11"/>
  <c r="Q45" i="11"/>
  <c r="Y45" i="11"/>
  <c r="X45" i="11"/>
  <c r="W45" i="11"/>
  <c r="V45" i="11"/>
  <c r="U45" i="11"/>
  <c r="T45" i="11"/>
  <c r="X44" i="11"/>
  <c r="T44" i="11"/>
  <c r="Q44" i="11"/>
  <c r="Y44" i="11"/>
  <c r="W44" i="11"/>
  <c r="V44" i="11"/>
  <c r="U44" i="11"/>
  <c r="Q43" i="11"/>
  <c r="Y43" i="11"/>
  <c r="X43" i="11"/>
  <c r="W43" i="11"/>
  <c r="V43" i="11"/>
  <c r="U43" i="11"/>
  <c r="T43" i="11"/>
  <c r="W42" i="11"/>
  <c r="V42" i="11"/>
  <c r="U42" i="11"/>
  <c r="Q42" i="11"/>
  <c r="Y42" i="11"/>
  <c r="X42" i="11"/>
  <c r="T42" i="11"/>
  <c r="V41" i="11"/>
  <c r="U41" i="11"/>
  <c r="Q41" i="11"/>
  <c r="Y41" i="11"/>
  <c r="X41" i="11"/>
  <c r="W41" i="11"/>
  <c r="H41" i="11"/>
  <c r="T40" i="11"/>
  <c r="Q40" i="11"/>
  <c r="Y40" i="11"/>
  <c r="X40" i="11"/>
  <c r="W40" i="11"/>
  <c r="V40" i="11"/>
  <c r="U40" i="11"/>
  <c r="Q39" i="11"/>
  <c r="Y39" i="11"/>
  <c r="X39" i="11"/>
  <c r="W39" i="11"/>
  <c r="V39" i="11"/>
  <c r="U39" i="11"/>
  <c r="T39" i="11"/>
  <c r="Q38" i="11"/>
  <c r="Y38" i="11"/>
  <c r="X38" i="11"/>
  <c r="W38" i="11"/>
  <c r="V38" i="11"/>
  <c r="U38" i="11"/>
  <c r="T38" i="11"/>
  <c r="Q37" i="11"/>
  <c r="Y37" i="11"/>
  <c r="X37" i="11"/>
  <c r="W37" i="11"/>
  <c r="V37" i="11"/>
  <c r="U37" i="11"/>
  <c r="T37" i="11"/>
  <c r="Q36" i="11"/>
  <c r="Y36" i="11"/>
  <c r="X36" i="11"/>
  <c r="H36" i="11"/>
  <c r="V36" i="11"/>
  <c r="U36" i="11"/>
  <c r="T36" i="11"/>
  <c r="V35" i="11"/>
  <c r="Q35" i="11"/>
  <c r="Y35" i="11"/>
  <c r="X35" i="11"/>
  <c r="W35" i="11"/>
  <c r="U35" i="11"/>
  <c r="T35" i="11"/>
  <c r="X34" i="11"/>
  <c r="W34" i="11"/>
  <c r="V34" i="11"/>
  <c r="U34" i="11"/>
  <c r="Q34" i="11"/>
  <c r="Y34" i="11"/>
  <c r="T34" i="11"/>
  <c r="W33" i="11"/>
  <c r="V33" i="11"/>
  <c r="Q33" i="11"/>
  <c r="Y33" i="11"/>
  <c r="X33" i="11"/>
  <c r="U33" i="11"/>
  <c r="T33" i="11"/>
  <c r="T32" i="11"/>
  <c r="Q32" i="11"/>
  <c r="Y32" i="11"/>
  <c r="X32" i="11"/>
  <c r="W32" i="11"/>
  <c r="V32" i="11"/>
  <c r="U32" i="11"/>
  <c r="Q31" i="11"/>
  <c r="Y31" i="11"/>
  <c r="X31" i="11"/>
  <c r="W31" i="11"/>
  <c r="V31" i="11"/>
  <c r="U31" i="11"/>
  <c r="T31" i="11"/>
  <c r="Q30" i="11"/>
  <c r="Y30" i="11"/>
  <c r="X30" i="11"/>
  <c r="W30" i="11"/>
  <c r="V30" i="11"/>
  <c r="U30" i="11"/>
  <c r="T30" i="11"/>
  <c r="Y29" i="11"/>
  <c r="U29" i="11"/>
  <c r="Q29" i="11"/>
  <c r="H29" i="11"/>
  <c r="X29" i="11"/>
  <c r="W29" i="11"/>
  <c r="V29" i="11"/>
  <c r="T29" i="11"/>
  <c r="Y28" i="11"/>
  <c r="Q28" i="11"/>
  <c r="X28" i="11"/>
  <c r="W28" i="11"/>
  <c r="V28" i="11"/>
  <c r="U28" i="11"/>
  <c r="T28" i="11"/>
  <c r="Y27" i="11"/>
  <c r="X27" i="11"/>
  <c r="Q27" i="11"/>
  <c r="W27" i="11"/>
  <c r="V27" i="11"/>
  <c r="U27" i="11"/>
  <c r="T27" i="11"/>
  <c r="Q26" i="11"/>
  <c r="Y26" i="11"/>
  <c r="X26" i="11"/>
  <c r="W26" i="11"/>
  <c r="V26" i="11"/>
  <c r="U26" i="11"/>
  <c r="T26" i="11"/>
  <c r="W25" i="11"/>
  <c r="U25" i="11"/>
  <c r="T25" i="11"/>
  <c r="Q25" i="11"/>
  <c r="Y25" i="11"/>
  <c r="X25" i="11"/>
  <c r="V25" i="11"/>
  <c r="H25" i="11"/>
  <c r="X24" i="11"/>
  <c r="U24" i="11"/>
  <c r="Q24" i="11"/>
  <c r="Y24" i="11"/>
  <c r="W24" i="11"/>
  <c r="V24" i="11"/>
  <c r="T24" i="11"/>
  <c r="W23" i="11"/>
  <c r="Q23" i="11"/>
  <c r="Y23" i="11"/>
  <c r="X23" i="11"/>
  <c r="V23" i="11"/>
  <c r="U23" i="11"/>
  <c r="T23" i="11"/>
  <c r="Q22" i="11"/>
  <c r="Y22" i="11"/>
  <c r="X22" i="11"/>
  <c r="W22" i="11"/>
  <c r="V22" i="11"/>
  <c r="U22" i="11"/>
  <c r="T22" i="11"/>
  <c r="Q21" i="11"/>
  <c r="Y21" i="11"/>
  <c r="X21" i="11"/>
  <c r="W21" i="11"/>
  <c r="V21" i="11"/>
  <c r="U21" i="11"/>
  <c r="T21" i="11"/>
  <c r="Q20" i="11"/>
  <c r="Y20" i="11"/>
  <c r="X20" i="11"/>
  <c r="W20" i="11"/>
  <c r="V20" i="11"/>
  <c r="U20" i="11"/>
  <c r="T20" i="11"/>
  <c r="Y19" i="11"/>
  <c r="W19" i="11"/>
  <c r="V19" i="11"/>
  <c r="Q19" i="11"/>
  <c r="X19" i="11"/>
  <c r="U19" i="11"/>
  <c r="T19" i="11"/>
  <c r="X18" i="11"/>
  <c r="V18" i="11"/>
  <c r="Q18" i="11"/>
  <c r="Y18" i="11"/>
  <c r="W18" i="11"/>
  <c r="U18" i="11"/>
  <c r="T18" i="11"/>
  <c r="Y17" i="11"/>
  <c r="V17" i="11"/>
  <c r="T17" i="11"/>
  <c r="Q17" i="11"/>
  <c r="X17" i="11"/>
  <c r="W17" i="11"/>
  <c r="U17" i="11"/>
  <c r="Q16" i="11"/>
  <c r="Y16" i="11"/>
  <c r="X16" i="11"/>
  <c r="W16" i="11"/>
  <c r="V16" i="11"/>
  <c r="U16" i="11"/>
  <c r="T16" i="11"/>
  <c r="Q15" i="11"/>
  <c r="Y15" i="11"/>
  <c r="X15" i="11"/>
  <c r="W15" i="11"/>
  <c r="V15" i="11"/>
  <c r="U15" i="11"/>
  <c r="T15" i="11"/>
  <c r="Q14" i="11"/>
  <c r="Y14" i="11"/>
  <c r="X14" i="11"/>
  <c r="W14" i="11"/>
  <c r="V14" i="11"/>
  <c r="U14" i="11"/>
  <c r="T14" i="11"/>
  <c r="Y13" i="11"/>
  <c r="X13" i="11"/>
  <c r="U13" i="11"/>
  <c r="Q13" i="11"/>
  <c r="W13" i="11"/>
  <c r="V13" i="11"/>
  <c r="T13" i="11"/>
  <c r="Q12" i="11"/>
  <c r="Y12" i="11"/>
  <c r="X12" i="11"/>
  <c r="W12" i="11"/>
  <c r="V12" i="11"/>
  <c r="U12" i="11"/>
  <c r="T12" i="11"/>
  <c r="V11" i="11"/>
  <c r="Q11" i="11"/>
  <c r="Y11" i="11"/>
  <c r="X11" i="11"/>
  <c r="W11" i="11"/>
  <c r="U11" i="11"/>
  <c r="T11" i="11"/>
  <c r="Q10" i="11"/>
  <c r="Y10" i="11"/>
  <c r="X10" i="11"/>
  <c r="W10" i="11"/>
  <c r="V10" i="11"/>
  <c r="U10" i="11"/>
  <c r="T10" i="11"/>
  <c r="W9" i="11"/>
  <c r="V9" i="11"/>
  <c r="U9" i="11"/>
  <c r="Q9" i="11"/>
  <c r="Y9" i="11"/>
  <c r="X9" i="11"/>
  <c r="H9" i="11"/>
  <c r="X8" i="11"/>
  <c r="Q8" i="11"/>
  <c r="Y8" i="11"/>
  <c r="U8" i="11"/>
  <c r="T8" i="11"/>
  <c r="T5" i="11"/>
  <c r="K5" i="11"/>
  <c r="S1" i="11"/>
  <c r="J1" i="11"/>
  <c r="Q64" i="11" l="1"/>
  <c r="Z23" i="11"/>
  <c r="Z48" i="11"/>
  <c r="Z13" i="11"/>
  <c r="Z31" i="11"/>
  <c r="Z29" i="11"/>
  <c r="F64" i="11"/>
  <c r="H21" i="11"/>
  <c r="H31" i="11"/>
  <c r="H34" i="11"/>
  <c r="H44" i="11"/>
  <c r="Z12" i="11"/>
  <c r="D64" i="11"/>
  <c r="Z24" i="11"/>
  <c r="Z18" i="11"/>
  <c r="Z17" i="11"/>
  <c r="H37" i="11"/>
  <c r="G64" i="11"/>
  <c r="Z10" i="11"/>
  <c r="H17" i="11"/>
  <c r="Z20" i="11"/>
  <c r="Z21" i="11"/>
  <c r="Z30" i="11"/>
  <c r="H39" i="11"/>
  <c r="H47" i="11"/>
  <c r="H49" i="11"/>
  <c r="Z22" i="11"/>
  <c r="Z25" i="11"/>
  <c r="H62" i="11"/>
  <c r="H13" i="11"/>
  <c r="H23" i="11"/>
  <c r="Z37" i="11"/>
  <c r="Z40" i="11"/>
  <c r="Z45" i="11"/>
  <c r="Z46" i="11"/>
  <c r="H59" i="11"/>
  <c r="Z61" i="11"/>
  <c r="H15" i="11"/>
  <c r="H48" i="11"/>
  <c r="T9" i="11"/>
  <c r="Z9" i="11" s="1"/>
  <c r="Z39" i="11"/>
  <c r="H40" i="11"/>
  <c r="T41" i="11"/>
  <c r="Z41" i="11" s="1"/>
  <c r="H53" i="11"/>
  <c r="T56" i="11"/>
  <c r="Z56" i="11" s="1"/>
  <c r="Z28" i="11"/>
  <c r="Z54" i="11"/>
  <c r="Z14" i="11"/>
  <c r="Z15" i="11"/>
  <c r="Z38" i="11"/>
  <c r="Z16" i="11"/>
  <c r="Z26" i="11"/>
  <c r="X64" i="11"/>
  <c r="T55" i="11"/>
  <c r="Z55" i="11" s="1"/>
  <c r="E64" i="11"/>
  <c r="Z52" i="11"/>
  <c r="Z60" i="11"/>
  <c r="H61" i="11"/>
  <c r="Z57" i="11"/>
  <c r="H10" i="11"/>
  <c r="H20" i="11"/>
  <c r="H28" i="11"/>
  <c r="H38" i="11"/>
  <c r="H14" i="11"/>
  <c r="Z32" i="11"/>
  <c r="Z42" i="11"/>
  <c r="H46" i="11"/>
  <c r="Y53" i="11"/>
  <c r="Z53" i="11" s="1"/>
  <c r="H54" i="11"/>
  <c r="Y62" i="11"/>
  <c r="Z62" i="11" s="1"/>
  <c r="H32" i="11"/>
  <c r="Z35" i="11"/>
  <c r="H42" i="11"/>
  <c r="Z50" i="11"/>
  <c r="Z58" i="11"/>
  <c r="T47" i="11"/>
  <c r="Z47" i="11" s="1"/>
  <c r="Z11" i="11"/>
  <c r="Z19" i="11"/>
  <c r="Z27" i="11"/>
  <c r="Z49" i="11"/>
  <c r="H12" i="11"/>
  <c r="H18" i="11"/>
  <c r="H26" i="11"/>
  <c r="H22" i="11"/>
  <c r="H30" i="11"/>
  <c r="U64" i="11"/>
  <c r="H16" i="11"/>
  <c r="Z33" i="11"/>
  <c r="Z43" i="11"/>
  <c r="H50" i="11"/>
  <c r="H58" i="11"/>
  <c r="V59" i="11"/>
  <c r="Z63" i="11"/>
  <c r="H45" i="11"/>
  <c r="Z34" i="11"/>
  <c r="H8" i="11"/>
  <c r="B64" i="11"/>
  <c r="H24" i="11"/>
  <c r="C64" i="11"/>
  <c r="V8" i="11"/>
  <c r="V64" i="11" s="1"/>
  <c r="H33" i="11"/>
  <c r="W36" i="11"/>
  <c r="Z36" i="11" s="1"/>
  <c r="Z44" i="11"/>
  <c r="Z51" i="11"/>
  <c r="Z59" i="11"/>
  <c r="H52" i="11"/>
  <c r="H60" i="11"/>
  <c r="W8" i="11"/>
  <c r="H11" i="11"/>
  <c r="H19" i="11"/>
  <c r="H27" i="11"/>
  <c r="H35" i="11"/>
  <c r="H43" i="11"/>
  <c r="H51" i="11"/>
  <c r="Z8" i="11" l="1"/>
  <c r="T64" i="11"/>
  <c r="W64" i="11"/>
  <c r="Z64" i="11"/>
  <c r="Y64" i="11"/>
  <c r="H64" i="11"/>
  <c r="D1512" i="9" l="1"/>
  <c r="D1511" i="9"/>
  <c r="D1510" i="9"/>
  <c r="D1509" i="9"/>
  <c r="D1508" i="9"/>
  <c r="D1507" i="9"/>
  <c r="D1506" i="9"/>
  <c r="D1505" i="9"/>
  <c r="D1504" i="9"/>
  <c r="D1503" i="9"/>
  <c r="D1502" i="9"/>
  <c r="D1501" i="9"/>
  <c r="D1500" i="9"/>
  <c r="D1499" i="9"/>
  <c r="D1498" i="9"/>
  <c r="D1497" i="9"/>
  <c r="D1496" i="9"/>
  <c r="D1495" i="9"/>
  <c r="D1494" i="9"/>
  <c r="D1493" i="9"/>
  <c r="D1492" i="9"/>
  <c r="D1491" i="9"/>
  <c r="D1490" i="9"/>
  <c r="D1489" i="9"/>
  <c r="D1488" i="9"/>
  <c r="D1487" i="9"/>
  <c r="D1486" i="9"/>
  <c r="D1485" i="9"/>
  <c r="D1484" i="9"/>
  <c r="D1483" i="9"/>
  <c r="D1482" i="9"/>
  <c r="D1481" i="9"/>
  <c r="D1480" i="9"/>
  <c r="D1479" i="9"/>
  <c r="D1475" i="9"/>
  <c r="D1474" i="9"/>
  <c r="D1473" i="9"/>
  <c r="D1472" i="9"/>
  <c r="D1471" i="9"/>
  <c r="D1470" i="9"/>
  <c r="D1469" i="9"/>
  <c r="D1468" i="9"/>
  <c r="D1467" i="9"/>
  <c r="D1466" i="9"/>
  <c r="D1465" i="9"/>
  <c r="D1464" i="9"/>
  <c r="D1463" i="9"/>
  <c r="D1462" i="9"/>
  <c r="D1461" i="9"/>
  <c r="D1460" i="9"/>
  <c r="D1459" i="9"/>
  <c r="D1458" i="9"/>
  <c r="D1457" i="9"/>
  <c r="D1456" i="9"/>
  <c r="D1455" i="9"/>
  <c r="D1454" i="9"/>
  <c r="D1453" i="9"/>
  <c r="D1452" i="9"/>
  <c r="D1451" i="9"/>
  <c r="D1450" i="9"/>
  <c r="D1449" i="9"/>
  <c r="D1448" i="9"/>
  <c r="D1447" i="9"/>
  <c r="D1439" i="9"/>
  <c r="D1438" i="9"/>
  <c r="D1437" i="9"/>
  <c r="D1436" i="9"/>
  <c r="D1432" i="9"/>
  <c r="D1431" i="9"/>
  <c r="D1430" i="9"/>
  <c r="D1429" i="9"/>
  <c r="D1428" i="9"/>
  <c r="D1427" i="9"/>
  <c r="D1426" i="9"/>
  <c r="D1425" i="9"/>
  <c r="D1424" i="9"/>
  <c r="D1423" i="9"/>
  <c r="D1422" i="9"/>
  <c r="D1421" i="9"/>
  <c r="D1420" i="9"/>
  <c r="D1419" i="9"/>
  <c r="D1418" i="9"/>
  <c r="D1417" i="9"/>
  <c r="D1408" i="9"/>
  <c r="D1407" i="9"/>
  <c r="D1406" i="9"/>
  <c r="D1405" i="9"/>
  <c r="D1404" i="9"/>
  <c r="D1403" i="9"/>
  <c r="D1402" i="9"/>
  <c r="D1401" i="9"/>
  <c r="D1400" i="9"/>
  <c r="D1399" i="9"/>
  <c r="D1398" i="9"/>
  <c r="D1397" i="9"/>
  <c r="D1396" i="9"/>
  <c r="D1395" i="9"/>
  <c r="D1394" i="9"/>
  <c r="D1393" i="9"/>
  <c r="D1392" i="9"/>
  <c r="D1391" i="9"/>
  <c r="D1390" i="9"/>
  <c r="D1389" i="9"/>
  <c r="D1388" i="9"/>
  <c r="D1387" i="9"/>
  <c r="D1386" i="9"/>
  <c r="D1385" i="9"/>
  <c r="D1384" i="9"/>
  <c r="D1383" i="9"/>
  <c r="D1382" i="9"/>
  <c r="D1381" i="9"/>
  <c r="D1380" i="9"/>
  <c r="D1379" i="9"/>
  <c r="D1378" i="9"/>
  <c r="D1377" i="9"/>
  <c r="D1376" i="9"/>
  <c r="D1375" i="9"/>
  <c r="D1374" i="9"/>
  <c r="D1373" i="9"/>
  <c r="D1372" i="9"/>
  <c r="D1371" i="9"/>
  <c r="D1370" i="9"/>
  <c r="D1369" i="9"/>
  <c r="D1368" i="9"/>
  <c r="D1367" i="9"/>
  <c r="D1366" i="9"/>
  <c r="D1365" i="9"/>
  <c r="D1364" i="9"/>
  <c r="D1363" i="9"/>
  <c r="D1362" i="9"/>
  <c r="D1361" i="9"/>
  <c r="D1360" i="9"/>
  <c r="D1359" i="9"/>
  <c r="D1358" i="9"/>
  <c r="D1357" i="9"/>
  <c r="D1356" i="9"/>
  <c r="D1355" i="9"/>
  <c r="D1354" i="9"/>
  <c r="D1353" i="9"/>
  <c r="D1352" i="9"/>
  <c r="D1351" i="9"/>
  <c r="D1350" i="9"/>
  <c r="D1349" i="9"/>
  <c r="D1348" i="9"/>
  <c r="D1347" i="9"/>
  <c r="D1346" i="9"/>
  <c r="D1345" i="9"/>
  <c r="D1344" i="9"/>
  <c r="D1343" i="9"/>
  <c r="D1342" i="9"/>
  <c r="D1341" i="9"/>
  <c r="D1340" i="9"/>
  <c r="D1339" i="9"/>
  <c r="D1338" i="9"/>
  <c r="D1337" i="9"/>
  <c r="D1336" i="9"/>
  <c r="D1335" i="9"/>
  <c r="D1334" i="9"/>
  <c r="D1333" i="9"/>
  <c r="D1332" i="9"/>
  <c r="D1331" i="9"/>
  <c r="D1330" i="9"/>
  <c r="D1329" i="9"/>
  <c r="D1328" i="9"/>
  <c r="D1324" i="9"/>
  <c r="D1323" i="9"/>
  <c r="D1322" i="9"/>
  <c r="D1321" i="9"/>
  <c r="D1320" i="9"/>
  <c r="D1319" i="9"/>
  <c r="D1318" i="9"/>
  <c r="D1317" i="9"/>
  <c r="D1316" i="9"/>
  <c r="D1315" i="9"/>
  <c r="D1314" i="9"/>
  <c r="D1313" i="9"/>
  <c r="D1312" i="9"/>
  <c r="D1311" i="9"/>
  <c r="D1310" i="9"/>
  <c r="D1309" i="9"/>
  <c r="D1308" i="9"/>
  <c r="D1307" i="9"/>
  <c r="D1306" i="9"/>
  <c r="D1305" i="9"/>
  <c r="D1304" i="9"/>
  <c r="D1303" i="9"/>
  <c r="D1302" i="9"/>
  <c r="D1301" i="9"/>
  <c r="D1300" i="9"/>
  <c r="D1299" i="9"/>
  <c r="D1298" i="9"/>
  <c r="D1297" i="9"/>
  <c r="D1296" i="9"/>
  <c r="D1295" i="9"/>
  <c r="D1294" i="9"/>
  <c r="D1293" i="9"/>
  <c r="D1292" i="9"/>
  <c r="D1291" i="9"/>
  <c r="D1290" i="9"/>
  <c r="D1289" i="9"/>
  <c r="D1288" i="9"/>
  <c r="D1287" i="9"/>
  <c r="D1286" i="9"/>
  <c r="D1285" i="9"/>
  <c r="D1284" i="9"/>
  <c r="D1283" i="9"/>
  <c r="D1282" i="9"/>
  <c r="D1281" i="9"/>
  <c r="D1280" i="9"/>
  <c r="D1279" i="9"/>
  <c r="D1278" i="9"/>
  <c r="D1277" i="9"/>
  <c r="D1276" i="9"/>
  <c r="D1275" i="9"/>
  <c r="D1274" i="9"/>
  <c r="D1273" i="9"/>
  <c r="D1272" i="9"/>
  <c r="D1271" i="9"/>
  <c r="D1270" i="9"/>
  <c r="D1269" i="9"/>
  <c r="D1268" i="9"/>
  <c r="D1267" i="9"/>
  <c r="D1266" i="9"/>
  <c r="D1265" i="9"/>
  <c r="D1264" i="9"/>
  <c r="D1263" i="9"/>
  <c r="D1262" i="9"/>
  <c r="D1261" i="9"/>
  <c r="D1260" i="9"/>
  <c r="D1259" i="9"/>
  <c r="D1258" i="9"/>
  <c r="D1257" i="9"/>
  <c r="D1256" i="9"/>
  <c r="D1255" i="9"/>
  <c r="D1254" i="9"/>
  <c r="D1250" i="9"/>
  <c r="D1249" i="9"/>
  <c r="D1248" i="9"/>
  <c r="D1247" i="9"/>
  <c r="D1246" i="9"/>
  <c r="D1245" i="9"/>
  <c r="D1244" i="9"/>
  <c r="D1243" i="9"/>
  <c r="D1242" i="9"/>
  <c r="D1241" i="9"/>
  <c r="D1240" i="9"/>
  <c r="D1239" i="9"/>
  <c r="D1238" i="9"/>
  <c r="D1237" i="9"/>
  <c r="D1236" i="9"/>
  <c r="D1235" i="9"/>
  <c r="D1234" i="9"/>
  <c r="D1233" i="9"/>
  <c r="D1232" i="9"/>
  <c r="D1231" i="9"/>
  <c r="D1230" i="9"/>
  <c r="D1229" i="9"/>
  <c r="D1228" i="9"/>
  <c r="D1227" i="9"/>
  <c r="D1226" i="9"/>
  <c r="D1225" i="9"/>
  <c r="D1224" i="9"/>
  <c r="D1223" i="9"/>
  <c r="D1222" i="9"/>
  <c r="D1221" i="9"/>
  <c r="D1220" i="9"/>
  <c r="D1219" i="9"/>
  <c r="D1218" i="9"/>
  <c r="D1217" i="9"/>
  <c r="D1216" i="9"/>
  <c r="D1215" i="9"/>
  <c r="D1214" i="9"/>
  <c r="D1213" i="9"/>
  <c r="D1212" i="9"/>
  <c r="D1211" i="9"/>
  <c r="D1210" i="9"/>
  <c r="D1209" i="9"/>
  <c r="D1208" i="9"/>
  <c r="D1207" i="9"/>
  <c r="D1206" i="9"/>
  <c r="D1205" i="9"/>
  <c r="D1204" i="9"/>
  <c r="D1203" i="9"/>
  <c r="D1202" i="9"/>
  <c r="D1201" i="9"/>
  <c r="D1200" i="9"/>
  <c r="D1199" i="9"/>
  <c r="D1198" i="9"/>
  <c r="D1197" i="9"/>
  <c r="D1196" i="9"/>
  <c r="D1195" i="9"/>
  <c r="D1194" i="9"/>
  <c r="D1193" i="9"/>
  <c r="D1192" i="9"/>
  <c r="D1191" i="9"/>
  <c r="D1190" i="9"/>
  <c r="D1189" i="9"/>
  <c r="D1188" i="9"/>
  <c r="D1187" i="9"/>
  <c r="D1186" i="9"/>
  <c r="D1185" i="9"/>
  <c r="D1184" i="9"/>
  <c r="D1180" i="9"/>
  <c r="D1179" i="9"/>
  <c r="D1178" i="9"/>
  <c r="D1177" i="9"/>
  <c r="D1176" i="9"/>
  <c r="D1175" i="9"/>
  <c r="D1174" i="9"/>
  <c r="D1173" i="9"/>
  <c r="D1172" i="9"/>
  <c r="D1171" i="9"/>
  <c r="D1170" i="9"/>
  <c r="D1169" i="9"/>
  <c r="D1168" i="9"/>
  <c r="D1167" i="9"/>
  <c r="D1166" i="9"/>
  <c r="D1165" i="9"/>
  <c r="D1164" i="9"/>
  <c r="D1163" i="9"/>
  <c r="D1162" i="9"/>
  <c r="D1161" i="9"/>
  <c r="D1160" i="9"/>
  <c r="D1159" i="9"/>
  <c r="D1158" i="9"/>
  <c r="D1157" i="9"/>
  <c r="D1156" i="9"/>
  <c r="D1155" i="9"/>
  <c r="D1154" i="9"/>
  <c r="D1153" i="9"/>
  <c r="D1152" i="9"/>
  <c r="D1151" i="9"/>
  <c r="D1150" i="9"/>
  <c r="D1149" i="9"/>
  <c r="D1148" i="9"/>
  <c r="D1147" i="9"/>
  <c r="D1146" i="9"/>
  <c r="D1145" i="9"/>
  <c r="D1144" i="9"/>
  <c r="D1143" i="9"/>
  <c r="D1142" i="9"/>
  <c r="D1141" i="9"/>
  <c r="D1140" i="9"/>
  <c r="D1139" i="9"/>
  <c r="D1138" i="9"/>
  <c r="D1137" i="9"/>
  <c r="D1136" i="9"/>
  <c r="D1135" i="9"/>
  <c r="D1134" i="9"/>
  <c r="D1133" i="9"/>
  <c r="D1132" i="9"/>
  <c r="D1131" i="9"/>
  <c r="D1130" i="9"/>
  <c r="D1129" i="9"/>
  <c r="D1128" i="9"/>
  <c r="D1127" i="9"/>
  <c r="D1126" i="9"/>
  <c r="D1125" i="9"/>
  <c r="D1124" i="9"/>
  <c r="D1123" i="9"/>
  <c r="D1122" i="9"/>
  <c r="D1121" i="9"/>
  <c r="D1120" i="9"/>
  <c r="D1119" i="9"/>
  <c r="D1118" i="9"/>
  <c r="D1117" i="9"/>
  <c r="D1116" i="9"/>
  <c r="D1115" i="9"/>
  <c r="D1114" i="9"/>
  <c r="D1113" i="9"/>
  <c r="D1112" i="9"/>
  <c r="D1111" i="9"/>
  <c r="D1110" i="9"/>
  <c r="D1109" i="9"/>
  <c r="D1108" i="9"/>
  <c r="D1107" i="9"/>
  <c r="D1106" i="9"/>
  <c r="D1105" i="9"/>
  <c r="D1104" i="9"/>
  <c r="D1103" i="9"/>
  <c r="D1102" i="9"/>
  <c r="D1101" i="9"/>
  <c r="D1100" i="9"/>
  <c r="D1099" i="9"/>
  <c r="D1098" i="9"/>
  <c r="D1097" i="9"/>
  <c r="D1096" i="9"/>
  <c r="D1095" i="9"/>
  <c r="D1094" i="9"/>
  <c r="D1093" i="9"/>
  <c r="D1092" i="9"/>
  <c r="D1091" i="9"/>
  <c r="D1090" i="9"/>
  <c r="D1089" i="9"/>
  <c r="D1088" i="9"/>
  <c r="D1087" i="9"/>
  <c r="D1086" i="9"/>
  <c r="D1085" i="9"/>
  <c r="D1084" i="9"/>
  <c r="D1083" i="9"/>
  <c r="D1082" i="9"/>
  <c r="D1081" i="9"/>
  <c r="D1080" i="9"/>
  <c r="D1079" i="9"/>
  <c r="D1078" i="9"/>
  <c r="D1077" i="9"/>
  <c r="D1076" i="9"/>
  <c r="D1075" i="9"/>
  <c r="D1074" i="9"/>
  <c r="D1073" i="9"/>
  <c r="D1072" i="9"/>
  <c r="D1071" i="9"/>
  <c r="D1070" i="9"/>
  <c r="D1069" i="9"/>
  <c r="D1068" i="9"/>
  <c r="D1067" i="9"/>
  <c r="D1066" i="9"/>
  <c r="D1065" i="9"/>
  <c r="D1064" i="9"/>
  <c r="D1063" i="9"/>
  <c r="D1062" i="9"/>
  <c r="D1061" i="9"/>
  <c r="D1060" i="9"/>
  <c r="D1059" i="9"/>
  <c r="D1058" i="9"/>
  <c r="D1057" i="9"/>
  <c r="D1056" i="9"/>
  <c r="D1055" i="9"/>
  <c r="D1054" i="9"/>
  <c r="D1053" i="9"/>
  <c r="D1052" i="9"/>
  <c r="D1051" i="9"/>
  <c r="D1050" i="9"/>
  <c r="D1049" i="9"/>
  <c r="D1048" i="9"/>
  <c r="D1047" i="9"/>
  <c r="D1046" i="9"/>
  <c r="D1045" i="9"/>
  <c r="D1044" i="9"/>
  <c r="D1043" i="9"/>
  <c r="D1042" i="9"/>
  <c r="D1041" i="9"/>
  <c r="D1040" i="9"/>
  <c r="D1039" i="9"/>
  <c r="D1038" i="9"/>
  <c r="D1037" i="9"/>
  <c r="D1036" i="9"/>
  <c r="D1035" i="9"/>
  <c r="D1034" i="9"/>
  <c r="D1033" i="9"/>
  <c r="D1032" i="9"/>
  <c r="D1031" i="9"/>
  <c r="D1030" i="9"/>
  <c r="D1029" i="9"/>
  <c r="D1028" i="9"/>
  <c r="D1027" i="9"/>
  <c r="D1026" i="9"/>
  <c r="D1025" i="9"/>
  <c r="D1024" i="9"/>
  <c r="D1023" i="9"/>
  <c r="D1022" i="9"/>
  <c r="D1021" i="9"/>
  <c r="D1020" i="9"/>
  <c r="D1019" i="9"/>
  <c r="D1018" i="9"/>
  <c r="D1017" i="9"/>
  <c r="D1016" i="9"/>
  <c r="D1015" i="9"/>
  <c r="D1014" i="9"/>
  <c r="D1013" i="9"/>
  <c r="D1012" i="9"/>
  <c r="D1011" i="9"/>
  <c r="D1010" i="9"/>
  <c r="D1009" i="9"/>
  <c r="D1008" i="9"/>
  <c r="D1007" i="9"/>
  <c r="D1006" i="9"/>
  <c r="D1005" i="9"/>
  <c r="D1004" i="9"/>
  <c r="D1003" i="9"/>
  <c r="D1002" i="9"/>
  <c r="D1001" i="9"/>
  <c r="D1000" i="9"/>
  <c r="D996" i="9"/>
  <c r="D995" i="9"/>
  <c r="D994" i="9"/>
  <c r="D993" i="9"/>
  <c r="D992" i="9"/>
  <c r="D991" i="9"/>
  <c r="D990" i="9"/>
  <c r="D989" i="9"/>
  <c r="D988" i="9"/>
  <c r="D987" i="9"/>
  <c r="D986" i="9"/>
  <c r="D985" i="9"/>
  <c r="D984" i="9"/>
  <c r="D983" i="9"/>
  <c r="D982" i="9"/>
  <c r="D981" i="9"/>
  <c r="D980" i="9"/>
  <c r="D979" i="9"/>
  <c r="D978" i="9"/>
  <c r="D977" i="9"/>
  <c r="D976" i="9"/>
  <c r="D975" i="9"/>
  <c r="D974" i="9"/>
  <c r="D973" i="9"/>
  <c r="D972" i="9"/>
  <c r="D971" i="9"/>
  <c r="D970" i="9"/>
  <c r="D969" i="9"/>
  <c r="D968" i="9"/>
  <c r="D967" i="9"/>
  <c r="D966" i="9"/>
  <c r="D965" i="9"/>
  <c r="D964" i="9"/>
  <c r="D963" i="9"/>
  <c r="D962" i="9"/>
  <c r="D961" i="9"/>
  <c r="D960" i="9"/>
  <c r="D959" i="9"/>
  <c r="D958" i="9"/>
  <c r="D957" i="9"/>
  <c r="D956" i="9"/>
  <c r="D955" i="9"/>
  <c r="D954" i="9"/>
  <c r="D953" i="9"/>
  <c r="D952" i="9"/>
  <c r="D951" i="9"/>
  <c r="D950" i="9"/>
  <c r="D949" i="9"/>
  <c r="D948" i="9"/>
  <c r="D947" i="9"/>
  <c r="D946" i="9"/>
  <c r="D945" i="9"/>
  <c r="D944" i="9"/>
  <c r="D943" i="9"/>
  <c r="D942" i="9"/>
  <c r="D941" i="9"/>
  <c r="D940" i="9"/>
  <c r="D939" i="9"/>
  <c r="D938" i="9"/>
  <c r="D937" i="9"/>
  <c r="D936" i="9"/>
  <c r="D935" i="9"/>
  <c r="D934" i="9"/>
  <c r="D933" i="9"/>
  <c r="D932" i="9"/>
  <c r="D931" i="9"/>
  <c r="D930" i="9"/>
  <c r="D929" i="9"/>
  <c r="D928" i="9"/>
  <c r="D927" i="9"/>
  <c r="D926" i="9"/>
  <c r="D925" i="9"/>
  <c r="D924" i="9"/>
  <c r="D923" i="9"/>
  <c r="D922" i="9"/>
  <c r="D921" i="9"/>
  <c r="D920" i="9"/>
  <c r="D919" i="9"/>
  <c r="D918" i="9"/>
  <c r="D917" i="9"/>
  <c r="D916" i="9"/>
  <c r="D915" i="9"/>
  <c r="D914" i="9"/>
  <c r="D913" i="9"/>
  <c r="D912" i="9"/>
  <c r="D911" i="9"/>
  <c r="D910" i="9"/>
  <c r="D909" i="9"/>
  <c r="D908" i="9"/>
  <c r="D907" i="9"/>
  <c r="D906" i="9"/>
  <c r="D902" i="9"/>
  <c r="D901" i="9"/>
  <c r="D900" i="9"/>
  <c r="D899" i="9"/>
  <c r="D898" i="9"/>
  <c r="D897" i="9"/>
  <c r="D896" i="9"/>
  <c r="D895" i="9"/>
  <c r="D894" i="9"/>
  <c r="D893" i="9"/>
  <c r="D892" i="9"/>
  <c r="D891" i="9"/>
  <c r="D890" i="9"/>
  <c r="D889" i="9"/>
  <c r="D888" i="9"/>
  <c r="D887" i="9"/>
  <c r="D886" i="9"/>
  <c r="D885" i="9"/>
  <c r="D884" i="9"/>
  <c r="D883" i="9"/>
  <c r="D882" i="9"/>
  <c r="D881" i="9"/>
  <c r="D880" i="9"/>
  <c r="D879" i="9"/>
  <c r="D878" i="9"/>
  <c r="D877" i="9"/>
  <c r="D876" i="9"/>
  <c r="D875" i="9"/>
  <c r="D874" i="9"/>
  <c r="D873" i="9"/>
  <c r="D872" i="9"/>
  <c r="D871" i="9"/>
  <c r="D870" i="9"/>
  <c r="D869" i="9"/>
  <c r="D868" i="9"/>
  <c r="D867" i="9"/>
  <c r="D866" i="9"/>
  <c r="D865" i="9"/>
  <c r="D864" i="9"/>
  <c r="D863" i="9"/>
  <c r="D862" i="9"/>
  <c r="D861" i="9"/>
  <c r="D860" i="9"/>
  <c r="D859" i="9"/>
  <c r="D858" i="9"/>
  <c r="D857" i="9"/>
  <c r="D856" i="9"/>
  <c r="D855" i="9"/>
  <c r="D854" i="9"/>
  <c r="D853" i="9"/>
  <c r="D852" i="9"/>
  <c r="D851" i="9"/>
  <c r="D850" i="9"/>
  <c r="D849" i="9"/>
  <c r="D848" i="9"/>
  <c r="D847" i="9"/>
  <c r="D846" i="9"/>
  <c r="D845" i="9"/>
  <c r="D844" i="9"/>
  <c r="D843" i="9"/>
  <c r="D842" i="9"/>
  <c r="D841" i="9"/>
  <c r="D840" i="9"/>
  <c r="D839" i="9"/>
  <c r="D838" i="9"/>
  <c r="D837" i="9"/>
  <c r="D836" i="9"/>
  <c r="D835" i="9"/>
  <c r="D834" i="9"/>
  <c r="D833" i="9"/>
  <c r="D832" i="9"/>
  <c r="D831" i="9"/>
  <c r="D830" i="9"/>
  <c r="D829" i="9"/>
  <c r="D828" i="9"/>
  <c r="D827" i="9"/>
  <c r="D826" i="9"/>
  <c r="D825" i="9"/>
  <c r="D824" i="9"/>
  <c r="D823" i="9"/>
  <c r="D822" i="9"/>
  <c r="D821" i="9"/>
  <c r="D820" i="9"/>
  <c r="D819" i="9"/>
  <c r="D818" i="9"/>
  <c r="D817" i="9"/>
  <c r="D816" i="9"/>
  <c r="D815" i="9"/>
  <c r="D814" i="9"/>
  <c r="D813" i="9"/>
  <c r="D812" i="9"/>
  <c r="D811" i="9"/>
  <c r="D810" i="9"/>
  <c r="D809" i="9"/>
  <c r="D808" i="9"/>
  <c r="D807" i="9"/>
  <c r="D806" i="9"/>
  <c r="D805" i="9"/>
  <c r="D804" i="9"/>
  <c r="D803" i="9"/>
  <c r="D802" i="9"/>
  <c r="D801" i="9"/>
  <c r="D800" i="9"/>
  <c r="D799" i="9"/>
  <c r="D798" i="9"/>
  <c r="D797" i="9"/>
  <c r="D796" i="9"/>
  <c r="D795" i="9"/>
  <c r="D794" i="9"/>
  <c r="D793" i="9"/>
  <c r="D792" i="9"/>
  <c r="D791" i="9"/>
  <c r="D790" i="9"/>
  <c r="D789" i="9"/>
  <c r="D788" i="9"/>
  <c r="D787" i="9"/>
  <c r="D786" i="9"/>
  <c r="D785" i="9"/>
  <c r="D784" i="9"/>
  <c r="D783" i="9"/>
  <c r="D782" i="9"/>
  <c r="D781" i="9"/>
  <c r="D780" i="9"/>
  <c r="D779" i="9"/>
  <c r="D778" i="9"/>
  <c r="D777" i="9"/>
  <c r="D776" i="9"/>
  <c r="D775" i="9"/>
  <c r="D774" i="9"/>
  <c r="D773" i="9"/>
  <c r="D772" i="9"/>
  <c r="D771" i="9"/>
  <c r="D770" i="9"/>
  <c r="D769" i="9"/>
  <c r="D768" i="9"/>
  <c r="D767" i="9"/>
  <c r="D766" i="9"/>
  <c r="D765" i="9"/>
  <c r="D764" i="9"/>
  <c r="D763" i="9"/>
  <c r="D762" i="9"/>
  <c r="D761" i="9"/>
  <c r="D760" i="9"/>
  <c r="D759" i="9"/>
  <c r="D758" i="9"/>
  <c r="D754" i="9"/>
  <c r="D753" i="9"/>
  <c r="D752" i="9"/>
  <c r="D751" i="9"/>
  <c r="D750" i="9"/>
  <c r="D749" i="9"/>
  <c r="D748" i="9"/>
  <c r="D747" i="9"/>
  <c r="D746" i="9"/>
  <c r="D745" i="9"/>
  <c r="D744" i="9"/>
  <c r="D743" i="9"/>
  <c r="D742" i="9"/>
  <c r="D741" i="9"/>
  <c r="D740" i="9"/>
  <c r="D739" i="9"/>
  <c r="D738" i="9"/>
  <c r="D737" i="9"/>
  <c r="D736" i="9"/>
  <c r="D735" i="9"/>
  <c r="D734" i="9"/>
  <c r="D733" i="9"/>
  <c r="D732" i="9"/>
  <c r="D731" i="9"/>
  <c r="D730" i="9"/>
  <c r="D729" i="9"/>
  <c r="D728" i="9"/>
  <c r="D727" i="9"/>
  <c r="D726" i="9"/>
  <c r="D725" i="9"/>
  <c r="D724" i="9"/>
  <c r="D723" i="9"/>
  <c r="D722" i="9"/>
  <c r="D718" i="9"/>
  <c r="D717" i="9"/>
  <c r="D716" i="9"/>
  <c r="D715" i="9"/>
  <c r="D714" i="9"/>
  <c r="D713" i="9"/>
  <c r="D712" i="9"/>
  <c r="D711" i="9"/>
  <c r="D710" i="9"/>
  <c r="D709" i="9"/>
  <c r="D708" i="9"/>
  <c r="D707" i="9"/>
  <c r="D706" i="9"/>
  <c r="D705" i="9"/>
  <c r="D704" i="9"/>
  <c r="D703" i="9"/>
  <c r="D702" i="9"/>
  <c r="D701" i="9"/>
  <c r="D700" i="9"/>
  <c r="D699" i="9"/>
  <c r="D698" i="9"/>
  <c r="D697" i="9"/>
  <c r="D696" i="9"/>
  <c r="D695" i="9"/>
  <c r="D694" i="9"/>
  <c r="D693" i="9"/>
  <c r="D692" i="9"/>
  <c r="D691" i="9"/>
  <c r="D690" i="9"/>
  <c r="D689" i="9"/>
  <c r="D688" i="9"/>
  <c r="D687" i="9"/>
  <c r="D686" i="9"/>
  <c r="D685" i="9"/>
  <c r="D684" i="9"/>
  <c r="D683" i="9"/>
  <c r="D682" i="9"/>
  <c r="D681" i="9"/>
  <c r="D680" i="9"/>
  <c r="D679" i="9"/>
  <c r="D678" i="9"/>
  <c r="D677" i="9"/>
  <c r="D676" i="9"/>
  <c r="D675" i="9"/>
  <c r="D674" i="9"/>
  <c r="D673" i="9"/>
  <c r="D672" i="9"/>
  <c r="D671" i="9"/>
  <c r="D670" i="9"/>
  <c r="D669" i="9"/>
  <c r="D668" i="9"/>
  <c r="D667" i="9"/>
  <c r="D666" i="9"/>
  <c r="D665" i="9"/>
  <c r="D664" i="9"/>
  <c r="D663" i="9"/>
  <c r="D662" i="9"/>
  <c r="D661" i="9"/>
  <c r="D660" i="9"/>
  <c r="D659" i="9"/>
  <c r="D658" i="9"/>
  <c r="D657" i="9"/>
  <c r="D656" i="9"/>
  <c r="D655" i="9"/>
  <c r="D654" i="9"/>
  <c r="D653" i="9"/>
  <c r="D652" i="9"/>
  <c r="D651" i="9"/>
  <c r="D650" i="9"/>
  <c r="D649" i="9"/>
  <c r="D648" i="9"/>
  <c r="D647" i="9"/>
  <c r="D646" i="9"/>
  <c r="D645" i="9"/>
  <c r="D644" i="9"/>
  <c r="D643" i="9"/>
  <c r="D642" i="9"/>
  <c r="D641" i="9"/>
  <c r="D640" i="9"/>
  <c r="D639" i="9"/>
  <c r="D638" i="9"/>
  <c r="D637" i="9"/>
  <c r="D636" i="9"/>
  <c r="D635" i="9"/>
  <c r="D634" i="9"/>
  <c r="D633" i="9"/>
  <c r="D632" i="9"/>
  <c r="D631" i="9"/>
  <c r="D630" i="9"/>
  <c r="D629" i="9"/>
  <c r="D628" i="9"/>
  <c r="D627" i="9"/>
  <c r="D626" i="9"/>
  <c r="D625" i="9"/>
  <c r="D624" i="9"/>
  <c r="D623" i="9"/>
  <c r="D622" i="9"/>
  <c r="D621" i="9"/>
  <c r="D620" i="9"/>
  <c r="D619" i="9"/>
  <c r="D618" i="9"/>
  <c r="D617" i="9"/>
  <c r="D616" i="9"/>
  <c r="D615" i="9"/>
  <c r="D614" i="9"/>
  <c r="D613" i="9"/>
  <c r="D612" i="9"/>
  <c r="D611" i="9"/>
  <c r="D610" i="9"/>
  <c r="D609" i="9"/>
  <c r="D608" i="9"/>
  <c r="D607" i="9"/>
  <c r="D606" i="9"/>
  <c r="D605" i="9"/>
  <c r="D604" i="9"/>
  <c r="D603" i="9"/>
  <c r="D602" i="9"/>
  <c r="D601" i="9"/>
  <c r="D600" i="9"/>
  <c r="D599" i="9"/>
  <c r="D598" i="9"/>
  <c r="D597" i="9"/>
  <c r="D596" i="9"/>
  <c r="D595" i="9"/>
  <c r="D594" i="9"/>
  <c r="D593" i="9"/>
  <c r="D592" i="9"/>
  <c r="D591" i="9"/>
  <c r="D590" i="9"/>
  <c r="D589" i="9"/>
  <c r="D588" i="9"/>
  <c r="D587" i="9"/>
  <c r="D586" i="9"/>
  <c r="D585" i="9"/>
  <c r="D584" i="9"/>
  <c r="D583" i="9"/>
  <c r="D582" i="9"/>
  <c r="D581" i="9"/>
  <c r="D580" i="9"/>
  <c r="D579" i="9"/>
  <c r="D572" i="9"/>
  <c r="D571" i="9"/>
  <c r="D570" i="9"/>
  <c r="D569" i="9"/>
  <c r="D568" i="9"/>
  <c r="D567" i="9"/>
  <c r="D566" i="9"/>
  <c r="D565" i="9"/>
  <c r="D564" i="9"/>
  <c r="D563" i="9"/>
  <c r="D562" i="9"/>
  <c r="D561" i="9"/>
  <c r="D560" i="9"/>
  <c r="D559" i="9"/>
  <c r="D558" i="9"/>
  <c r="D557" i="9"/>
  <c r="D556" i="9"/>
  <c r="D555" i="9"/>
  <c r="D554" i="9"/>
  <c r="D553" i="9"/>
  <c r="D552" i="9"/>
  <c r="D551" i="9"/>
  <c r="D550" i="9"/>
  <c r="D549" i="9"/>
  <c r="D548" i="9"/>
  <c r="D547" i="9"/>
  <c r="D546" i="9"/>
  <c r="D545" i="9"/>
  <c r="D544" i="9"/>
  <c r="D543" i="9"/>
  <c r="D542" i="9"/>
  <c r="D541" i="9"/>
  <c r="D540" i="9"/>
  <c r="D539" i="9"/>
  <c r="D538" i="9"/>
  <c r="D537" i="9"/>
  <c r="D536" i="9"/>
  <c r="D535" i="9"/>
  <c r="D531" i="9"/>
  <c r="D530" i="9"/>
  <c r="D529" i="9"/>
  <c r="D528" i="9"/>
  <c r="D527" i="9"/>
  <c r="D526" i="9"/>
  <c r="D525" i="9"/>
  <c r="D524" i="9"/>
  <c r="D523" i="9"/>
  <c r="D721" i="9"/>
  <c r="D521" i="9"/>
  <c r="D522" i="9"/>
  <c r="D576" i="9"/>
  <c r="D577" i="9"/>
  <c r="D578" i="9"/>
  <c r="D757" i="9"/>
  <c r="D905" i="9"/>
  <c r="D999" i="9"/>
  <c r="D1183" i="9"/>
  <c r="D1253" i="9"/>
  <c r="D1327" i="9"/>
  <c r="D1412" i="9"/>
  <c r="D1413" i="9"/>
  <c r="D1414" i="9"/>
  <c r="D1415" i="9"/>
  <c r="D1416" i="9"/>
  <c r="D1442" i="9"/>
  <c r="D1443" i="9"/>
  <c r="D1444" i="9"/>
  <c r="D1445" i="9"/>
  <c r="D1446" i="9"/>
  <c r="D1478" i="9"/>
  <c r="D515" i="9"/>
  <c r="D514" i="9"/>
  <c r="D513" i="9"/>
  <c r="D512" i="9"/>
  <c r="D511" i="9"/>
  <c r="D510" i="9"/>
  <c r="D509" i="9"/>
  <c r="D508" i="9"/>
  <c r="D507" i="9"/>
  <c r="D506" i="9"/>
  <c r="D505" i="9"/>
  <c r="D504" i="9"/>
  <c r="D503" i="9"/>
  <c r="D502" i="9"/>
  <c r="D501" i="9"/>
  <c r="D500" i="9"/>
  <c r="D499" i="9"/>
  <c r="D498" i="9"/>
  <c r="D497" i="9"/>
  <c r="D496" i="9"/>
  <c r="D495" i="9"/>
  <c r="D494" i="9"/>
  <c r="D490" i="9"/>
  <c r="D486" i="9"/>
  <c r="D485" i="9"/>
  <c r="D484" i="9"/>
  <c r="D483" i="9"/>
  <c r="D482" i="9"/>
  <c r="D481" i="9"/>
  <c r="D477" i="9"/>
  <c r="D476" i="9"/>
  <c r="D472" i="9"/>
  <c r="D465" i="9"/>
  <c r="D464" i="9"/>
  <c r="D463" i="9"/>
  <c r="D462" i="9"/>
  <c r="D458" i="9"/>
  <c r="D457" i="9"/>
  <c r="D456" i="9"/>
  <c r="D455" i="9"/>
  <c r="D454" i="9"/>
  <c r="D453" i="9"/>
  <c r="D452" i="9"/>
  <c r="D451" i="9"/>
  <c r="D450" i="9"/>
  <c r="D449" i="9"/>
  <c r="D448" i="9"/>
  <c r="D447" i="9"/>
  <c r="D446" i="9"/>
  <c r="D445" i="9"/>
  <c r="D441" i="9"/>
  <c r="D440" i="9"/>
  <c r="D420" i="9"/>
  <c r="D419" i="9"/>
  <c r="D418" i="9"/>
  <c r="D417" i="9"/>
  <c r="D416" i="9"/>
  <c r="D415" i="9"/>
  <c r="D414" i="9"/>
  <c r="D413" i="9"/>
  <c r="D412" i="9"/>
  <c r="D411" i="9"/>
  <c r="D410" i="9"/>
  <c r="D409" i="9"/>
  <c r="D408" i="9"/>
  <c r="D407" i="9"/>
  <c r="D406" i="9"/>
  <c r="D405" i="9"/>
  <c r="D404" i="9"/>
  <c r="D403" i="9"/>
  <c r="D402" i="9"/>
  <c r="D401" i="9"/>
  <c r="D400" i="9"/>
  <c r="D396" i="9"/>
  <c r="D395" i="9"/>
  <c r="D394" i="9"/>
  <c r="D393" i="9"/>
  <c r="D392" i="9"/>
  <c r="D391" i="9"/>
  <c r="D390" i="9"/>
  <c r="D389" i="9"/>
  <c r="D388" i="9"/>
  <c r="D387" i="9"/>
  <c r="D386" i="9"/>
  <c r="D385" i="9"/>
  <c r="D384" i="9"/>
  <c r="D377" i="9"/>
  <c r="D376" i="9"/>
  <c r="D375" i="9"/>
  <c r="D374" i="9"/>
  <c r="D373" i="9"/>
  <c r="D372" i="9"/>
  <c r="D371" i="9"/>
  <c r="D370" i="9"/>
  <c r="D369" i="9"/>
  <c r="D368" i="9"/>
  <c r="D367" i="9"/>
  <c r="D366" i="9"/>
  <c r="D365" i="9"/>
  <c r="D364" i="9"/>
  <c r="D363" i="9"/>
  <c r="D362" i="9"/>
  <c r="D361" i="9"/>
  <c r="D360" i="9"/>
  <c r="D359" i="9"/>
  <c r="D358" i="9"/>
  <c r="D357" i="9"/>
  <c r="D356" i="9"/>
  <c r="D355" i="9"/>
  <c r="D354" i="9"/>
  <c r="D353" i="9"/>
  <c r="D352" i="9"/>
  <c r="D351" i="9"/>
  <c r="D347" i="9"/>
  <c r="D346" i="9"/>
  <c r="D345" i="9"/>
  <c r="D344" i="9"/>
  <c r="D343" i="9"/>
  <c r="D342" i="9"/>
  <c r="D341" i="9"/>
  <c r="D340" i="9"/>
  <c r="D339" i="9"/>
  <c r="D338" i="9"/>
  <c r="D337" i="9"/>
  <c r="D336" i="9"/>
  <c r="D335" i="9"/>
  <c r="D334" i="9"/>
  <c r="D333" i="9"/>
  <c r="D332" i="9"/>
  <c r="D331" i="9"/>
  <c r="D330" i="9"/>
  <c r="D329" i="9"/>
  <c r="D328" i="9"/>
  <c r="D327" i="9"/>
  <c r="D326" i="9"/>
  <c r="D325" i="9"/>
  <c r="D324" i="9"/>
  <c r="D323" i="9"/>
  <c r="D322" i="9"/>
  <c r="D321" i="9"/>
  <c r="D317" i="9"/>
  <c r="D313" i="9"/>
  <c r="D312" i="9"/>
  <c r="D311" i="9"/>
  <c r="D310" i="9"/>
  <c r="D309" i="9"/>
  <c r="D308" i="9"/>
  <c r="D307" i="9"/>
  <c r="D306" i="9"/>
  <c r="D302" i="9"/>
  <c r="D301" i="9"/>
  <c r="D300" i="9"/>
  <c r="D299" i="9"/>
  <c r="D298" i="9"/>
  <c r="D297" i="9"/>
  <c r="D296" i="9"/>
  <c r="D295" i="9"/>
  <c r="D294" i="9"/>
  <c r="D293" i="9"/>
  <c r="D292" i="9"/>
  <c r="D291" i="9"/>
  <c r="D290" i="9"/>
  <c r="D289" i="9"/>
  <c r="D283" i="9"/>
  <c r="D282" i="9"/>
  <c r="D281" i="9"/>
  <c r="D280" i="9"/>
  <c r="D279" i="9"/>
  <c r="D278" i="9"/>
  <c r="D277" i="9"/>
  <c r="D276" i="9"/>
  <c r="D275" i="9"/>
  <c r="D274" i="9"/>
  <c r="D273" i="9"/>
  <c r="D272" i="9"/>
  <c r="D271" i="9"/>
  <c r="D270" i="9"/>
  <c r="D269" i="9"/>
  <c r="D268" i="9"/>
  <c r="D267" i="9"/>
  <c r="D266" i="9"/>
  <c r="D265" i="9"/>
  <c r="D264" i="9"/>
  <c r="D263" i="9"/>
  <c r="D262" i="9"/>
  <c r="D261" i="9"/>
  <c r="D260" i="9"/>
  <c r="D259" i="9"/>
  <c r="D258" i="9"/>
  <c r="D257" i="9"/>
  <c r="D256" i="9"/>
  <c r="D255" i="9"/>
  <c r="D254" i="9"/>
  <c r="D253" i="9"/>
  <c r="D252" i="9"/>
  <c r="D251" i="9"/>
  <c r="D250" i="9"/>
  <c r="D249" i="9"/>
  <c r="D248" i="9"/>
  <c r="D247" i="9"/>
  <c r="D246" i="9"/>
  <c r="D245" i="9"/>
  <c r="D244" i="9"/>
  <c r="D243" i="9"/>
  <c r="D242" i="9"/>
  <c r="D241" i="9"/>
  <c r="D240" i="9"/>
  <c r="D235" i="9"/>
  <c r="D234" i="9"/>
  <c r="D233" i="9"/>
  <c r="D232" i="9"/>
  <c r="D231" i="9"/>
  <c r="D230" i="9"/>
  <c r="D229" i="9"/>
  <c r="D223" i="9"/>
  <c r="D222" i="9"/>
  <c r="D221" i="9"/>
  <c r="D220" i="9"/>
  <c r="D219" i="9"/>
  <c r="D218" i="9"/>
  <c r="D217" i="9"/>
  <c r="D216" i="9"/>
  <c r="D215" i="9"/>
  <c r="D214" i="9"/>
  <c r="D213" i="9"/>
  <c r="D212" i="9"/>
  <c r="D211" i="9"/>
  <c r="D210" i="9"/>
  <c r="D209" i="9"/>
  <c r="D208" i="9"/>
  <c r="D207" i="9"/>
  <c r="D206" i="9"/>
  <c r="D205" i="9"/>
  <c r="D204" i="9"/>
  <c r="D203" i="9"/>
  <c r="D202" i="9"/>
  <c r="D201" i="9"/>
  <c r="D200" i="9"/>
  <c r="D199" i="9"/>
  <c r="D198" i="9"/>
  <c r="D197" i="9"/>
  <c r="D196" i="9"/>
  <c r="D195" i="9"/>
  <c r="D194" i="9"/>
  <c r="D193" i="9"/>
  <c r="D192" i="9"/>
  <c r="D191" i="9"/>
  <c r="D190" i="9"/>
  <c r="D189" i="9"/>
  <c r="D188" i="9"/>
  <c r="D187" i="9"/>
  <c r="D186" i="9"/>
  <c r="D185" i="9"/>
  <c r="D184" i="9"/>
  <c r="D183" i="9"/>
  <c r="D182" i="9"/>
  <c r="D181" i="9"/>
  <c r="D180" i="9"/>
  <c r="D179" i="9"/>
  <c r="D178" i="9"/>
  <c r="D177" i="9"/>
  <c r="D176" i="9"/>
  <c r="D175" i="9"/>
  <c r="D174" i="9"/>
  <c r="D173" i="9"/>
  <c r="D172" i="9"/>
  <c r="D171" i="9"/>
  <c r="D170" i="9"/>
  <c r="D169" i="9"/>
  <c r="D168" i="9"/>
  <c r="D167" i="9"/>
  <c r="D166" i="9"/>
  <c r="D165" i="9"/>
  <c r="D160" i="9"/>
  <c r="D159" i="9"/>
  <c r="D158" i="9"/>
  <c r="D157" i="9"/>
  <c r="D156" i="9"/>
  <c r="D155" i="9"/>
  <c r="D154" i="9"/>
  <c r="D153" i="9"/>
  <c r="D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 i="9"/>
  <c r="D4" i="9"/>
  <c r="C20" i="14" l="1"/>
  <c r="I27" i="1" l="1"/>
  <c r="F42" i="15"/>
  <c r="G42" i="15" s="1"/>
  <c r="F19" i="15"/>
  <c r="G19" i="15" s="1"/>
  <c r="C53" i="2" l="1"/>
  <c r="C44" i="2"/>
  <c r="F44" i="2" l="1"/>
  <c r="C50" i="17" l="1"/>
  <c r="C14" i="3"/>
  <c r="H24" i="4"/>
  <c r="H23" i="4"/>
  <c r="H22" i="4"/>
  <c r="G15" i="4"/>
  <c r="G20" i="4" s="1"/>
  <c r="G25" i="4" s="1"/>
  <c r="G28" i="4" s="1"/>
  <c r="I452" i="9" l="1"/>
  <c r="E24" i="12" l="1"/>
  <c r="E5" i="15" l="1"/>
  <c r="D5" i="15"/>
  <c r="D68" i="15"/>
  <c r="F68" i="15" s="1"/>
  <c r="G68" i="15" s="1"/>
  <c r="D67" i="15"/>
  <c r="F67" i="15" s="1"/>
  <c r="G67" i="15" s="1"/>
  <c r="C68" i="15"/>
  <c r="C67" i="15"/>
  <c r="C66" i="15"/>
  <c r="C65" i="15"/>
  <c r="C64" i="15"/>
  <c r="D63" i="15"/>
  <c r="F63" i="15" s="1"/>
  <c r="G63" i="15" s="1"/>
  <c r="D62" i="15"/>
  <c r="F62" i="15" s="1"/>
  <c r="G62" i="15" s="1"/>
  <c r="C63" i="15"/>
  <c r="C62" i="15"/>
  <c r="C61" i="15"/>
  <c r="C60" i="15"/>
  <c r="C59" i="15"/>
  <c r="D58" i="15"/>
  <c r="F58" i="15" s="1"/>
  <c r="G58" i="15" s="1"/>
  <c r="D57" i="15"/>
  <c r="F57" i="15" s="1"/>
  <c r="G57" i="15" s="1"/>
  <c r="C58" i="15"/>
  <c r="C57" i="15"/>
  <c r="C56" i="15"/>
  <c r="D54" i="15"/>
  <c r="F54" i="15" s="1"/>
  <c r="G54" i="15" s="1"/>
  <c r="D53" i="15"/>
  <c r="F53" i="15" s="1"/>
  <c r="G53" i="15" s="1"/>
  <c r="D52" i="15"/>
  <c r="F52" i="15" s="1"/>
  <c r="G52" i="15" s="1"/>
  <c r="D51" i="15"/>
  <c r="F51" i="15" s="1"/>
  <c r="G51" i="15" s="1"/>
  <c r="C55" i="15"/>
  <c r="C54" i="15"/>
  <c r="C53" i="15"/>
  <c r="C52" i="15"/>
  <c r="C51" i="15"/>
  <c r="C50" i="15"/>
  <c r="C49" i="15"/>
  <c r="C48" i="15"/>
  <c r="D47" i="15"/>
  <c r="F47" i="15" s="1"/>
  <c r="G47" i="15" s="1"/>
  <c r="C47" i="15"/>
  <c r="C46" i="15"/>
  <c r="C45" i="15"/>
  <c r="C44" i="15"/>
  <c r="C43" i="15"/>
  <c r="D41" i="15"/>
  <c r="F41" i="15" s="1"/>
  <c r="G41" i="15" s="1"/>
  <c r="D40" i="15"/>
  <c r="F40" i="15" s="1"/>
  <c r="G40" i="15" s="1"/>
  <c r="D39" i="15"/>
  <c r="F39" i="15" s="1"/>
  <c r="G39" i="15" s="1"/>
  <c r="D38" i="15"/>
  <c r="F38" i="15" s="1"/>
  <c r="G38" i="15" s="1"/>
  <c r="C37" i="15"/>
  <c r="D35" i="15"/>
  <c r="F35" i="15" s="1"/>
  <c r="G35" i="15" s="1"/>
  <c r="D34" i="15"/>
  <c r="F34" i="15" s="1"/>
  <c r="G34" i="15" s="1"/>
  <c r="D33" i="15"/>
  <c r="F33" i="15" s="1"/>
  <c r="G33" i="15" s="1"/>
  <c r="C36" i="15"/>
  <c r="C35" i="15"/>
  <c r="C34" i="15"/>
  <c r="C33" i="15"/>
  <c r="C32" i="15"/>
  <c r="C31" i="15"/>
  <c r="D32" i="15"/>
  <c r="F32" i="15" s="1"/>
  <c r="G32" i="15" s="1"/>
  <c r="D31" i="15"/>
  <c r="F31" i="15" s="1"/>
  <c r="G31" i="15" s="1"/>
  <c r="C30" i="15"/>
  <c r="C29" i="15"/>
  <c r="D28" i="15"/>
  <c r="F28" i="15" s="1"/>
  <c r="G28" i="15" s="1"/>
  <c r="D27" i="15"/>
  <c r="F27" i="15" s="1"/>
  <c r="G27" i="15" s="1"/>
  <c r="D26" i="15"/>
  <c r="F26" i="15" s="1"/>
  <c r="G26" i="15" s="1"/>
  <c r="D25" i="15"/>
  <c r="F25" i="15" s="1"/>
  <c r="G25" i="15" s="1"/>
  <c r="D24" i="15"/>
  <c r="F24" i="15" s="1"/>
  <c r="G24" i="15" s="1"/>
  <c r="D21" i="15"/>
  <c r="F21" i="15" s="1"/>
  <c r="G21" i="15" s="1"/>
  <c r="C21" i="15"/>
  <c r="C22" i="15"/>
  <c r="C23" i="15"/>
  <c r="C24" i="15"/>
  <c r="C25" i="15"/>
  <c r="C26" i="15"/>
  <c r="C27" i="15"/>
  <c r="C28" i="15"/>
  <c r="C20" i="15"/>
  <c r="D18" i="15"/>
  <c r="F18" i="15" s="1"/>
  <c r="G18" i="15" s="1"/>
  <c r="C17" i="15"/>
  <c r="C18" i="15" s="1"/>
  <c r="D16" i="15"/>
  <c r="F16" i="15" s="1"/>
  <c r="G16" i="15" s="1"/>
  <c r="D15" i="15"/>
  <c r="F15" i="15" s="1"/>
  <c r="G15" i="15" s="1"/>
  <c r="D14" i="15"/>
  <c r="F14" i="15" s="1"/>
  <c r="G14" i="15" s="1"/>
  <c r="D13" i="15"/>
  <c r="F13" i="15" s="1"/>
  <c r="G13" i="15" s="1"/>
  <c r="D12" i="15"/>
  <c r="F12" i="15" s="1"/>
  <c r="G12" i="15" s="1"/>
  <c r="D11" i="15"/>
  <c r="F11" i="15" s="1"/>
  <c r="G11" i="15" s="1"/>
  <c r="C16" i="15"/>
  <c r="C15" i="15"/>
  <c r="C14" i="15"/>
  <c r="C13" i="15"/>
  <c r="C12" i="15"/>
  <c r="C11" i="15"/>
  <c r="C10" i="15"/>
  <c r="D9" i="15"/>
  <c r="F9" i="15" s="1"/>
  <c r="G9" i="15" s="1"/>
  <c r="D8" i="15"/>
  <c r="F8" i="15" s="1"/>
  <c r="G8" i="15" s="1"/>
  <c r="C9" i="15"/>
  <c r="C8" i="15"/>
  <c r="D7" i="15"/>
  <c r="F7" i="15" s="1"/>
  <c r="G7" i="15" s="1"/>
  <c r="D6" i="15"/>
  <c r="F6" i="15" s="1"/>
  <c r="G6" i="15" s="1"/>
  <c r="C7" i="15"/>
  <c r="C6" i="15"/>
  <c r="A3" i="15"/>
  <c r="G935" i="9"/>
  <c r="H40" i="9"/>
  <c r="G40" i="9"/>
  <c r="H39" i="9"/>
  <c r="G39" i="9"/>
  <c r="H38" i="9"/>
  <c r="G38" i="9"/>
  <c r="H37" i="9"/>
  <c r="G37" i="9"/>
  <c r="H36" i="9"/>
  <c r="G36" i="9"/>
  <c r="C39" i="17"/>
  <c r="G41" i="9" l="1"/>
  <c r="I11" i="4" s="1"/>
  <c r="H41" i="9"/>
  <c r="J922" i="9"/>
  <c r="J924" i="9" s="1"/>
  <c r="I922" i="9"/>
  <c r="I924" i="9" s="1"/>
  <c r="J65" i="9"/>
  <c r="J67" i="9" s="1"/>
  <c r="I65" i="9"/>
  <c r="I67" i="9" s="1"/>
  <c r="I156" i="1" s="1"/>
  <c r="D49" i="15" s="1"/>
  <c r="F49" i="15" s="1"/>
  <c r="G49" i="15" s="1"/>
  <c r="I22" i="9"/>
  <c r="J22" i="9"/>
  <c r="I23" i="9"/>
  <c r="J23" i="9"/>
  <c r="I24" i="9"/>
  <c r="J24" i="9"/>
  <c r="I25" i="9"/>
  <c r="J25" i="9"/>
  <c r="J21" i="9"/>
  <c r="I21" i="9"/>
  <c r="J22" i="4"/>
  <c r="J23" i="4"/>
  <c r="J24" i="4"/>
  <c r="J9" i="4"/>
  <c r="D90" i="1"/>
  <c r="D30" i="15" s="1"/>
  <c r="F30" i="15" s="1"/>
  <c r="G30" i="15" s="1"/>
  <c r="I1433" i="9"/>
  <c r="H1433" i="9"/>
  <c r="A4" i="17"/>
  <c r="I15" i="4" l="1"/>
  <c r="I20" i="4" s="1"/>
  <c r="I25" i="4" s="1"/>
  <c r="I28" i="4" s="1"/>
  <c r="D12" i="17"/>
  <c r="I163" i="1"/>
  <c r="G928" i="9"/>
  <c r="G930" i="9" s="1"/>
  <c r="G936" i="9" s="1"/>
  <c r="I26" i="9"/>
  <c r="I155" i="1" s="1"/>
  <c r="D48" i="15" s="1"/>
  <c r="F48" i="15" s="1"/>
  <c r="G48" i="15" s="1"/>
  <c r="J26" i="9"/>
  <c r="D79" i="1"/>
  <c r="D22" i="15" s="1"/>
  <c r="F22" i="15" s="1"/>
  <c r="G22" i="15" s="1"/>
  <c r="D50" i="15" l="1"/>
  <c r="F50" i="15" s="1"/>
  <c r="G50" i="15" s="1"/>
  <c r="D27" i="6" l="1"/>
  <c r="D23" i="6" l="1"/>
  <c r="C10" i="6"/>
  <c r="E23" i="6"/>
  <c r="E21" i="6"/>
  <c r="D15" i="6"/>
  <c r="E10" i="6" l="1"/>
  <c r="C15" i="6"/>
  <c r="I1434" i="9" l="1"/>
  <c r="I1435" i="9" s="1"/>
  <c r="H1434" i="9"/>
  <c r="B53" i="17"/>
  <c r="F12" i="2"/>
  <c r="C12" i="2"/>
  <c r="B39" i="17" s="1"/>
  <c r="F39" i="17" s="1"/>
  <c r="B56" i="17" l="1"/>
  <c r="H1435" i="9"/>
  <c r="D89" i="1" s="1"/>
  <c r="D187" i="1"/>
  <c r="D61" i="15" s="1"/>
  <c r="F61" i="15" s="1"/>
  <c r="G61" i="15" s="1"/>
  <c r="D16" i="6"/>
  <c r="A17" i="13"/>
  <c r="A16" i="13" s="1"/>
  <c r="A15" i="13" s="1"/>
  <c r="A14" i="13" s="1"/>
  <c r="A13" i="13" s="1"/>
  <c r="A12" i="13" s="1"/>
  <c r="A11" i="13" s="1"/>
  <c r="A10" i="13" s="1"/>
  <c r="A9" i="13" s="1"/>
  <c r="A8" i="13" s="1"/>
  <c r="A7" i="13" s="1"/>
  <c r="A6" i="13" s="1"/>
  <c r="D186" i="1" l="1"/>
  <c r="D60" i="15" s="1"/>
  <c r="F60" i="15" s="1"/>
  <c r="G60" i="15" s="1"/>
  <c r="D29" i="15"/>
  <c r="F29" i="15" s="1"/>
  <c r="G29" i="15" s="1"/>
  <c r="C32" i="17"/>
  <c r="A2" i="14"/>
  <c r="A2" i="13"/>
  <c r="C37" i="14"/>
  <c r="C56" i="14"/>
  <c r="G6" i="13"/>
  <c r="G7" i="13"/>
  <c r="G8" i="13"/>
  <c r="G9" i="13"/>
  <c r="G10" i="13"/>
  <c r="G11" i="13"/>
  <c r="G12" i="13"/>
  <c r="G13" i="13"/>
  <c r="G14" i="13"/>
  <c r="G15" i="13"/>
  <c r="G16" i="13"/>
  <c r="G17" i="13"/>
  <c r="C18" i="13"/>
  <c r="E18" i="13"/>
  <c r="C26" i="12"/>
  <c r="D19" i="12"/>
  <c r="E18" i="12"/>
  <c r="F18" i="12" s="1"/>
  <c r="C30" i="12" s="1"/>
  <c r="E17" i="12"/>
  <c r="F17" i="12" s="1"/>
  <c r="C28" i="12" s="1"/>
  <c r="E16" i="12"/>
  <c r="F16" i="12" s="1"/>
  <c r="E15" i="12"/>
  <c r="F15" i="12" s="1"/>
  <c r="C29" i="12" s="1"/>
  <c r="F10" i="12"/>
  <c r="D9" i="12"/>
  <c r="D8" i="12"/>
  <c r="D7" i="12"/>
  <c r="D6" i="12"/>
  <c r="D5" i="12"/>
  <c r="D4" i="12"/>
  <c r="D10" i="15" l="1"/>
  <c r="F10" i="15" s="1"/>
  <c r="G10" i="15" s="1"/>
  <c r="D10" i="12"/>
  <c r="G18" i="13"/>
  <c r="D45" i="1" s="1"/>
  <c r="D17" i="15" s="1"/>
  <c r="F17" i="15" s="1"/>
  <c r="G17" i="15" s="1"/>
  <c r="C27" i="12"/>
  <c r="F19" i="12"/>
  <c r="C31" i="12" l="1"/>
  <c r="D27" i="12" s="1"/>
  <c r="E27" i="12" s="1"/>
  <c r="D26" i="12" l="1"/>
  <c r="E26" i="12" s="1"/>
  <c r="D30" i="12"/>
  <c r="E30" i="12" s="1"/>
  <c r="E38" i="12" s="1"/>
  <c r="D29" i="12"/>
  <c r="E29" i="12" s="1"/>
  <c r="E37" i="12" s="1"/>
  <c r="D28" i="12"/>
  <c r="E28" i="12" s="1"/>
  <c r="I201" i="1" l="1"/>
  <c r="D66" i="15" s="1"/>
  <c r="F66" i="15" s="1"/>
  <c r="G66" i="15" s="1"/>
  <c r="E35" i="12"/>
  <c r="E31" i="12"/>
  <c r="E36" i="12"/>
  <c r="I200" i="1" l="1"/>
  <c r="D65" i="15" s="1"/>
  <c r="F65" i="15" s="1"/>
  <c r="G65" i="15" s="1"/>
  <c r="E40" i="12"/>
  <c r="I197" i="1"/>
  <c r="D64" i="15" s="1"/>
  <c r="F64" i="15" s="1"/>
  <c r="G64" i="15" s="1"/>
  <c r="P64" i="10"/>
  <c r="O64" i="10"/>
  <c r="N64" i="10"/>
  <c r="M64" i="10"/>
  <c r="L64" i="10"/>
  <c r="K64" i="10"/>
  <c r="Y62" i="10"/>
  <c r="G63" i="10" s="1"/>
  <c r="Y63" i="10" s="1"/>
  <c r="Z63" i="10" s="1"/>
  <c r="X62" i="10"/>
  <c r="W62" i="10"/>
  <c r="V62" i="10"/>
  <c r="U62" i="10"/>
  <c r="T62" i="10"/>
  <c r="Q62" i="10"/>
  <c r="J62" i="10"/>
  <c r="Q61" i="10"/>
  <c r="Y61" i="10"/>
  <c r="X61" i="10"/>
  <c r="W61" i="10"/>
  <c r="V61" i="10"/>
  <c r="U61" i="10"/>
  <c r="T61" i="10"/>
  <c r="Q60" i="10"/>
  <c r="Y60" i="10"/>
  <c r="X60" i="10"/>
  <c r="W60" i="10"/>
  <c r="V60" i="10"/>
  <c r="U60" i="10"/>
  <c r="T60" i="10"/>
  <c r="Q59" i="10"/>
  <c r="Y59" i="10"/>
  <c r="X59" i="10"/>
  <c r="W59" i="10"/>
  <c r="V59" i="10"/>
  <c r="U59" i="10"/>
  <c r="T59" i="10"/>
  <c r="Q58" i="10"/>
  <c r="Y58" i="10"/>
  <c r="X58" i="10"/>
  <c r="W58" i="10"/>
  <c r="V58" i="10"/>
  <c r="U58" i="10"/>
  <c r="T58" i="10"/>
  <c r="Q57" i="10"/>
  <c r="Y57" i="10"/>
  <c r="X57" i="10"/>
  <c r="W57" i="10"/>
  <c r="V57" i="10"/>
  <c r="U57" i="10"/>
  <c r="Q56" i="10"/>
  <c r="Y56" i="10"/>
  <c r="X56" i="10"/>
  <c r="W56" i="10"/>
  <c r="V56" i="10"/>
  <c r="U56" i="10"/>
  <c r="T56" i="10"/>
  <c r="Q55" i="10"/>
  <c r="Y55" i="10"/>
  <c r="X55" i="10"/>
  <c r="W55" i="10"/>
  <c r="V55" i="10"/>
  <c r="U55" i="10"/>
  <c r="T55" i="10"/>
  <c r="Q54" i="10"/>
  <c r="Y54" i="10"/>
  <c r="X54" i="10"/>
  <c r="W54" i="10"/>
  <c r="V54" i="10"/>
  <c r="U54" i="10"/>
  <c r="T54" i="10"/>
  <c r="Q53" i="10"/>
  <c r="Y53" i="10"/>
  <c r="X53" i="10"/>
  <c r="W53" i="10"/>
  <c r="V53" i="10"/>
  <c r="U53" i="10"/>
  <c r="T53" i="10"/>
  <c r="Q52" i="10"/>
  <c r="Y52" i="10"/>
  <c r="X52" i="10"/>
  <c r="W52" i="10"/>
  <c r="V52" i="10"/>
  <c r="U52" i="10"/>
  <c r="T52" i="10"/>
  <c r="Q51" i="10"/>
  <c r="Y51" i="10"/>
  <c r="X51" i="10"/>
  <c r="W51" i="10"/>
  <c r="V51" i="10"/>
  <c r="U51" i="10"/>
  <c r="T51" i="10"/>
  <c r="Q50" i="10"/>
  <c r="Y50" i="10"/>
  <c r="X50" i="10"/>
  <c r="W50" i="10"/>
  <c r="V50" i="10"/>
  <c r="U50" i="10"/>
  <c r="T50" i="10"/>
  <c r="Q49" i="10"/>
  <c r="Y49" i="10"/>
  <c r="X49" i="10"/>
  <c r="W49" i="10"/>
  <c r="V49" i="10"/>
  <c r="U49" i="10"/>
  <c r="Q48" i="10"/>
  <c r="Y48" i="10"/>
  <c r="X48" i="10"/>
  <c r="W48" i="10"/>
  <c r="V48" i="10"/>
  <c r="U48" i="10"/>
  <c r="T48" i="10"/>
  <c r="Q47" i="10"/>
  <c r="Y47" i="10"/>
  <c r="X47" i="10"/>
  <c r="W47" i="10"/>
  <c r="V47" i="10"/>
  <c r="U47" i="10"/>
  <c r="T47" i="10"/>
  <c r="Q46" i="10"/>
  <c r="Y46" i="10"/>
  <c r="X46" i="10"/>
  <c r="W46" i="10"/>
  <c r="V46" i="10"/>
  <c r="U46" i="10"/>
  <c r="T46" i="10"/>
  <c r="Q45" i="10"/>
  <c r="Y45" i="10"/>
  <c r="X45" i="10"/>
  <c r="W45" i="10"/>
  <c r="V45" i="10"/>
  <c r="U45" i="10"/>
  <c r="T45" i="10"/>
  <c r="Q44" i="10"/>
  <c r="Y44" i="10"/>
  <c r="X44" i="10"/>
  <c r="W44" i="10"/>
  <c r="V44" i="10"/>
  <c r="U44" i="10"/>
  <c r="T44" i="10"/>
  <c r="Q43" i="10"/>
  <c r="Y43" i="10"/>
  <c r="X43" i="10"/>
  <c r="W43" i="10"/>
  <c r="V43" i="10"/>
  <c r="U43" i="10"/>
  <c r="T43" i="10"/>
  <c r="Q42" i="10"/>
  <c r="Y42" i="10"/>
  <c r="X42" i="10"/>
  <c r="W42" i="10"/>
  <c r="V42" i="10"/>
  <c r="U42" i="10"/>
  <c r="T42" i="10"/>
  <c r="Q41" i="10"/>
  <c r="Y41" i="10"/>
  <c r="X41" i="10"/>
  <c r="W41" i="10"/>
  <c r="V41" i="10"/>
  <c r="U41" i="10"/>
  <c r="T41" i="10"/>
  <c r="Q40" i="10"/>
  <c r="Y40" i="10"/>
  <c r="X40" i="10"/>
  <c r="W40" i="10"/>
  <c r="V40" i="10"/>
  <c r="U40" i="10"/>
  <c r="T40" i="10"/>
  <c r="W39" i="10"/>
  <c r="Q39" i="10"/>
  <c r="Y39" i="10"/>
  <c r="X39" i="10"/>
  <c r="V39" i="10"/>
  <c r="U39" i="10"/>
  <c r="T39" i="10"/>
  <c r="W38" i="10"/>
  <c r="Q38" i="10"/>
  <c r="Y38" i="10"/>
  <c r="X38" i="10"/>
  <c r="V38" i="10"/>
  <c r="U38" i="10"/>
  <c r="T38" i="10"/>
  <c r="U37" i="10"/>
  <c r="Q37" i="10"/>
  <c r="Y37" i="10"/>
  <c r="X37" i="10"/>
  <c r="W37" i="10"/>
  <c r="V37" i="10"/>
  <c r="T37" i="10"/>
  <c r="Q36" i="10"/>
  <c r="Y36" i="10"/>
  <c r="X36" i="10"/>
  <c r="W36" i="10"/>
  <c r="V36" i="10"/>
  <c r="U36" i="10"/>
  <c r="Q35" i="10"/>
  <c r="Y35" i="10"/>
  <c r="X35" i="10"/>
  <c r="W35" i="10"/>
  <c r="V35" i="10"/>
  <c r="U35" i="10"/>
  <c r="T35" i="10"/>
  <c r="Q34" i="10"/>
  <c r="Y34" i="10"/>
  <c r="X34" i="10"/>
  <c r="W34" i="10"/>
  <c r="V34" i="10"/>
  <c r="U34" i="10"/>
  <c r="T34" i="10"/>
  <c r="Q33" i="10"/>
  <c r="Y33" i="10"/>
  <c r="X33" i="10"/>
  <c r="W33" i="10"/>
  <c r="V33" i="10"/>
  <c r="U33" i="10"/>
  <c r="T33" i="10"/>
  <c r="Q32" i="10"/>
  <c r="Y32" i="10"/>
  <c r="X32" i="10"/>
  <c r="W32" i="10"/>
  <c r="V32" i="10"/>
  <c r="U32" i="10"/>
  <c r="T32" i="10"/>
  <c r="Q31" i="10"/>
  <c r="Y31" i="10"/>
  <c r="X31" i="10"/>
  <c r="W31" i="10"/>
  <c r="V31" i="10"/>
  <c r="U31" i="10"/>
  <c r="T31" i="10"/>
  <c r="Q30" i="10"/>
  <c r="Y30" i="10"/>
  <c r="X30" i="10"/>
  <c r="W30" i="10"/>
  <c r="V30" i="10"/>
  <c r="U30" i="10"/>
  <c r="T30" i="10"/>
  <c r="Q29" i="10"/>
  <c r="Y29" i="10"/>
  <c r="X29" i="10"/>
  <c r="W29" i="10"/>
  <c r="V29" i="10"/>
  <c r="U29" i="10"/>
  <c r="T29" i="10"/>
  <c r="Q28" i="10"/>
  <c r="Y28" i="10"/>
  <c r="X28" i="10"/>
  <c r="W28" i="10"/>
  <c r="V28" i="10"/>
  <c r="U28" i="10"/>
  <c r="T28" i="10"/>
  <c r="Q27" i="10"/>
  <c r="Y27" i="10"/>
  <c r="X27" i="10"/>
  <c r="W27" i="10"/>
  <c r="V27" i="10"/>
  <c r="U27" i="10"/>
  <c r="T27" i="10"/>
  <c r="Q26" i="10"/>
  <c r="Y26" i="10"/>
  <c r="X26" i="10"/>
  <c r="W26" i="10"/>
  <c r="V26" i="10"/>
  <c r="U26" i="10"/>
  <c r="T26" i="10"/>
  <c r="Q25" i="10"/>
  <c r="Y25" i="10"/>
  <c r="X25" i="10"/>
  <c r="W25" i="10"/>
  <c r="V25" i="10"/>
  <c r="U25" i="10"/>
  <c r="T25" i="10"/>
  <c r="Q24" i="10"/>
  <c r="Y24" i="10"/>
  <c r="X24" i="10"/>
  <c r="W24" i="10"/>
  <c r="V24" i="10"/>
  <c r="U24" i="10"/>
  <c r="T24" i="10"/>
  <c r="Q23" i="10"/>
  <c r="Y23" i="10"/>
  <c r="X23" i="10"/>
  <c r="W23" i="10"/>
  <c r="V23" i="10"/>
  <c r="U23" i="10"/>
  <c r="T23" i="10"/>
  <c r="Q22" i="10"/>
  <c r="Y22" i="10"/>
  <c r="X22" i="10"/>
  <c r="W22" i="10"/>
  <c r="V22" i="10"/>
  <c r="U22" i="10"/>
  <c r="T22" i="10"/>
  <c r="Q21" i="10"/>
  <c r="Y21" i="10"/>
  <c r="X21" i="10"/>
  <c r="W21" i="10"/>
  <c r="V21" i="10"/>
  <c r="U21" i="10"/>
  <c r="T21" i="10"/>
  <c r="Q20" i="10"/>
  <c r="Y20" i="10"/>
  <c r="X20" i="10"/>
  <c r="W20" i="10"/>
  <c r="V20" i="10"/>
  <c r="U20" i="10"/>
  <c r="T20" i="10"/>
  <c r="Q19" i="10"/>
  <c r="Y19" i="10"/>
  <c r="X19" i="10"/>
  <c r="W19" i="10"/>
  <c r="V19" i="10"/>
  <c r="U19" i="10"/>
  <c r="T19" i="10"/>
  <c r="Q18" i="10"/>
  <c r="Y18" i="10"/>
  <c r="X18" i="10"/>
  <c r="W18" i="10"/>
  <c r="V18" i="10"/>
  <c r="U18" i="10"/>
  <c r="T18" i="10"/>
  <c r="Q17" i="10"/>
  <c r="Y17" i="10"/>
  <c r="X17" i="10"/>
  <c r="W17" i="10"/>
  <c r="V17" i="10"/>
  <c r="U17" i="10"/>
  <c r="T17" i="10"/>
  <c r="Q16" i="10"/>
  <c r="Y16" i="10"/>
  <c r="X16" i="10"/>
  <c r="W16" i="10"/>
  <c r="V16" i="10"/>
  <c r="U16" i="10"/>
  <c r="T16" i="10"/>
  <c r="Q15" i="10"/>
  <c r="Y15" i="10"/>
  <c r="X15" i="10"/>
  <c r="W15" i="10"/>
  <c r="V15" i="10"/>
  <c r="U15" i="10"/>
  <c r="T15" i="10"/>
  <c r="Q14" i="10"/>
  <c r="Y14" i="10"/>
  <c r="X14" i="10"/>
  <c r="W14" i="10"/>
  <c r="V14" i="10"/>
  <c r="U14" i="10"/>
  <c r="T14" i="10"/>
  <c r="Q13" i="10"/>
  <c r="Y13" i="10"/>
  <c r="X13" i="10"/>
  <c r="W13" i="10"/>
  <c r="V13" i="10"/>
  <c r="U13" i="10"/>
  <c r="T13" i="10"/>
  <c r="Q12" i="10"/>
  <c r="Y12" i="10"/>
  <c r="X12" i="10"/>
  <c r="W12" i="10"/>
  <c r="V12" i="10"/>
  <c r="U12" i="10"/>
  <c r="T12" i="10"/>
  <c r="Q11" i="10"/>
  <c r="Y11" i="10"/>
  <c r="X11" i="10"/>
  <c r="W11" i="10"/>
  <c r="V11" i="10"/>
  <c r="U11" i="10"/>
  <c r="T11" i="10"/>
  <c r="Q10" i="10"/>
  <c r="Y10" i="10"/>
  <c r="X10" i="10"/>
  <c r="V10" i="10"/>
  <c r="U10" i="10"/>
  <c r="T10" i="10"/>
  <c r="Q9" i="10"/>
  <c r="Y9" i="10"/>
  <c r="X9" i="10"/>
  <c r="W9" i="10"/>
  <c r="V9" i="10"/>
  <c r="U9" i="10"/>
  <c r="T9" i="10"/>
  <c r="Q8" i="10"/>
  <c r="Y8" i="10"/>
  <c r="X8" i="10"/>
  <c r="W8" i="10"/>
  <c r="V8" i="10"/>
  <c r="U8" i="10"/>
  <c r="T8" i="10"/>
  <c r="T5" i="10"/>
  <c r="K5" i="10"/>
  <c r="S1" i="10"/>
  <c r="J1" i="10"/>
  <c r="H63" i="10" l="1"/>
  <c r="C21" i="17"/>
  <c r="Z55" i="10"/>
  <c r="Z18" i="10"/>
  <c r="Z44" i="10"/>
  <c r="Z62" i="10"/>
  <c r="E64" i="10"/>
  <c r="Q64" i="10"/>
  <c r="Z17" i="10"/>
  <c r="Z30" i="10"/>
  <c r="Z59" i="10"/>
  <c r="H8" i="10"/>
  <c r="Z14" i="10"/>
  <c r="Z47" i="10"/>
  <c r="Z39" i="10"/>
  <c r="Z41" i="10"/>
  <c r="Z9" i="10"/>
  <c r="Z50" i="10"/>
  <c r="Z35" i="10"/>
  <c r="Z54" i="10"/>
  <c r="Z38" i="10"/>
  <c r="Z22" i="10"/>
  <c r="Z31" i="10"/>
  <c r="Z52" i="10"/>
  <c r="T36" i="10"/>
  <c r="Z36" i="10" s="1"/>
  <c r="Y64" i="10"/>
  <c r="V64" i="10"/>
  <c r="Z27" i="10"/>
  <c r="Z48" i="10"/>
  <c r="Z15" i="10"/>
  <c r="Z21" i="10"/>
  <c r="Z33" i="10"/>
  <c r="Z34" i="10"/>
  <c r="Z40" i="10"/>
  <c r="X64" i="10"/>
  <c r="Z11" i="10"/>
  <c r="Z42" i="10"/>
  <c r="Z23" i="10"/>
  <c r="Z29" i="10"/>
  <c r="Z19" i="10"/>
  <c r="U64" i="10"/>
  <c r="Z13" i="10"/>
  <c r="Z25" i="10"/>
  <c r="Z26" i="10"/>
  <c r="Z46" i="10"/>
  <c r="Z56" i="10"/>
  <c r="Z58" i="10"/>
  <c r="Z20" i="10"/>
  <c r="Z28" i="10"/>
  <c r="Z16" i="10"/>
  <c r="Z60" i="10"/>
  <c r="B64" i="10"/>
  <c r="W10" i="10"/>
  <c r="Z10" i="10" s="1"/>
  <c r="Z37" i="10"/>
  <c r="Z45" i="10"/>
  <c r="Z53" i="10"/>
  <c r="D64" i="10"/>
  <c r="T49" i="10"/>
  <c r="Z49" i="10" s="1"/>
  <c r="C64" i="10"/>
  <c r="Z61" i="10"/>
  <c r="Z12" i="10"/>
  <c r="T57" i="10"/>
  <c r="Z57" i="10" s="1"/>
  <c r="Z8" i="10"/>
  <c r="Z24" i="10"/>
  <c r="Z32" i="10"/>
  <c r="F64" i="10"/>
  <c r="Z43" i="10"/>
  <c r="Z51" i="10"/>
  <c r="G64" i="10"/>
  <c r="H64" i="10" l="1"/>
  <c r="Z64" i="10"/>
  <c r="W64" i="10"/>
  <c r="T64" i="10"/>
  <c r="C12" i="17" l="1"/>
  <c r="C9" i="17"/>
  <c r="I456" i="9"/>
  <c r="I455" i="9"/>
  <c r="I454" i="9"/>
  <c r="I453" i="9"/>
  <c r="I457" i="9" l="1"/>
  <c r="F50" i="2" s="1"/>
  <c r="C25" i="3"/>
  <c r="C24" i="3"/>
  <c r="C20" i="3"/>
  <c r="C19" i="3"/>
  <c r="F20" i="2"/>
  <c r="D184" i="1" s="1"/>
  <c r="D59" i="15" s="1"/>
  <c r="F59" i="15" s="1"/>
  <c r="G59" i="15" s="1"/>
  <c r="C11" i="3"/>
  <c r="C53" i="17" s="1"/>
  <c r="C56" i="17"/>
  <c r="C10" i="3" l="1"/>
  <c r="C8" i="5"/>
  <c r="D101" i="1" s="1"/>
  <c r="H1312" i="9"/>
  <c r="H1327" i="9" s="1"/>
  <c r="C12" i="3" s="1"/>
  <c r="C9" i="3"/>
  <c r="F53" i="2"/>
  <c r="F48" i="2"/>
  <c r="F43" i="2"/>
  <c r="F42" i="2"/>
  <c r="F41" i="2"/>
  <c r="F40" i="2"/>
  <c r="F38" i="2"/>
  <c r="F36" i="2"/>
  <c r="F31" i="2"/>
  <c r="F26" i="2"/>
  <c r="F24" i="2"/>
  <c r="F22" i="2"/>
  <c r="F11" i="2"/>
  <c r="C41" i="2"/>
  <c r="I429" i="9"/>
  <c r="C50" i="2"/>
  <c r="C48" i="2"/>
  <c r="C45" i="2"/>
  <c r="C43" i="2"/>
  <c r="C42" i="2"/>
  <c r="C40" i="2"/>
  <c r="C36" i="2"/>
  <c r="C33" i="2"/>
  <c r="B59" i="17" l="1"/>
  <c r="D56" i="17"/>
  <c r="F56" i="17" s="1"/>
  <c r="B35" i="17"/>
  <c r="C18" i="17"/>
  <c r="C29" i="2"/>
  <c r="C15" i="2"/>
  <c r="C11" i="2"/>
  <c r="E12" i="17" s="1"/>
  <c r="D520" i="9"/>
  <c r="B18" i="17" l="1"/>
  <c r="F18" i="17" s="1"/>
  <c r="D36" i="15"/>
  <c r="F36" i="15" s="1"/>
  <c r="G36" i="15" s="1"/>
  <c r="B40" i="17"/>
  <c r="B38" i="17"/>
  <c r="F29" i="6"/>
  <c r="F28" i="6"/>
  <c r="F27" i="6"/>
  <c r="F25" i="6"/>
  <c r="F23" i="6"/>
  <c r="F21" i="6"/>
  <c r="E19" i="6"/>
  <c r="D19" i="6"/>
  <c r="C19" i="6"/>
  <c r="F18" i="6"/>
  <c r="F16" i="6"/>
  <c r="F15" i="6"/>
  <c r="F13" i="6"/>
  <c r="F11" i="6"/>
  <c r="F10" i="6"/>
  <c r="A4" i="6"/>
  <c r="A1" i="6"/>
  <c r="A4" i="5"/>
  <c r="A1" i="5"/>
  <c r="J27" i="4"/>
  <c r="J19" i="4"/>
  <c r="J18" i="4"/>
  <c r="J17" i="4"/>
  <c r="D146" i="1" s="1"/>
  <c r="F15" i="4"/>
  <c r="F20" i="4" s="1"/>
  <c r="F25" i="4" s="1"/>
  <c r="F28" i="4" s="1"/>
  <c r="E15" i="4"/>
  <c r="E20" i="4" s="1"/>
  <c r="E25" i="4" s="1"/>
  <c r="E28" i="4" s="1"/>
  <c r="D15" i="4"/>
  <c r="C15" i="4"/>
  <c r="J14" i="4"/>
  <c r="J13" i="4"/>
  <c r="J12" i="4"/>
  <c r="J11" i="4"/>
  <c r="H9" i="4"/>
  <c r="A4" i="4"/>
  <c r="A1" i="4"/>
  <c r="C27" i="3"/>
  <c r="C15" i="3"/>
  <c r="C16" i="3" s="1"/>
  <c r="A4" i="3"/>
  <c r="A1" i="3"/>
  <c r="F54" i="2"/>
  <c r="C54" i="2"/>
  <c r="C46" i="2"/>
  <c r="F45" i="2"/>
  <c r="F33" i="2"/>
  <c r="C30" i="2"/>
  <c r="F28" i="2"/>
  <c r="C16" i="2"/>
  <c r="D148" i="1" l="1"/>
  <c r="D46" i="15" s="1"/>
  <c r="F46" i="15" s="1"/>
  <c r="G46" i="15" s="1"/>
  <c r="D44" i="15"/>
  <c r="F44" i="15" s="1"/>
  <c r="G44" i="15" s="1"/>
  <c r="D147" i="1"/>
  <c r="D45" i="15" s="1"/>
  <c r="F45" i="15" s="1"/>
  <c r="G45" i="15" s="1"/>
  <c r="D20" i="4"/>
  <c r="D25" i="4" s="1"/>
  <c r="D28" i="4" s="1"/>
  <c r="J15" i="4"/>
  <c r="D80" i="1"/>
  <c r="C27" i="17"/>
  <c r="D77" i="1"/>
  <c r="C24" i="17"/>
  <c r="B46" i="17"/>
  <c r="D31" i="6"/>
  <c r="E31" i="6"/>
  <c r="D53" i="17" s="1"/>
  <c r="F53" i="17" s="1"/>
  <c r="F19" i="6"/>
  <c r="F31" i="6" s="1"/>
  <c r="C18" i="3"/>
  <c r="C23" i="3" s="1"/>
  <c r="C28" i="3" s="1"/>
  <c r="C31" i="3" s="1"/>
  <c r="B32" i="17" s="1"/>
  <c r="C22" i="2"/>
  <c r="C20" i="4"/>
  <c r="I22" i="1"/>
  <c r="C59" i="17" l="1"/>
  <c r="F59" i="17" s="1"/>
  <c r="D39" i="6"/>
  <c r="C46" i="17"/>
  <c r="C38" i="17"/>
  <c r="F38" i="17" s="1"/>
  <c r="D145" i="1"/>
  <c r="D43" i="15" s="1"/>
  <c r="F43" i="15" s="1"/>
  <c r="G43" i="15" s="1"/>
  <c r="F46" i="17"/>
  <c r="D23" i="15"/>
  <c r="F23" i="15" s="1"/>
  <c r="G23" i="15" s="1"/>
  <c r="B27" i="17"/>
  <c r="F27" i="17" s="1"/>
  <c r="D20" i="15"/>
  <c r="F20" i="15" s="1"/>
  <c r="G20" i="15" s="1"/>
  <c r="B24" i="17"/>
  <c r="F24" i="17" s="1"/>
  <c r="C35" i="17"/>
  <c r="F35" i="17" s="1"/>
  <c r="I430" i="9"/>
  <c r="I431" i="9" s="1"/>
  <c r="F15" i="2" s="1"/>
  <c r="F16" i="2" s="1"/>
  <c r="F56" i="2" s="1"/>
  <c r="C43" i="17" s="1"/>
  <c r="F32" i="17"/>
  <c r="D106" i="1"/>
  <c r="D37" i="15" s="1"/>
  <c r="F37" i="15" s="1"/>
  <c r="G37" i="15" s="1"/>
  <c r="C56" i="2"/>
  <c r="B43" i="17" s="1"/>
  <c r="C25" i="4"/>
  <c r="I204" i="1"/>
  <c r="F43" i="17" l="1"/>
  <c r="B21" i="17"/>
  <c r="F21" i="17" s="1"/>
  <c r="E41" i="12"/>
  <c r="E42" i="12" s="1"/>
  <c r="J20" i="4"/>
  <c r="F57" i="2"/>
  <c r="C28" i="4"/>
  <c r="J25" i="4"/>
  <c r="D86" i="1"/>
  <c r="I154" i="1"/>
  <c r="I162" i="1"/>
  <c r="I164" i="1" s="1"/>
  <c r="D150" i="1"/>
  <c r="D178" i="1" s="1"/>
  <c r="D15" i="1"/>
  <c r="I34" i="1"/>
  <c r="G171" i="1"/>
  <c r="G173" i="1"/>
  <c r="G174" i="1"/>
  <c r="I85" i="1"/>
  <c r="D91" i="1"/>
  <c r="D102" i="1"/>
  <c r="I78" i="1"/>
  <c r="D14" i="1"/>
  <c r="D175" i="1"/>
  <c r="F100" i="1"/>
  <c r="F83" i="1"/>
  <c r="I46" i="1"/>
  <c r="I45" i="1"/>
  <c r="F15" i="1"/>
  <c r="I195" i="1"/>
  <c r="D188" i="1"/>
  <c r="K207" i="1"/>
  <c r="D210" i="1"/>
  <c r="D208" i="1"/>
  <c r="D207" i="1"/>
  <c r="B207" i="1"/>
  <c r="D137" i="1"/>
  <c r="D136" i="1"/>
  <c r="K136" i="1"/>
  <c r="B136" i="1"/>
  <c r="K69" i="1"/>
  <c r="D70" i="1"/>
  <c r="D69" i="1"/>
  <c r="B69" i="1"/>
  <c r="D139" i="1"/>
  <c r="D72" i="1"/>
  <c r="F96" i="1"/>
  <c r="F81" i="1"/>
  <c r="F82" i="1" s="1"/>
  <c r="D9" i="17" l="1"/>
  <c r="B47" i="17"/>
  <c r="D181" i="1"/>
  <c r="G179" i="1" s="1"/>
  <c r="B12" i="17"/>
  <c r="F12" i="17" s="1"/>
  <c r="C40" i="17"/>
  <c r="F40" i="17" s="1"/>
  <c r="J28" i="4"/>
  <c r="B9" i="17"/>
  <c r="C47" i="17"/>
  <c r="I166" i="1"/>
  <c r="D104" i="1"/>
  <c r="D108" i="1" s="1"/>
  <c r="D117" i="1" s="1"/>
  <c r="I157" i="1"/>
  <c r="I159" i="1" s="1"/>
  <c r="F9" i="17" l="1"/>
  <c r="F47" i="17"/>
  <c r="D56" i="15"/>
  <c r="F56" i="15" s="1"/>
  <c r="G56" i="15" s="1"/>
  <c r="E172" i="1"/>
  <c r="G172" i="1" s="1"/>
  <c r="G175" i="1" s="1"/>
  <c r="G146" i="1"/>
  <c r="I146" i="1" s="1"/>
  <c r="G14" i="1"/>
  <c r="G17" i="1" s="1"/>
  <c r="I17" i="1" s="1"/>
  <c r="I167" i="1"/>
  <c r="I168" i="1" s="1"/>
  <c r="G77" i="1" s="1"/>
  <c r="G83" i="1" s="1"/>
  <c r="I83" i="1" s="1"/>
  <c r="G15" i="1" l="1"/>
  <c r="I15" i="1" s="1"/>
  <c r="I14" i="1"/>
  <c r="G16" i="1"/>
  <c r="I16" i="1" s="1"/>
  <c r="G79" i="1"/>
  <c r="I79" i="1" s="1"/>
  <c r="I77" i="1"/>
  <c r="G80" i="1" l="1"/>
  <c r="G81" i="1" s="1"/>
  <c r="G82" i="1" s="1"/>
  <c r="I82" i="1" s="1"/>
  <c r="D55" i="15"/>
  <c r="F55" i="15" s="1"/>
  <c r="G55" i="15" s="1"/>
  <c r="I179" i="1"/>
  <c r="D50" i="17" s="1"/>
  <c r="I18" i="1"/>
  <c r="K179" i="1" l="1"/>
  <c r="E50" i="17" s="1"/>
  <c r="I81" i="1"/>
  <c r="I80" i="1"/>
  <c r="G148" i="1"/>
  <c r="I148" i="1" s="1"/>
  <c r="G95" i="1"/>
  <c r="I95" i="1" s="1"/>
  <c r="G96" i="1"/>
  <c r="I96" i="1" s="1"/>
  <c r="G149" i="1" l="1"/>
  <c r="I149" i="1" s="1"/>
  <c r="I150" i="1" s="1"/>
  <c r="G150" i="1" s="1"/>
  <c r="B50" i="17" s="1"/>
  <c r="G84" i="1"/>
  <c r="I84" i="1" s="1"/>
  <c r="I86" i="1" s="1"/>
  <c r="G89" i="1" l="1"/>
  <c r="I89" i="1" s="1"/>
  <c r="F50" i="17"/>
  <c r="G90" i="1"/>
  <c r="I90" i="1" s="1"/>
  <c r="G98" i="1"/>
  <c r="G106" i="1" s="1"/>
  <c r="I106" i="1" s="1"/>
  <c r="I91" i="1" l="1"/>
  <c r="G100" i="1"/>
  <c r="I100" i="1" s="1"/>
  <c r="I98" i="1"/>
  <c r="G101" i="1" l="1"/>
  <c r="I101" i="1" s="1"/>
  <c r="I102" i="1" s="1"/>
  <c r="I104" i="1" s="1"/>
  <c r="I108" i="1" s="1"/>
  <c r="I11" i="1" s="1"/>
  <c r="I24" i="1" s="1"/>
  <c r="D36" i="1" s="1"/>
  <c r="D41" i="1" l="1"/>
  <c r="D37" i="1"/>
  <c r="D42" i="1"/>
  <c r="I42" i="1"/>
  <c r="I41" i="1"/>
  <c r="I40" i="1"/>
  <c r="D40" i="1"/>
  <c r="I117" i="1"/>
</calcChain>
</file>

<file path=xl/comments1.xml><?xml version="1.0" encoding="utf-8"?>
<comments xmlns="http://schemas.openxmlformats.org/spreadsheetml/2006/main">
  <authors>
    <author>Ginny McCammon</author>
  </authors>
  <commentList>
    <comment ref="B56" authorId="0">
      <text>
        <r>
          <rPr>
            <sz val="9"/>
            <color indexed="81"/>
            <rFont val="Tahoma"/>
            <family val="2"/>
          </rPr>
          <t xml:space="preserve">   Purchased Power
+ Fuel
+ Production
+ T&amp;LF
</t>
        </r>
        <r>
          <rPr>
            <u/>
            <sz val="9"/>
            <color indexed="81"/>
            <rFont val="Tahoma"/>
            <family val="2"/>
          </rPr>
          <t xml:space="preserve">+ Other Oper Exp
</t>
        </r>
        <r>
          <rPr>
            <sz val="9"/>
            <color indexed="81"/>
            <rFont val="Tahoma"/>
            <family val="2"/>
          </rPr>
          <t xml:space="preserve"> Op Exp per T/B</t>
        </r>
      </text>
    </comment>
  </commentList>
</comments>
</file>

<file path=xl/sharedStrings.xml><?xml version="1.0" encoding="utf-8"?>
<sst xmlns="http://schemas.openxmlformats.org/spreadsheetml/2006/main" count="3824" uniqueCount="3432">
  <si>
    <t>Formula Rate - Cash Flow</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</si>
  <si>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</si>
  <si>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</si>
  <si>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</si>
  <si>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</si>
  <si>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</si>
  <si>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</si>
  <si>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</si>
  <si>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</si>
  <si>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</si>
  <si>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</si>
  <si>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</si>
  <si>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(page 3, line 34)</t>
  </si>
  <si>
    <t>TP</t>
  </si>
  <si>
    <t>(page 3, line 37)</t>
  </si>
  <si>
    <t xml:space="preserve">  Revenues from Grandfathered Interzonal Transactions</t>
  </si>
  <si>
    <t xml:space="preserve">  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</si>
  <si>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</si>
  <si>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</si>
  <si>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</si>
  <si>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</si>
  <si>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</si>
  <si>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</si>
  <si>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</si>
  <si>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</si>
  <si>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</si>
  <si>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</si>
  <si>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</si>
  <si>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</si>
  <si>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</si>
  <si>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</si>
  <si>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</si>
  <si>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</si>
  <si>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</si>
  <si>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</si>
  <si>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</si>
  <si>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</si>
  <si>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</si>
  <si>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</si>
  <si>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</si>
  <si>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</si>
  <si>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</si>
  <si>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</si>
  <si>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</si>
  <si>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</si>
  <si>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</si>
  <si>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</si>
  <si>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</si>
  <si>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</si>
  <si>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</si>
  <si>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(Col 3 times Col 4)</t>
  </si>
  <si>
    <t xml:space="preserve">  Transmission </t>
  </si>
  <si>
    <t>TE</t>
  </si>
  <si>
    <t xml:space="preserve">     Less Account 565</t>
  </si>
  <si>
    <t>NA</t>
  </si>
  <si>
    <t xml:space="preserve">  A&amp;G</t>
  </si>
  <si>
    <t>W/S</t>
  </si>
  <si>
    <t xml:space="preserve">     Less FERC Annual Fees</t>
  </si>
  <si>
    <t xml:space="preserve">  Common</t>
  </si>
  <si>
    <t>CE</t>
  </si>
  <si>
    <t xml:space="preserve">  Transmission Lease Payments</t>
  </si>
  <si>
    <t>DEBT SERVICE</t>
  </si>
  <si>
    <t xml:space="preserve">   Debt Service</t>
  </si>
  <si>
    <t>GP</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</si>
  <si>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</si>
  <si>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</si>
  <si>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</si>
  <si>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</si>
  <si>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</si>
  <si>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</si>
  <si>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</si>
  <si>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</si>
  <si>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MARGIN REQUIREMENT  (Note H)</t>
  </si>
  <si>
    <t xml:space="preserve">                SUPPORTING CALCULATIONS AND NOTES</t>
  </si>
  <si>
    <t>GROSS PLANT IN SERVICE</t>
  </si>
  <si>
    <t xml:space="preserve">  Production</t>
  </si>
  <si>
    <t xml:space="preserve">  Transmission</t>
  </si>
  <si>
    <t xml:space="preserve">  Distribution</t>
  </si>
  <si>
    <t xml:space="preserve">  General &amp; Intangible</t>
  </si>
  <si>
    <t>GP=</t>
  </si>
  <si>
    <t xml:space="preserve">TRANSMISSION EXPENSES </t>
  </si>
  <si>
    <t>TE=</t>
  </si>
  <si>
    <t>TRANSMISSION PLANT INCLUDED IN ISO RATES</t>
  </si>
  <si>
    <t>TP=</t>
  </si>
  <si>
    <t>$</t>
  </si>
  <si>
    <t>Allocation</t>
  </si>
  <si>
    <t>W&amp;S Allocator</t>
  </si>
  <si>
    <t xml:space="preserve">  Other</t>
  </si>
  <si>
    <t>($ / Allocation)</t>
  </si>
  <si>
    <t>=</t>
  </si>
  <si>
    <t>% Electric</t>
  </si>
  <si>
    <t>Labor Ratio</t>
  </si>
  <si>
    <t xml:space="preserve">  Electric</t>
  </si>
  <si>
    <t xml:space="preserve">  Gas</t>
  </si>
  <si>
    <t>*</t>
  </si>
  <si>
    <t xml:space="preserve">  Water</t>
  </si>
  <si>
    <t>FINANCING DATA</t>
  </si>
  <si>
    <t xml:space="preserve">         Long Term Debt</t>
  </si>
  <si>
    <t xml:space="preserve">         Debt Service</t>
  </si>
  <si>
    <t xml:space="preserve">         Interest on Long Term Debt</t>
  </si>
  <si>
    <t>REVENUE CREDITS</t>
  </si>
  <si>
    <t>Load</t>
  </si>
  <si>
    <t>ACCOUNT 447 (SALES FOR RESALE)</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</si>
  <si>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</si>
  <si>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</si>
  <si>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</si>
  <si>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</si>
  <si>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</si>
  <si>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</si>
  <si>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</si>
  <si>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</si>
  <si>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</si>
  <si>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</si>
  <si>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</si>
  <si>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</si>
  <si>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</si>
  <si>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</si>
  <si>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</si>
  <si>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</si>
  <si>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L</t>
  </si>
  <si>
    <t>M</t>
  </si>
  <si>
    <t>N</t>
  </si>
  <si>
    <t>O</t>
  </si>
  <si>
    <t>Includes income related only to transmission facilities, such as pole attachments, rentals and special use.</t>
  </si>
  <si>
    <t xml:space="preserve">  Less 12 CP or Contract Demands from service over one year provided by ISO at a discount (enter negative)</t>
  </si>
  <si>
    <t xml:space="preserve">  Total   (sum lines 23-25)</t>
  </si>
  <si>
    <t>(line 23 / line 26)</t>
  </si>
  <si>
    <t>(line 22)</t>
  </si>
  <si>
    <t xml:space="preserve">  b. Bundled Sales for Resale included in Divisor on page 1</t>
  </si>
  <si>
    <t xml:space="preserve">  b. Transmission charges for all transmission transactions included in Divisor on page 1</t>
  </si>
  <si>
    <t>(Note Q)</t>
  </si>
  <si>
    <t>5a</t>
  </si>
  <si>
    <t>Enter dollar amounts.</t>
  </si>
  <si>
    <t>P</t>
  </si>
  <si>
    <t>Q</t>
  </si>
  <si>
    <t>zero</t>
  </si>
  <si>
    <t>Page 1 of 4</t>
  </si>
  <si>
    <t>Page 2 of 4</t>
  </si>
  <si>
    <t>Page 3 of 4</t>
  </si>
  <si>
    <t>Page 4 of 4</t>
  </si>
  <si>
    <t>R</t>
  </si>
  <si>
    <t>1a</t>
  </si>
  <si>
    <t>S</t>
  </si>
  <si>
    <t xml:space="preserve">  Account No. 456.1</t>
  </si>
  <si>
    <t>ACCOUNT 456.1 (OTHER ELECTRIC REVENUES)</t>
  </si>
  <si>
    <t xml:space="preserve">REV. REQUIREMENT TO BE COLLECTED </t>
  </si>
  <si>
    <t>36a</t>
  </si>
  <si>
    <t>T</t>
  </si>
  <si>
    <t>U</t>
  </si>
  <si>
    <t>Removes dollar amount of transmission expenses included in the OATT ancillary services rates, including Account Nos. 561.1, 561.2, 561.3, and 561.BA.</t>
  </si>
  <si>
    <t>(Note E)</t>
  </si>
  <si>
    <t>(line 7 / line 15)</t>
  </si>
  <si>
    <t>(line 16 / 52; line 16 / 52)</t>
  </si>
  <si>
    <t>References to data from EIA Form 412 are indicated as:  x.y.z  (section, line, column)</t>
  </si>
  <si>
    <t>To the extent the page references to EIA Form 412 are missing, the entity will include a "Notes" section in the EIA Form 412 to provide this data.</t>
  </si>
  <si>
    <t xml:space="preserve">  Less Contract Demand from Grandfathered Interzonal transactions over one year (enter negative)  (Note P)</t>
  </si>
  <si>
    <t>Network &amp; P-to-P Rate ($/kW/Mo)  (line 11 / 12)</t>
  </si>
  <si>
    <t>Divisor  (sum lines 8-14)</t>
  </si>
  <si>
    <t>FERC Annual Charge ($/MWh)</t>
  </si>
  <si>
    <t xml:space="preserve">     Less EPRI &amp; Reg. Comm. Exp.  &amp; Non safety Ad.  (Note F)</t>
  </si>
  <si>
    <t>Less LSE Expenses included in Transmission O&amp;M accounts  (Note S)</t>
  </si>
  <si>
    <t>Plus Transmission Related Reg. Comm. Exp.  (Note F)</t>
  </si>
  <si>
    <t>TOTAL DEBT SERVICE  (sum lines 9 - 10)</t>
  </si>
  <si>
    <t>TAXES OTHER THAN INCOME TAXES  (Note G)</t>
  </si>
  <si>
    <t>[Revenue Requirement for facilities included on page 3, line 2, and also included in</t>
  </si>
  <si>
    <t xml:space="preserve">Attachment GG]  </t>
  </si>
  <si>
    <t>TOTAL GROSS PLANT  (sum lines 1-5)</t>
  </si>
  <si>
    <t>Total transmission plant  (line 2)</t>
  </si>
  <si>
    <t>Less transmission plant excluded from ISO rates  (Note J)</t>
  </si>
  <si>
    <t>Less transmission plant included in OATT Ancillary Services  (Note K )</t>
  </si>
  <si>
    <t>Percentage of transmission plant included in ISO Rates  (line 10 divided by line 7)</t>
  </si>
  <si>
    <t>Total transmission expenses  (page 2, line 1, column 3)</t>
  </si>
  <si>
    <t>Less transmission expenses included in OATT Ancillary Services  (Note I)</t>
  </si>
  <si>
    <t>Included transmission expenses  (line 12 less line 13)</t>
  </si>
  <si>
    <t>Percentage of transmission expenses after adjustment  (line 14 divided by line 12)</t>
  </si>
  <si>
    <t>Percentage of transmission plant included in ISO Rates  (line 11)</t>
  </si>
  <si>
    <t>Percentage of transmission expenses included in ISO Rates  (line 15 times line 16)</t>
  </si>
  <si>
    <t>COMMON PLANT ALLOCATOR  (CE)  (Note M)</t>
  </si>
  <si>
    <t xml:space="preserve">           Bond Principal Amortization  (line 28 less line 29)</t>
  </si>
  <si>
    <t xml:space="preserve">  a. Bundled Non-RQ Sales for Resale  (Note N)</t>
  </si>
  <si>
    <t>WAGES &amp; SALARY ALLOCATOR  (W&amp;S)  (Note L)</t>
  </si>
  <si>
    <t>Transmission plant included in ISO rates  (line 7 less lines 8 &amp; 9)</t>
  </si>
  <si>
    <t>ACCOUNT 454 (RENT FROM ELECTRIC PROPERTY)  (Note O)</t>
  </si>
  <si>
    <t xml:space="preserve">  Total  (sum lines 18-21)</t>
  </si>
  <si>
    <t xml:space="preserve">Line 5 - EPRI Annual Membership Dues, all Regulatory Commission Expenses, and non-safety related advertising.  Line 5a - Regulatory Commission Expenses directly related to transmission service, ISO filings, or transmission siting. </t>
  </si>
  <si>
    <t>Line 33 must equal zero since all short-term power sales must be unbundled and the transmission component reflected in Account No. 456.1 and all other uses are to be included in the divisor.</t>
  </si>
  <si>
    <t>If the utility has more employees assigned to A&amp;G than to the sum of production, transmission, and distribution, set the W&amp;S allocator at page 3, line 22 equal to the gross plant allocator (GP) at page 3, line 6.</t>
  </si>
  <si>
    <t>The Margin Requirement is the margin the utility uses in calculating rates applicable to its native load sales.  The Margin Requirement as a  percent of interest expense yields a TIER (times interest earned ratio), and the Margin Requirement as a percent of debt service is the DSR (debt service ratio), either of which may be referred to as a Margin Ratio (MR).  Some utilities have MRs required by bond covenants and/or MRs that include expenses additional to interest or debt service (for example, an MR equal to a percentage of the sum of DS+O&amp;M).  The ISO will review such party's filings to assure that the MRs are consistent with those applicable to native load or required by bond covenants and utility must provide workpapers showing derivation of margin.</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</si>
  <si>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</si>
  <si>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GROSS REVENUE REQUIREMENT  (page 2, line 24)</t>
  </si>
  <si>
    <t>(line 16 / 260; line 16 / 365)</t>
  </si>
  <si>
    <t>(line 16 / 4,160; line 16 / 8,760</t>
  </si>
  <si>
    <t>VII.8.d</t>
  </si>
  <si>
    <t>VII.13.d</t>
  </si>
  <si>
    <t>TOTAL O&amp;M  (sum lines 1, 3, 5a, 6, 7 less 1a, 2, 4, 5)</t>
  </si>
  <si>
    <t>TOTAL OTHER TAXES  (sum lines 12 - 18)</t>
  </si>
  <si>
    <t>SUBTOTAL  (sum lines 8, 11, 19)</t>
  </si>
  <si>
    <t>REV.  REQUIREMENT  (sum lines  20, 21)</t>
  </si>
  <si>
    <t>IV.6.e</t>
  </si>
  <si>
    <t>IV.7. e</t>
  </si>
  <si>
    <t>IV.8. 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</si>
  <si>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</si>
  <si>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</si>
  <si>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</si>
  <si>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II.33.b +34.b</t>
  </si>
  <si>
    <t>III.16.b + III.17.b  (Note R)</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</si>
  <si>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</si>
  <si>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</si>
  <si>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</si>
  <si>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V</t>
  </si>
  <si>
    <t>W</t>
  </si>
  <si>
    <t>36b</t>
  </si>
  <si>
    <t xml:space="preserve">  Total of (a)-(b)-(c)-(d)</t>
  </si>
  <si>
    <t>23a</t>
  </si>
  <si>
    <t xml:space="preserve">Attachment MM]  </t>
  </si>
  <si>
    <t>UNDER ATTACHMENT O  (line 22 - line 23 - line 23a)</t>
  </si>
  <si>
    <t>O&amp;M  (Note Y)</t>
  </si>
  <si>
    <t xml:space="preserve">   Amortization of premium or discount  (Note X)</t>
  </si>
  <si>
    <t>IV.9. e &amp; IV.1.e</t>
  </si>
  <si>
    <t>From Reference III.17.b include only the amount from Account 430.</t>
  </si>
  <si>
    <t xml:space="preserve">Account Nos. 561.4 and 561.8 consist of RTO expenses billed to load-serving entities and are not included in Transmission Owner revenue requirements.  </t>
  </si>
  <si>
    <t>Includes amounts recorded to accounts 428 and 429.</t>
  </si>
  <si>
    <t>Schedule 10-FERC charges should not be included in O&amp;M recovered under this Attachment O.</t>
  </si>
  <si>
    <t>X</t>
  </si>
  <si>
    <t>Y</t>
  </si>
  <si>
    <t xml:space="preserve">  c. Transmission charges from Schedules associated with Attachment GG  (Note U)</t>
  </si>
  <si>
    <t xml:space="preserve">  d. Transmission charges from Schedules associated with Attachment MM  (Note W)</t>
  </si>
  <si>
    <t>Removes transmission plant determined by Commission order to be state-jurisdictional according to the seven-factor test (until EIA 412 balances are adjusted to reflect application of seven-factor test).</t>
  </si>
  <si>
    <t xml:space="preserve">Pursuant to Attachment GG of the Midwest ISO Tariff, removes dollar amount of revenue requirements calculated pursuant to Attachment GG.  </t>
  </si>
  <si>
    <t>Removes from revenue credits revenues that are distributed pursuant to Schedules associated with Attachment GG of the Midwest ISO Tariff, since the Transmission Owner's revenue requirements have already been reduced by the Attachment GG revenue requirements.</t>
  </si>
  <si>
    <t xml:space="preserve">Pursuant to Attachment MM of the Midwest ISO Tariff, removes dollar amount of revenue requirements calculated pursuant to Attachment MM.  </t>
  </si>
  <si>
    <t>Removes from revenue credits revenues that are distributed pursuant to Schedules associated with Attachment MM of the Midwest ISO Tariff, since the Transmission Owner's revenue requirements have already been reduced by the Attachment MM revenue requirements.</t>
  </si>
  <si>
    <t>LESS ATTACHMENT GG ADJUSTMENT [Attachment GG, page 2, line 3, column 10]  (Note T)</t>
  </si>
  <si>
    <t>LESS ATTACHMENT MM ADJUSTMENT [Attachment MM, page 2, line 3, column 14]  (Note V)</t>
  </si>
  <si>
    <t>The FERC's annual charges for the year assessed the Transmission Owner for service under this tariff, if any.</t>
  </si>
  <si>
    <t>Attachment O-EIA Cash Flow Generic</t>
  </si>
  <si>
    <t>6a</t>
  </si>
  <si>
    <t>6b</t>
  </si>
  <si>
    <t>6c</t>
  </si>
  <si>
    <t>Adjustments to Net Revenue Requirement (Note Z)</t>
  </si>
  <si>
    <t>Interest on Adjustments (Note AA)</t>
  </si>
  <si>
    <t>Total Adjustment (line 6a + line 6b)</t>
  </si>
  <si>
    <t>Z</t>
  </si>
  <si>
    <t>AA</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</si>
  <si>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</si>
  <si>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</si>
  <si>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</si>
  <si>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</si>
  <si>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</si>
  <si>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</si>
  <si>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</si>
  <si>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</si>
  <si>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</si>
  <si>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</si>
  <si>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</si>
  <si>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</si>
  <si>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</si>
  <si>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</si>
  <si>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</si>
  <si>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</si>
  <si>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</si>
  <si>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</si>
  <si>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</si>
  <si>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</si>
  <si>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</si>
  <si>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</si>
  <si>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</si>
  <si>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</si>
  <si>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</si>
  <si>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</si>
  <si>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</si>
  <si>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</si>
  <si>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</si>
  <si>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</si>
  <si>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</si>
  <si>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</si>
  <si>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</si>
  <si>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</si>
  <si>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</si>
  <si>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</si>
  <si>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</si>
  <si>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</si>
  <si>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</si>
  <si>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</si>
  <si>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</si>
  <si>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</si>
  <si>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</si>
  <si>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</si>
  <si>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</si>
  <si>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</si>
  <si>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</si>
  <si>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</si>
  <si>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</si>
  <si>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</si>
  <si>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</si>
  <si>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</si>
  <si>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</si>
  <si>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</si>
  <si>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</si>
  <si>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</si>
  <si>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</si>
  <si>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</si>
  <si>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Customer Accounts Recevable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</si>
  <si>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</si>
  <si>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</si>
  <si>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</si>
  <si>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</si>
  <si>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</si>
  <si>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</si>
  <si>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</si>
  <si>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</si>
  <si>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</si>
  <si>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</si>
  <si>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</si>
  <si>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</si>
  <si>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</si>
  <si>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</si>
  <si>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</si>
  <si>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</si>
  <si>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</si>
  <si>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</si>
  <si>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</si>
  <si>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</si>
  <si>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</si>
  <si>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</si>
  <si>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</si>
  <si>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</si>
  <si>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</si>
  <si>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</si>
  <si>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</si>
  <si>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</si>
  <si>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</si>
  <si>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</si>
  <si>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</si>
  <si>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</si>
  <si>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</si>
  <si>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</si>
  <si>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</si>
  <si>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</si>
  <si>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</si>
  <si>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</si>
  <si>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</si>
  <si>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</si>
  <si>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</si>
  <si>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</si>
  <si>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</si>
  <si>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</si>
  <si>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</si>
  <si>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</si>
  <si>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</si>
  <si>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</si>
  <si>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</si>
  <si>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</si>
  <si>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</si>
  <si>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</si>
  <si>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</si>
  <si>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</si>
  <si>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</si>
  <si>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</si>
  <si>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</si>
  <si>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</si>
  <si>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</si>
  <si>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</si>
  <si>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</si>
  <si>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</si>
  <si>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</si>
  <si>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</si>
  <si>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Balance</t>
  </si>
  <si>
    <t>Additions</t>
  </si>
  <si>
    <t>Retirements</t>
  </si>
  <si>
    <t>Transfers</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</si>
  <si>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</si>
  <si>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</si>
  <si>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</si>
  <si>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</si>
  <si>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</si>
  <si>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</si>
  <si>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</si>
  <si>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</si>
  <si>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</si>
  <si>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</si>
  <si>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</si>
  <si>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</si>
  <si>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</si>
  <si>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</si>
  <si>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</si>
  <si>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NOTE FOR LINE 5:  Combustion Turbine</t>
  </si>
  <si>
    <t>Schedule 5</t>
  </si>
  <si>
    <t xml:space="preserve">Line </t>
  </si>
  <si>
    <t>Taxes other than Income Taxes, Operating Income</t>
  </si>
  <si>
    <t>Schedule 7</t>
  </si>
  <si>
    <t>ELECTRIC OPERATION AND MAINTENANCE EXPENSES (Dollars)</t>
  </si>
  <si>
    <t>(a)</t>
  </si>
  <si>
    <t>(b)</t>
  </si>
  <si>
    <t>(c)</t>
  </si>
  <si>
    <t>(d)</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</si>
  <si>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</si>
  <si>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</si>
  <si>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</si>
  <si>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</si>
  <si>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</si>
  <si>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</si>
  <si>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</si>
  <si>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</si>
  <si>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</si>
  <si>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</si>
  <si>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</si>
  <si>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</si>
  <si>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</si>
  <si>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</si>
  <si>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</si>
  <si>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</si>
  <si>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</si>
  <si>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</si>
  <si>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</si>
  <si>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</si>
  <si>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</si>
  <si>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</si>
  <si>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</si>
  <si>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</si>
  <si>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</si>
  <si>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</si>
  <si>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</si>
  <si>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XXXXXXXXXXX</t>
  </si>
  <si>
    <t>Total Number of Full Time Employees</t>
  </si>
  <si>
    <t>Total Number of Part Time Employees</t>
  </si>
  <si>
    <t>Note for Line 4 - Combustion Turbine</t>
  </si>
  <si>
    <t>Note for Line 8 - Sternberg Sub</t>
  </si>
  <si>
    <t>2016</t>
  </si>
  <si>
    <t>FERC</t>
  </si>
  <si>
    <t>INDIANA MUNICIPAL POWER AGENCY</t>
  </si>
  <si>
    <t>Balance (Equity)</t>
  </si>
  <si>
    <t>Net Income</t>
  </si>
  <si>
    <t>1105-115-0000-05-431</t>
  </si>
  <si>
    <t>OthNonOper-JTS Distr-General-NR-IntExp-LOC Fees</t>
  </si>
  <si>
    <t>1105-114-0000-05-431</t>
  </si>
  <si>
    <t>OthNonOper-JTS Trans-General-NR-IntExp-LOC Fees</t>
  </si>
  <si>
    <t>1105-113-0381-05-419</t>
  </si>
  <si>
    <t>OthNonOper-PSt2-BABs Subsidy Inco-NR-IntExp-IntInc</t>
  </si>
  <si>
    <t>1105-113-0000-05-431</t>
  </si>
  <si>
    <t>OthNonOper-PSt 2-General-NR-IntExp-LOC Fees</t>
  </si>
  <si>
    <t>1105-112-0381-05-419</t>
  </si>
  <si>
    <t>OthNonOper-PSt 1-BABs Subsidy Inc-NR-IntExp-IntInc</t>
  </si>
  <si>
    <t>1105-112-0000-05-431</t>
  </si>
  <si>
    <t>OthNonOper-PSt 1-General-NR-IntExp-LOC Fees</t>
  </si>
  <si>
    <t>1105-111-0000-05-431</t>
  </si>
  <si>
    <t>OthNonOper-RCT-General-NR-IntExp-LOC Fees</t>
  </si>
  <si>
    <t>1105-110-0000-05-431</t>
  </si>
  <si>
    <t>OthNonOper-ACT-General-NR-IntExp-LOC Fees</t>
  </si>
  <si>
    <t>1105-109-0000-05-431</t>
  </si>
  <si>
    <t>OthNonOper-GCT-General-NR-IntExp-LOC Fees</t>
  </si>
  <si>
    <t>1105-107-0000-05-431</t>
  </si>
  <si>
    <t>OthNonOper-TC 2-General-NR-IntExp-LOC Fees</t>
  </si>
  <si>
    <t>1105-106-0000-05-431</t>
  </si>
  <si>
    <t>OthNonOper-TC 1-General-NR-IntExp-LOC Fees</t>
  </si>
  <si>
    <t>1105-105-0000-05-431</t>
  </si>
  <si>
    <t>OthNonOper-G5-General-NR-IntExp-LOC Fees</t>
  </si>
  <si>
    <t>1105-003-0352-01-417</t>
  </si>
  <si>
    <t>OthNonOper-Grant-Subsidy Exp-Demand-NonUtilRev</t>
  </si>
  <si>
    <t>1105-003-0134-01-417</t>
  </si>
  <si>
    <t>OthNonOper-Grant-Subsidy Rev-Demand-NonUtilRev</t>
  </si>
  <si>
    <t>1105-001-0468-11-426</t>
  </si>
  <si>
    <t>OthNonOper-Gen-Ongoing Bond Relatated-NR-BC-OthDed</t>
  </si>
  <si>
    <t>1105-001-0460-05-431</t>
  </si>
  <si>
    <t>OthNonOper-Gen-LOC Fees - Purch-NR-IntExp-LOC Fees</t>
  </si>
  <si>
    <t>1105-001-0460-01-431</t>
  </si>
  <si>
    <t>OthNonOper-Gen-LOC Fees-PurchasePow-Demand-LOCFees</t>
  </si>
  <si>
    <t>1105-001-0459-05-431</t>
  </si>
  <si>
    <t>OthNonOper-Gen-Int Exp - Purcha-NR-IntExp-LOC Fees</t>
  </si>
  <si>
    <t>1105-001-0459-01-431</t>
  </si>
  <si>
    <t>OthNonOper-Gen-IntExp PurchasePow -Demand-LOC Int</t>
  </si>
  <si>
    <t>1105-001-0458-05-431</t>
  </si>
  <si>
    <t>OthNonOper-Gen-Int Exp - Transm-NR-IntExp-LOC Fees</t>
  </si>
  <si>
    <t>1105-001-0458-01-431</t>
  </si>
  <si>
    <t>OthNonOper-Gen-IntExp Transmission-Demand-LOC Int</t>
  </si>
  <si>
    <t>1105-001-0457-06-426</t>
  </si>
  <si>
    <t>OthNonOper-Gen-2016A BIC-NR-FRC DS-OthDed</t>
  </si>
  <si>
    <t>1105-001-0455-06-426</t>
  </si>
  <si>
    <t>OthNonOper-Gen-2016B BIC-NR-FRC DS-OthDed</t>
  </si>
  <si>
    <t>1105-001-0451-06-426</t>
  </si>
  <si>
    <t>OthNonOper-Gen-2015A BIC-NR-FRC DS-OthDed</t>
  </si>
  <si>
    <t>1105-001-0442-01-417</t>
  </si>
  <si>
    <t>OthNonOper-Gen-HC Commissions-Demand-NonUtilRev</t>
  </si>
  <si>
    <t>1105-001-0357-05-426</t>
  </si>
  <si>
    <t>OthNonOper-Gen-Deferred FASB 133-NR-IntExp-OthDed</t>
  </si>
  <si>
    <t>1105-001-0356-05-419</t>
  </si>
  <si>
    <t>OthNonOper-Gen-Deferred FV of Inv-NR-IntExp-IntInc</t>
  </si>
  <si>
    <t>1105-001-0354-05-419</t>
  </si>
  <si>
    <t>OthNonOper-Gen-Chng in FV of Inv-NR-IntExp-IntInc</t>
  </si>
  <si>
    <t>1105-001-0353-05-431</t>
  </si>
  <si>
    <t>OthNonOper-Gen-PNC LOC Fees-NR-IntExp-LOC Fees</t>
  </si>
  <si>
    <t>1105-001-0353-01-431</t>
  </si>
  <si>
    <t>OthNonOper-Gen-PNC LOC Fees-Demand-LOC Fees</t>
  </si>
  <si>
    <t>1105-001-0096-06-428</t>
  </si>
  <si>
    <t>OthNonOper-Gen-BIC-NR-FRC DS-AmortDbtExp</t>
  </si>
  <si>
    <t>1105-001-0096-06-426</t>
  </si>
  <si>
    <t>OthNonOper-Gen-BIC-NR-FRC DS-OthDed</t>
  </si>
  <si>
    <t>1105-001-0095-05-426</t>
  </si>
  <si>
    <t>OthNonOper-Gen-FRC FASB 133-NR-IntExp-OthDed</t>
  </si>
  <si>
    <t>1105-001-0000-05-431</t>
  </si>
  <si>
    <t>OthNonOper-Gen-General-NR-IntExp-LOC Fees</t>
  </si>
  <si>
    <t>Other non-operating income</t>
  </si>
  <si>
    <t>1104-162-0000-04-419</t>
  </si>
  <si>
    <t>IntInc-Solar Parks Projec-General-NR-IntInc-IntInc</t>
  </si>
  <si>
    <t>1104-161-0000-04-419</t>
  </si>
  <si>
    <t>IntInc-Solar-Richmond-General-NR-IntInc-IntInc</t>
  </si>
  <si>
    <t>1104-123-0000-04-419</t>
  </si>
  <si>
    <t>IntInc-WWVS/Rch-General-NR-IntInc&amp;InvAmort-IntInc</t>
  </si>
  <si>
    <t>1104-115-0000-04-419</t>
  </si>
  <si>
    <t>IntInc-JTS Distr-General-NR-IntInc&amp;InvAmort-IntInc</t>
  </si>
  <si>
    <t>1104-114-0000-04-419</t>
  </si>
  <si>
    <t>IntInc-JTS Trans-General-NR-IntInc&amp;InvAmort-IntInc</t>
  </si>
  <si>
    <t>1104-113-0000-04-419</t>
  </si>
  <si>
    <t>IntInc-PSt 2-General-NR-IntInc&amp;InvAmort-IntInc</t>
  </si>
  <si>
    <t>1104-112-0102-04-419</t>
  </si>
  <si>
    <t>IntInc-PSt 1-Taxable-NR-IntInc&amp;InvAmort-IntInc</t>
  </si>
  <si>
    <t>1104-112-0000-04-419</t>
  </si>
  <si>
    <t>IntInc-PSt 1-General-NR-IntInc&amp;InvAmort-IntInc</t>
  </si>
  <si>
    <t>1104-111-0000-04-419</t>
  </si>
  <si>
    <t>IntInc-RCT-General-NR-IntInc&amp;InvAmort-IntInc</t>
  </si>
  <si>
    <t>1104-110-0000-04-419</t>
  </si>
  <si>
    <t>IntInc-ACT-General-NR-IntInc&amp;InvAmort-IntInc</t>
  </si>
  <si>
    <t>1104-109-0000-04-419</t>
  </si>
  <si>
    <t>IntInc-GCT-General-NR-IntInc&amp;InvAmort-IntInc</t>
  </si>
  <si>
    <t>1104-107-0000-04-419</t>
  </si>
  <si>
    <t>IntInc-TC 2-General-NR-IntInc&amp;InvAmort-IntInc</t>
  </si>
  <si>
    <t>1104-106-0000-04-419</t>
  </si>
  <si>
    <t>IntInc-TC 1-General-NR-IntInc&amp;InvAmort-IntInc</t>
  </si>
  <si>
    <t>1104-105-0000-04-419</t>
  </si>
  <si>
    <t>IntInc-G5-General-NR-IntInc&amp;InvAmort-IntInc</t>
  </si>
  <si>
    <t>1104-012-0423-10-419</t>
  </si>
  <si>
    <t>IntInc-ISC2-Notes Receivable-NR-ISC-IntInc</t>
  </si>
  <si>
    <t>1104-012-0423-01-419</t>
  </si>
  <si>
    <t>IntInc-ISC2-Notes Receivable-Demand-IntInc</t>
  </si>
  <si>
    <t>1104-001-0466-04-419</t>
  </si>
  <si>
    <t>IntInc-Gen-Matured Premium-NR-IntInc&amp;InvAmo-IntInc</t>
  </si>
  <si>
    <t>Interest income</t>
  </si>
  <si>
    <t/>
  </si>
  <si>
    <t>UPIS-Gen-ARO Asset-NA-EPIS</t>
  </si>
  <si>
    <t>Subsidy income</t>
  </si>
  <si>
    <t>1102-001-0371-06-428</t>
  </si>
  <si>
    <t>AmortReaq-Gen-Swaption Amort E-NR-FRC DS-AmortDbtE</t>
  </si>
  <si>
    <t>1102-001-0371-01-428</t>
  </si>
  <si>
    <t>AmortReaq-Gen-Swaption Amort Expe-Demand-AmortDbtE</t>
  </si>
  <si>
    <t>1102-001-0335-06-428</t>
  </si>
  <si>
    <t>AmortDisc-Gen-Amt on Disc/Prem-NR-FRC DS-AmtDbtExp</t>
  </si>
  <si>
    <t>1102-001-0334-06-428</t>
  </si>
  <si>
    <t>AmortReaq-Gen-Cost of Reaq Dbt-NR-FRC DS-AmtDbtExp</t>
  </si>
  <si>
    <t>Accretion of premiums received on debt</t>
  </si>
  <si>
    <t>1101-162-0000-05-427</t>
  </si>
  <si>
    <t>IntExp-Solar Parks Pro-General-NR-IntExp-IntExpLTD</t>
  </si>
  <si>
    <t>1101-161-0000-05-427</t>
  </si>
  <si>
    <t>IntExp-Solar-Richmond-General-NR-IntExp-IntExpLTD</t>
  </si>
  <si>
    <t>1101-160-0000-05-427</t>
  </si>
  <si>
    <t>IntExp-Solar-Rensselae-General-NR-IntExp-IntExpLTD</t>
  </si>
  <si>
    <t>1101-159-0000-05-427</t>
  </si>
  <si>
    <t>IntExp-Solar-Frankton-General-NR-IntExp-IntExpLTD</t>
  </si>
  <si>
    <t>1101-123-0000-05-427</t>
  </si>
  <si>
    <t>IntExp-WWVS/Rch-General-NR-IntExp-IntExpLTD</t>
  </si>
  <si>
    <t>1101-115-0000-05-427</t>
  </si>
  <si>
    <t>IntExp-JTS Distr-General-NR-IntExp-IntExpLTD</t>
  </si>
  <si>
    <t>1101-114-0000-05-427</t>
  </si>
  <si>
    <t>IntExp-JTS Trans-General-NR-IntExp-IntExpLTD</t>
  </si>
  <si>
    <t>1101-113-0000-05-427</t>
  </si>
  <si>
    <t>IntExp-PSt 2-General-NR-IntExp-IntExpLTD</t>
  </si>
  <si>
    <t>1101-112-0102-05-427</t>
  </si>
  <si>
    <t>IntExp-PSt 1-Taxable-NR-IntExp-IntExpLTD</t>
  </si>
  <si>
    <t>1101-112-0000-05-427</t>
  </si>
  <si>
    <t>IntExp-PSt 1-General-NR-IntExp-IntExpLTD</t>
  </si>
  <si>
    <t>1101-111-0000-05-427</t>
  </si>
  <si>
    <t>IntExp-RCT-General-NR-IntExp-IntExpLTD</t>
  </si>
  <si>
    <t>1101-110-0000-05-427</t>
  </si>
  <si>
    <t>IntExp-ACT-General-NR-IntExp-IntExpLTD</t>
  </si>
  <si>
    <t>1101-109-0000-05-427</t>
  </si>
  <si>
    <t>IntExp-GCT-General-NR-IntExp-IntExpLTD</t>
  </si>
  <si>
    <t>1101-107-0000-05-427</t>
  </si>
  <si>
    <t>IntExp-TC 2-General-NR-IntExp-IntExpLTD</t>
  </si>
  <si>
    <t>1101-106-0000-05-427</t>
  </si>
  <si>
    <t>IntExp-TC 1-General-NR-IntExp-IntExpLTD</t>
  </si>
  <si>
    <t>1101-105-0000-05-427</t>
  </si>
  <si>
    <t>IntExp-G5-General-NR-IntExp-IntExpLTD</t>
  </si>
  <si>
    <t>Interest expense on revenue bonds</t>
  </si>
  <si>
    <t>Non-Operating Expenses and (Income):</t>
  </si>
  <si>
    <t>Operating Income</t>
  </si>
  <si>
    <t>1008-162-0407-06-403</t>
  </si>
  <si>
    <t>FRC-Solar Parks Projec-Solar Par-NR-FRC DS-DeprExp</t>
  </si>
  <si>
    <t>1008-162-0333-06-447</t>
  </si>
  <si>
    <t>FRC-Solar Parks Proj-Debt Prin-NR-FRC DS-SalesResa</t>
  </si>
  <si>
    <t>1008-162-0330-06-403</t>
  </si>
  <si>
    <t>FRC-Solar Parks Projec-Self Fund-NR-FRC DS-DeprExp</t>
  </si>
  <si>
    <t>1008-162-0000-06-403</t>
  </si>
  <si>
    <t>FRC-Solar Parks Project-General-NR-FRC DS-DeprExp</t>
  </si>
  <si>
    <t>1008-161-0407-06-403</t>
  </si>
  <si>
    <t>FRC-Solar-Richmond-Solar Par-NR-FRC DS-DeprExp</t>
  </si>
  <si>
    <t>1008-161-0333-06-447</t>
  </si>
  <si>
    <t>FRC-Solar-Richmond-Debt Prin-NR-FRC DS-SalesResa</t>
  </si>
  <si>
    <t>1008-161-0330-06-403</t>
  </si>
  <si>
    <t>FRC-Solar-Richmond-Self Fund-NR-FRC DS-DeprExp</t>
  </si>
  <si>
    <t>1008-160-0407-06-403</t>
  </si>
  <si>
    <t>FRC-Solar-Rensselaer-Solar Park-NR-FRC DS-DeprExp</t>
  </si>
  <si>
    <t>1008-160-0333-06-447</t>
  </si>
  <si>
    <t>FRC-Solar-Rensselaer-Debt Prin-NR-FRC DS-SalesResa</t>
  </si>
  <si>
    <t>1008-160-0330-06-403</t>
  </si>
  <si>
    <t>FRC-Solar-Rensselaer-Self Funded-NR-FRC DS-DeprExp</t>
  </si>
  <si>
    <t>1008-159-0407-06-403</t>
  </si>
  <si>
    <t>FRC-Solar-Frankton-Solar Park-NR-FRC DS-DeprExp</t>
  </si>
  <si>
    <t>1008-159-0333-06-447</t>
  </si>
  <si>
    <t>FRC-Solar-Frankton-Debt Princi-NR-FRC DS-SalesResa</t>
  </si>
  <si>
    <t>1008-159-0330-06-403</t>
  </si>
  <si>
    <t>FRC-Solar-Frankton-Self Funded-NR-FRC DS-DeprExp</t>
  </si>
  <si>
    <t>1008-125-0372-02-555</t>
  </si>
  <si>
    <t>FRC-Energy Eff-FRC Energy Eff-Energy-PurchPwr</t>
  </si>
  <si>
    <t>1008-123-0333-06-447</t>
  </si>
  <si>
    <t>FRC-WWVS/Rch-Debt Principal-NR-FRC DS-SalesResale</t>
  </si>
  <si>
    <t>1008-123-0330-06-403</t>
  </si>
  <si>
    <t>FRC-WWVS/Rch-Self Funded-NR-FRC DS-DeprExp</t>
  </si>
  <si>
    <t>1008-123-0000-06-403</t>
  </si>
  <si>
    <t>FRC-WWVS/Rch-General-NR-FRC DS-DeprExp</t>
  </si>
  <si>
    <t>1008-117-0390-06-403</t>
  </si>
  <si>
    <t>FRC-PSt Mine-Coal Reserve Deplet-NR-FRC DS-DeprExp</t>
  </si>
  <si>
    <t>1008-115-0380-05-427</t>
  </si>
  <si>
    <t>FRC-JTS Distr-Pre Funded Inter-NR-IntExp-IntExpLTD</t>
  </si>
  <si>
    <t>1008-115-0333-06-447</t>
  </si>
  <si>
    <t>FRC-JTS Distr-Debt Principal-NR-FRC DS-SalesResale</t>
  </si>
  <si>
    <t>1008-115-0330-06-403</t>
  </si>
  <si>
    <t>FRC-JTS Distr-Self Funded-NR-FRC DS-DeprExp</t>
  </si>
  <si>
    <t>1008-115-0000-06-403</t>
  </si>
  <si>
    <t>FRC-JTS Distr-General-NR-FRC DS-DeprExp</t>
  </si>
  <si>
    <t>1008-114-0380-05-427</t>
  </si>
  <si>
    <t>FRC-JTS Trans-Pre Funded Inter-NR-IntExp-IntExpLTD</t>
  </si>
  <si>
    <t>1008-114-0333-06-447</t>
  </si>
  <si>
    <t>FRC-JTS Trans-Debt Principal-NR-FRC DS-SalesResale</t>
  </si>
  <si>
    <t>1008-114-0330-06-403</t>
  </si>
  <si>
    <t>FRC-JTS Trans-Self Funded-NR-FRC DS-DeprExp</t>
  </si>
  <si>
    <t>1008-114-0325-06-403</t>
  </si>
  <si>
    <t>FRC-JTS Trans-Gain/Loss-NR-FRC DS-DeprExp</t>
  </si>
  <si>
    <t>1008-114-0000-06-403</t>
  </si>
  <si>
    <t>FRC-JTS Trans-General-NR-FRC DS-DeprExp</t>
  </si>
  <si>
    <t>1008-113-0381-07-419</t>
  </si>
  <si>
    <t>FRC-PSt2-BABs Subsidy Income-NR-SubsidyInc-IntInc</t>
  </si>
  <si>
    <t>1008-113-0380-05-427</t>
  </si>
  <si>
    <t>FRC-PSt2-Pre Funded Interest E-NR-IntExp-IntExpLTD</t>
  </si>
  <si>
    <t>1008-113-0333-06-447</t>
  </si>
  <si>
    <t>FRC-PSt 2-Debt Principal-NR-FRC DS-SalesResale</t>
  </si>
  <si>
    <t>1008-113-0330-06-403</t>
  </si>
  <si>
    <t>FRC-PSt 2-Self Funded-NR-FRC DS-DeprExp</t>
  </si>
  <si>
    <t>1008-113-0325-06-403</t>
  </si>
  <si>
    <t>FRC-PSt2-Gain/Loss-NR-FRC DS-DeprExp</t>
  </si>
  <si>
    <t>1008-113-0000-06-403</t>
  </si>
  <si>
    <t>FRC-PSt 2-General-NR-FRC DS-DeprExp</t>
  </si>
  <si>
    <t>1008-112-0381-07-419</t>
  </si>
  <si>
    <t>FRC-PSt 1-BABs Subsidy Income-NR-SubsidyInc-IntInc</t>
  </si>
  <si>
    <t>1008-112-0380-05-427</t>
  </si>
  <si>
    <t>FRC-PSt 1-Pre Funded Interest -NR-IntExp-IntExpLTD</t>
  </si>
  <si>
    <t>1008-112-0333-06-447</t>
  </si>
  <si>
    <t>FRC-PSt 1-Debt Principal-NR-FRC DS-SalesResale</t>
  </si>
  <si>
    <t>1008-112-0330-06-403</t>
  </si>
  <si>
    <t>FRC-PSt 1-Self Funded-NR-FRC DS-DeprExp</t>
  </si>
  <si>
    <t>1008-112-0329-05-427</t>
  </si>
  <si>
    <t>FRC-PSt 1-Taxable expense-NR-IntExp-IntExpLTD</t>
  </si>
  <si>
    <t>1008-112-0328-04-419</t>
  </si>
  <si>
    <t>FRC-PSt 1-Taxable income-NR-IntInc&amp;InvAmort-IntInc</t>
  </si>
  <si>
    <t>1008-112-0325-06-403</t>
  </si>
  <si>
    <t>FRC-PSt 1-Gain/Loss-NR-FRC DS-DeprExp</t>
  </si>
  <si>
    <t>1008-112-0000-06-403</t>
  </si>
  <si>
    <t>FRC-PSt 1-General-NR-FRC DS-DeprExp</t>
  </si>
  <si>
    <t>1008-111-0380-05-427</t>
  </si>
  <si>
    <t>FRC-RCT-Pre Funded Interest Ex-NR-IntExp-IntExpLTD</t>
  </si>
  <si>
    <t>1008-111-0333-06-447</t>
  </si>
  <si>
    <t>FRC-RCT-Debt Principal-NR-FRC DS-SalesResale</t>
  </si>
  <si>
    <t>1008-111-0330-06-403</t>
  </si>
  <si>
    <t>FRC-RCT-Self Funded-NR-FRC DS-DeprExp</t>
  </si>
  <si>
    <t>1008-111-0000-06-403</t>
  </si>
  <si>
    <t>FRC-RCT-General-NR-FRC DS-DeprExp</t>
  </si>
  <si>
    <t>1008-110-0380-05-427</t>
  </si>
  <si>
    <t>FRC-ACT-Pre Funded Interest Ex-NR-IntExp-IntExpLTD</t>
  </si>
  <si>
    <t>1008-110-0333-06-447</t>
  </si>
  <si>
    <t>FRC-ACT-Debt Principal-NR-FRC DS-SalesResale</t>
  </si>
  <si>
    <t>1008-110-0330-06-403</t>
  </si>
  <si>
    <t>FRC-ACT-Self Funded-NR-FRC DS-DeprExp</t>
  </si>
  <si>
    <t>1008-110-0000-06-403</t>
  </si>
  <si>
    <t>FRC-ACT-General-NR-FRC DS-DeprExp</t>
  </si>
  <si>
    <t>1008-109-0380-05-427</t>
  </si>
  <si>
    <t>FRC-GCT-Pre Funded Interest Ex-NR-IntExp-IntExpLTD</t>
  </si>
  <si>
    <t>1008-109-0333-06-447</t>
  </si>
  <si>
    <t>FRC-GCT-Debt Principal-NR-FRC DS-SalesResale</t>
  </si>
  <si>
    <t>1008-109-0330-06-403</t>
  </si>
  <si>
    <t>FRC-GCT-Self Funded-NR-FRC DS-DeprExp</t>
  </si>
  <si>
    <t>1008-109-0000-06-403</t>
  </si>
  <si>
    <t>FRC-GCT-General-NR-FRC DS-DeprExp</t>
  </si>
  <si>
    <t>1008-107-0380-05-427</t>
  </si>
  <si>
    <t>FRC-TC 2-Pre Funded Interest E-NR-IntExp-IntExpLTD</t>
  </si>
  <si>
    <t>1008-107-0333-06-447</t>
  </si>
  <si>
    <t>FRC-TC 2-Debt Principal-NR-FRC DS-SalesResale</t>
  </si>
  <si>
    <t>1008-107-0330-06-403</t>
  </si>
  <si>
    <t>FRC-TC 2-Self Funded-NR-FRC DS-DeprExp</t>
  </si>
  <si>
    <t>1008-107-0325-06-403</t>
  </si>
  <si>
    <t>FRC-TC 2-Gain/Loss-NR-FRC DS-DeprExp</t>
  </si>
  <si>
    <t>1008-107-0000-06-403</t>
  </si>
  <si>
    <t>FRC-TC 2-General-NR-FRC DS-DeprExp</t>
  </si>
  <si>
    <t>1008-106-0380-05-427</t>
  </si>
  <si>
    <t>FRC-TC 1-Pre Funded Interest E-NR-IntExp-IntExpLTD</t>
  </si>
  <si>
    <t>1008-106-0333-06-447</t>
  </si>
  <si>
    <t>FRC-TC 1-Debt Principal-NR-FRC DS-SalesResale</t>
  </si>
  <si>
    <t>1008-106-0330-06-403</t>
  </si>
  <si>
    <t>FRC-TC 1-Self Funded-NR-FRC DS-DeprExp</t>
  </si>
  <si>
    <t>1008-106-0325-06-403</t>
  </si>
  <si>
    <t>FRC-TC 1-Gain/Loss-NR-FRC DS-DeprExp</t>
  </si>
  <si>
    <t>1008-106-0000-06-403</t>
  </si>
  <si>
    <t>FRC-TC 1-General-NR-FRC DS-DeprExp</t>
  </si>
  <si>
    <t>1008-105-0380-05-427</t>
  </si>
  <si>
    <t>FRC-G5-Pre Funded Interest Exp-NR-IntExp-IntExpLTD</t>
  </si>
  <si>
    <t>1008-105-0333-06-447</t>
  </si>
  <si>
    <t>FRC-G5-Debt Principal-NR-FRC DS-SalesResale</t>
  </si>
  <si>
    <t>1008-105-0330-06-403</t>
  </si>
  <si>
    <t>FRC-G5-Self Funded-NR-FRC DS-DeprExp</t>
  </si>
  <si>
    <t>1008-105-0325-06-403</t>
  </si>
  <si>
    <t>FRC-G5-Gain/Loss-NR-FRC DS-DeprExp</t>
  </si>
  <si>
    <t>1008-105-0000-06-403</t>
  </si>
  <si>
    <t>FRC-G5-General-NR-FRC DS-DeprExp</t>
  </si>
  <si>
    <t>1008-100-0325-06-403</t>
  </si>
  <si>
    <t>FRC-Non-JTS SCADA-Gain/Loss-NR-FRC DS-DeprExp</t>
  </si>
  <si>
    <t>1008-100-0000-06-403</t>
  </si>
  <si>
    <t>FRC-Non-JTS SCADA-General-NR-FRC DS-DeprExp</t>
  </si>
  <si>
    <t>1008-001-0465-04-419</t>
  </si>
  <si>
    <t>FRC-Gen-Pre 2015 GASB31-NR-IntInc&amp;InvAmort-IntInc</t>
  </si>
  <si>
    <t>1008-001-0372-08-555</t>
  </si>
  <si>
    <t>FRC-Gen-FRC Energy Eff-FRC EE-PurchPwr</t>
  </si>
  <si>
    <t>1008-001-0333-06-447</t>
  </si>
  <si>
    <t>FRC-Gen-Debt Principal-NR-FRC DS-SalesResale</t>
  </si>
  <si>
    <t>1008-001-0330-06-403</t>
  </si>
  <si>
    <t>FRC-Gen-Self Funded-NR-FRC DS-DeprExp</t>
  </si>
  <si>
    <t>1008-001-0327-04-419</t>
  </si>
  <si>
    <t>FRC-Gen-CapI Inv Amt/Act-NR-IntInc&amp;InvAmort-IntInc</t>
  </si>
  <si>
    <t>1008-001-0326-04-419</t>
  </si>
  <si>
    <t>FRC-Gen-Inv Amort/Accret-NR-IntInc&amp;InvAmort-IntInc</t>
  </si>
  <si>
    <t>1008-001-0096-06-428</t>
  </si>
  <si>
    <t>FRC-Gen-BIC-NR-FRC DS-AmortDbtExp</t>
  </si>
  <si>
    <t>1008-001-0096-06-426</t>
  </si>
  <si>
    <t>FRC-Gen-BIC-NR-FRC DS-OthDed</t>
  </si>
  <si>
    <t>1008-001-0000-06-428</t>
  </si>
  <si>
    <t>FRC-Gen-General-NR-FRC DS-AmtDbtExp</t>
  </si>
  <si>
    <t>1008-001-0000-06-403</t>
  </si>
  <si>
    <t>FRC-Gen-General-NR-FRC DS-DeprExp</t>
  </si>
  <si>
    <t>Future recoverable costs</t>
  </si>
  <si>
    <t>1007-162-0407-06-403</t>
  </si>
  <si>
    <t>Depr-Solar Parks Proje-Solar Par-NR-FRC DS-DeprExp</t>
  </si>
  <si>
    <t>1007-161-0407-06-403</t>
  </si>
  <si>
    <t>Depr-Solar-Richmond-Solar Par-NR-FRC DS-DeprExp</t>
  </si>
  <si>
    <t>1007-160-0407-06-403</t>
  </si>
  <si>
    <t>Depr-Solar-Rensselaer-Solar Park-NR-FRC DS-DeprExp</t>
  </si>
  <si>
    <t>1007-159-0407-06-403</t>
  </si>
  <si>
    <t>Depr-Solar-Frankton-Solar Park-NR-FRC DS-DeprExp</t>
  </si>
  <si>
    <t>1007-123-0314-06-403</t>
  </si>
  <si>
    <t>Depr-WWVS/Rch-Environmental-NR-FRC DS-DeprExp</t>
  </si>
  <si>
    <t>1007-123-0028-06-403</t>
  </si>
  <si>
    <t>Depr-WWVS/Rch-Automobiles-NR-FRC DS-DeprExp</t>
  </si>
  <si>
    <t>1007-123-0001-06-403</t>
  </si>
  <si>
    <t>Depr-WWVS/Rch-Steam PIS-NR-FRC DS-DeprExp</t>
  </si>
  <si>
    <t>1007-117-0390-06-403</t>
  </si>
  <si>
    <t>Depr-PSt Mine-Coal Reserve Deple-NR-FRC DS-DeprExp</t>
  </si>
  <si>
    <t>1007-115-0022-06-403</t>
  </si>
  <si>
    <t>Depr-JTS Distr-JTS Distr CCNC-NR-FRC DS-DeprExp</t>
  </si>
  <si>
    <t>1007-115-0021-06-403</t>
  </si>
  <si>
    <t>Depr-JTS Distr-Distr Sole Use-NR-FRC DS-DeprExp</t>
  </si>
  <si>
    <t>1007-115-0020-06-403</t>
  </si>
  <si>
    <t>Depr-JTS Distr-Distr-NR-FRC DS-DeprExp</t>
  </si>
  <si>
    <t>1007-115-0019-06-403</t>
  </si>
  <si>
    <t>Depr-JTS Distr-JTS Distr PIS-NR-FRC DS-DeprExp</t>
  </si>
  <si>
    <t>1007-114-0018-06-403</t>
  </si>
  <si>
    <t>Depr-JTS Trans-JTS Trans CCNC-NR-FRC DS-DeprExp</t>
  </si>
  <si>
    <t>1007-114-0015-06-403</t>
  </si>
  <si>
    <t>Depr-JTS Trans-Capital Lease-NR-FRC DS-DeprExp</t>
  </si>
  <si>
    <t>1007-114-0014-06-403</t>
  </si>
  <si>
    <t>Depr-JTS Trans-Step up Transform-NR-FRC DS-DeprExp</t>
  </si>
  <si>
    <t>1007-114-0013-06-403</t>
  </si>
  <si>
    <t>Depr-JTS Trans-Trans Sole Use-NR-FRC DS-DeprExp</t>
  </si>
  <si>
    <t>1007-114-0012-06-403</t>
  </si>
  <si>
    <t>Depr-JTS Trans-Trans-NR-FRC DS-DeprExp</t>
  </si>
  <si>
    <t>1007-114-0011-06-403</t>
  </si>
  <si>
    <t>Depr-JTS Trans-JTS Trans PIS-NR-FRC DS-DeprExp</t>
  </si>
  <si>
    <t>1007-114-0006-06-403</t>
  </si>
  <si>
    <t>Depr-JTS Trans-AFUDC-NR-FRC DS-DeprExp</t>
  </si>
  <si>
    <t>1007-114-0002-06-403</t>
  </si>
  <si>
    <t>Depr-JTS Trans-Cap I PIS-NR-FRC DS-DeprExp</t>
  </si>
  <si>
    <t>1007-113-0359-06-403</t>
  </si>
  <si>
    <t>Depr-PSt 2-Coal Reserves-NR-FRC DS-DeprExp</t>
  </si>
  <si>
    <t>1007-113-0358-06-403</t>
  </si>
  <si>
    <t>Depr-PSt 2-Mine Development-NR-FRC DS-DeprExp</t>
  </si>
  <si>
    <t>1007-113-0005-01-403</t>
  </si>
  <si>
    <t>Depr-PSt 2-ARO Asset-Demand-DeprExp</t>
  </si>
  <si>
    <t>1007-113-0002-06-403</t>
  </si>
  <si>
    <t>Depr-PSt 2-Cap I PIS-NR-FRC DS-DeprExp</t>
  </si>
  <si>
    <t>1007-113-0001-06-403</t>
  </si>
  <si>
    <t>Depr-PSt 2-Steam PIS-NR-FRC DS-DeprExp</t>
  </si>
  <si>
    <t>1007-112-0359-06-403</t>
  </si>
  <si>
    <t>Depr-PSt 1-Coal Reserves-NR-FRC DS-DeprExp</t>
  </si>
  <si>
    <t>1007-112-0358-06-403</t>
  </si>
  <si>
    <t>Depr-PSt 1-Mine Development-NR-FRC DS-DeprExp</t>
  </si>
  <si>
    <t>1007-112-0005-01-403</t>
  </si>
  <si>
    <t>Depr-PSt 1-ARO Asset-Demand-DeprExp</t>
  </si>
  <si>
    <t>1007-112-0002-06-403</t>
  </si>
  <si>
    <t>Depr-PSt 1-Cap I PIS-NR-FRC DS-DeprExp</t>
  </si>
  <si>
    <t>1007-112-0001-06-403</t>
  </si>
  <si>
    <t>Depr-PSt 1-Steam PIS-NR-FRC DS-DeprExp</t>
  </si>
  <si>
    <t>1007-111-0027-06-403</t>
  </si>
  <si>
    <t>Depr-RCT-FF&amp;E-NR-FRC DS-DeprExp</t>
  </si>
  <si>
    <t>1007-111-0009-06-403</t>
  </si>
  <si>
    <t>Depr-RCT-CT PIS-NR-FRC DS-DeprExp</t>
  </si>
  <si>
    <t>1007-111-0002-06-403</t>
  </si>
  <si>
    <t>Depr-RCT-Cap I PIS-NR-FRC DS-DeprExp</t>
  </si>
  <si>
    <t>1007-110-0027-06-403</t>
  </si>
  <si>
    <t>Depr-ACT-FF&amp;E-NR-FRC DS-DeprExp</t>
  </si>
  <si>
    <t>1007-110-0009-06-403</t>
  </si>
  <si>
    <t>Depr-ACT-CT PIS-NR-FRC DS-DeprExp</t>
  </si>
  <si>
    <t>1007-110-0008-06-403</t>
  </si>
  <si>
    <t>Depr-ACT-ACT3 Cap. I PIS-NR-FRC DS-DeprExp</t>
  </si>
  <si>
    <t>1007-110-0002-06-403</t>
  </si>
  <si>
    <t>Depr-ACT-Cap I PIS-NR-FRC DS-DeprExp</t>
  </si>
  <si>
    <t>1007-109-0009-06-403</t>
  </si>
  <si>
    <t>Depr-GCT-CT PIS-NR-FRC DS-DeprExp</t>
  </si>
  <si>
    <t>1007-107-0017-06-403</t>
  </si>
  <si>
    <t>Depr-TC 2-Transmission KY-NR-FRC DS-DeprExp</t>
  </si>
  <si>
    <t>1007-107-0016-06-403</t>
  </si>
  <si>
    <t>Depr-TC 2-Transmission IN-NR-FRC DS-DeprExp</t>
  </si>
  <si>
    <t>1007-107-0005-01-403</t>
  </si>
  <si>
    <t>Depr-TC 2-ARO Asset-Demand-DeprExp</t>
  </si>
  <si>
    <t>1007-107-0004-06-403</t>
  </si>
  <si>
    <t>Depr-TC 2-Cap I CCNC-NR-FRC DS-DeprExp</t>
  </si>
  <si>
    <t>1007-107-0003-06-403</t>
  </si>
  <si>
    <t>Depr-TC 2-Steam CCNC-NR-FRC DS-DeprExp</t>
  </si>
  <si>
    <t>1007-107-0002-06-403</t>
  </si>
  <si>
    <t>Depr-TC 2-Cap I PIS-NR-FRC DS-DeprExp</t>
  </si>
  <si>
    <t>1007-107-0001-06-403</t>
  </si>
  <si>
    <t>Depr-TC 2-Steam PIS-NR-FRC DS-DeprExp</t>
  </si>
  <si>
    <t>1007-106-0007-06-403</t>
  </si>
  <si>
    <t>Depr-TC 1-SCR Cap. I PIS-NR-FRC DS-DeprExp</t>
  </si>
  <si>
    <t>1007-106-0005-01-403</t>
  </si>
  <si>
    <t>Depr-TC 1-ARO Asset-Demand-DeprExp</t>
  </si>
  <si>
    <t>1007-106-0002-06-403</t>
  </si>
  <si>
    <t>Depr-TC 1-Cap I PIS-NR-FRC DS-DeprExp</t>
  </si>
  <si>
    <t>1007-106-0001-06-403</t>
  </si>
  <si>
    <t>Depr-TC 1-Steam PIS-NR-FRC DS-DeprExp</t>
  </si>
  <si>
    <t>1007-105-0007-06-403</t>
  </si>
  <si>
    <t>Depr-G5-SCR Cap. I PIS-NR-FRC DS-DeprExp</t>
  </si>
  <si>
    <t>1007-105-0006-06-403</t>
  </si>
  <si>
    <t>Depr-G5-AFUDC-NR-FRC DS-DeprExp</t>
  </si>
  <si>
    <t>1007-105-0005-01-403</t>
  </si>
  <si>
    <t>Depr-G5-ARO Asset-Demand-DeprExp</t>
  </si>
  <si>
    <t>1007-105-0003-06-403</t>
  </si>
  <si>
    <t>Depr-G5-Steam CCNC-NR-FRC DS-DeprExp</t>
  </si>
  <si>
    <t>1007-105-0002-06-403</t>
  </si>
  <si>
    <t>Depr-G5-Cap I PIS-NR-FRC DS-DeprExp</t>
  </si>
  <si>
    <t>1007-105-0001-06-403</t>
  </si>
  <si>
    <t>Depr-G5-Steam PIS-NR-FRC DS-DeprExp</t>
  </si>
  <si>
    <t>1007-104-0020-06-403</t>
  </si>
  <si>
    <t>Depr-Non-JTS VECTREN-Distr-NR-FRC DS-DeprExp</t>
  </si>
  <si>
    <t>1007-104-0012-06-403</t>
  </si>
  <si>
    <t>Depr-Non-JTS VECTREN-Trans-NR-FRC DS-DeprExp</t>
  </si>
  <si>
    <t>1007-103-0020-06-403</t>
  </si>
  <si>
    <t>Depr-Non-JTS NIPSCO-Distr-NR-FRC DS-DeprExp</t>
  </si>
  <si>
    <t>1007-103-0012-06-403</t>
  </si>
  <si>
    <t>Depr-Non-JTS NIPSCO-Trans-NR-FRC DS-DeprExp</t>
  </si>
  <si>
    <t>1007-102-0012-06-403</t>
  </si>
  <si>
    <t>Depr-Non-JTS PJM-Trans-NR-FRC DS-DeprExp</t>
  </si>
  <si>
    <t>1007-101-0012-06-403</t>
  </si>
  <si>
    <t>Depr-Non-JTS MISO-Trans-NR-FRC DS-DeprExp</t>
  </si>
  <si>
    <t>1007-012-0399-06-403</t>
  </si>
  <si>
    <t>Depr-ISC2-Depreciation-NR-FRC-DS-DeprExp</t>
  </si>
  <si>
    <t>1007-012-0399-01-403</t>
  </si>
  <si>
    <t>Depr-ISC2-Depreciation-Demand-DeprExp</t>
  </si>
  <si>
    <t>1007-001-0033-06-403</t>
  </si>
  <si>
    <t>Depr-Gen-Building AFUDC-NR-FRC DS-DeprExp</t>
  </si>
  <si>
    <t>1007-001-0029-06-403</t>
  </si>
  <si>
    <t>Depr-Gen-Comm Equip-NR-FRC DS-DeprExp</t>
  </si>
  <si>
    <t>1007-001-0028-06-403</t>
  </si>
  <si>
    <t>Depr-Gen-Automobiles-NR-FRC DS-DeprExp</t>
  </si>
  <si>
    <t>1007-001-0027-06-403</t>
  </si>
  <si>
    <t>Depr-Gen-FF&amp;E-NR-FRC DS-DeprExp</t>
  </si>
  <si>
    <t>1007-001-0026-06-403</t>
  </si>
  <si>
    <t>Depr-Gen-Building-NR-FRC DS-DeprExp</t>
  </si>
  <si>
    <t>1007-001-0025-06-403</t>
  </si>
  <si>
    <t>Depr-Gen-Software-NR-FRC DS-DeprExp</t>
  </si>
  <si>
    <t>1007-001-0023-06-403</t>
  </si>
  <si>
    <t>Depr-Gen-Meters-NR-FRC DS-DeprExp</t>
  </si>
  <si>
    <t>Depreciation</t>
  </si>
  <si>
    <t>1006-162-0319-01-554</t>
  </si>
  <si>
    <t>Maint-Solar Parks-Gen Maint-Demand-OthMntGen</t>
  </si>
  <si>
    <t>1006-123-0313-01-514</t>
  </si>
  <si>
    <t>Maint-WWVS/Rch-MaintMiscSteamPlant-Demand-MntSteam</t>
  </si>
  <si>
    <t>1006-123-0311-01-513</t>
  </si>
  <si>
    <t>Maint-WWVS/Rch-MaintElectric-Demand-MntElec</t>
  </si>
  <si>
    <t>1006-123-0309-01-512</t>
  </si>
  <si>
    <t>Maint-WWVS/Rch-MaintBoiler-Demand-MntBoiler</t>
  </si>
  <si>
    <t>1006-123-0308-01-511</t>
  </si>
  <si>
    <t>Maint-WWVS/Rch-MaintStructures-Demand-MntStruct</t>
  </si>
  <si>
    <t>1006-123-0307-01-510</t>
  </si>
  <si>
    <t>Maint-WWVS/Rch-MaintSupEng-Demand-MntSupEng</t>
  </si>
  <si>
    <t>1006-123-0076-01-514</t>
  </si>
  <si>
    <t>Maint-WWVS/Rch-Spare Parts-Demand-MntSteam</t>
  </si>
  <si>
    <t>1006-115-0000-01-597</t>
  </si>
  <si>
    <t>Maint-JTS Distr-General-Demand-DistrMntMeters</t>
  </si>
  <si>
    <t>1006-115-0000-01-593</t>
  </si>
  <si>
    <t>Maint-JTS Distr-General-Demand-DistMntOverLine</t>
  </si>
  <si>
    <t>1006-115-0000-01-592</t>
  </si>
  <si>
    <t>Maint-JTS Distr-General-Demand-DistStEquip</t>
  </si>
  <si>
    <t>1006-114-0000-01-572</t>
  </si>
  <si>
    <t>Maint-JTS Trans-General-Demand-TransMtnUnderLines</t>
  </si>
  <si>
    <t>1006-114-0000-01-571</t>
  </si>
  <si>
    <t>Maint-JTS Trans-General-Demand-TranMntOverLine</t>
  </si>
  <si>
    <t>1006-114-0000-01-570</t>
  </si>
  <si>
    <t>Maint-JTS Trans-General-Demand-TranMntStatEquip</t>
  </si>
  <si>
    <t>1006-114-0000-01-569</t>
  </si>
  <si>
    <t>Maint-JTS Trans-General-Demand-TransMntStructures</t>
  </si>
  <si>
    <t>1006-113-0313-01-514</t>
  </si>
  <si>
    <t>Maint-PSt2-MaintMiscSteamPla-Demand-MntSteam</t>
  </si>
  <si>
    <t>1006-113-0311-01-513</t>
  </si>
  <si>
    <t>Maint-PSt2-MaintElectric-Demand-MntElec</t>
  </si>
  <si>
    <t>1006-113-0310-01-512</t>
  </si>
  <si>
    <t>Maint-PSt2-Scrubber Maint-Demand-MntBoiler</t>
  </si>
  <si>
    <t>1006-113-0309-01-512</t>
  </si>
  <si>
    <t>Maint-PSt2-MaintBoiler-Demand-MntBoiler</t>
  </si>
  <si>
    <t>1006-113-0308-01-511</t>
  </si>
  <si>
    <t>Maint-PSt2-MaintStructures-Demand-MntStruct</t>
  </si>
  <si>
    <t>1006-113-0307-01-510</t>
  </si>
  <si>
    <t>Maint-PSt2-MaintSupEng-Demand-MntSupEng</t>
  </si>
  <si>
    <t>1006-112-0313-01-514</t>
  </si>
  <si>
    <t>Maint-PSt 1-MaintMiscSteamPl-Demand-MntSteam</t>
  </si>
  <si>
    <t>1006-112-0311-01-513</t>
  </si>
  <si>
    <t>Maint-PSt 1-MaintElectric-Demand-MntElec</t>
  </si>
  <si>
    <t>1006-112-0310-01-512</t>
  </si>
  <si>
    <t>Maint-PSt 1-Scrubber Maint-Demand-MntBoiler</t>
  </si>
  <si>
    <t>1006-112-0309-01-512</t>
  </si>
  <si>
    <t>Maint-PSt 1-MaintBoiler-Demand-MntBoiler</t>
  </si>
  <si>
    <t>1006-112-0308-01-511</t>
  </si>
  <si>
    <t>Maint-PSt 1-MaintStructures-Demand-MntStruct</t>
  </si>
  <si>
    <t>1006-112-0307-01-510</t>
  </si>
  <si>
    <t>Maint-PSt 1-MaintSupEng-Demand-MntSupEng</t>
  </si>
  <si>
    <t>1006-111-0323-01-554</t>
  </si>
  <si>
    <t>Maint-RCT-Subst Tr/Switch Inspec-Demand-OthMntGen</t>
  </si>
  <si>
    <t>1006-111-0321-01-554</t>
  </si>
  <si>
    <t>Maint-RCT-Subst Ring-Bus Brkr-Demand-OthMntGen</t>
  </si>
  <si>
    <t>1006-111-0320-01-554</t>
  </si>
  <si>
    <t>Maint-RCT-Paint-Demand-OthMntGen</t>
  </si>
  <si>
    <t>1006-111-0319-01-554</t>
  </si>
  <si>
    <t>Maint-RCT-General Maint-Demand-OthMntGen</t>
  </si>
  <si>
    <t>1006-111-0318-01-554</t>
  </si>
  <si>
    <t>Maint-RCT-CT Calibration-Demand-OthMntGen</t>
  </si>
  <si>
    <t>1006-111-0317-01-554</t>
  </si>
  <si>
    <t>Maint-RCT-Gen Prot Relays-Demand-OthMntGen</t>
  </si>
  <si>
    <t>1006-111-0316-01-554</t>
  </si>
  <si>
    <t>Maint-RCT-Borescope Inspection-Demand-OthMntGen</t>
  </si>
  <si>
    <t>1006-111-0076-01-554</t>
  </si>
  <si>
    <t>Maint-RCT-Spare Parts-Demand-OthMntGen</t>
  </si>
  <si>
    <t>1006-110-0323-01-554</t>
  </si>
  <si>
    <t>Maint-ACT-Subst Tr/Switch Inspec-Demand-OthMntGen</t>
  </si>
  <si>
    <t>1006-110-0322-01-554</t>
  </si>
  <si>
    <t>Maint-ACT-Air Compressor-Demand-OthMntGen</t>
  </si>
  <si>
    <t>1006-110-0321-01-554</t>
  </si>
  <si>
    <t>Maint-ACT-Subst Ring-Bus Brkr-Demand-OthMntGen</t>
  </si>
  <si>
    <t>1006-110-0320-01-554</t>
  </si>
  <si>
    <t>Maint-ACT-Paint-Demand-OthMntGen</t>
  </si>
  <si>
    <t>1006-110-0319-01-554</t>
  </si>
  <si>
    <t>Maint-ACT-General Maint-Demand-OthMntGen</t>
  </si>
  <si>
    <t>1006-110-0318-01-554</t>
  </si>
  <si>
    <t>Maint-ACT-CT Calibration-Demand-OthMntGen</t>
  </si>
  <si>
    <t>1006-110-0317-01-554</t>
  </si>
  <si>
    <t>Maint-ACT-Gen Prot Relays-Demand-OthMntGen</t>
  </si>
  <si>
    <t>1006-110-0316-01-554</t>
  </si>
  <si>
    <t>Maint-ACT-Borescope Inspection-Demand-OthMntGen</t>
  </si>
  <si>
    <t>1006-110-0076-01-554</t>
  </si>
  <si>
    <t>Maint-ACT-Spare Parts-Demand-OthMntGen</t>
  </si>
  <si>
    <t>1006-109-0315-01-554</t>
  </si>
  <si>
    <t>Maint-GCT-Contractor Mnt-Demand-OthMntGen</t>
  </si>
  <si>
    <t>1006-109-0314-01-554</t>
  </si>
  <si>
    <t>Maint-GCT-Environmental-Demand-OthMntGen</t>
  </si>
  <si>
    <t>1006-107-0313-01-514</t>
  </si>
  <si>
    <t>Maint-TC 2-MaintMiscSteamPlant-Demand-MntSteam</t>
  </si>
  <si>
    <t>1006-107-0311-01-513</t>
  </si>
  <si>
    <t>Maint-TC 2-MaintElectric-Demand-MntElec</t>
  </si>
  <si>
    <t>1006-107-0310-01-512</t>
  </si>
  <si>
    <t>Maint-TC 2-Scrubber Maint-Demand-MntBoiler</t>
  </si>
  <si>
    <t>1006-107-0309-01-512</t>
  </si>
  <si>
    <t>Maint-TC 2-MaintBoiler-Demand-MntBoiler</t>
  </si>
  <si>
    <t>1006-107-0308-01-511</t>
  </si>
  <si>
    <t>Maint-TC 2-MaintStructures-Demand-MntStruct</t>
  </si>
  <si>
    <t>1006-107-0307-01-510</t>
  </si>
  <si>
    <t>Maint-TC 2-MaintSupEng-Demand-MntSupEng</t>
  </si>
  <si>
    <t>1006-106-0313-01-514</t>
  </si>
  <si>
    <t>Maint-TC 1-MaintMiscSteamPlant-Demand-MntSteam</t>
  </si>
  <si>
    <t>1006-106-0311-01-513</t>
  </si>
  <si>
    <t>Maint-TC 1-MaintElectric-Demand-MntElec</t>
  </si>
  <si>
    <t>1006-106-0310-01-512</t>
  </si>
  <si>
    <t>Maint-TC 1-Scrubber Maint-Demand-MntBoiler</t>
  </si>
  <si>
    <t>1006-106-0309-01-512</t>
  </si>
  <si>
    <t>Maint-TC 1-MaintBoiler-Demand-MntBoiler</t>
  </si>
  <si>
    <t>1006-106-0308-01-511</t>
  </si>
  <si>
    <t>Maint-TC 1-MaintStructures-Demand-MntStruct</t>
  </si>
  <si>
    <t>1006-106-0307-01-510</t>
  </si>
  <si>
    <t>Maint-TC 1-MaintSupEng-Demand-MntSupEng</t>
  </si>
  <si>
    <t>1006-105-0324-01-511</t>
  </si>
  <si>
    <t>Maint-G5-Step Up Bank-Demand-MntStruct</t>
  </si>
  <si>
    <t>1006-105-0313-01-514</t>
  </si>
  <si>
    <t>Maint-G5-MaintMiscSteamPlant-Demand-MntSteam</t>
  </si>
  <si>
    <t>1006-105-0312-01-514</t>
  </si>
  <si>
    <t>Maint-G5-Removal-Demand-MntSteam</t>
  </si>
  <si>
    <t>1006-105-0311-01-513</t>
  </si>
  <si>
    <t>Maint-G5-MaintElectric-Demand-MntElec</t>
  </si>
  <si>
    <t>1006-105-0309-01-512</t>
  </si>
  <si>
    <t>Maint-G5-MaintBoiler-Demand-MntBoiler</t>
  </si>
  <si>
    <t>1006-105-0308-01-511</t>
  </si>
  <si>
    <t>Maint-G5-MaintStructures-Demand-MntStruct</t>
  </si>
  <si>
    <t>1006-105-0307-01-510</t>
  </si>
  <si>
    <t>Maint-G5-MaintSupEng-Demand-MntSupEng</t>
  </si>
  <si>
    <t>1006-105-0197-01-510</t>
  </si>
  <si>
    <t>Maint-G5-Contractual A&amp;G-Demand-MntSupEng</t>
  </si>
  <si>
    <t>1006-001-0361-01-549</t>
  </si>
  <si>
    <t>Maint-Gen-Corporate Maintenance-Demand-OthGenExp</t>
  </si>
  <si>
    <t>1005-960-0438-03-925</t>
  </si>
  <si>
    <t>OthOper-HR-Crime Liability-NR-A&amp;G-Inj&amp;Dmg</t>
  </si>
  <si>
    <t>1005-960-0437-03-925</t>
  </si>
  <si>
    <t>OthOper-HR-Employed Lawyers Liab-NR-A&amp;G-Inj&amp;Dmg</t>
  </si>
  <si>
    <t>1005-960-0436-03-925</t>
  </si>
  <si>
    <t>OthOper-HR-Excess Liability-NR-A&amp;G-Inj&amp;Dmg</t>
  </si>
  <si>
    <t>1005-960-0435-03-925</t>
  </si>
  <si>
    <t>OthOper-HR-Auto Liability-NR-A&amp;G-Inj&amp;Dmg</t>
  </si>
  <si>
    <t>1005-960-0298-03-926</t>
  </si>
  <si>
    <t>OthOper-HR-Benefits-NR-A&amp;G-Pens&amp;Benefit</t>
  </si>
  <si>
    <t>1005-960-0297-03-926</t>
  </si>
  <si>
    <t>OthOper-HR-Pensions-NR-A&amp;G-Pens&amp;Benefit</t>
  </si>
  <si>
    <t>1005-960-0296-03-925</t>
  </si>
  <si>
    <t>OthOper-HR-Umb/Ex/Crime Con Fee-NR-A&amp;G-Inj&amp;Dmg</t>
  </si>
  <si>
    <t>1005-960-0295-03-925</t>
  </si>
  <si>
    <t>OthOper-HR-Gen Liab&amp;Auto Con Fee-NR-A&amp;G-Inj&amp;Dmg</t>
  </si>
  <si>
    <t>1005-960-0294-03-925</t>
  </si>
  <si>
    <t>OthOper-HR-Worker's Comp Con Fee-NR-A&amp;G-Inj&amp;Dmg</t>
  </si>
  <si>
    <t>1005-960-0293-03-925</t>
  </si>
  <si>
    <t>OthOper-HR-Fidelity Bond Con Fee-NR-A&amp;G-Inj&amp;Dmg</t>
  </si>
  <si>
    <t>1005-960-0292-03-925</t>
  </si>
  <si>
    <t>OthOper-HR-Umbrella-NR-A&amp;G-Inj&amp;Dmg</t>
  </si>
  <si>
    <t>1005-960-0291-03-925</t>
  </si>
  <si>
    <t>OthOper-HR-General Liab-NR-A&amp;G-Inj&amp;Dmg</t>
  </si>
  <si>
    <t>1005-960-0290-03-925</t>
  </si>
  <si>
    <t>OthOper-HR-Worker's Comp-NR-A&amp;G-Inj&amp;Dmg</t>
  </si>
  <si>
    <t>1005-960-0289-03-925</t>
  </si>
  <si>
    <t>OthOper-HR-Fiduciary Bond-NR-A&amp;G-Inj&amp;Dmg</t>
  </si>
  <si>
    <t>1005-960-0288-03-925</t>
  </si>
  <si>
    <t>OthOper-HR-D&amp;O Liab-NR-A&amp;G-Inj&amp;Dmg</t>
  </si>
  <si>
    <t>1005-960-0274-03-923</t>
  </si>
  <si>
    <t>OthOper-HR-Personnel Mgmt-NR-A&amp;G-OutsideSrv</t>
  </si>
  <si>
    <t>1005-960-0269-03-923</t>
  </si>
  <si>
    <t>OthOper-HR-Computer Consulting-NR-A&amp;G-OutsideSrv</t>
  </si>
  <si>
    <t>1005-960-0257-03-920</t>
  </si>
  <si>
    <t>OthOper-HR-Payroll Taxes-NR-A&amp;G-A&amp;GSalary</t>
  </si>
  <si>
    <t>1005-960-0254-03-920</t>
  </si>
  <si>
    <t>OthOper-HR-Salaries-NR-A&amp;G-A&amp;GSalary</t>
  </si>
  <si>
    <t>1005-960-0222-03-925</t>
  </si>
  <si>
    <t>OthOper-HR-Ins Consult Fee-NR-A&amp;G-Inj&amp;Dmg</t>
  </si>
  <si>
    <t>1005-960-0222-03-924</t>
  </si>
  <si>
    <t>OthOper-HR-Ins Consult Fee-NR-A&amp;G-Property Ins</t>
  </si>
  <si>
    <t>1005-960-0000-03-924</t>
  </si>
  <si>
    <t>OthOper-HR-Property Insurance-NR-A&amp;G-Property Ins</t>
  </si>
  <si>
    <t>1005-950-0301-03-930</t>
  </si>
  <si>
    <t>OthOper-Govt-Meetings-NR-A&amp;G-MiscExp</t>
  </si>
  <si>
    <t>1005-950-0277-03-923</t>
  </si>
  <si>
    <t>OthOper-Govt-Govt Sponsorship-NR-A&amp;G-OutsideSrv</t>
  </si>
  <si>
    <t>1005-950-0276-03-923</t>
  </si>
  <si>
    <t>OthOper-Govt-Govt Relations IN-NR-A&amp;G-OutsideSrv</t>
  </si>
  <si>
    <t>1005-950-0275-03-923</t>
  </si>
  <si>
    <t>OthOper-Govt-Govt Relations Oth-NR-A&amp;G-OutsideSrv</t>
  </si>
  <si>
    <t>1005-950-0266-03-921</t>
  </si>
  <si>
    <t>OthOper-Govt-DSC-NR-A&amp;G-OffSupExp</t>
  </si>
  <si>
    <t>1005-950-0263-03-921</t>
  </si>
  <si>
    <t>OthOper-Govt-Travel-NR-A&amp;G-OffSupExp</t>
  </si>
  <si>
    <t>1005-950-0259-03-921</t>
  </si>
  <si>
    <t>OthOper-Govt-Auto IN Lobbying-NR-A&amp;G-OffSupExp</t>
  </si>
  <si>
    <t>1005-940-0301-03-930</t>
  </si>
  <si>
    <t>OthOper-Legal-Meetings-NR-A&amp;G-MiscExp</t>
  </si>
  <si>
    <t>1005-940-0268-03-923</t>
  </si>
  <si>
    <t>OthOper-Legal-Legal-NR-A&amp;G-OutsideSrv</t>
  </si>
  <si>
    <t>1005-940-0266-03-921</t>
  </si>
  <si>
    <t>OthOper-Legal-DSC-NR-A&amp;G-OffSupExp</t>
  </si>
  <si>
    <t>1005-940-0263-03-921</t>
  </si>
  <si>
    <t>OthOper-Legal-Travel-NR-A&amp;G-OffSupExp</t>
  </si>
  <si>
    <t>1005-937-0287-03-923</t>
  </si>
  <si>
    <t>OthOper-CD-Promotional Itemsl-NR-A&amp;G-OutsideSrv</t>
  </si>
  <si>
    <t>1005-937-0284-03-923</t>
  </si>
  <si>
    <t>OthOper-CD-Internet-NR-A&amp;G-OutsideSrv</t>
  </si>
  <si>
    <t>1005-937-0282-03-923</t>
  </si>
  <si>
    <t>OthOper-CD-Wire-NR-A&amp;G-OutsideSrv</t>
  </si>
  <si>
    <t>1005-937-0281-03-923</t>
  </si>
  <si>
    <t>OthOper-CD-MPN-NR-A&amp;G-OutsideSrv</t>
  </si>
  <si>
    <t>1005-937-0262-03-921</t>
  </si>
  <si>
    <t>OthOper-CD-AR Postage-NR-A&amp;G-OffSupExp</t>
  </si>
  <si>
    <t>1005-937-0261-03-921</t>
  </si>
  <si>
    <t>OthOper-CD-MPN Postage-NR-A&amp;G-OffSupExp</t>
  </si>
  <si>
    <t>1005-937-0256-03-910</t>
  </si>
  <si>
    <t>OthOper-CD-Customer Service-NR-A&amp;G-CustSrv</t>
  </si>
  <si>
    <t>1005-937-0109-03-923</t>
  </si>
  <si>
    <t>OthOper-CD-Annual Report-NR-A&amp;G-OutsideSrv</t>
  </si>
  <si>
    <t>1005-935-0409-03-923</t>
  </si>
  <si>
    <t>OthOper-MS-Sponsor &amp; Mbr Mktg Supp-NR-A&amp;G-OSSrv</t>
  </si>
  <si>
    <t>1005-935-0393-03-923</t>
  </si>
  <si>
    <t>OthOper-MS-Mbr Events/Activities-NR-A&amp;G-OutsideSrv</t>
  </si>
  <si>
    <t>1005-935-0301-03-930</t>
  </si>
  <si>
    <t>OthOper-MS-Meetings-NR-A&amp;G-MiscExp</t>
  </si>
  <si>
    <t>1005-935-0300-03-930</t>
  </si>
  <si>
    <t>OthOper-MS-Member APPA Dues-NR-A&amp;G-MiscExp</t>
  </si>
  <si>
    <t>1005-935-0283-03-923</t>
  </si>
  <si>
    <t>OthOper-MS-Member Mktg Consumables-NR-A&amp;G-OSSrv</t>
  </si>
  <si>
    <t>1005-935-0280-03-923</t>
  </si>
  <si>
    <t>OthOper-MS-IMPA Marketing-NR-A&amp;G-OutsideSrv</t>
  </si>
  <si>
    <t>1005-935-0278-03-923</t>
  </si>
  <si>
    <t>OthOper-MS-Member Signs-NR-A&amp;G-OutsideSrv</t>
  </si>
  <si>
    <t>1005-935-0266-03-921</t>
  </si>
  <si>
    <t>OthOper-MS-DSC-NR-A&amp;G-OffSupExp</t>
  </si>
  <si>
    <t>1005-935-0263-03-921</t>
  </si>
  <si>
    <t>OthOper-MS-Travel-NR-A&amp;G-OffSupExp</t>
  </si>
  <si>
    <t>1005-933-0301-03-930</t>
  </si>
  <si>
    <t>OthOper-ED-Meetings-NR-A&amp;G-MiscExp</t>
  </si>
  <si>
    <t>1005-933-0285-03-923</t>
  </si>
  <si>
    <t>OthOper-ED-Aerial Photos-NR-A&amp;G-OutsideSrv</t>
  </si>
  <si>
    <t>1005-933-0279-03-923</t>
  </si>
  <si>
    <t>OthOper-ED-Econ Development-NR-A&amp;G-OutsideSrv</t>
  </si>
  <si>
    <t>1005-933-0266-03-921</t>
  </si>
  <si>
    <t>OthOper-ED-DSC-NR-A&amp;G-OffSupExp</t>
  </si>
  <si>
    <t>1005-933-0263-03-921</t>
  </si>
  <si>
    <t>OthOper-ED-Travel-NR-A&amp;G-OffSupExp</t>
  </si>
  <si>
    <t>1005-930-0360-03-923</t>
  </si>
  <si>
    <t>OthOper-Acct-Software Fees-NR-A&amp;G-OutsideSrv</t>
  </si>
  <si>
    <t>1005-930-0301-03-930</t>
  </si>
  <si>
    <t>OthOper-Acct-Meetings-NR-A&amp;G-MiscExp</t>
  </si>
  <si>
    <t>1005-930-0299-03-930</t>
  </si>
  <si>
    <t>OthOper-Acct-A&amp;G Discounts-NR-A&amp;G-MiscExp</t>
  </si>
  <si>
    <t>1005-930-0286-03-923</t>
  </si>
  <si>
    <t>OthOper-Acct-Financial-NR-A&amp;G-OutsideSrv</t>
  </si>
  <si>
    <t>1005-930-0273-03-923</t>
  </si>
  <si>
    <t>OthOper-Acct-Acct Consult-NR-A&amp;G-OutsideSrv</t>
  </si>
  <si>
    <t>1005-930-0272-03-923</t>
  </si>
  <si>
    <t>OthOper-Acct-Other Audits-NR-A&amp;G-OutsideSrv</t>
  </si>
  <si>
    <t>1005-930-0271-03-923</t>
  </si>
  <si>
    <t>OthOper-Acct-Annual Audit-NR-A&amp;G-OutsideSrv</t>
  </si>
  <si>
    <t>1005-930-0266-03-921</t>
  </si>
  <si>
    <t>OthOper-Acct-DSC-NR-A&amp;G-OffSupExp</t>
  </si>
  <si>
    <t>1005-930-0263-03-921</t>
  </si>
  <si>
    <t>OthOper-Acct-Travel-NR-A&amp;G-OffSupExp</t>
  </si>
  <si>
    <t>1005-925-0302-03-930</t>
  </si>
  <si>
    <t>OthOper-EN GEN-NAESB Dues-NR-A&amp;G-MiscExp</t>
  </si>
  <si>
    <t>1005-925-0301-03-930</t>
  </si>
  <si>
    <t>OthOper-EN GEN-Meetings-NR-A&amp;G-MiscExp</t>
  </si>
  <si>
    <t>1005-925-0270-03-923</t>
  </si>
  <si>
    <t>OthOper-EN GEN-Consultants-NR-A&amp;G-OutsideSrv</t>
  </si>
  <si>
    <t>1005-925-0266-03-921</t>
  </si>
  <si>
    <t>OthOper-EN GEN-DSC-NR-A&amp;G-OffSupExp</t>
  </si>
  <si>
    <t>1005-925-0263-03-921</t>
  </si>
  <si>
    <t>OthOper-EN GEN-Travel-NR-A&amp;G-OffSupExp</t>
  </si>
  <si>
    <t>1005-920-0434-03-930</t>
  </si>
  <si>
    <t>OthOper-EN OPS-DEED Dues-NR-A&amp;G-MiscExp</t>
  </si>
  <si>
    <t>1005-920-0303-03-930</t>
  </si>
  <si>
    <t>OthOper-EN OPS-TAPS Dues-NR-A&amp;G-MiscExp</t>
  </si>
  <si>
    <t>1005-920-0301-03-930</t>
  </si>
  <si>
    <t>OthOper-EN OPS-Meetings-NR-A&amp;G-MiscExp</t>
  </si>
  <si>
    <t>1005-920-0270-03-923</t>
  </si>
  <si>
    <t>OthOper-EN OPS-Consultants-NR-A&amp;G-OutsideSrv</t>
  </si>
  <si>
    <t>1005-920-0266-03-921</t>
  </si>
  <si>
    <t>OthOper-EN OPS-DSC-NR-A&amp;G-OffSupExp</t>
  </si>
  <si>
    <t>1005-920-0263-03-921</t>
  </si>
  <si>
    <t>OthOper-EN OPS-Travel-NR-A&amp;G-OffSupExp</t>
  </si>
  <si>
    <t>1005-910-0301-03-930</t>
  </si>
  <si>
    <t>OthOper-Admin-Meetings-NR-A&amp;G-MiscExp</t>
  </si>
  <si>
    <t>1005-910-0267-03-921</t>
  </si>
  <si>
    <t>OthOper-Admin-Building Mnt &amp; Util-NR-A&amp;G-OffSupExp</t>
  </si>
  <si>
    <t>1005-910-0266-03-921</t>
  </si>
  <si>
    <t>OthOper-Admin-DSC-NR-A&amp;G-OffSupExp</t>
  </si>
  <si>
    <t>1005-910-0265-03-921</t>
  </si>
  <si>
    <t>OthOper-Admin-Office Supplies-NR-A&amp;G-OffSupExp</t>
  </si>
  <si>
    <t>1005-910-0264-03-921</t>
  </si>
  <si>
    <t>OthOper-Admin-Telephone-NR-A&amp;G-OffSupExp</t>
  </si>
  <si>
    <t>1005-910-0263-03-921</t>
  </si>
  <si>
    <t>OthOper-Admin-Travel-NR-A&amp;G-OffSupExp</t>
  </si>
  <si>
    <t>1005-910-0260-03-921</t>
  </si>
  <si>
    <t>OthOper-Admin-Postage-NR-A&amp;G-OffSupExp</t>
  </si>
  <si>
    <t>1005-910-0258-03-921</t>
  </si>
  <si>
    <t>OthOper-Admin-Auto-NR-A&amp;G-OffSupExp</t>
  </si>
  <si>
    <t>1005-910-0207-03-931</t>
  </si>
  <si>
    <t>OthOper-Admin-Rents-NR-A&amp;G-Rents</t>
  </si>
  <si>
    <t>1005-162-0105-01-408</t>
  </si>
  <si>
    <t>OthOper-Solar Parks-Indiana PPT-Demand-PropTaxes</t>
  </si>
  <si>
    <t>1005-123-0105-01-408</t>
  </si>
  <si>
    <t>OthOper-WWVS/Rch-Indiana PPT-Demand-PropTaxes</t>
  </si>
  <si>
    <t>1005-115-0305-06-421</t>
  </si>
  <si>
    <t>OthOper-JTS Distr-Loss on FA-NR-FRC DS-NonOpInc</t>
  </si>
  <si>
    <t>1005-114-0305-06-421</t>
  </si>
  <si>
    <t>OthOper-JTS Trans-Loss on FA-NR-FRC DS-NonOpInc</t>
  </si>
  <si>
    <t>1005-114-0304-06-421</t>
  </si>
  <si>
    <t>OthOper-JTS Trans-Gain on FA-NR-FRC DS-NonOpInc</t>
  </si>
  <si>
    <t>1005-114-0105-01-408</t>
  </si>
  <si>
    <t>OthOper-JTS Trans-Indiana PPT-Demand-PropTaxes</t>
  </si>
  <si>
    <t>1005-113-0306-01-408</t>
  </si>
  <si>
    <t>OthOper-PSt 2-Illinois PPT-Demand-PropTaxes</t>
  </si>
  <si>
    <t>1005-113-0305-06-421</t>
  </si>
  <si>
    <t>OthOper-PSt2-Loss on FA-NR-FRC DS-NonOpInc</t>
  </si>
  <si>
    <t>1005-112-0306-01-408</t>
  </si>
  <si>
    <t>OthOper-PSt 1-Illinois PPT-Demand-PropTaxes</t>
  </si>
  <si>
    <t>1005-112-0305-06-421</t>
  </si>
  <si>
    <t>OthOper-PSt 1-Loss on FA-NR-FRC DS-NonOpInc</t>
  </si>
  <si>
    <t>1005-111-0305-06-421</t>
  </si>
  <si>
    <t>OthOper-RCT-Loss on FA-NR-FRC DS-NonOpInc</t>
  </si>
  <si>
    <t>1005-111-0105-01-408</t>
  </si>
  <si>
    <t>OthOper-RCT-Indiana PPT-Demand-PropTaxes</t>
  </si>
  <si>
    <t>1005-110-0305-06-421</t>
  </si>
  <si>
    <t>OthOper-ACT-Loss on FA-NR-FRC DS-NonOpInc</t>
  </si>
  <si>
    <t>1005-110-0105-01-408</t>
  </si>
  <si>
    <t>OthOper-ACT-Indiana PPT-Demand-PropTaxes</t>
  </si>
  <si>
    <t>1005-109-0305-06-421</t>
  </si>
  <si>
    <t>OthOper-GCT-Loss on FA-NR-FRC DS-NonOpInc</t>
  </si>
  <si>
    <t>1005-109-0105-01-408</t>
  </si>
  <si>
    <t>OthOper-GCT-Indiana PPT-Demand-PropTaxes</t>
  </si>
  <si>
    <t>1005-107-0305-06-421</t>
  </si>
  <si>
    <t>OthOper-TC 2-Loss on FA-NR-FRC DS-NonOpInc</t>
  </si>
  <si>
    <t>1005-107-0106-01-408</t>
  </si>
  <si>
    <t>OthOper-TC 2-Kentucky PPT-Demand-PropTaxes</t>
  </si>
  <si>
    <t>1005-106-0305-06-421</t>
  </si>
  <si>
    <t>OthOper-TC 1-Loss on FA-NR-FRC DS-NonOpInc</t>
  </si>
  <si>
    <t>1005-106-0106-01-408</t>
  </si>
  <si>
    <t>OthOper-TC 1-Kentucky PPT-Demand-PropTaxes</t>
  </si>
  <si>
    <t>1005-105-0305-06-421</t>
  </si>
  <si>
    <t>OthOper-G5-Loss on FA-NR-FRC DS-NonOpInc</t>
  </si>
  <si>
    <t>1005-105-0105-01-408</t>
  </si>
  <si>
    <t>OthOper-G5-Indiana PPT-Demand-PropTaxes</t>
  </si>
  <si>
    <t>1005-100-0305-06-421</t>
  </si>
  <si>
    <t>OthOper-Non-JTS SCADA-Loss on F-NR-FRC DS-NonOpInc</t>
  </si>
  <si>
    <t>1005-014-0337-10-417</t>
  </si>
  <si>
    <t>OthOper-ISC DS-Expenses-NR-ISC-NonUtilRev</t>
  </si>
  <si>
    <t>1005-013-0337-01-417</t>
  </si>
  <si>
    <t>OthOper-ISC CRS-Expenses-Demand-NonUtilRev</t>
  </si>
  <si>
    <t>1005-013-0198-01-417</t>
  </si>
  <si>
    <t>OthOper-ISC CRS-IMPA Supervision-Demand-NonUtilRev</t>
  </si>
  <si>
    <t>1005-012-0415-10-417</t>
  </si>
  <si>
    <t>OthOper-ISC2-Cell Phone Reimb-NR-ISC-NonUtilRev</t>
  </si>
  <si>
    <t>1005-012-0415-01-417</t>
  </si>
  <si>
    <t>OthOper-ISC2-Cell Phone Reimb-Demand-NonUtilRev</t>
  </si>
  <si>
    <t>1005-012-0414-10-417</t>
  </si>
  <si>
    <t>OthOper-ISC2-Per Diem Allow-NR-ISC-NonUtilRev</t>
  </si>
  <si>
    <t>1005-012-0414-01-417</t>
  </si>
  <si>
    <t>OthOper-ISC2-Per Diem Allow-Demand-NonUtilRev</t>
  </si>
  <si>
    <t>1005-012-0399-01-417</t>
  </si>
  <si>
    <t>OthOper-ISC2-Direct Depreciation-Demand-NonUtilRev</t>
  </si>
  <si>
    <t>1005-012-0398-01-417</t>
  </si>
  <si>
    <t>OthOper-ISC2-DirectEquip&amp;Software-Demand-NonUtilRe</t>
  </si>
  <si>
    <t>1005-012-0351-01-417</t>
  </si>
  <si>
    <t>OthOper-ISC2-Direct Travel Exp-Demand-NonUtilRev</t>
  </si>
  <si>
    <t>1005-012-0350-01-417</t>
  </si>
  <si>
    <t>OthOper-ISC2-Direct Office Exp-Demand-NonUtilRev</t>
  </si>
  <si>
    <t>1005-012-0347-10-417</t>
  </si>
  <si>
    <t>OthOper-ISC2-Direct Salary Exp-NR-ISC-NonUtilRev</t>
  </si>
  <si>
    <t>1005-012-0347-01-417</t>
  </si>
  <si>
    <t>OthOper-ISC2-Direct Salary Exp-Demand-NonUtilRev</t>
  </si>
  <si>
    <t>1005-012-0346-01-417</t>
  </si>
  <si>
    <t>OthOper-ISC2-Direct Conf Exp-Demand-NonUtilRev</t>
  </si>
  <si>
    <t>1005-012-0345-01-417</t>
  </si>
  <si>
    <t>OthOper-ISC2-Direct Ins Exp-Demand-NonUtilRev</t>
  </si>
  <si>
    <t>1005-012-0337-10-417</t>
  </si>
  <si>
    <t>OthOper-ISC2-Expenses-NR-ISC-NonUtilRev</t>
  </si>
  <si>
    <t>1005-012-0337-01-417</t>
  </si>
  <si>
    <t>OthOper-ISC2-Expenses-Demand-NonUtilRev</t>
  </si>
  <si>
    <t>1005-012-0298-10-417</t>
  </si>
  <si>
    <t>OthOper-ISC2-Benefits-NR-ISC-NonUtilRev</t>
  </si>
  <si>
    <t>1005-012-0298-01-417</t>
  </si>
  <si>
    <t>OthOper-ISC2-Benefits-Demand-NonUtilRev</t>
  </si>
  <si>
    <t>1005-012-0258-01-417</t>
  </si>
  <si>
    <t>OthOper-ISC2-Auto-Demand-NonUtilRev</t>
  </si>
  <si>
    <t>1005-012-0257-10-417</t>
  </si>
  <si>
    <t>OthOper-ISC2-Payroll Taxes-NR-ISC-NonUtilRev</t>
  </si>
  <si>
    <t>1005-012-0257-01-417</t>
  </si>
  <si>
    <t>OthOper-ISC2-Payroll Taxes-Demand-NonUtilRev</t>
  </si>
  <si>
    <t>1005-012-0198-10-417</t>
  </si>
  <si>
    <t>OthOper-ISC2-IMPA Supervision-NR-ISC-NonUtilRev</t>
  </si>
  <si>
    <t>1005-012-0198-01-417</t>
  </si>
  <si>
    <t>OthOper-ISC2-IMPA Supervision-Demand-NonUtilRev</t>
  </si>
  <si>
    <t>1005-011-0337-01-417</t>
  </si>
  <si>
    <t>OthOper-Geneva CRS-Expenses-Demand-NonUtilRev</t>
  </si>
  <si>
    <t>1005-010-0337-01-417</t>
  </si>
  <si>
    <t>OthOper-NIMPA CRS-Expenses-Demand-NonUtilRev</t>
  </si>
  <si>
    <t>1005-008-0337-01-417</t>
  </si>
  <si>
    <t>OthOper-Batavia CRS-Expenses-Demand-NonUtilRev</t>
  </si>
  <si>
    <t>1005-006-0337-01-417</t>
  </si>
  <si>
    <t>OthOper-NIMPA-Expenses-Demand-NonUtilRev</t>
  </si>
  <si>
    <t>1005-006-0336-01-417</t>
  </si>
  <si>
    <t>OthOper-NIMPA-AR Clearing-Demand-NonUtilRev</t>
  </si>
  <si>
    <t>1005-005-0337-01-417</t>
  </si>
  <si>
    <t>OthOper-Rochelle CRS-Expenses-Demand-NonUtilRev</t>
  </si>
  <si>
    <t>1005-004-0467-10-417</t>
  </si>
  <si>
    <t>OthOper-ISC-ISC Margin-Offset-NR-ISC-NonUtilRev</t>
  </si>
  <si>
    <t>1005-004-0401-01-417</t>
  </si>
  <si>
    <t>OthOper-ISC-Direct IMPA Consl Exp-Demand-NonUtilRe</t>
  </si>
  <si>
    <t>1005-004-0399-01-417</t>
  </si>
  <si>
    <t>OthOper-ISC-Direct Depreciation-Demand-NonUtilRev</t>
  </si>
  <si>
    <t>1005-004-0398-01-417</t>
  </si>
  <si>
    <t>OthOper-ISC-DirectEquip&amp;Software-Demand-NonUtilRev</t>
  </si>
  <si>
    <t>1005-004-0351-01-417</t>
  </si>
  <si>
    <t>OthOper-ISC-Direct Travel Exp-Demand-NonUtilRev</t>
  </si>
  <si>
    <t>1005-004-0350-01-417</t>
  </si>
  <si>
    <t>OthOper-ISC-Direct Office Exp-Demand-NonUtilRev</t>
  </si>
  <si>
    <t>1005-004-0348-01-417</t>
  </si>
  <si>
    <t>OthOper-ISC-Direct Legal Exp-Demand-NonUtilRev</t>
  </si>
  <si>
    <t>1005-004-0347-10-417</t>
  </si>
  <si>
    <t>OthOper-ISC-Direct Salary Exp-NR-ISC-NonUtilRev</t>
  </si>
  <si>
    <t>1005-004-0347-01-417</t>
  </si>
  <si>
    <t>OthOper-ISC-Direct Salary Exp-Demand-NonUtilRev</t>
  </si>
  <si>
    <t>1005-004-0346-01-417</t>
  </si>
  <si>
    <t>OthOper-ISC-Direct Conf Exp-Demand-NonUtilRev</t>
  </si>
  <si>
    <t>1005-004-0345-01-417</t>
  </si>
  <si>
    <t>OthOper-ISC-Direct Ins Exp-Demand-NonUtilRev</t>
  </si>
  <si>
    <t>1005-004-0344-01-417</t>
  </si>
  <si>
    <t>OthOper-ISC-AL Telephone Exp-Demand-NonUtilRev</t>
  </si>
  <si>
    <t>1005-004-0343-01-417</t>
  </si>
  <si>
    <t>OthOper-ISC-AL Copier Rnt Exp-Demand-NonUtilRev</t>
  </si>
  <si>
    <t>1005-004-0342-01-417</t>
  </si>
  <si>
    <t>OthOper-ISC-AL Postage Exp-Demand-NonUtilRev</t>
  </si>
  <si>
    <t>1005-004-0341-01-417</t>
  </si>
  <si>
    <t>OthOper-ISC-AL Office Exp-Demand-NonUtilRev</t>
  </si>
  <si>
    <t>1005-004-0340-01-417</t>
  </si>
  <si>
    <t>OthOper-ISC-AL Office Sup Exp-Demand-NonUtilRev</t>
  </si>
  <si>
    <t>1005-004-0339-01-417</t>
  </si>
  <si>
    <t>OthOper-ISC-AL Facility Chg-Demand-NonUtilRev</t>
  </si>
  <si>
    <t>1005-004-0338-01-417</t>
  </si>
  <si>
    <t>OthOper-ISC-AL Work Comp Exp-Demand-NonUtilRev</t>
  </si>
  <si>
    <t>1005-004-0337-10-417</t>
  </si>
  <si>
    <t>OthOper-ISC-Expenses-NR-ISC-NonUtilRev</t>
  </si>
  <si>
    <t>1005-004-0337-01-417</t>
  </si>
  <si>
    <t>OthOper-ISC-Expenses-Demand-NonUtilRev</t>
  </si>
  <si>
    <t>1005-004-0336-10-417</t>
  </si>
  <si>
    <t>OthOper-ISC-AR Clearing-NR-ISC-NonUtilRev</t>
  </si>
  <si>
    <t>1005-004-0336-01-417</t>
  </si>
  <si>
    <t>OthOper-ISC-AR Clearing-Demand-NonUtilRev</t>
  </si>
  <si>
    <t>1005-004-0222-01-417</t>
  </si>
  <si>
    <t>OthOper-ISC-Ins Consult Fee-Demand-NonUtilRev</t>
  </si>
  <si>
    <t>1005-004-0198-10-417</t>
  </si>
  <si>
    <t>OthOper-ISC-IMPA Supervision-NR-ISC-NonUtilRev</t>
  </si>
  <si>
    <t>1005-004-0198-01-417</t>
  </si>
  <si>
    <t>OthOper-ISC-IMPA Supervision-Demand-NonUtilRev</t>
  </si>
  <si>
    <t>1005-004-0121-01-417</t>
  </si>
  <si>
    <t>OthOper-ISC-Revenues-Demand-NonUtilRev</t>
  </si>
  <si>
    <t>1005-003-0133-01-417</t>
  </si>
  <si>
    <t>OthOper-Grant-IMPA Work-Demand-NonUtilRev</t>
  </si>
  <si>
    <t>1005-001-0469-01-417</t>
  </si>
  <si>
    <t>OthOper-Gen-CC Personal Clearing-Demand-NonUtilRev</t>
  </si>
  <si>
    <t>1005-001-0403-01-417</t>
  </si>
  <si>
    <t>OthOper-Gen-ISC Consulting Exp-Demand-NonUtilRev</t>
  </si>
  <si>
    <t>1005-001-0336-01-417</t>
  </si>
  <si>
    <t>OthOper-Gen-AR Clearing-Demand-NonUtilRev</t>
  </si>
  <si>
    <t>1005-001-0305-06-421</t>
  </si>
  <si>
    <t>OthOper-Gen-Loss on FA-NR-FRC DS-NonOpInc</t>
  </si>
  <si>
    <t>1005-001-0304-01-421</t>
  </si>
  <si>
    <t>OthOper-Gen-Gain on FA-Demand-NonOpInc</t>
  </si>
  <si>
    <t>1005-001-0255-01-908</t>
  </si>
  <si>
    <t>OthOper-Gen-Unplanned Maint-Demand-CustAssistExp</t>
  </si>
  <si>
    <t>1005-001-0254-01-908</t>
  </si>
  <si>
    <t>OthOper-Gen-Salaries-Demand-CustAssistExp</t>
  </si>
  <si>
    <t>1005-001-0106-01-408</t>
  </si>
  <si>
    <t>OthOper-Gen-Kentucky PPT-Demand-PropTaxes</t>
  </si>
  <si>
    <t>1005-001-0105-01-408</t>
  </si>
  <si>
    <t>OthOper-Gen-Indiana PPT-Demand-PropTaxes</t>
  </si>
  <si>
    <t>Other operating</t>
  </si>
  <si>
    <t>1004-163-0000-01-565</t>
  </si>
  <si>
    <t>T&amp;LF-MISCDISGEN-General-Demand-TranbyOthers</t>
  </si>
  <si>
    <t>1004-158-0000-01-588</t>
  </si>
  <si>
    <t>T&amp;LF-Montezuma-General-Demand-DstMsEx</t>
  </si>
  <si>
    <t>1004-158-0000-01-565</t>
  </si>
  <si>
    <t>T&amp;LF-Montezuma-General-Demand-TranbyOthers</t>
  </si>
  <si>
    <t>1004-157-0000-01-588</t>
  </si>
  <si>
    <t>T&amp;LF-New Ross-General-Demand-DstMsEx</t>
  </si>
  <si>
    <t>1004-157-0000-01-565</t>
  </si>
  <si>
    <t>T&amp;LF-New Ross-General-Demand-TranbyOthers</t>
  </si>
  <si>
    <t>1004-156-0000-01-588</t>
  </si>
  <si>
    <t>T&amp;LF-South Whitley-General-Demand-DstMsEx</t>
  </si>
  <si>
    <t>1004-156-0000-01-565</t>
  </si>
  <si>
    <t>T&amp;LF-South Whitley-General-Demand-TranbyOthers</t>
  </si>
  <si>
    <t>1004-155-0000-01-588</t>
  </si>
  <si>
    <t>T&amp;LF-Williamsport-General-Demand-DstMsEx</t>
  </si>
  <si>
    <t>1004-155-0000-01-565</t>
  </si>
  <si>
    <t>T&amp;LF-Williamsport-General-Demand-TranbyOthers</t>
  </si>
  <si>
    <t>1004-154-0000-01-588</t>
  </si>
  <si>
    <t>T&amp;LF-Coatesville-General-Demand-DstMsEx</t>
  </si>
  <si>
    <t>1004-154-0000-01-565</t>
  </si>
  <si>
    <t>T&amp;LF-Coatesville-General-Demand-TranbyOthers</t>
  </si>
  <si>
    <t>1004-153-0233-01-565</t>
  </si>
  <si>
    <t>T&amp;LF-TEA-Mkt/Admin Sch26A MVP-Demand-TranbyOthers</t>
  </si>
  <si>
    <t>1004-152-0000-01-588</t>
  </si>
  <si>
    <t>T&amp;LF-Veedersburg-General-Demand-DstMsEx</t>
  </si>
  <si>
    <t>1004-152-0000-01-565</t>
  </si>
  <si>
    <t>T&amp;LF-Veedersburg-General-Demand-TranbyOthers</t>
  </si>
  <si>
    <t>1004-144-0253-01-588</t>
  </si>
  <si>
    <t>T&amp;LF-Duke OH Tr/Fac-Blnch Fac PJM-Demand-DstMisEx</t>
  </si>
  <si>
    <t>1004-144-0252-01-588</t>
  </si>
  <si>
    <t>T&amp;LF-Duke OH Tr/Fac-Blnch Fac MISO-Demand-DstMisEx</t>
  </si>
  <si>
    <t>1004-144-0250-01-565</t>
  </si>
  <si>
    <t>T&amp;LF-Duke OH Tr/Fac-Blnch PJM-Demand-TranbyOthers</t>
  </si>
  <si>
    <t>1004-144-0249-01-565</t>
  </si>
  <si>
    <t>T&amp;LF-Duke OH Tr/Fac-Blnch MISO-Demand-TranbyOthers</t>
  </si>
  <si>
    <t>1004-143-0247-01-565</t>
  </si>
  <si>
    <t>T&amp;LF-Duke IN Trans-MISO Sch 2-Demand-TranbyOthers</t>
  </si>
  <si>
    <t>1004-140-0167-02-565</t>
  </si>
  <si>
    <t>T&amp;LF-VectrenHT-ASM-Energy-TranbyOthers</t>
  </si>
  <si>
    <t>1004-140-0000-01-565</t>
  </si>
  <si>
    <t>T&amp;LF-VectrenHT-General-Demand-TranbyOthers</t>
  </si>
  <si>
    <t>1004-138-0167-02-565</t>
  </si>
  <si>
    <t>T&amp;LF-VectrenTC-ASM-Energy-TranbyOthers</t>
  </si>
  <si>
    <t>1004-138-0000-01-565</t>
  </si>
  <si>
    <t>T&amp;LF-VectrenTC-General-Demand-TranbyOthers</t>
  </si>
  <si>
    <t>1004-136-0374-01-565</t>
  </si>
  <si>
    <t>T&amp;LF-PJM-Reactive Power Comp PJM-Demand-TranbyOthe</t>
  </si>
  <si>
    <t>1004-136-0242-01-565</t>
  </si>
  <si>
    <t>T&amp;LF-PJM-NITS-Demand-TranbyOthers</t>
  </si>
  <si>
    <t>1004-136-0167-02-565</t>
  </si>
  <si>
    <t>T&amp;LF-PJM-ASM-Energy-TranbyOthers</t>
  </si>
  <si>
    <t>1004-135-0450-01-565</t>
  </si>
  <si>
    <t>T&amp;LF-MISO-Crystal Lake-Demand-TranbyOthers</t>
  </si>
  <si>
    <t>1004-135-0384-01-565</t>
  </si>
  <si>
    <t>T&amp;LF-MISO-PST Reactive Power MISO-Demand-TranbyOth</t>
  </si>
  <si>
    <t>1004-135-0241-01-565</t>
  </si>
  <si>
    <t>T&amp;LF-MISO-Membership Dues-Demand-TranbyOthers</t>
  </si>
  <si>
    <t>1004-135-0240-01-565</t>
  </si>
  <si>
    <t>T&amp;LF-MISO-NERC-Demand-TranbyOthers</t>
  </si>
  <si>
    <t>1004-135-0239-01-565</t>
  </si>
  <si>
    <t>T&amp;LF-MISO-Legal Cost Sharing-Demand-TranbyOthers</t>
  </si>
  <si>
    <t>1004-135-0233-01-565</t>
  </si>
  <si>
    <t>T&amp;LF-MISO-ARR FTR RSG Exp-Demand-TranbyOthers</t>
  </si>
  <si>
    <t>1004-135-0179-01-565</t>
  </si>
  <si>
    <t>T&amp;LF-MISO-Reactive Power MISO-Demand-TranbyOth</t>
  </si>
  <si>
    <t>1004-135-0167-02-565</t>
  </si>
  <si>
    <t>T&amp;LF-MISO-ASM-Energy-TranbyOthers</t>
  </si>
  <si>
    <t>1004-134-0251-01-588</t>
  </si>
  <si>
    <t>T&amp;LF-NIPSCO-Network Distr Services-Demand-DstMisEx</t>
  </si>
  <si>
    <t>1004-134-0000-01-565</t>
  </si>
  <si>
    <t>T&amp;LF-NIPSCO-General-Demand-TranbyOthers</t>
  </si>
  <si>
    <t>1004-133-0243-01-565</t>
  </si>
  <si>
    <t>T&amp;LF-CES-PJM FTR Consulting-Demand-TranbyOthers</t>
  </si>
  <si>
    <t>1004-133-0238-01-565</t>
  </si>
  <si>
    <t>T&amp;LF-CES-MISO FTR Consulting-Demand-TranbyOthers</t>
  </si>
  <si>
    <t>1004-133-0232-01-565</t>
  </si>
  <si>
    <t>T&amp;LF-CES-PJM Consulting -Demand-TranbyOthers</t>
  </si>
  <si>
    <t>1004-133-0231-01-565</t>
  </si>
  <si>
    <t>T&amp;LF-CES-MISO Consulting-Demand-TranbyOthers</t>
  </si>
  <si>
    <t>1004-131-0235-01-565</t>
  </si>
  <si>
    <t>T&amp;LF-AEP CB-PJM NITS-Demand-TranbyOthers</t>
  </si>
  <si>
    <t>1004-130-0481-01-565</t>
  </si>
  <si>
    <t>T&amp;LF-MISO RTO-MEP-Demand-TranbyOthers</t>
  </si>
  <si>
    <t>1004-130-0480-01-565</t>
  </si>
  <si>
    <t>T&amp;LF-MISO RTO-MVP-Demand-TranbyOthers</t>
  </si>
  <si>
    <t>1004-130-0479-01-565</t>
  </si>
  <si>
    <t>T&amp;LF-MISO RTO-NITS-Demand-TranbyOthers</t>
  </si>
  <si>
    <t>1004-130-0236-01-565</t>
  </si>
  <si>
    <t>T&amp;LF-MISO RTO-MISO RTO-Demand-TranbyOthers</t>
  </si>
  <si>
    <t>1004-130-0172-01-565</t>
  </si>
  <si>
    <t>T&amp;LF-MISO RTO-Reactive Power Comp-Demand-TranbyOth</t>
  </si>
  <si>
    <t>1004-115-0222-01-588</t>
  </si>
  <si>
    <t>T&amp;LF-JTS Distr-Ins Consult Fee-Demand-DstMisEx</t>
  </si>
  <si>
    <t>1004-115-0195-01-588</t>
  </si>
  <si>
    <t>T&amp;LF-JTS Distr-Annual Recon-Demand-DstMisEx</t>
  </si>
  <si>
    <t>1004-115-0080-01-588</t>
  </si>
  <si>
    <t>T&amp;LF-JTS Distr-Insurance-Demand-DstMisEx</t>
  </si>
  <si>
    <t>1004-115-0000-01-588</t>
  </si>
  <si>
    <t>T&amp;LF-JTS Distr-General-Demand-DstMisEx</t>
  </si>
  <si>
    <t>1004-115-0000-01-586</t>
  </si>
  <si>
    <t>T&amp;LF-JTS Distr-General-Demand-DistrMeterExp</t>
  </si>
  <si>
    <t>1004-115-0000-01-583</t>
  </si>
  <si>
    <t>T&amp;LF-JTS Distr-General-Demand-DistOHLine</t>
  </si>
  <si>
    <t>1004-115-0000-01-582</t>
  </si>
  <si>
    <t>T&amp;LF-JTS Distr-General-Demand-DistStationExp</t>
  </si>
  <si>
    <t>1004-114-0400-01-561</t>
  </si>
  <si>
    <t>T&amp;LF-JTS Trans-Non-Load Dispatch-Demand-TranLoadDi</t>
  </si>
  <si>
    <t>1004-114-0244-01-565</t>
  </si>
  <si>
    <t>T&amp;LF-JTS Trans-Recon Inv Chrg-Demand-TranbyOthers</t>
  </si>
  <si>
    <t>1004-114-0234-01-560</t>
  </si>
  <si>
    <t>T&amp;LF-JTS Trans-Annual Rec Op Rev-Demand-TranOSE</t>
  </si>
  <si>
    <t>1004-114-0118-01-565</t>
  </si>
  <si>
    <t>T&amp;LF-JTS Trans-Self Insurance-Demand-TranbyOthers</t>
  </si>
  <si>
    <t>1004-114-0000-01-567</t>
  </si>
  <si>
    <t>T&amp;LF-JTS Trans-General-Demand-TransRents</t>
  </si>
  <si>
    <t>1004-114-0000-01-565</t>
  </si>
  <si>
    <t>T&amp;LF-JTS Trans-General-Demand-TranbyOthers</t>
  </si>
  <si>
    <t>1004-114-0000-01-563</t>
  </si>
  <si>
    <t>T&amp;LF-JTS Trans-General-Demand-TranOHLine</t>
  </si>
  <si>
    <t>1004-114-0000-01-562</t>
  </si>
  <si>
    <t>T&amp;LF-JTS Trans-General-Demand-TranStatExp</t>
  </si>
  <si>
    <t>1004-114-0000-01-561</t>
  </si>
  <si>
    <t>T&amp;LF-JTS Trans-General-Demand-TranLoadDisp</t>
  </si>
  <si>
    <t>1004-114-0000-01-560</t>
  </si>
  <si>
    <t>T&amp;LF-JTS Trans-General-Demand-TranOSE</t>
  </si>
  <si>
    <t>1004-111-0374-01-565</t>
  </si>
  <si>
    <t>T&amp;LF-RCT-Reactive Power Comp PJM-Demand-TranbyOthe</t>
  </si>
  <si>
    <t>1004-110-0374-01-565</t>
  </si>
  <si>
    <t>T&amp;LF-ACT-Reactive Power Comp PJM-Demand-TranbyOthe</t>
  </si>
  <si>
    <t>1004-107-0172-01-565</t>
  </si>
  <si>
    <t>T&amp;LF-TC 2-Reactive Power Comp MIS-Demand-TranbyOth</t>
  </si>
  <si>
    <t>1004-106-0172-01-565</t>
  </si>
  <si>
    <t>T&amp;LF-TC 1-Reactive Power Comp MIS-Demand-TranbyOth</t>
  </si>
  <si>
    <t>1004-106-0000-01-565</t>
  </si>
  <si>
    <t>T&amp;LF-TC 1-General-Demand-TranbyOthers</t>
  </si>
  <si>
    <t>1004-105-0167-02-565</t>
  </si>
  <si>
    <t>T&amp;LF-G5-ASM-Energy-TranbyOthers</t>
  </si>
  <si>
    <t>1004-105-0000-01-562</t>
  </si>
  <si>
    <t>T&amp;LF-G5-General-Demand-TranStatExp</t>
  </si>
  <si>
    <t>1004-105-0000-01-556</t>
  </si>
  <si>
    <t>T&amp;LF-G5-General-Demand-SCADA</t>
  </si>
  <si>
    <t>1004-101-0476-01-565</t>
  </si>
  <si>
    <t>T&amp;LF-Non-JTS MISO-Member Projects-Demand-TranbyOth</t>
  </si>
  <si>
    <t>1004-100-0470-01-556</t>
  </si>
  <si>
    <t>T&amp;LF-Non-JTS SCADA-PSC Const &amp; Soft-Demand-SCADA</t>
  </si>
  <si>
    <t>1004-100-0229-01-556</t>
  </si>
  <si>
    <t>T&amp;LF-Non-JTS SCADA-Control Room-Demand-SCADA</t>
  </si>
  <si>
    <t>1004-100-0198-01-556</t>
  </si>
  <si>
    <t>T&amp;LF-Non-JTS SCADA-IMPA Supervision-Demand-SCADA</t>
  </si>
  <si>
    <t>1004-099-0020-01-588</t>
  </si>
  <si>
    <t>T&amp;LF-NON-JTS Duke-Distr-Demand-DstMsEx</t>
  </si>
  <si>
    <t>Transmission and local facilities</t>
  </si>
  <si>
    <t>1003-162-0222-01-549</t>
  </si>
  <si>
    <t>Prod-Solar Parks Projec-Ins Consu-Demand-OthGenExp</t>
  </si>
  <si>
    <t>1003-162-0202-01-549</t>
  </si>
  <si>
    <t>Prod-Solar Parks-Miscellaneous-Demand-OthGenExp</t>
  </si>
  <si>
    <t>1003-162-0198-01-546</t>
  </si>
  <si>
    <t>Prod-Solar Parks Projec-IMPA Supe-Demand-OthOpSupe</t>
  </si>
  <si>
    <t>1003-135-0233-01-557</t>
  </si>
  <si>
    <t>Prod-MISO-Market/Admin-Demand-OthExp</t>
  </si>
  <si>
    <t>1003-135-0167-02-557</t>
  </si>
  <si>
    <t>Prod-MISO-ASM-Energy-OthExp</t>
  </si>
  <si>
    <t>1003-133-0232-01-557</t>
  </si>
  <si>
    <t>Prod-CES-PJM Consulting -Demand-OthExp</t>
  </si>
  <si>
    <t>1003-133-0231-01-557</t>
  </si>
  <si>
    <t>Prod-CES-MISO Consulting-Demand-OthExp</t>
  </si>
  <si>
    <t>1003-123-0441-01-506</t>
  </si>
  <si>
    <t>Prod-WWVS/Rch-Professional Servic-Demand-MiscSteam</t>
  </si>
  <si>
    <t>1003-123-0430-01-506</t>
  </si>
  <si>
    <t>Prod-WWVS/Rch-Decomm Payment-Demand-MiscSteam</t>
  </si>
  <si>
    <t>1003-123-0362-02-506</t>
  </si>
  <si>
    <t>Prod-WWVS/Rch-Environ Chemicals-Energy-MiscSteam</t>
  </si>
  <si>
    <t>1003-123-0362-01-506</t>
  </si>
  <si>
    <t>Prod-WWVS/Rch-Environ Chemicals-Demand-MiscSteam</t>
  </si>
  <si>
    <t>1003-123-0226-01-506</t>
  </si>
  <si>
    <t>Prod-WWVS/Rch-Insur/Safety/Permit-Demand-MiscSteam</t>
  </si>
  <si>
    <t>1003-123-0224-01-506</t>
  </si>
  <si>
    <t>Prod-WWVS/Rch-DSC/Trav/Veh-Demand-MiscSteam</t>
  </si>
  <si>
    <t>1003-123-0222-01-549</t>
  </si>
  <si>
    <t>Prod-WWVS/Rch-Ins Consult Fee-Demand-OthGenExp</t>
  </si>
  <si>
    <t>1003-123-0212-01-506</t>
  </si>
  <si>
    <t>Prod-WWVS/Rch-Utilities-Demand-MiscSteam</t>
  </si>
  <si>
    <t>1003-123-0202-01-506</t>
  </si>
  <si>
    <t>Prod-WWVS/Rch-Miscellaneous Exp-Demand-MiscSteam</t>
  </si>
  <si>
    <t>1003-123-0200-01-505</t>
  </si>
  <si>
    <t>Prod-WWVS/Rch-Electric Expense-Demand-ElecExp</t>
  </si>
  <si>
    <t>1003-123-0199-01-502</t>
  </si>
  <si>
    <t>Prod-WWVS/Rch-Steam Expense-Demand-SteamExp</t>
  </si>
  <si>
    <t>1003-123-0198-01-500</t>
  </si>
  <si>
    <t>Prod-WWVS/Rch-IMPA Supervision-Demand-OperSupEng</t>
  </si>
  <si>
    <t>1003-113-0389-01-507</t>
  </si>
  <si>
    <t>Prod-PSt2-Rents-Demand-Rents</t>
  </si>
  <si>
    <t>1003-113-0369-02-509</t>
  </si>
  <si>
    <t>Prod-PSt2-Environ Allowances-Energy-EA</t>
  </si>
  <si>
    <t>1003-113-0362-02-502</t>
  </si>
  <si>
    <t>Prod-PSt2-Environ Chemicals-Energy-SteamExp</t>
  </si>
  <si>
    <t>1003-113-0268-01-506</t>
  </si>
  <si>
    <t>Prod-PSt2-Legal-Demand-MiscSteam</t>
  </si>
  <si>
    <t>1003-113-0209-02-502</t>
  </si>
  <si>
    <t>Prod-PSt2-Scrubber Reactant-Energy-SteamExp</t>
  </si>
  <si>
    <t>1003-113-0206-01-506</t>
  </si>
  <si>
    <t>Prod-PSt2-Working Capital-Demand-MiscSteam</t>
  </si>
  <si>
    <t>1003-113-0203-01-506</t>
  </si>
  <si>
    <t>Prod-PSt2-IMPA Travel-Demand-MiscSteam</t>
  </si>
  <si>
    <t>1003-113-0202-01-506</t>
  </si>
  <si>
    <t>Prod-PSt2-Miscellaneous Exp-Demand-MiscSteam</t>
  </si>
  <si>
    <t>1003-113-0200-01-505</t>
  </si>
  <si>
    <t>Prod-PSt2-Electric Expense-Demand-ElecExp</t>
  </si>
  <si>
    <t>1003-113-0199-01-502</t>
  </si>
  <si>
    <t>Prod-PSt2-Steam Expense-Demand-SteamExp</t>
  </si>
  <si>
    <t>1003-113-0198-01-500</t>
  </si>
  <si>
    <t>Prod-PSt2-IMPA Supervision-Demand-OperSupEng</t>
  </si>
  <si>
    <t>1003-113-0197-01-500</t>
  </si>
  <si>
    <t>Prod-PSt2-A&amp;G-Demand-OperSupEng</t>
  </si>
  <si>
    <t>1003-113-0196-01-500</t>
  </si>
  <si>
    <t>Prod-PSt2-OperSupEng-Demand-OperSupEng</t>
  </si>
  <si>
    <t>1003-113-0194-01-411</t>
  </si>
  <si>
    <t>Prod-PSt 2-ARO Accretion-Demand-DispAllow/Accret</t>
  </si>
  <si>
    <t>1003-113-0157-02-506</t>
  </si>
  <si>
    <t>Prod-PSt2-Station Use-Energy-MiscSteam</t>
  </si>
  <si>
    <t>1003-113-0080-01-502</t>
  </si>
  <si>
    <t>Prod-PSt2-Insurance-Demand-SteamExp</t>
  </si>
  <si>
    <t>1003-112-0389-01-507</t>
  </si>
  <si>
    <t>Prod-PSt 1-Rents-Demand-Rents</t>
  </si>
  <si>
    <t>1003-112-0369-02-509</t>
  </si>
  <si>
    <t>Prod-PSt 1-Environ Allowances-Energy-EA</t>
  </si>
  <si>
    <t>1003-112-0362-02-502</t>
  </si>
  <si>
    <t>Prod-PSt 1-Environ Chemicals-Energy-SteamExp</t>
  </si>
  <si>
    <t>1003-112-0268-01-506</t>
  </si>
  <si>
    <t>Prod-PSt 1-Legal-Demand-MiscSteam</t>
  </si>
  <si>
    <t>1003-112-0209-02-502</t>
  </si>
  <si>
    <t>Prod-PSt 1-Scrubber Reactant-Energy-SteamExp</t>
  </si>
  <si>
    <t>1003-112-0206-01-506</t>
  </si>
  <si>
    <t>Prod-PSt 1-Working Capital-Demand-MiscSteam</t>
  </si>
  <si>
    <t>1003-112-0203-01-506</t>
  </si>
  <si>
    <t>Prod-PSt 1-IMPA Travel-Demand-MiscSteam</t>
  </si>
  <si>
    <t>1003-112-0202-01-506</t>
  </si>
  <si>
    <t>Prod-PSt 1-Miscellaneous Ex-Demand-MiscSteam</t>
  </si>
  <si>
    <t>1003-112-0200-01-505</t>
  </si>
  <si>
    <t>Prod-PSt 1-Electric Expense-Demand-ElecExp</t>
  </si>
  <si>
    <t>1003-112-0199-01-502</t>
  </si>
  <si>
    <t>Prod-PSt 1-Steam Expense-Demand-SteamExp</t>
  </si>
  <si>
    <t>1003-112-0198-01-500</t>
  </si>
  <si>
    <t>Prod-PSt 1-IMPA Supervision-Demand-OperSupEn</t>
  </si>
  <si>
    <t>1003-112-0197-01-500</t>
  </si>
  <si>
    <t>Prod-PSt 1-A&amp;G-Demand-OperSupEng</t>
  </si>
  <si>
    <t>1003-112-0196-01-500</t>
  </si>
  <si>
    <t>Prod-PSt 1-OperSupEng-Demand-OperSupEng</t>
  </si>
  <si>
    <t>1003-112-0194-01-411</t>
  </si>
  <si>
    <t>Prod-PSt 1-ARO Accretion-Demand-DispAllow/Accret</t>
  </si>
  <si>
    <t>1003-112-0157-02-506</t>
  </si>
  <si>
    <t>Prod-PSt 1-Station Use-Energy-MiscSteam</t>
  </si>
  <si>
    <t>1003-112-0080-01-502</t>
  </si>
  <si>
    <t>Prod-PSt 1-Insurance-Demand-SteamExp</t>
  </si>
  <si>
    <t>1003-111-0228-01-549</t>
  </si>
  <si>
    <t>Prod-RCT-Fuel/Water Treatmt-Demand-OthGenExp</t>
  </si>
  <si>
    <t>1003-111-0227-01-549</t>
  </si>
  <si>
    <t>Prod-RCT-Misc Tools/Equip-Demand-OthGenExp</t>
  </si>
  <si>
    <t>1003-111-0226-01-549</t>
  </si>
  <si>
    <t>Prod-RCT-Insur/Safety/Permits-Demand-OthGenExp</t>
  </si>
  <si>
    <t>1003-111-0225-01-549</t>
  </si>
  <si>
    <t>Prod-RCT-O/S Serv/Equip-Demand-OthGenExp</t>
  </si>
  <si>
    <t>1003-111-0224-01-549</t>
  </si>
  <si>
    <t>Prod-RCT-Dues/Sub/Conf/Trav/Veh-Demand-OthGenExp</t>
  </si>
  <si>
    <t>1003-111-0223-01-549</t>
  </si>
  <si>
    <t>Prod-RCT-Bldg Services-Demand-OthGenExp</t>
  </si>
  <si>
    <t>1003-111-0222-01-549</t>
  </si>
  <si>
    <t>Prod-RCT-Ins Consult Fee-Demand-OthGenExp</t>
  </si>
  <si>
    <t>1003-111-0212-01-549</t>
  </si>
  <si>
    <t>Prod-RCT-Utilities-Demand-OthGenExp</t>
  </si>
  <si>
    <t>1003-111-0211-01-549</t>
  </si>
  <si>
    <t>Prod-RCT-Grounds Services-Demand-OthGenExp</t>
  </si>
  <si>
    <t>1003-111-0198-01-546</t>
  </si>
  <si>
    <t>Prod-RCT-IMPA Supervision-Demand-OthOpSupEng</t>
  </si>
  <si>
    <t>1003-110-0228-01-549</t>
  </si>
  <si>
    <t>Prod-ACT-Fuel/Water Treatmt-Demand-OthGenExp</t>
  </si>
  <si>
    <t>1003-110-0227-01-549</t>
  </si>
  <si>
    <t>Prod-ACT-Misc Tools/Equip-Demand-OthGenExp</t>
  </si>
  <si>
    <t>1003-110-0226-01-549</t>
  </si>
  <si>
    <t>Prod-ACT-Insur/Safety/Permits-Demand-OthGenExp</t>
  </si>
  <si>
    <t>1003-110-0225-01-549</t>
  </si>
  <si>
    <t>Prod-ACT-O/S Serv/Equip-Demand-OthGenExp</t>
  </si>
  <si>
    <t>1003-110-0224-01-549</t>
  </si>
  <si>
    <t>Prod-ACT-Dues/Sub/Conf/Trav/Veh-Demand-OthGenExp</t>
  </si>
  <si>
    <t>1003-110-0223-01-549</t>
  </si>
  <si>
    <t>Prod-ACT-Bldg Services-Demand-OthGenExp</t>
  </si>
  <si>
    <t>1003-110-0222-01-549</t>
  </si>
  <si>
    <t>Prod-ACT-Ins Consult Fee-Demand-OthGenExp</t>
  </si>
  <si>
    <t>1003-110-0212-01-549</t>
  </si>
  <si>
    <t>Prod-ACT-Utilities-Demand-OthGenExp</t>
  </si>
  <si>
    <t>1003-110-0211-01-549</t>
  </si>
  <si>
    <t>Prod-ACT-Grounds Services-Demand-OthGenExp</t>
  </si>
  <si>
    <t>1003-110-0198-01-546</t>
  </si>
  <si>
    <t>Prod-ACT-IMPA Supervision-Demand-OthOpSupEng</t>
  </si>
  <si>
    <t>1003-109-0222-01-549</t>
  </si>
  <si>
    <t>Prod-GCT-Ins Consult Fee-Demand-OthGenExp</t>
  </si>
  <si>
    <t>1003-109-0221-01-549</t>
  </si>
  <si>
    <t>Prod-GCT-O&amp;M Substation-Demand-OthGenExp</t>
  </si>
  <si>
    <t>1003-109-0220-01-549</t>
  </si>
  <si>
    <t>Prod-GCT-Remote Monitor-Demand-OthGenExp</t>
  </si>
  <si>
    <t>1003-109-0219-01-549</t>
  </si>
  <si>
    <t>Prod-GCT-Summer Availability-Demand-OthGenExp</t>
  </si>
  <si>
    <t>1003-109-0218-01-549</t>
  </si>
  <si>
    <t>Prod-GCT-Site Lease-Demand-OthGenExp</t>
  </si>
  <si>
    <t>1003-109-0217-01-549</t>
  </si>
  <si>
    <t>Prod-GCT-Base Availability Comp-Demand-OthGenExp</t>
  </si>
  <si>
    <t>1003-109-0216-01-549</t>
  </si>
  <si>
    <t>Prod-GCT-Gtwn Dispatch-Demand-OthGenExp</t>
  </si>
  <si>
    <t>1003-109-0215-01-549</t>
  </si>
  <si>
    <t>Prod-GCT-Capital Spares-Demand-OthGenExp</t>
  </si>
  <si>
    <t>1003-109-0214-01-549</t>
  </si>
  <si>
    <t>Prod-GCT-Stock Materials-Demand-OthGenExp</t>
  </si>
  <si>
    <t>1003-109-0213-01-549</t>
  </si>
  <si>
    <t>Prod-GCT-Purchased Materials-Demand-OthGenExp</t>
  </si>
  <si>
    <t>1003-109-0212-01-549</t>
  </si>
  <si>
    <t>Prod-GCT-Utilities-Demand-OthGenExp</t>
  </si>
  <si>
    <t>1003-109-0211-01-549</t>
  </si>
  <si>
    <t>Prod-GCT-Grounds Services-Demand-OthGenExp</t>
  </si>
  <si>
    <t>1003-109-0210-01-546</t>
  </si>
  <si>
    <t>Prod-GCT-IPL Salaries-Demand-OthOpSupEng</t>
  </si>
  <si>
    <t>1003-109-0203-01-549</t>
  </si>
  <si>
    <t>Prod-GCT-IMPA Travel-Demand-OthGenExp</t>
  </si>
  <si>
    <t>1003-109-0198-01-500</t>
  </si>
  <si>
    <t>Prod-GCT-IMPA Supervision-Demand-OperSupEng</t>
  </si>
  <si>
    <t>1003-109-0080-01-549</t>
  </si>
  <si>
    <t>Prod-GCT-Insurance-Demand-OthGenExp</t>
  </si>
  <si>
    <t>1003-107-0369-02-509</t>
  </si>
  <si>
    <t>Prod-TC 2-Environ Allowances-Energy-EA</t>
  </si>
  <si>
    <t>1003-107-0362-02-502</t>
  </si>
  <si>
    <t>Prod-TC 2-Environ Chemicals-Energy-SteamExp</t>
  </si>
  <si>
    <t>1003-107-0209-02-502</t>
  </si>
  <si>
    <t>Prod-TC 2-Scrubber Reactant-Energy-SteamExp</t>
  </si>
  <si>
    <t>1003-107-0203-01-506</t>
  </si>
  <si>
    <t>Prod-TC 2-IMPA Travel-Demand-MiscSteam</t>
  </si>
  <si>
    <t>1003-107-0202-01-506</t>
  </si>
  <si>
    <t>Prod-TC 2-Miscellaneous Expense-Demand-MiscSteam</t>
  </si>
  <si>
    <t>1003-107-0200-01-505</t>
  </si>
  <si>
    <t>Prod-TC 2-Electric Expense-Demand-ElecExp</t>
  </si>
  <si>
    <t>1003-107-0199-01-502</t>
  </si>
  <si>
    <t>Prod-TC 2-Steam Expense-Demand-SteamExp</t>
  </si>
  <si>
    <t>1003-107-0198-01-500</t>
  </si>
  <si>
    <t>Prod-TC 2-IMPA Supervision-Demand-OperSupEng</t>
  </si>
  <si>
    <t>1003-107-0197-01-500</t>
  </si>
  <si>
    <t>Prod-TC 2-Contractual A&amp;G-Demand-OperSupEng</t>
  </si>
  <si>
    <t>1003-107-0196-01-500</t>
  </si>
  <si>
    <t>Prod-TC 2-OperSupEng-Demand-OperSupEng</t>
  </si>
  <si>
    <t>1003-107-0194-01-411</t>
  </si>
  <si>
    <t>Prod-TC 2-ARO Accretion-Demand-DispAllow/Accret</t>
  </si>
  <si>
    <t>1003-106-0362-02-502</t>
  </si>
  <si>
    <t>Prod-TC 1-Environ Chemicals-Energy-SteamExp</t>
  </si>
  <si>
    <t>1003-106-0209-02-502</t>
  </si>
  <si>
    <t>Prod-TC 1-Scrubber Reactant-Energy-SteamExp</t>
  </si>
  <si>
    <t>1003-106-0206-01-506</t>
  </si>
  <si>
    <t>Prod-TC 1-Working Capital-Demand-MiscSteam</t>
  </si>
  <si>
    <t>1003-106-0203-01-506</t>
  </si>
  <si>
    <t>Prod-TC 1-IMPA Travel-Demand-MiscSteam</t>
  </si>
  <si>
    <t>1003-106-0202-01-506</t>
  </si>
  <si>
    <t>Prod-TC 1-Miscellaneous Expense-Demand-MiscSteam</t>
  </si>
  <si>
    <t>1003-106-0200-01-505</t>
  </si>
  <si>
    <t>Prod-TC 1-Electric Expense-Demand-ElecExp</t>
  </si>
  <si>
    <t>1003-106-0199-01-502</t>
  </si>
  <si>
    <t>Prod-TC 1-Steam Expense-Demand-SteamExp</t>
  </si>
  <si>
    <t>1003-106-0198-01-500</t>
  </si>
  <si>
    <t>Prod-TC 1-IMPA Supervision-Demand-OperSupEng</t>
  </si>
  <si>
    <t>1003-106-0197-01-500</t>
  </si>
  <si>
    <t>Prod-TC 1-Contractual A&amp;G-Demand-OperSupEng</t>
  </si>
  <si>
    <t>1003-106-0196-01-500</t>
  </si>
  <si>
    <t>Prod-TC 1-OperSupEng-Demand-OperSupEng</t>
  </si>
  <si>
    <t>1003-106-0194-01-411</t>
  </si>
  <si>
    <t>Prod-TC 1-ARO Accretion-Demand-DispAllow/Accret</t>
  </si>
  <si>
    <t>1003-105-0375-02-506</t>
  </si>
  <si>
    <t>Prod-G5-MISO G5 Finsched Reversal-Energy-MiscSteam</t>
  </si>
  <si>
    <t>1003-105-0369-02-509</t>
  </si>
  <si>
    <t>Prod-G5-Environ Allowances-Energy-EA</t>
  </si>
  <si>
    <t>1003-105-0362-02-502</t>
  </si>
  <si>
    <t>Prod-G5-Environ Chemicals-Energy-SteamExp</t>
  </si>
  <si>
    <t>1003-105-0208-01-556</t>
  </si>
  <si>
    <t>Prod-G5-SCADA-Demand-SCADA</t>
  </si>
  <si>
    <t>1003-105-0207-01-507</t>
  </si>
  <si>
    <t>Prod-G5-Rents-Demand-Rents</t>
  </si>
  <si>
    <t>1003-105-0205-02-506</t>
  </si>
  <si>
    <t>Prod-G5-MISO Fin Schedule-Energy-MiscSteam</t>
  </si>
  <si>
    <t>1003-105-0204-01-506</t>
  </si>
  <si>
    <t>Prod-G5-Secondary MISO Charges-Demand-MiscSteam</t>
  </si>
  <si>
    <t>1003-105-0203-01-506</t>
  </si>
  <si>
    <t>Prod-G5-IMPA Travel-Demand-MiscSteam</t>
  </si>
  <si>
    <t>1003-105-0202-01-506</t>
  </si>
  <si>
    <t>Prod-G5-Miscellaneous Expense-Demand-MiscSteam</t>
  </si>
  <si>
    <t>1003-105-0201-02-506</t>
  </si>
  <si>
    <t>Prod-G5-True Ups MISO-Energy-MiscSteam</t>
  </si>
  <si>
    <t>1003-105-0200-01-505</t>
  </si>
  <si>
    <t>Prod-G5-Electric Expense-Demand-ElecExp</t>
  </si>
  <si>
    <t>1003-105-0199-01-502</t>
  </si>
  <si>
    <t>Prod-G5-Steam Expense-Demand-SteamExp</t>
  </si>
  <si>
    <t>1003-105-0198-01-500</t>
  </si>
  <si>
    <t>Prod-G5-IMPA Supervision-Demand-OperSupEng</t>
  </si>
  <si>
    <t>1003-105-0197-01-500</t>
  </si>
  <si>
    <t>Prod-G5-Contractual A&amp;G-Demand-OperSupEng</t>
  </si>
  <si>
    <t>1003-105-0196-01-500</t>
  </si>
  <si>
    <t>Prod-G5-OperSupEng-Demand-OperSupEng</t>
  </si>
  <si>
    <t>1003-105-0195-01-500</t>
  </si>
  <si>
    <t>Prod-G5-Annual Recon-Demand-OperSupEng</t>
  </si>
  <si>
    <t>1003-105-0194-01-411</t>
  </si>
  <si>
    <t>Prod-G5-ARO Accretion-Demand-DispAllow/Accret</t>
  </si>
  <si>
    <t>1003-105-0167-02-557</t>
  </si>
  <si>
    <t>Prod-G5-ASM-Energy-OthExp</t>
  </si>
  <si>
    <t>1003-105-0167-01-557</t>
  </si>
  <si>
    <t>Prod-G5-ASM-Demand-OthExp</t>
  </si>
  <si>
    <t>1003-105-0080-01-502</t>
  </si>
  <si>
    <t>Prod-G5-Insurance-Demand-SteamExp</t>
  </si>
  <si>
    <t>1003-100-0230-01-556</t>
  </si>
  <si>
    <t>Prod-Non-JTS SCADA-Communication Chrg-Demand-SCADA</t>
  </si>
  <si>
    <t>1003-001-0472-01-557</t>
  </si>
  <si>
    <t>Prod-Gen-Production Consulting-Demand-OthExp</t>
  </si>
  <si>
    <t>Production</t>
  </si>
  <si>
    <t>1002-123-0187-02-501</t>
  </si>
  <si>
    <t>Fuel-WWVS/Rch-Fuel Handling-Energy-Fuel</t>
  </si>
  <si>
    <t>1002-123-0070-02-501</t>
  </si>
  <si>
    <t>Fuel-WWVS/Rch-Oil-Energy-Fuel</t>
  </si>
  <si>
    <t>1002-123-0069-02-501</t>
  </si>
  <si>
    <t>Fuel-WWVS/Rch-Coal-Energy-Fuel</t>
  </si>
  <si>
    <t>1002-113-0363-02-501</t>
  </si>
  <si>
    <t>Fuel-PSt2-Ntl Gas-Energy-Fuel</t>
  </si>
  <si>
    <t>1002-113-0069-02-501</t>
  </si>
  <si>
    <t>Fuel-PSt2-Coal-Energy-Fuel</t>
  </si>
  <si>
    <t>1002-112-0363-02-501</t>
  </si>
  <si>
    <t>Fuel-PSt 1-Ntl Gas-Energy-Fuel</t>
  </si>
  <si>
    <t>1002-112-0069-02-501</t>
  </si>
  <si>
    <t>Fuel-PSt 1-Coal-Energy-Fuel</t>
  </si>
  <si>
    <t>1002-111-0427-02-547</t>
  </si>
  <si>
    <t>Fuel-RCT-Ntl Gas CIMA Energy-Energy-OthFuel</t>
  </si>
  <si>
    <t>1002-111-0193-01-547</t>
  </si>
  <si>
    <t>Fuel-RCT-NtlGas Vectren Facil Chg-Demand-OthFuel</t>
  </si>
  <si>
    <t>1002-111-0192-01-547</t>
  </si>
  <si>
    <t>Fuel-RCT-NtlGas Vectren ACR-Demand-OthFuel</t>
  </si>
  <si>
    <t>1002-111-0190-02-547</t>
  </si>
  <si>
    <t>Fuel-RCT-NtlGas Vectren Thru Put-Energy-OthFuel</t>
  </si>
  <si>
    <t>1002-111-0189-02-547</t>
  </si>
  <si>
    <t>Fuel-RCT-NtlGas ProLiance-Energy-OthFuel</t>
  </si>
  <si>
    <t>1002-111-0070-02-547</t>
  </si>
  <si>
    <t>Fuel-RCT-Oil-Energy-OthFuel</t>
  </si>
  <si>
    <t>1002-110-0427-02-547</t>
  </si>
  <si>
    <t>Fuel-ACT-Ntl Gas CIMA Energy-Energy-OthFuel</t>
  </si>
  <si>
    <t>1002-110-0193-01-547</t>
  </si>
  <si>
    <t>Fuel-ACT-NtlGas Vectren Facil Chg-Demand-OthFuel</t>
  </si>
  <si>
    <t>1002-110-0192-01-547</t>
  </si>
  <si>
    <t>Fuel-ACT-NtlGas Vectren ACR-Demand-OthFuel</t>
  </si>
  <si>
    <t>1002-110-0190-02-547</t>
  </si>
  <si>
    <t>Fuel-ACT-NtlGas Vectren Thru Put-Energy-OthFuel</t>
  </si>
  <si>
    <t>1002-110-0189-02-547</t>
  </si>
  <si>
    <t>Fuel-ACT-NtlGas ProLiance-Energy-OthFuel</t>
  </si>
  <si>
    <t>1002-110-0070-02-547</t>
  </si>
  <si>
    <t>Fuel-ACT-Oil-Energy-OthFuel</t>
  </si>
  <si>
    <t>1002-109-0427-02-547</t>
  </si>
  <si>
    <t>Fuel-GCT-Ntl Gas CIMA Energy-Energy-OthFuel</t>
  </si>
  <si>
    <t>1002-109-0391-02-547</t>
  </si>
  <si>
    <t>Fuel-GCT-Gas Swap Barclays-Energy-OthFuel</t>
  </si>
  <si>
    <t>1002-109-0191-01-547</t>
  </si>
  <si>
    <t>Fuel-GCT-NtlGas Citizens Rsv&amp;Trueup-Demand-OthFuel</t>
  </si>
  <si>
    <t>1002-109-0189-02-547</t>
  </si>
  <si>
    <t>Fuel-GCT-NtlGas ProLiance-Energy-OthFuel</t>
  </si>
  <si>
    <t>1002-109-0188-02-547</t>
  </si>
  <si>
    <t>Fuel-GCT-NtlGas Citizens Thru Put-Energy-OthFuel</t>
  </si>
  <si>
    <t>1002-107-0070-02-501</t>
  </si>
  <si>
    <t>Fuel-TC 2-Oil-Energy-Fuel</t>
  </si>
  <si>
    <t>1002-107-0069-02-501</t>
  </si>
  <si>
    <t>Fuel-TC 2-Coal-Energy-Fuel</t>
  </si>
  <si>
    <t>1002-106-0070-02-501</t>
  </si>
  <si>
    <t>Fuel-TC 1-Oil-Energy-Fuel</t>
  </si>
  <si>
    <t>1002-106-0069-02-501</t>
  </si>
  <si>
    <t>Fuel-TC 1-Coal-Energy-Fuel</t>
  </si>
  <si>
    <t>1002-105-0187-02-501</t>
  </si>
  <si>
    <t>Fuel-G5-Fuel Handling-Energy-Fuel</t>
  </si>
  <si>
    <t>1002-105-0070-02-501</t>
  </si>
  <si>
    <t>Fuel-G5-Oil-Energy-Fuel</t>
  </si>
  <si>
    <t>1002-105-0069-02-501</t>
  </si>
  <si>
    <t>Fuel-G5-Coal-Energy-Fuel</t>
  </si>
  <si>
    <t>Fuel</t>
  </si>
  <si>
    <t>1001-180-0169-02-555</t>
  </si>
  <si>
    <t>PP-Exelon-MISO-Energy-PurchPwr</t>
  </si>
  <si>
    <t>1001-167-0432-02-555</t>
  </si>
  <si>
    <t>PP-ADMIS-PJM-Energy-PurchPwr</t>
  </si>
  <si>
    <t>1001-167-0428-02-555</t>
  </si>
  <si>
    <t>PP-ADM-Commissions-Energy-PurchPwr</t>
  </si>
  <si>
    <t>1001-167-0169-02-555</t>
  </si>
  <si>
    <t>PP-ADMIS-MISO-Energy-PurchPwr</t>
  </si>
  <si>
    <t>1001-167-0158-02-555</t>
  </si>
  <si>
    <t>PP-ADMIS-PPA MISO-Energy-PurchPwr</t>
  </si>
  <si>
    <t>1001-167-0001-02-555</t>
  </si>
  <si>
    <t>PP--ADM MISO-Energy-PurchPwr</t>
  </si>
  <si>
    <t>1001-167-0000-02-555</t>
  </si>
  <si>
    <t>PP--ADM PJM-Energy-PurchPwr</t>
  </si>
  <si>
    <t>1001-166-0432-01-555</t>
  </si>
  <si>
    <t>PP-Nextera-PJM-Demand-PurchPwr</t>
  </si>
  <si>
    <t>1001-166-0169-01-555</t>
  </si>
  <si>
    <t>PP-Nextera-MISO-Demand-PurchPwr</t>
  </si>
  <si>
    <t>1001-165-0432-01-555</t>
  </si>
  <si>
    <t>PP-AEP Capacity-PJM-Demand-PurchPwr</t>
  </si>
  <si>
    <t>1001-165-0169-01-555</t>
  </si>
  <si>
    <t>PP-AEP Capacity-MISO-Demand-PurchPwr</t>
  </si>
  <si>
    <t>1001-164-0169-01-555</t>
  </si>
  <si>
    <t>PP-Big River-MISO-Demand-PurchPwr</t>
  </si>
  <si>
    <t>1001-163-0443-02-555</t>
  </si>
  <si>
    <t>PP-MISCDISGEN-PPS PJM-Energy-PurchPwr</t>
  </si>
  <si>
    <t>1001-163-0158-02-555</t>
  </si>
  <si>
    <t>PP-MISCDISGEN-PPS MISO-Energy-PurchPwr</t>
  </si>
  <si>
    <t>1001-163-0000-02-555</t>
  </si>
  <si>
    <t>PP-MiscDISGEN-General-Energy-PurchPwr</t>
  </si>
  <si>
    <t>1001-158-0378-02-555</t>
  </si>
  <si>
    <t>PP-Montezuma-Legacy Adder-Energy-PurchPwr</t>
  </si>
  <si>
    <t>1001-158-0378-01-555</t>
  </si>
  <si>
    <t>PP-Montezuma-Legacy Adder-Demand-PurchPwr</t>
  </si>
  <si>
    <t>1001-158-0161-02-555</t>
  </si>
  <si>
    <t>PP-Montezuma-PPA MISO FAC-Energy-PurchPwr</t>
  </si>
  <si>
    <t>1001-158-0158-02-555</t>
  </si>
  <si>
    <t>PP-Montezuma-PPS MISO-Energy-PurchPwr</t>
  </si>
  <si>
    <t>1001-158-0158-01-555</t>
  </si>
  <si>
    <t>PP-Montezuma-PPS MISO-Demand-PurchPwr</t>
  </si>
  <si>
    <t>1001-157-0378-02-555</t>
  </si>
  <si>
    <t>PP-New Ross-Legacy Adder-Energy-PurchPwr</t>
  </si>
  <si>
    <t>1001-157-0378-01-555</t>
  </si>
  <si>
    <t>PP-New Ross-Legacy Adder-Demand-PurchPwr</t>
  </si>
  <si>
    <t>1001-157-0161-02-555</t>
  </si>
  <si>
    <t>PP-New Ross-PPA MISO FAC-Energy-PurchPwr</t>
  </si>
  <si>
    <t>1001-157-0158-02-555</t>
  </si>
  <si>
    <t>PP-New Ross-PPS MISO-Energy-PurchPwr</t>
  </si>
  <si>
    <t>1001-157-0158-01-555</t>
  </si>
  <si>
    <t>PP-New Ross-PPS MISO-Demand-PurchPwr</t>
  </si>
  <si>
    <t>1001-156-0378-02-555</t>
  </si>
  <si>
    <t>PP-South Whitley-Legacy Adder-Energy-PurchPwr</t>
  </si>
  <si>
    <t>1001-156-0378-01-555</t>
  </si>
  <si>
    <t>PP-South Whitley-Legacy Adder-Demand-PurchPwr</t>
  </si>
  <si>
    <t>1001-156-0161-02-555</t>
  </si>
  <si>
    <t>PP-South Whitley-PPA MISO FAC-Energy-PurchPwr</t>
  </si>
  <si>
    <t>1001-156-0158-02-555</t>
  </si>
  <si>
    <t>PP-South Whitley-PPS MISO-Energy-PurchPwr</t>
  </si>
  <si>
    <t>1001-156-0158-01-555</t>
  </si>
  <si>
    <t>PP-South Whitley-PPS MISO-Demand-PurchPwr</t>
  </si>
  <si>
    <t>1001-155-0378-02-555</t>
  </si>
  <si>
    <t>PP-Williamsport-Legacy Adder-Energy-PurchPwr</t>
  </si>
  <si>
    <t>1001-155-0378-01-555</t>
  </si>
  <si>
    <t>PP-Williamsport-Legacy Adder-Demand-PurchPwr</t>
  </si>
  <si>
    <t>1001-155-0161-02-555</t>
  </si>
  <si>
    <t>PP-Williamsport-PPA MISO FAC-Energy-PurchPwr</t>
  </si>
  <si>
    <t>1001-155-0158-02-555</t>
  </si>
  <si>
    <t>PP-Williamsport-PPS MISO-Energy-PurchPwr</t>
  </si>
  <si>
    <t>1001-155-0158-01-555</t>
  </si>
  <si>
    <t>PP-Williamsport-PPS MISO-Demand-PurchPwr</t>
  </si>
  <si>
    <t>1001-154-0378-02-555</t>
  </si>
  <si>
    <t>PP-Coatesville-Legacy Adder-Energy-PurchPwr</t>
  </si>
  <si>
    <t>1001-154-0378-01-555</t>
  </si>
  <si>
    <t>PP-Coatesville-Legacy Adder-Demand-PurchPwr</t>
  </si>
  <si>
    <t>1001-154-0161-02-555</t>
  </si>
  <si>
    <t>PP-Coatesville-PPA MISO FAC-Energy-PurchPwr</t>
  </si>
  <si>
    <t>1001-154-0158-02-555</t>
  </si>
  <si>
    <t>PP-Coatesville-PPS MISO-Energy-PurchPwr</t>
  </si>
  <si>
    <t>1001-154-0158-01-555</t>
  </si>
  <si>
    <t>PP-Coatesville-PPS MISO-Demand-PurchPwr</t>
  </si>
  <si>
    <t>1001-152-0378-02-555</t>
  </si>
  <si>
    <t>PP-Veedersburg-Legacy Adder-Energy-PurchPwr</t>
  </si>
  <si>
    <t>1001-152-0378-01-555</t>
  </si>
  <si>
    <t>PP-Veedersburg-Legacy Adder-Demand-PurchPwr</t>
  </si>
  <si>
    <t>1001-152-0161-02-555</t>
  </si>
  <si>
    <t>PP-Veedersburg-PPA MISO FAC-Energy-PurchPwr</t>
  </si>
  <si>
    <t>1001-152-0158-02-555</t>
  </si>
  <si>
    <t>PP-Veedersburg-PPS MISO-Energy-PurchPwr</t>
  </si>
  <si>
    <t>1001-152-0158-01-555</t>
  </si>
  <si>
    <t>PP-Veedersburg-PPS MISO-Demand-PurchPwr</t>
  </si>
  <si>
    <t>1001-151-0186-02-555</t>
  </si>
  <si>
    <t>PP-Altairnano-Local IPP PJM-Energy-PurchPwr</t>
  </si>
  <si>
    <t>1001-150-0162-02-555</t>
  </si>
  <si>
    <t>PP-Barclays-PPA PJM-Energy-PurchPwr</t>
  </si>
  <si>
    <t>1001-150-0158-02-555</t>
  </si>
  <si>
    <t>PP-Barclays-PPA MISO-Energy-PurchPwr</t>
  </si>
  <si>
    <t>1001-150-0158-01-555</t>
  </si>
  <si>
    <t>PP-Barclays-PPA MISO-Demand-PurchPwr</t>
  </si>
  <si>
    <t>1001-148-0158-02-555</t>
  </si>
  <si>
    <t>PP-AMEREN-PPA MISO-Energy-PurchPwr</t>
  </si>
  <si>
    <t>1001-147-0168-02-555</t>
  </si>
  <si>
    <t>PP-Crystal Lake PPA-RE MISO-Energy-PurchPwr</t>
  </si>
  <si>
    <t>1001-147-0168-01-555</t>
  </si>
  <si>
    <t>PP-Crystal Lake PPA-RE MISO-Demand-PurchPwr</t>
  </si>
  <si>
    <t>1001-145-0169-01-555</t>
  </si>
  <si>
    <t>PP-AMEREN Capacity-MISO-Demand-PurchPwr</t>
  </si>
  <si>
    <t>1001-142-0169-01-555</t>
  </si>
  <si>
    <t>PP-WPPI Capacity-MISO-Demand-PurchPwr</t>
  </si>
  <si>
    <t>1001-141-0158-02-555</t>
  </si>
  <si>
    <t>PP-Vectren-PPA MISO-Energy-PurchPwr</t>
  </si>
  <si>
    <t>1001-140-0167-02-555</t>
  </si>
  <si>
    <t>PP-VectrenHT-ASM-Energy-PurchPwr</t>
  </si>
  <si>
    <t>1001-140-0158-02-555</t>
  </si>
  <si>
    <t>PP-VectrenHT-PPA MISO-Energy-PurchPwr</t>
  </si>
  <si>
    <t>1001-140-0158-01-555</t>
  </si>
  <si>
    <t>PP-VectrenHT-PPA MISO-Demand-PurchPwr</t>
  </si>
  <si>
    <t>1001-138-0167-02-555</t>
  </si>
  <si>
    <t>PP-VectrenTC-ASM-Energy-PurchPwr</t>
  </si>
  <si>
    <t>1001-138-0158-02-555</t>
  </si>
  <si>
    <t>PP-VectrenTC-PPA MISO-Energy-PurchPwr</t>
  </si>
  <si>
    <t>1001-138-0158-01-555</t>
  </si>
  <si>
    <t>PP-VectrenTC-PPA MISO-Demand-PurchPwr</t>
  </si>
  <si>
    <t>1001-136-0185-02-555</t>
  </si>
  <si>
    <t>PP-PJM-Losses Net Rebates PJM-Energy-PurchPwr</t>
  </si>
  <si>
    <t>1001-136-0184-02-555</t>
  </si>
  <si>
    <t>PP-PJM-Congestion PJM-Energy-PurchPwr</t>
  </si>
  <si>
    <t>1001-136-0183-01-555</t>
  </si>
  <si>
    <t>PP-PJM-Spot Mkt Capacity PJM-Demand-PurchPwr</t>
  </si>
  <si>
    <t>1001-136-0182-02-555</t>
  </si>
  <si>
    <t>PP-PJM-Spot Mkt Power PJM-Energy-PurchPwr</t>
  </si>
  <si>
    <t>1001-136-0180-02-555</t>
  </si>
  <si>
    <t>PP-PJM-True-Ups-Energy-PurchPwr</t>
  </si>
  <si>
    <t>1001-136-0153-02-555</t>
  </si>
  <si>
    <t>PP-PJM-PJM MDC reversal-Energy-PurchPwr</t>
  </si>
  <si>
    <t>1001-136-0153-01-555</t>
  </si>
  <si>
    <t>PP-PJM-PJM MDC reversal-Demand-PurchPwr</t>
  </si>
  <si>
    <t>1001-135-0181-02-555</t>
  </si>
  <si>
    <t>PP-MISO-NetLosses Net Rebates MISO-Energy-PurchPwr</t>
  </si>
  <si>
    <t>1001-135-0180-02-555</t>
  </si>
  <si>
    <t>PP-MISO-True-Ups-Energy-PurchPwr</t>
  </si>
  <si>
    <t>1001-135-0179-02-555</t>
  </si>
  <si>
    <t>PP-MISO-GCT Reactive Power MISO-Energy-PurchPwr</t>
  </si>
  <si>
    <t>1001-135-0178-02-555</t>
  </si>
  <si>
    <t>PP-MISO-Net Congestion MISO-Energy-PurchPwr</t>
  </si>
  <si>
    <t>1001-135-0177-01-555</t>
  </si>
  <si>
    <t>PP-MISO-Spot Mkt Capacity MISO-Demand-PurchPwr</t>
  </si>
  <si>
    <t>1001-135-0171-02-555</t>
  </si>
  <si>
    <t>PP-MISO-Spot Mkt Power MISO-Energy-PurchPwr</t>
  </si>
  <si>
    <t>1001-135-0152-02-555</t>
  </si>
  <si>
    <t>PP-MISO-MISO MDC reversal-Energy-PurchPwr</t>
  </si>
  <si>
    <t>1001-135-0152-01-555</t>
  </si>
  <si>
    <t>PP-MISO-MISO MDC reversal-Demand-PurchPwr</t>
  </si>
  <si>
    <t>1001-132-0162-02-555</t>
  </si>
  <si>
    <t>PP-JP Morgan-PPA PJM-Energy-PurchPwr</t>
  </si>
  <si>
    <t>1001-132-0158-02-555</t>
  </si>
  <si>
    <t>PP-JP Morgan-PPA MISO-Energy-PurchPwr</t>
  </si>
  <si>
    <t>1001-131-0166-02-555</t>
  </si>
  <si>
    <t>PP-AEP CB-PPA PJM FAC-Energy-PurchPwr</t>
  </si>
  <si>
    <t>1001-131-0165-01-555</t>
  </si>
  <si>
    <t>PP-AEP CB-PPA PJM Capacity Credit-Demand-PurchPwr</t>
  </si>
  <si>
    <t>1001-131-0164-02-555</t>
  </si>
  <si>
    <t>PP-AEP CB-PPA PJM True up-Energy-PurchPwr</t>
  </si>
  <si>
    <t>1001-131-0163-02-555</t>
  </si>
  <si>
    <t>PP-AEP CB-PPA PJM Annual Recon-Energy-PurchPwr</t>
  </si>
  <si>
    <t>1001-131-0163-01-555</t>
  </si>
  <si>
    <t>PP-AEP CB-PPA PJM Annual Recon-Demand-PurchPwr</t>
  </si>
  <si>
    <t>1001-131-0162-02-555</t>
  </si>
  <si>
    <t>PP-AEP CB-PPA PJM-Energy-PurchPwr</t>
  </si>
  <si>
    <t>1001-131-0162-01-555</t>
  </si>
  <si>
    <t>PP-AEP CB-PPA PJM-Demand-PurchPwr</t>
  </si>
  <si>
    <t>1001-129-0162-02-555</t>
  </si>
  <si>
    <t>PP-AEP-PPA PJM-Energy-PurchPwr</t>
  </si>
  <si>
    <t>1001-129-0162-01-555</t>
  </si>
  <si>
    <t>PP-AEP-PPA PJM-Demand-PurchPwr</t>
  </si>
  <si>
    <t>1001-129-0158-02-555</t>
  </si>
  <si>
    <t>PP-AEP-PPA MISO-Energy-PurchPwr</t>
  </si>
  <si>
    <t>1001-129-0158-01-555</t>
  </si>
  <si>
    <t>PP-AEP-PPA MISO-Demand-PurchPwr</t>
  </si>
  <si>
    <t>1001-128-0376-02-555</t>
  </si>
  <si>
    <t>PP-Duke PCA-MISO Finsched Reversal-Energy-PurchPwr</t>
  </si>
  <si>
    <t>1001-128-0176-02-555</t>
  </si>
  <si>
    <t>PP-Duke PCA-FinSch Trueup PCA MISO-Energy-PurchPwr</t>
  </si>
  <si>
    <t>1001-128-0156-01-555</t>
  </si>
  <si>
    <t>PP-Duke PCA-Reserve Capacity MISO-Demand-PurchPwr</t>
  </si>
  <si>
    <t>1001-128-0155-02-555</t>
  </si>
  <si>
    <t>PP-Duke PCA-Back up True up MISO-Energy-PurchPwr</t>
  </si>
  <si>
    <t>1001-128-0154-02-555</t>
  </si>
  <si>
    <t>PP-Duke PCA-Back up MISO-Energy-PurchPwr</t>
  </si>
  <si>
    <t>1001-127-0161-02-555</t>
  </si>
  <si>
    <t>PP-Duke CB-PPA MISO FAC-Energy-PurchPwr</t>
  </si>
  <si>
    <t>1001-127-0160-02-555</t>
  </si>
  <si>
    <t>PP-Duke CB-PPA MISO True up-Energy-PurchPwr</t>
  </si>
  <si>
    <t>1001-127-0159-02-555</t>
  </si>
  <si>
    <t>PP-Duke CB-PPA MISO Annual Recon-Energy-PurchPwr</t>
  </si>
  <si>
    <t>1001-127-0159-01-555</t>
  </si>
  <si>
    <t>PP-Duke CB-PPA MISO Annual Recon-Demand-PurchPwr</t>
  </si>
  <si>
    <t>1001-127-0158-02-555</t>
  </si>
  <si>
    <t>PP-Duke CB-PPA MISO-Energy-PurchPwr</t>
  </si>
  <si>
    <t>1001-127-0158-01-555</t>
  </si>
  <si>
    <t>PP-Duke CB-PPA MISO-Demand-PurchPwr</t>
  </si>
  <si>
    <t>1001-126-0158-02-555</t>
  </si>
  <si>
    <t>PP-Hoosier-PPA MISO-Energy-PurchPwr</t>
  </si>
  <si>
    <t>1001-126-0158-01-555</t>
  </si>
  <si>
    <t>PP-Hoosier-PPA MISO-Demand-PurchPwr</t>
  </si>
  <si>
    <t>1001-125-0198-02-555</t>
  </si>
  <si>
    <t>PP-Energy Eff-IMPA Supervision-Energy-PurchPwr</t>
  </si>
  <si>
    <t>1001-125-0175-02-555</t>
  </si>
  <si>
    <t>PP-Energy Eff-Incentive Payments-Energy-PurchPwr</t>
  </si>
  <si>
    <t>1001-125-0174-02-555</t>
  </si>
  <si>
    <t>PP-Energy Eff-Energy Efficiency-Energy-PurchPwr</t>
  </si>
  <si>
    <t>1001-125-0173-01-555</t>
  </si>
  <si>
    <t>PP-Energy Eff-Incentive Prgm Exp-Demand-PurchPwr</t>
  </si>
  <si>
    <t>1001-124-0150-02-555</t>
  </si>
  <si>
    <t>PP-Ren 15-MDC MISO-Energy-PurchPwr</t>
  </si>
  <si>
    <t>1001-124-0150-01-555</t>
  </si>
  <si>
    <t>PP-Ren 15-MDC MISO-Demand-PurchPwr</t>
  </si>
  <si>
    <t>1001-123-0431-02-555</t>
  </si>
  <si>
    <t>PP-WWVS/Rch-Capacity &amp; Energy Pymt-Energy-PurchPwr</t>
  </si>
  <si>
    <t>1001-123-0151-02-555</t>
  </si>
  <si>
    <t>PP-WWVS/Rch-MDC PJM-Energy-PurchPwr</t>
  </si>
  <si>
    <t>1001-123-0151-01-555</t>
  </si>
  <si>
    <t>PP-WWVS/Rch-MDC PJM-Demand-PurchPwr</t>
  </si>
  <si>
    <t>1001-122-0150-02-555</t>
  </si>
  <si>
    <t>PP-Ren 14U-MDC MISO-Energy-PurchPwr</t>
  </si>
  <si>
    <t>1001-122-0150-01-555</t>
  </si>
  <si>
    <t>PP-Ren 14U-MDC MISO-Demand-PurchPwr</t>
  </si>
  <si>
    <t>1001-121-0150-02-555</t>
  </si>
  <si>
    <t>PP-Peru-MDC MISO-Energy-PurchPwr</t>
  </si>
  <si>
    <t>1001-121-0150-01-555</t>
  </si>
  <si>
    <t>PP-Peru-MDC MISO-Demand-PurchPwr</t>
  </si>
  <si>
    <t>1001-120-0150-02-555</t>
  </si>
  <si>
    <t>PP-Crawford-MDC MISO-Energy-PurchPwr</t>
  </si>
  <si>
    <t>1001-120-0150-01-555</t>
  </si>
  <si>
    <t>PP-Crawford-MDC MISO-Demand-PurchPwr</t>
  </si>
  <si>
    <t>1001-119-0150-02-555</t>
  </si>
  <si>
    <t>PP-Jasper-MDC MISO-Energy-PurchPwr</t>
  </si>
  <si>
    <t>1001-119-0150-01-555</t>
  </si>
  <si>
    <t>PP-Jasper-MDC MISO-Demand-PurchPwr</t>
  </si>
  <si>
    <t>1001-107-0170-02-555</t>
  </si>
  <si>
    <t>PP-TC 2-LG&amp;E Spot Mkt Power MISO-Energy-PurchPwr</t>
  </si>
  <si>
    <t>1001-106-0172-02-555</t>
  </si>
  <si>
    <t>PP-TC 1-Reactive Power Comp MISO-Energy-PurchPwr</t>
  </si>
  <si>
    <t>1001-106-0170-02-555</t>
  </si>
  <si>
    <t>PP-TC 1-LG&amp;E Spot Mkt Power MISO-Energy-PurchPwr</t>
  </si>
  <si>
    <t>1001-105-0157-02-555</t>
  </si>
  <si>
    <t>PP-G5-Station Use-Energy-PurchPwr</t>
  </si>
  <si>
    <t>1001-001-0471-01-555</t>
  </si>
  <si>
    <t>PP-Gen-Purchase Power Consulting-Demand-PurchPwr</t>
  </si>
  <si>
    <t>Purchased power</t>
  </si>
  <si>
    <t>Operating Expenses</t>
  </si>
  <si>
    <t>0902-163-0000-02-456</t>
  </si>
  <si>
    <t>OthRev-MiscDISGEN-General-Energy-OthRev</t>
  </si>
  <si>
    <t>0902-136-0140-02-447</t>
  </si>
  <si>
    <t>OthRev-PJM-Market Sales-Energy-SalesResale</t>
  </si>
  <si>
    <t>0902-136-0139-01-447</t>
  </si>
  <si>
    <t>OthRev-PJM-Capacity Sales-Demand-SalesResale</t>
  </si>
  <si>
    <t>0902-135-0141-02-447</t>
  </si>
  <si>
    <t>OthRev-MISO-Mkt Sales True up-Energy-SalesResale</t>
  </si>
  <si>
    <t>0902-135-0140-02-447</t>
  </si>
  <si>
    <t>OthRev-MISO-Market Sales-Energy-SalesResale</t>
  </si>
  <si>
    <t>0902-135-0139-01-447</t>
  </si>
  <si>
    <t>OthRev-MISO-Capacity Sales-Demand-SalesResale</t>
  </si>
  <si>
    <t>0902-129-0139-01-447</t>
  </si>
  <si>
    <t>OthRev-AEP-Capacity Sales-Demand-SalesResale</t>
  </si>
  <si>
    <t>0902-129-0138-02-447</t>
  </si>
  <si>
    <t>OthRev-AEP-Sales-Energy-SalesResale</t>
  </si>
  <si>
    <t>0902-128-0376-02-456</t>
  </si>
  <si>
    <t>OthRev-Duke PCA-MISO Finsched Revers-Energy-OthRev</t>
  </si>
  <si>
    <t>0902-128-0143-02-456</t>
  </si>
  <si>
    <t>OthRev-Duke PCA-PCA FinSched true up-Energy-OthRev</t>
  </si>
  <si>
    <t>0902-119-0121-01-417</t>
  </si>
  <si>
    <t>OthRev-Jasper-Revenues-Demand-NonUtilRev</t>
  </si>
  <si>
    <t>0902-115-0145-01-456</t>
  </si>
  <si>
    <t>OthRev-JTS Distr-Investment Charge-Demand-OthRev</t>
  </si>
  <si>
    <t>0902-114-0145-01-456</t>
  </si>
  <si>
    <t>OthRev-JTS Trans-Investment Charge-Demand-OthRev</t>
  </si>
  <si>
    <t>0902-114-0144-01-456</t>
  </si>
  <si>
    <t>OthRev-JTS Trans-Revenue Credits-Demand-OthRev</t>
  </si>
  <si>
    <t>0902-107-0137-02-447</t>
  </si>
  <si>
    <t>OthRev-TC 2-Sales to LG&amp;E-Energy-SalesResale</t>
  </si>
  <si>
    <t>0902-107-0119-02-411</t>
  </si>
  <si>
    <t>OthRev-TC 2-Disp SO2 Allow-Energy-DispAllow/Accret</t>
  </si>
  <si>
    <t>0902-106-0137-02-447</t>
  </si>
  <si>
    <t>OthRev-TC 1-Sales to LG&amp;E-Energy-SalesResale</t>
  </si>
  <si>
    <t>0902-106-0119-02-411</t>
  </si>
  <si>
    <t>OthRev-TC 1-Disp SO2 Allow-Energy-DispAllow/Accret</t>
  </si>
  <si>
    <t>0902-105-0142-02-456</t>
  </si>
  <si>
    <t>OthRev-G5-MISO Fin Sched true up-Energy-OthRev</t>
  </si>
  <si>
    <t>0902-105-0119-02-411</t>
  </si>
  <si>
    <t>OthRev-G5-Disp SO2 Allow-Energy-DispAllow/Accret</t>
  </si>
  <si>
    <t>0902-014-0121-10-417</t>
  </si>
  <si>
    <t>OthRev-ISC DS-Revenues-NR-ISC-NonUtilRev</t>
  </si>
  <si>
    <t>0902-012-0121-10-417</t>
  </si>
  <si>
    <t>OthRev-ISC2-Revenues-NR-ISC-NonUtilRev</t>
  </si>
  <si>
    <t>0902-012-0121-01-417</t>
  </si>
  <si>
    <t>OthRev-ISC2-Revenues-Demand-NonUtilRev</t>
  </si>
  <si>
    <t>0902-011-0121-01-417</t>
  </si>
  <si>
    <t>OthRev-Geneva CRS-Revenues-Demand-NonUtilRev</t>
  </si>
  <si>
    <t>0902-010-0121-01-417</t>
  </si>
  <si>
    <t>OthRev-NIMPA CRS-Revenues-Demand-NonUtilRev</t>
  </si>
  <si>
    <t>0902-008-0121-01-417</t>
  </si>
  <si>
    <t>OthRev-Batavia CRS-Revenues-Demand-NonUtilRev</t>
  </si>
  <si>
    <t>0902-006-0121-01-417</t>
  </si>
  <si>
    <t>OthRev-NIMPA-Revenues-Demand-NonUtilRev</t>
  </si>
  <si>
    <t>0902-005-0121-01-417</t>
  </si>
  <si>
    <t>OthRev-Rochelle CRS-Revenues-Demand-NonUtilRev</t>
  </si>
  <si>
    <t>0902-004-0121-10-417</t>
  </si>
  <si>
    <t>OthRev-ISC-Revenues-NR-ISC-NonUtilRev</t>
  </si>
  <si>
    <t>0902-004-0121-01-417</t>
  </si>
  <si>
    <t>OthRev-ISC-Revenues-Demand-NonUtilRev</t>
  </si>
  <si>
    <t>0902-001-0454-02-456</t>
  </si>
  <si>
    <t>OthRev-Gen-Green Power Program-Energy-OthRev</t>
  </si>
  <si>
    <t>0902-001-0402-01-417</t>
  </si>
  <si>
    <t>OthRev-Gen-ISC Consulting Rev-Demand-NonUtilRev</t>
  </si>
  <si>
    <t>0902-001-0132-01-417</t>
  </si>
  <si>
    <t>OthRev-Gen-Reimb Mileage fleet-Demand-NonUtilRev</t>
  </si>
  <si>
    <t>0902-001-0131-01-417</t>
  </si>
  <si>
    <t>OthRev-Gen-Cost Recov Add-Contra-Demand-NonUtilRev</t>
  </si>
  <si>
    <t>0902-001-0120-01-418</t>
  </si>
  <si>
    <t>OthRev-Gen-Farm Rental Income-Demand-NonOperRent</t>
  </si>
  <si>
    <t>Other revenues</t>
  </si>
  <si>
    <t>0901-020-0149-02-447</t>
  </si>
  <si>
    <t>SalesMun-Non-Mem-Premium-Energy-SalesResale</t>
  </si>
  <si>
    <t>0901-020-0149-01-447</t>
  </si>
  <si>
    <t>SalesMun-Non-Mem-Premium-Demand-SalesResale</t>
  </si>
  <si>
    <t>0901-020-0148-09-447</t>
  </si>
  <si>
    <t>SalesMun-Non-Mem-Dlvy Volt-Muni Rev-SalesResale</t>
  </si>
  <si>
    <t>0901-020-0147-09-447</t>
  </si>
  <si>
    <t>SalesMun-Non-Mem-Reactive Pwr-Muni Rev-SalesResale</t>
  </si>
  <si>
    <t>0901-020-0146-09-447</t>
  </si>
  <si>
    <t>SalesMun-Non-Mem-Sales to Mun-Muni Rev-SalesResale</t>
  </si>
  <si>
    <t>0901-001-0417-09-447</t>
  </si>
  <si>
    <t>SalesMun-Gen-AR Writeoffs-Muni Rev-SalesResale</t>
  </si>
  <si>
    <t>0901-001-0148-09-447</t>
  </si>
  <si>
    <t>SalesMun-Gen-Dlvy Volt-Muni Rev-SalesResale</t>
  </si>
  <si>
    <t>0901-001-0147-09-447</t>
  </si>
  <si>
    <t>SalesMun-Gen-Reactive Pwr-Muni Rev-SalesResale</t>
  </si>
  <si>
    <t>0901-001-0146-09-447</t>
  </si>
  <si>
    <t>SalesMun-Gen-Sales to Mun-Muni Rev-SalesResale</t>
  </si>
  <si>
    <t>Sales to municipalities</t>
  </si>
  <si>
    <t>Operating Revenues</t>
  </si>
  <si>
    <t xml:space="preserve">     Total Current Liabilities</t>
  </si>
  <si>
    <t>0805-116-0000-00-242</t>
  </si>
  <si>
    <t>AccLiab-PSt Other-General-NA-Accrued Liab</t>
  </si>
  <si>
    <t>0805-103-0473-00-242</t>
  </si>
  <si>
    <t>AccLiab-Non-JTS NIPSCO-Watt Substatio-NA-Acc Liab</t>
  </si>
  <si>
    <t>0805-014-0000-00-242</t>
  </si>
  <si>
    <t>AccLiab-ISC DS-General-NA-Accrued Liab</t>
  </si>
  <si>
    <t>0805-012-0000-00-242</t>
  </si>
  <si>
    <t>AccLiab-ISC2-General-NA-Accrued Liab</t>
  </si>
  <si>
    <t>0805-004-0000-00-242</t>
  </si>
  <si>
    <t>AccLiab-ISC1-General-NA-Accrued Liab</t>
  </si>
  <si>
    <t>0805-003-0115-00-242</t>
  </si>
  <si>
    <t>AccLiab-Grant-Energy Savings-NA-Accrued Liab</t>
  </si>
  <si>
    <t>0805-003-0066-00-242</t>
  </si>
  <si>
    <t>AccLiab-Grant-Grant Local Lev-NA-Accrued Liab</t>
  </si>
  <si>
    <t>0805-001-0456-00-242</t>
  </si>
  <si>
    <t>AccLiab-Gen-CCC Grant-NA-Accrued Liab</t>
  </si>
  <si>
    <t>0805-001-0429-00-242</t>
  </si>
  <si>
    <t>AccLiab-Gen-Medical FSA Withholding-NA-Accrued Lia</t>
  </si>
  <si>
    <t>0805-001-0116-00-253</t>
  </si>
  <si>
    <t>AccLiab-Gen-ECA Payable-NA-Deferred Liab</t>
  </si>
  <si>
    <t>0805-001-0111-00-242</t>
  </si>
  <si>
    <t>AccLiab-Gen-Miscellaneous-NA-Accrued Liab</t>
  </si>
  <si>
    <t>0805-001-0110-00-242</t>
  </si>
  <si>
    <t>AccLiab-Gen-Arbitrage Rebate-NA-Accrued Liab</t>
  </si>
  <si>
    <t>0805-001-0109-00-242</t>
  </si>
  <si>
    <t>AccLiab-Gen-Annual Report-NA-Accrued Liab</t>
  </si>
  <si>
    <t>0805-001-0108-00-242</t>
  </si>
  <si>
    <t>AccLiab-Gen-Audit Fees-NA-Accrued Liab</t>
  </si>
  <si>
    <t>0805-001-0107-00-242</t>
  </si>
  <si>
    <t>AccLiab-Gen-MedicalFSA-NA-Accrued Liab</t>
  </si>
  <si>
    <t>0805-001-0106-00-236</t>
  </si>
  <si>
    <t>AccLiab-Gen-Kentucky PPT-NA-Accrued Taxes</t>
  </si>
  <si>
    <t>0805-001-0105-00-236</t>
  </si>
  <si>
    <t>AccLiab-Gen-Indiana PPT-NA-Accrued Taxes</t>
  </si>
  <si>
    <t>0805-001-0087-00-253</t>
  </si>
  <si>
    <t>AccLiab-Gen-PPA-NA-Deferred Liab</t>
  </si>
  <si>
    <t>0805-001-0087-00-244</t>
  </si>
  <si>
    <t>AccLiab-Gen-PPA-NA-Derivative Liab</t>
  </si>
  <si>
    <t>Accrued liabilities</t>
  </si>
  <si>
    <t>0804-307-0100-00-237</t>
  </si>
  <si>
    <t>AIP-DSA-Tax Exempt-NA-Accrued Int Payable</t>
  </si>
  <si>
    <t>Accrued interest on revenue bonds</t>
  </si>
  <si>
    <t>0803-014-0000-00-232</t>
  </si>
  <si>
    <t>AP-ISC DS-General-NA-Accounts Payable</t>
  </si>
  <si>
    <t>0803-012-0000-00-232</t>
  </si>
  <si>
    <t>AP-ISC2-General-NA-Accounts Payable</t>
  </si>
  <si>
    <t>0803-004-0000-00-232</t>
  </si>
  <si>
    <t>AP-ISC-General-NA-Accounts Payable</t>
  </si>
  <si>
    <t>0803-003-0000-00-232</t>
  </si>
  <si>
    <t>AP-Grant-General-NA-Accounts Payable</t>
  </si>
  <si>
    <t>0803-001-0000-00-232</t>
  </si>
  <si>
    <t>AP-Gen-General-NA-Accounts Payable</t>
  </si>
  <si>
    <t>Accounts payable</t>
  </si>
  <si>
    <t>0802-001-0453-00-231</t>
  </si>
  <si>
    <t>CurrDebt-Gen-PNC LOC-NA-Note Payable</t>
  </si>
  <si>
    <t>0802-001-0100-00-221</t>
  </si>
  <si>
    <t>CurrBonds-Gen-Tax Exempt-NA-Bonds</t>
  </si>
  <si>
    <t>Short-term borrowing</t>
  </si>
  <si>
    <t>0801-001-0100-00-221</t>
  </si>
  <si>
    <t>CurrMaturitiesBonds-Gen-Tax Exempt-NA-Bonds</t>
  </si>
  <si>
    <t>Current maturities of revenue bonds</t>
  </si>
  <si>
    <t>Current Liabilities</t>
  </si>
  <si>
    <t xml:space="preserve">     Total Non-Current Liabilities</t>
  </si>
  <si>
    <t>0703-112-0386-00-228</t>
  </si>
  <si>
    <t>RegLiab-PSt 1-Coal Valuation-NA-MiscOpProv</t>
  </si>
  <si>
    <t>0703-001-0118-00-228</t>
  </si>
  <si>
    <t>RegLiab-Gen-Self Insurance-NA-MiscOpProv</t>
  </si>
  <si>
    <t>0703-001-0092-00-228</t>
  </si>
  <si>
    <t>RegLiab-Gen-FRC Invest Amort/Accret-NA-MiscOpProv</t>
  </si>
  <si>
    <t>Deferred inflows of resources</t>
  </si>
  <si>
    <t>0702-123-0430-00-253</t>
  </si>
  <si>
    <t>OthNCLiab-WWVS/Rch-Decomm Payment-NA-Deferred Liab</t>
  </si>
  <si>
    <t>0702-113-0117-00-230</t>
  </si>
  <si>
    <t>OthNCLiab-PSt 2-ARO Liability-NA-ARO</t>
  </si>
  <si>
    <t>0702-112-0117-00-230</t>
  </si>
  <si>
    <t>OthNCLiab-PSt 1-ARO Liability-NA-ARO</t>
  </si>
  <si>
    <t>0702-107-0117-00-230</t>
  </si>
  <si>
    <t>OthNCLiab-TC 2-ARO Liability-NA-ARO</t>
  </si>
  <si>
    <t>0702-106-0117-00-230</t>
  </si>
  <si>
    <t>OthNCLiab-TC 1-ARO Liability-NA-ARO</t>
  </si>
  <si>
    <t>0702-105-0117-00-230</t>
  </si>
  <si>
    <t>OthNCLiab-G5-ARO Liability-NA-ARO</t>
  </si>
  <si>
    <t>0702-012-0413-00-223</t>
  </si>
  <si>
    <t>OthNCLiab-ISC2-Notes Payable-NA-AdvAssocCo</t>
  </si>
  <si>
    <t>0702-001-0110-00-253</t>
  </si>
  <si>
    <t>OthNCLiab-Gen-Arbitrage Rebate-NA-Deferred Liab</t>
  </si>
  <si>
    <t>0702-001-0087-00-253</t>
  </si>
  <si>
    <t>OthNCLiab-Gen-PPA-NA-Deferred Liab</t>
  </si>
  <si>
    <t>0702-001-0087-00-244</t>
  </si>
  <si>
    <t>OthNCLiab-Gen-PPA-NA-Derivative Liab</t>
  </si>
  <si>
    <t>Other non-current liabilities</t>
  </si>
  <si>
    <t>0701-001-0103-00-225</t>
  </si>
  <si>
    <t>LTBonds-Gen-Debt Premium-NA-Unamort Premium</t>
  </si>
  <si>
    <t>0701-001-0100-00-221</t>
  </si>
  <si>
    <t>LTBonds-Gen-Tax Exempt and Other-NA-Bonds</t>
  </si>
  <si>
    <t>Long-term revenue bonds, net</t>
  </si>
  <si>
    <t>Non-Current Liabilities</t>
  </si>
  <si>
    <t xml:space="preserve">     Total Net Assets</t>
  </si>
  <si>
    <t>Unrestricted</t>
  </si>
  <si>
    <t>Restricted</t>
  </si>
  <si>
    <t>Invested in capital assets, net of related debt</t>
  </si>
  <si>
    <t>0600-000-0000-00-215</t>
  </si>
  <si>
    <t>NetAssets-Equity-General-NA-Retained Earnings</t>
  </si>
  <si>
    <t>Net Assets</t>
  </si>
  <si>
    <t>Net Assets and Liabilities</t>
  </si>
  <si>
    <t xml:space="preserve">     Total Deferred Costs</t>
  </si>
  <si>
    <t>0502-116-0420-00-186</t>
  </si>
  <si>
    <t>OthDefOut-PSt Other-PSt OCIP-NA-Def Asset</t>
  </si>
  <si>
    <t>0502-116-0388-00-186</t>
  </si>
  <si>
    <t>OthDefOut-PSt Other-Working Capital-NA-Def Asset</t>
  </si>
  <si>
    <t>0502-012-0423-00-223</t>
  </si>
  <si>
    <t>OthDefOut-ISC2-Notes Receivable-NA-AdvAssocCo</t>
  </si>
  <si>
    <t>0502-001-0405-00-181</t>
  </si>
  <si>
    <t>OthDefOut-Gen-2013 BIC-NA-Unamort DebtExp</t>
  </si>
  <si>
    <t>0502-001-0383-00-181</t>
  </si>
  <si>
    <t>OthDefOut-Gen-2012 BIC-NA-Unamort DebtExp</t>
  </si>
  <si>
    <t>0502-001-0099-00-189</t>
  </si>
  <si>
    <t>OthDefOut-Gen-FRC Reac Debt-NA-Umamort Reaq Debt</t>
  </si>
  <si>
    <t>0502-001-0098-00-181</t>
  </si>
  <si>
    <t>OthDefOut-Gen-2011A BIC-NA-Unamort DebtExp</t>
  </si>
  <si>
    <t>0502-001-0097-00-181</t>
  </si>
  <si>
    <t>OthDefOut-Gen-2010A&amp;B BIC-NA-Unamort DebtExp</t>
  </si>
  <si>
    <t>0502-001-0096-00-181</t>
  </si>
  <si>
    <t>OthDefOut-Gen-BIC-NA-Unamort DebtExp</t>
  </si>
  <si>
    <t>0502-001-0087-00-186</t>
  </si>
  <si>
    <t>OthDefOut-Gen-PPA-NA-Def Asset</t>
  </si>
  <si>
    <t>0502-001-0087-00-175</t>
  </si>
  <si>
    <t>OthDefOut-Gen-PPA-NA-Derivative Asset</t>
  </si>
  <si>
    <t>Other</t>
  </si>
  <si>
    <t>0501-112-0386-00-186</t>
  </si>
  <si>
    <t>RegAsset-PSt 1-Coal Valuation-NA-Def Asset</t>
  </si>
  <si>
    <t>0501-001-0466-00-186</t>
  </si>
  <si>
    <t>RegAsset-Gen-FRC Matured Premium-NA-Def Asset</t>
  </si>
  <si>
    <t>0501-001-0465-00-186</t>
  </si>
  <si>
    <t>RegAsset-Gen-Pre 2015 GASB31-NA-Def Asset</t>
  </si>
  <si>
    <t>0501-001-0426-00-186</t>
  </si>
  <si>
    <t>RegAsset-Gen-Other Regulatory Asset-NA-Def Asset</t>
  </si>
  <si>
    <t>0501-001-0425-00-186</t>
  </si>
  <si>
    <t>RegAsset-Gen-Amortization-Prem/Disc-NA-Def Asset</t>
  </si>
  <si>
    <t>0501-001-0424-00-186</t>
  </si>
  <si>
    <t>RegAsset-Gen-Amort-Reacquired Debt-NA-Def Asset</t>
  </si>
  <si>
    <t>0501-001-0399-00-186</t>
  </si>
  <si>
    <t>RegAsset-Gen-Depreciation-NA-Def Asset</t>
  </si>
  <si>
    <t>0501-001-0372-00-186</t>
  </si>
  <si>
    <t>RegAsset-Gen-FRC Energy Eff-NA-Def Asset</t>
  </si>
  <si>
    <t>0501-001-0333-00-186</t>
  </si>
  <si>
    <t>RegAsset-Gen-Principal Payments-NA-Def Asset</t>
  </si>
  <si>
    <t>0501-001-0330-00-186</t>
  </si>
  <si>
    <t>RegAsset-Gen-Self Funded-NA-Def Asset</t>
  </si>
  <si>
    <t>0501-001-0096-00-186</t>
  </si>
  <si>
    <t>RegAsset-Gen-BIC-NA-Def Asset</t>
  </si>
  <si>
    <t>0501-001-0092-00-186</t>
  </si>
  <si>
    <t>RegAsset-Gen-FRC Invest Amort/Accret-NA-Def Asset</t>
  </si>
  <si>
    <t>0501-001-0091-00-186</t>
  </si>
  <si>
    <t>RegAsset-Gen-FRC Change in FV Inv-NA-Def Asset</t>
  </si>
  <si>
    <t>Regulatory assets</t>
  </si>
  <si>
    <t>Deferred Costs</t>
  </si>
  <si>
    <t xml:space="preserve">     Total Current Assets</t>
  </si>
  <si>
    <t>0405-162-0474-00-174</t>
  </si>
  <si>
    <t>OCA-Solar-Solar Professional Fees-NA-MiscOCA</t>
  </si>
  <si>
    <t>0405-116-0387-00-143</t>
  </si>
  <si>
    <t>OCA-PSt Other-Insurance Claims-OtherAR-NA-Other AR</t>
  </si>
  <si>
    <t>0405-116-0000-00-165</t>
  </si>
  <si>
    <t>OCA-PSt Other-General-NA-Prepayments</t>
  </si>
  <si>
    <t>0405-103-0473-00-143</t>
  </si>
  <si>
    <t>OCA-Non-JTS NIPSCO-Watt Substation-NA-Other AR</t>
  </si>
  <si>
    <t>0405-014-0079-00-143</t>
  </si>
  <si>
    <t>OCA-ISC DS-Accounts Receivable-NA-Other AR</t>
  </si>
  <si>
    <t>0405-014-0000-00-165</t>
  </si>
  <si>
    <t>OCA-ISC DS-General-NA-Prepayments</t>
  </si>
  <si>
    <t>0405-012-0423-00-171</t>
  </si>
  <si>
    <t>OCA-ISC2-Notes Receivable-NA-AIR</t>
  </si>
  <si>
    <t>0405-012-0079-00-143</t>
  </si>
  <si>
    <t>OCA-ISC2-Accounts Receivable-NA-Other AR</t>
  </si>
  <si>
    <t>0405-012-0000-00-165</t>
  </si>
  <si>
    <t>OCA-ISC2-General-NA-Prepayments</t>
  </si>
  <si>
    <t>0405-004-0079-00-143</t>
  </si>
  <si>
    <t>OCA-ISC-Accounts Receivable-NA-Other AR</t>
  </si>
  <si>
    <t>0405-004-0000-00-165</t>
  </si>
  <si>
    <t>OCA-ISC-General-NA-Prepayments</t>
  </si>
  <si>
    <t>0405-001-0452-00-143</t>
  </si>
  <si>
    <t>OCA-Gen-JTS Deposit-NA-Other AR</t>
  </si>
  <si>
    <t>0405-001-0433-00-143</t>
  </si>
  <si>
    <t>OCA-Gen-Collateral Receivables-NA-Other AR</t>
  </si>
  <si>
    <t>0405-001-0111-00-165</t>
  </si>
  <si>
    <t>OCA-Gen-Miscellaneous-NA-Prepayments</t>
  </si>
  <si>
    <t>0405-001-0087-00-186</t>
  </si>
  <si>
    <t>OCA-Gen-PPA-NA-Def Asset</t>
  </si>
  <si>
    <t>0405-001-0087-00-175</t>
  </si>
  <si>
    <t>OCA-Gen-PPA-NA-Derivative Asset</t>
  </si>
  <si>
    <t>0405-001-0085-00-173</t>
  </si>
  <si>
    <t>OCA-Gen-ECA Receivable-NA-Acc Revenues</t>
  </si>
  <si>
    <t>0405-001-0083-00-171</t>
  </si>
  <si>
    <t>OCA-Gen-US Agencies-NA-AIR</t>
  </si>
  <si>
    <t>0405-001-0081-00-165</t>
  </si>
  <si>
    <t>OCA-Gen-Insurance Prepayments-NA-Prepayments</t>
  </si>
  <si>
    <t>0405-001-0080-00-165</t>
  </si>
  <si>
    <t>OCA-Gen-TC2 Insurance-NA-Prepayments</t>
  </si>
  <si>
    <t>0405-001-0079-00-143</t>
  </si>
  <si>
    <t>OCA-Gen-Accounts Receivable-NA-Other AR</t>
  </si>
  <si>
    <t>Other current assets</t>
  </si>
  <si>
    <t>0404-123-0076-00-154</t>
  </si>
  <si>
    <t>Fuel/Mat Inv-WWVS/Rch-Spare Parts-NA-M&amp;S</t>
  </si>
  <si>
    <t>0404-123-0072-00-154</t>
  </si>
  <si>
    <t>Fuel/Mat Inv-WWVS/Rch-Spare Parts Reserve-NA-M&amp;S</t>
  </si>
  <si>
    <t>0404-123-0070-00-151</t>
  </si>
  <si>
    <t>Fuel/Mat Inv-WWVS/Rch-Oil-NA-Fuel Stock</t>
  </si>
  <si>
    <t>0404-123-0069-00-151</t>
  </si>
  <si>
    <t>Fuel/Mat Inv-WWVS/Rch-Coal-NA-Fuel Stock</t>
  </si>
  <si>
    <t>0404-117-0069-00-151</t>
  </si>
  <si>
    <t>Fuel/Mat Inv-PSt Mine-Coal-NA-Fuel Stock</t>
  </si>
  <si>
    <t>0404-116-0074-00-154</t>
  </si>
  <si>
    <t>Fuel/Mat Inv-PSt Other-M&amp;S-NA-M&amp;S</t>
  </si>
  <si>
    <t>0404-111-0076-00-154</t>
  </si>
  <si>
    <t>Fuel/Mat Inv-RCT-Spare Parts-NA-M&amp;S</t>
  </si>
  <si>
    <t>0404-111-0070-00-151</t>
  </si>
  <si>
    <t>Fuel/Mat Inv-RCT-Oil-NA-Fuel Stock</t>
  </si>
  <si>
    <t>0404-110-0077-00-154</t>
  </si>
  <si>
    <t>Fuel/Mat Inv-ACT-Spare Parts U 3-NA-M&amp;S</t>
  </si>
  <si>
    <t>0404-110-0076-00-154</t>
  </si>
  <si>
    <t>Fuel/Mat Inv-ACT-Spare Parts-NA-M&amp;S</t>
  </si>
  <si>
    <t>0404-110-0070-00-151</t>
  </si>
  <si>
    <t>Fuel/Mat Inv-ACT-Oil-NA-Fuel Stock</t>
  </si>
  <si>
    <t>0404-107-0078-00-154</t>
  </si>
  <si>
    <t>Fuel/Mat Inv-TC 2-Stores Exp-NA-M&amp;S</t>
  </si>
  <si>
    <t>0404-107-0075-00-154</t>
  </si>
  <si>
    <t>Fuel/Mat Inv-TC 2-Limestone &amp; Other-NA-M&amp;S</t>
  </si>
  <si>
    <t>0404-107-0074-00-154</t>
  </si>
  <si>
    <t>Fuel/Mat Inv-TC 2-FGD System &amp; Other-NA-M&amp;S</t>
  </si>
  <si>
    <t>0404-107-0070-00-151</t>
  </si>
  <si>
    <t>Fuel/Mat Inv-TC 2-Oil-NA-Fuel Stock</t>
  </si>
  <si>
    <t>0404-107-0069-00-151</t>
  </si>
  <si>
    <t>Fuel/Mat Inv-TC 2-Coal-NA-Fuel Stock</t>
  </si>
  <si>
    <t>0404-105-0078-00-154</t>
  </si>
  <si>
    <t>Fuel/Mat Inv-G5-Stores Exp-NA-M&amp;S</t>
  </si>
  <si>
    <t>0404-105-0075-00-154</t>
  </si>
  <si>
    <t>Fuel/Mat Inv-G5-Limestone &amp; Other-NA-M&amp;S</t>
  </si>
  <si>
    <t>0404-105-0074-00-154</t>
  </si>
  <si>
    <t>Fuel/Mat Inv-G5-FGD System &amp; Other-NA-M&amp;S</t>
  </si>
  <si>
    <t>0404-105-0070-00-151</t>
  </si>
  <si>
    <t>Fuel/Mat Inv-G5-Oil-NA-Fuel Stock</t>
  </si>
  <si>
    <t>0404-105-0069-00-151</t>
  </si>
  <si>
    <t>Fuel/Mat Inv-G5-Coal-NA-Fuel Stock</t>
  </si>
  <si>
    <t>0404-014-0449-00-154</t>
  </si>
  <si>
    <t>Fuel/Mat Inv-ISC DS-ISC Inventory-NA-M&amp;S</t>
  </si>
  <si>
    <t>0404-012-0449-00-154</t>
  </si>
  <si>
    <t>Fuel/Mat Inv-ISC2-ISC Inventory-NA-M&amp;S</t>
  </si>
  <si>
    <t>0404-004-0449-00-154</t>
  </si>
  <si>
    <t>Fuel/Mat Inv-ISC-ISC Inventory-NA-M&amp;S</t>
  </si>
  <si>
    <t>0404-001-0072-00-154</t>
  </si>
  <si>
    <t>Fuel/Mat Inv-Gen-Spare Parts Reserve-NA-M&amp;S</t>
  </si>
  <si>
    <t>0404-001-0071-00-154</t>
  </si>
  <si>
    <t>Fuel/Mat Inv-Gen-Spare Parts DSM-NA-M&amp;S</t>
  </si>
  <si>
    <t>Fuel stock and material inventory</t>
  </si>
  <si>
    <t>0403-001-0068-00-142</t>
  </si>
  <si>
    <t>MuniAR-Gen-Muni Receivables-NA-Cust Accts Rec</t>
  </si>
  <si>
    <t>Municipality accounts receivable</t>
  </si>
  <si>
    <t>0402-307-0000-85-124</t>
  </si>
  <si>
    <t>STInv-DSA-General-ST Rest US GA-Investment</t>
  </si>
  <si>
    <t>0402-306-0044-85-124</t>
  </si>
  <si>
    <t>STInv-RiskContARO-R&amp;C-ST Rest US GA-Investment</t>
  </si>
  <si>
    <t>0402-305-0051-85-124</t>
  </si>
  <si>
    <t>STInv-DSR-2010 A BABs-ST Rest US GA-Investment</t>
  </si>
  <si>
    <t>0402-305-0000-85-124</t>
  </si>
  <si>
    <t>STInv-DSR-General-ST Rest US GA-Investment</t>
  </si>
  <si>
    <t>0402-305-0000-81-124</t>
  </si>
  <si>
    <t>STInv-DSR-General-LT Rest Inv Con-Investment</t>
  </si>
  <si>
    <t>0402-302-0000-85-124</t>
  </si>
  <si>
    <t>STInv-RS-General-ST Rest US GA-Investment</t>
  </si>
  <si>
    <t>0402-301-0000-86-136</t>
  </si>
  <si>
    <t>STInv-GR-General-ST Unrest US GA-STInv</t>
  </si>
  <si>
    <t>Short-term investments</t>
  </si>
  <si>
    <t>0401-301-0385-88-131</t>
  </si>
  <si>
    <t>UnRstCCE-GR-General Chase-Cash Unrest-Cash</t>
  </si>
  <si>
    <t>0401-301-0000-88-131</t>
  </si>
  <si>
    <t>UnRstCCE-GR-General BONY-Cash Unrest-Cash</t>
  </si>
  <si>
    <t>0401-300-0478-88-131</t>
  </si>
  <si>
    <t>UnRstCCE-Oper-ISC DS O&amp;M-Cash Unrest-Cash</t>
  </si>
  <si>
    <t>0401-300-0477-88-131</t>
  </si>
  <si>
    <t>UnRstCCE-Oper-PNC O&amp;M-Cash Unrest-Cash</t>
  </si>
  <si>
    <t>0401-300-0416-88-131</t>
  </si>
  <si>
    <t>UnRstCCE-Oper-Solar Escrow-Cash Unrest-Cash</t>
  </si>
  <si>
    <t>0401-300-0412-88-131</t>
  </si>
  <si>
    <t>UnRstCCE-Oper-ISC1 O&amp;M-Cash Unrest-Cash</t>
  </si>
  <si>
    <t>0401-300-0408-88-131</t>
  </si>
  <si>
    <t>UnRstCCE-Oper-ISC 2 O&amp;M-Cash Unrest-Cash</t>
  </si>
  <si>
    <t>0401-300-0367-88-131</t>
  </si>
  <si>
    <t>UnRstCCE-Oper-PayPal-Cash Unrest-Cash</t>
  </si>
  <si>
    <t>0401-300-0063-88-131</t>
  </si>
  <si>
    <t>UnRstCCE-Oper-Line of Credit-Cash Unrest-Cash</t>
  </si>
  <si>
    <t>0401-300-0056-88-131</t>
  </si>
  <si>
    <t>UnRstCCE-Oper-Petty Cash-Cash Unrest-Cash</t>
  </si>
  <si>
    <t>0401-300-0055-88-131</t>
  </si>
  <si>
    <t>UnRstCCE-Oper-NIPSCO Escrow-Cash Unrest-Cash</t>
  </si>
  <si>
    <t>0401-300-0054-88-131</t>
  </si>
  <si>
    <t>UnRstCCE-Oper-CDB-Cash Unrest-Cash</t>
  </si>
  <si>
    <t>0401-300-0053-88-131</t>
  </si>
  <si>
    <t>UnRstCCE-Oper-O&amp;M-Cash Unrest-Cash</t>
  </si>
  <si>
    <t>0401-300-0052-88-131</t>
  </si>
  <si>
    <t>UnRstCCE-Oper-Revenue-Cash Unrest-Cash</t>
  </si>
  <si>
    <t>Unrestricted cash and cash equivalents</t>
  </si>
  <si>
    <t>Current Assets</t>
  </si>
  <si>
    <t>0301-308-0066-87-124</t>
  </si>
  <si>
    <t>RstCCE-StrGnt-Grant Local Lev-Cash Rest-Investment</t>
  </si>
  <si>
    <t>0301-308-0065-87-124</t>
  </si>
  <si>
    <t>RstCCE-StrGnt-Grant Overhead-Cash Rest-Investment</t>
  </si>
  <si>
    <t>0301-308-0064-87-124</t>
  </si>
  <si>
    <t>RstCCE-StrGnt-Grant Subsidy-Cash Rest-Investment</t>
  </si>
  <si>
    <t>0301-307-0110-87-124</t>
  </si>
  <si>
    <t>RstCCE-DSA-Arbitrage Rebate-Cash Rest-Investment</t>
  </si>
  <si>
    <t>0301-307-0000-87-124</t>
  </si>
  <si>
    <t>RstCCE-DSA-General-Cash Rest-Investment</t>
  </si>
  <si>
    <t>0301-306-0062-87-124</t>
  </si>
  <si>
    <t>RstCCE-RiskContARO-ARO Resv-Cash Rest-Investment</t>
  </si>
  <si>
    <t>0301-306-0044-87-124</t>
  </si>
  <si>
    <t>RstCCE-RiskContARO-R&amp;C-Cash Rest-Investment</t>
  </si>
  <si>
    <t>0301-305-0051-87-124</t>
  </si>
  <si>
    <t>RstCCE-DSR-2010A BABs-Cash Rest-Investment</t>
  </si>
  <si>
    <t>0301-305-0050-87-124</t>
  </si>
  <si>
    <t>RstCCE-DSR-2009C Taxable-Cash Rest-Investment</t>
  </si>
  <si>
    <t>0301-305-0045-87-124</t>
  </si>
  <si>
    <t>RstCCE-DSR-2007B Taxable-Cash Rest-Investment</t>
  </si>
  <si>
    <t>0301-305-0000-87-124</t>
  </si>
  <si>
    <t>RstCCE-DSR-General-Cash Rest-Investment</t>
  </si>
  <si>
    <t>0301-304-0058-87-124</t>
  </si>
  <si>
    <t>RstCCE-Cap I-2009BTC2-Cash Rest-Investment</t>
  </si>
  <si>
    <t>0301-304-0051-87-124</t>
  </si>
  <si>
    <t>RstCCE-Cap I-2010A BABs-Cash Rest-Investment</t>
  </si>
  <si>
    <t>0301-304-0050-87-124</t>
  </si>
  <si>
    <t>RstCCE-Cap I-2009C Taxable-Cash Rest-Investment</t>
  </si>
  <si>
    <t>0301-304-0049-87-124</t>
  </si>
  <si>
    <t>RstCCE-Cap I-2009B PS-Cash Rest-Investment</t>
  </si>
  <si>
    <t>0301-304-0047-87-124</t>
  </si>
  <si>
    <t>RstCCE-Cap I-2007A-Cash Rest-Investment</t>
  </si>
  <si>
    <t>0301-304-0046-87-124</t>
  </si>
  <si>
    <t>RstCCE-Cap I-2006A-Cash Rest-Investment</t>
  </si>
  <si>
    <t>0301-304-0045-87-124</t>
  </si>
  <si>
    <t>RstCCE-Cap I-2007B Taxable-Cash Rest-Investment</t>
  </si>
  <si>
    <t>0301-303-0464-87-124</t>
  </si>
  <si>
    <t>RstCCE-Constr-2016C Expense-Cash Rest-Investment</t>
  </si>
  <si>
    <t>0301-303-0462-87-124</t>
  </si>
  <si>
    <t>RstCCE-Constr-2016B Expense-Cash Rest-Investment</t>
  </si>
  <si>
    <t>0301-303-0461-87-124</t>
  </si>
  <si>
    <t>RstCCE-Constr-2016A Expense-Cash Rest-Investment</t>
  </si>
  <si>
    <t>0301-303-0448-87-124</t>
  </si>
  <si>
    <t>RstCCE-Constr-2014A/06A Escrow-Cash Rest-Investmen</t>
  </si>
  <si>
    <t>0301-303-0447-87-124</t>
  </si>
  <si>
    <t>RstCCE-Constr-2014A/04A Escrow-Cash Rest-Investmen</t>
  </si>
  <si>
    <t>0301-303-0445-87-124</t>
  </si>
  <si>
    <t>RstCCE-Constr-2014A Expense-Cash Rest-Investment</t>
  </si>
  <si>
    <t>0301-303-0444-87-124</t>
  </si>
  <si>
    <t>RstCCE-Constr-2015A Project-Cash Rest-Investment</t>
  </si>
  <si>
    <t>0301-303-0419-87-124</t>
  </si>
  <si>
    <t>RstCCE-Constr-2013A Expense-Cash Rest-Investment</t>
  </si>
  <si>
    <t>0301-303-0418-87-124</t>
  </si>
  <si>
    <t>RstCCE-Constr-2013A Project-Cash Rest-Investment</t>
  </si>
  <si>
    <t>0301-303-0396-87-124</t>
  </si>
  <si>
    <t>RstCCE-Constr-2012A Expense-Cash Rest-Investment</t>
  </si>
  <si>
    <t>0301-303-0395-87-124</t>
  </si>
  <si>
    <t>RstCCE-Constr-2012A/02BEscrow-Cash Rest-Investment</t>
  </si>
  <si>
    <t>0301-303-0366-87-124</t>
  </si>
  <si>
    <t>RstCCE-Constr-2011A/02AEscrow-Cash Rest-Investment</t>
  </si>
  <si>
    <t>0301-303-0365-87-124</t>
  </si>
  <si>
    <t>RstCCE-Constr-2011A Exp-Cash Rest-Investment</t>
  </si>
  <si>
    <t>0301-303-0364-87-124</t>
  </si>
  <si>
    <t>RstCCE-Constr-2011A Project-Cash Rest-Investment</t>
  </si>
  <si>
    <t>0301-303-0060-87-124</t>
  </si>
  <si>
    <t>RstCCE-Constr-2010B Exp-Cash Rest-Investment</t>
  </si>
  <si>
    <t>0301-303-0059-87-124</t>
  </si>
  <si>
    <t>RstCCE-Constr-2010A BAB Exp-Cash Rest-Investment</t>
  </si>
  <si>
    <t>0301-303-0058-87-124</t>
  </si>
  <si>
    <t>RstCCE-Constr-2009BTC2-Cash Rest-Investment</t>
  </si>
  <si>
    <t>0301-303-0057-87-124</t>
  </si>
  <si>
    <t>RstCCE-Constr-2009A-Cash Rest-Investment</t>
  </si>
  <si>
    <t>0301-303-0051-87-124</t>
  </si>
  <si>
    <t>RstCCE-Constr-2010A BABs-Cash Rest-Investment</t>
  </si>
  <si>
    <t>0301-303-0050-87-124</t>
  </si>
  <si>
    <t>RstCCE-Constr-2009C Taxable-Cash Rest-Investment</t>
  </si>
  <si>
    <t>0301-303-0049-87-124</t>
  </si>
  <si>
    <t>RstCCE-Constr-2009B PS-Cash Rest-Investment</t>
  </si>
  <si>
    <t>0301-303-0047-87-124</t>
  </si>
  <si>
    <t>RstCCE-Constr-2007A-Cash Rest-Investment</t>
  </si>
  <si>
    <t>0301-303-0045-87-124</t>
  </si>
  <si>
    <t>RstCCE-Constr-2007B Taxable-Cash Rest-Investment</t>
  </si>
  <si>
    <t>0301-302-0000-87-124</t>
  </si>
  <si>
    <t>RstCCE-RS-General-Cash Rest-Investment</t>
  </si>
  <si>
    <t>Restricted Cash and Cash Equivalents</t>
  </si>
  <si>
    <t>0201-306-0044-82-124</t>
  </si>
  <si>
    <t>LTInv-RiskContARO-R&amp;C-LT Rest US GA-Investment</t>
  </si>
  <si>
    <t>0201-305-0051-82-124</t>
  </si>
  <si>
    <t>LTInv-DSR-2010A BABs-LT Rest US GA-Investment</t>
  </si>
  <si>
    <t>0201-305-0050-82-124</t>
  </si>
  <si>
    <t>LTInv-DSR-2009C Taxable-LT Rest US GA-Investment</t>
  </si>
  <si>
    <t>0201-305-0000-82-124</t>
  </si>
  <si>
    <t>LTInv-DSR-General-LT Rest US GA-Investment</t>
  </si>
  <si>
    <t>0201-305-0000-81-124</t>
  </si>
  <si>
    <t>LTInv-DSR-General-LT Rest Inv Con-Investment</t>
  </si>
  <si>
    <t>0201-302-0000-82-124</t>
  </si>
  <si>
    <t>LTInv-RS-General-LT Rest US GA-Investment</t>
  </si>
  <si>
    <t>0201-301-0000-83-136</t>
  </si>
  <si>
    <t>LTInv-GR-General-LT Unrest US GA-STInv</t>
  </si>
  <si>
    <t>Long-Term Investments</t>
  </si>
  <si>
    <t xml:space="preserve">     Total Utility Plant, Net</t>
  </si>
  <si>
    <t>0103-187-0407-00-107</t>
  </si>
  <si>
    <t>CWIP-Solar Anderson 2-Solar Park-NA-CWIP</t>
  </si>
  <si>
    <t>0103-186-0407-00-107</t>
  </si>
  <si>
    <t>CWIP-Solar Winamac-Solar Park-NA-CWIP</t>
  </si>
  <si>
    <t>0103-185-0407-00-107</t>
  </si>
  <si>
    <t>CWIP-Solar Greenfield-Solar Park-NA-CWIP</t>
  </si>
  <si>
    <t>0103-184-0407-00-107</t>
  </si>
  <si>
    <t>CWIP-Spiceland Solar-Solar Park-NA-CWIP</t>
  </si>
  <si>
    <t>0103-183-0407-00-107</t>
  </si>
  <si>
    <t>CWIP-Solar Flora-Solar Park-NA-CWIP</t>
  </si>
  <si>
    <t>0103-182-0028-00-107</t>
  </si>
  <si>
    <t>CWIP-Solar/SCADA-Automobiles-NA-CWIP</t>
  </si>
  <si>
    <t>0103-182-0027-00-107</t>
  </si>
  <si>
    <t>CWIP-Solar/SCADA-FF&amp;E-NA-CWIP</t>
  </si>
  <si>
    <t>0103-182-0026-00-107</t>
  </si>
  <si>
    <t>CWIP-Solar/SCADA-Building-NA-CWIP</t>
  </si>
  <si>
    <t>0103-181-0407-00-107</t>
  </si>
  <si>
    <t>CWIP-Solar Washington-Solar Park-NA-CWIP</t>
  </si>
  <si>
    <t>0103-179-0407-00-107</t>
  </si>
  <si>
    <t>CWIP-Solar Waynetown-Solar Park-NA-CWIP</t>
  </si>
  <si>
    <t>0103-178-0407-00-107</t>
  </si>
  <si>
    <t>CWIP-Solar Anderson-Solar Park-NA-CWIP</t>
  </si>
  <si>
    <t>0103-177-0407-00-107</t>
  </si>
  <si>
    <t>CWIP-Solar Pendleton-Solar Park-NA-CWIP</t>
  </si>
  <si>
    <t>0103-176-0407-00-107</t>
  </si>
  <si>
    <t>CWIP-Solar Phase3-Site6-Solar Park-NA-CWIP</t>
  </si>
  <si>
    <t>0103-175-0407-00-107</t>
  </si>
  <si>
    <t>CWIP-Solar Phase3-Site5-Solar Park-NA-CWIP</t>
  </si>
  <si>
    <t>0103-174-0407-00-107</t>
  </si>
  <si>
    <t>CWIP-Solar Tipton-Solar Park-NA-CWIP</t>
  </si>
  <si>
    <t>0103-173-0407-00-107</t>
  </si>
  <si>
    <t>CWIP-Solar Rockville-Solar Park-NA-CWIP</t>
  </si>
  <si>
    <t>0103-172-0407-00-107</t>
  </si>
  <si>
    <t>CWIP-Solar Huntingburg-Solar Park-NA-CWIP</t>
  </si>
  <si>
    <t>0103-171-0407-00-107</t>
  </si>
  <si>
    <t>CWIP-Solar Scottsburg-Solar Park-NA-CWIP</t>
  </si>
  <si>
    <t>0103-170-0407-00-107</t>
  </si>
  <si>
    <t>CWIP-Solar-Tell City-Solar Park-NA-CWIP</t>
  </si>
  <si>
    <t>0103-169-0407-00-107</t>
  </si>
  <si>
    <t>CWIP-Solar-Crawfordsville-Solar Park-NA-CWIP</t>
  </si>
  <si>
    <t>0103-168-0407-00-107</t>
  </si>
  <si>
    <t>CWIP-Solar-Peru-Solar Park-NA-CWIP</t>
  </si>
  <si>
    <t>0103-162-0407-00-107</t>
  </si>
  <si>
    <t>CWIP-Solar Parks Project-Solar Park Dev-NA-CWIP</t>
  </si>
  <si>
    <t>0103-161-0407-00-107</t>
  </si>
  <si>
    <t>CWIP-Solar-Richmond-Solar Park-NA-CWIP</t>
  </si>
  <si>
    <t>0103-160-0407-00-107</t>
  </si>
  <si>
    <t>CWIP-Solar-Rensselaer-Solar Park-NA-CWIP</t>
  </si>
  <si>
    <t>0103-159-0407-00-107</t>
  </si>
  <si>
    <t>CWIP-Solar-Frankton-Solar Park-NA-CWIP</t>
  </si>
  <si>
    <t>0103-123-0034-00-107</t>
  </si>
  <si>
    <t>CWIP-WWVS/Rch-Steam-NA-CWIP</t>
  </si>
  <si>
    <t>0103-117-0359-00-107</t>
  </si>
  <si>
    <t>CWIP-PSt Mine-Coal Reserves-NA-CWIP</t>
  </si>
  <si>
    <t>0103-115-0020-00-107</t>
  </si>
  <si>
    <t>CWIP-JTS Distr-Distr-NA-CWIP</t>
  </si>
  <si>
    <t>0103-114-0411-00-107</t>
  </si>
  <si>
    <t>CWIP-JTS Trans-Tipton West Junction 69191-NA-CWIP</t>
  </si>
  <si>
    <t>0103-114-0397-00-107</t>
  </si>
  <si>
    <t>CWIP-JTS Trans-Pendleton Line Relocation-NA-CWIP</t>
  </si>
  <si>
    <t>0103-114-0037-00-107</t>
  </si>
  <si>
    <t>CWIP-JTS Trans-Tipton Getrag 69kv P2-NA-CWIP</t>
  </si>
  <si>
    <t>0103-114-0012-00-107</t>
  </si>
  <si>
    <t>CWIP-JTS Trans-Trans-NA-CWIP</t>
  </si>
  <si>
    <t>0103-112-0394-00-107</t>
  </si>
  <si>
    <t>CWIP-PSt 1-Steam Plant Sustaining Capital-NA-CWIP</t>
  </si>
  <si>
    <t>0103-112-0043-00-107</t>
  </si>
  <si>
    <t>CWIP-PSt 1-Cap I Tax-NA-CWIP</t>
  </si>
  <si>
    <t>0103-112-0042-00-107</t>
  </si>
  <si>
    <t>CWIP-PSt 1-Steam Plant Tax-NA-CWIP</t>
  </si>
  <si>
    <t>0103-112-0041-00-107</t>
  </si>
  <si>
    <t>CWIP-PSt 1-Cap I BABs-NA-CWIP</t>
  </si>
  <si>
    <t>0103-112-0035-00-107</t>
  </si>
  <si>
    <t>CWIP-PSt 1-Cap I-NA-CWIP</t>
  </si>
  <si>
    <t>0103-112-0034-00-107</t>
  </si>
  <si>
    <t>CWIP-PSt 1-Steam-NA-CWIP</t>
  </si>
  <si>
    <t>0103-111-0463-00-107</t>
  </si>
  <si>
    <t>CWIP-RCT-NERC Cyber/Physical Security-NA-CWIP</t>
  </si>
  <si>
    <t>0103-111-0421-00-107</t>
  </si>
  <si>
    <t>CWIP-RCT-CT CWIP-NA-CWIP</t>
  </si>
  <si>
    <t>0103-111-0379-00-107</t>
  </si>
  <si>
    <t>CWIP-RCT-NERC/Aurora Compliance Prog-NA-CWIP</t>
  </si>
  <si>
    <t>0103-110-0463-00-107</t>
  </si>
  <si>
    <t>CWIP-ACT-NERC Cyber/Physical Security-NA-CWIP</t>
  </si>
  <si>
    <t>0103-110-0421-00-107</t>
  </si>
  <si>
    <t>CWIP-ACT-CT CWIP-NA-CWIP</t>
  </si>
  <si>
    <t>0103-110-0379-00-107</t>
  </si>
  <si>
    <t>CWIP-ACT-NERC/Aurora Compliance Prog-NA-CWIP</t>
  </si>
  <si>
    <t>0103-110-0040-00-107</t>
  </si>
  <si>
    <t>CWIP-ACT-South And RTU-NA-CWIP</t>
  </si>
  <si>
    <t>0103-109-0421-00-107</t>
  </si>
  <si>
    <t>CWIP-GCT-CT CWIP-NA-CWIP</t>
  </si>
  <si>
    <t>0103-107-0034-00-107</t>
  </si>
  <si>
    <t>CWIP-TC 2-Steam-NA-CWIP</t>
  </si>
  <si>
    <t>0103-106-0034-00-107</t>
  </si>
  <si>
    <t>CWIP-TC 1-Steam-NA-CWIP</t>
  </si>
  <si>
    <t>0103-105-0034-00-107</t>
  </si>
  <si>
    <t>CWIP-G5-Steam-NA-CWIP</t>
  </si>
  <si>
    <t>0103-001-0475-00-107</t>
  </si>
  <si>
    <t>CWIP-Gen-NERC Security Compliance-NA-CWIP</t>
  </si>
  <si>
    <t>0103-001-0463-00-107</t>
  </si>
  <si>
    <t>CWIP-Gen-NERC Cyber/Physical Security-NA-CWIP</t>
  </si>
  <si>
    <t>0103-001-0410-00-107</t>
  </si>
  <si>
    <t>CWIP-Gen-Building Renovations-NA-CWIP</t>
  </si>
  <si>
    <t>0103-001-0406-00-107</t>
  </si>
  <si>
    <t>CWIP-Gen-FA Clearing-NA-CWIP</t>
  </si>
  <si>
    <t>0103-001-0039-00-107</t>
  </si>
  <si>
    <t>CWIP-Gen-Tell City NE Sub RTU-NA-CWIP</t>
  </si>
  <si>
    <t>0103-001-0029-00-107</t>
  </si>
  <si>
    <t>CWIP-Gen-Comm Equip-NA-CWIP</t>
  </si>
  <si>
    <t>0103-001-0026-00-107</t>
  </si>
  <si>
    <t>CWIP-Gen-New Conference Building-NA-CWIP</t>
  </si>
  <si>
    <t>Construction work in progress</t>
  </si>
  <si>
    <t>0102-162-0407-00-108</t>
  </si>
  <si>
    <t>AD-Solar Parks Project-Solar Park-NA-AccumDep</t>
  </si>
  <si>
    <t>0102-161-0407-00-108</t>
  </si>
  <si>
    <t>AD-Solar-Richmond-Solar Park-NA-AccumDep</t>
  </si>
  <si>
    <t>0102-160-0407-00-108</t>
  </si>
  <si>
    <t>AD-Solar-Rensselaer-Solar Park-NA-AccumDep</t>
  </si>
  <si>
    <t>0102-159-0407-00-108</t>
  </si>
  <si>
    <t>AD-Solar-Frankton-Solar Park-NA-AccumDep</t>
  </si>
  <si>
    <t>0102-123-0314-00-108</t>
  </si>
  <si>
    <t>AD-WWVS/Rch-Environmental-NA-AccumDep</t>
  </si>
  <si>
    <t>0102-123-0028-00-108</t>
  </si>
  <si>
    <t>AD-WWVS/Rch-Automobiles-NA-AccumDep</t>
  </si>
  <si>
    <t>0102-123-0001-00-108</t>
  </si>
  <si>
    <t>AD-WWVS/Rch-Steam PIS-NA-AccumDep</t>
  </si>
  <si>
    <t>0102-117-0359-00-108</t>
  </si>
  <si>
    <t>AD-PSt Mine-Coal Reserves-NA-AccumDep</t>
  </si>
  <si>
    <t>0102-117-0358-00-108</t>
  </si>
  <si>
    <t>AD-PSt Mine-Mine Development-NA-AccumDep</t>
  </si>
  <si>
    <t>0102-116-0001-00-108</t>
  </si>
  <si>
    <t>AD-PSt Other-Steam PIS-NA-AccumDep</t>
  </si>
  <si>
    <t>0102-115-0022-00-108</t>
  </si>
  <si>
    <t>AD-JTS Distr-JTS Distr CCNC-NA-AccumDep</t>
  </si>
  <si>
    <t>0102-115-0021-00-108</t>
  </si>
  <si>
    <t>AD-JTS Distr-Distr Sole Use-NA-AccumDep</t>
  </si>
  <si>
    <t>0102-115-0020-00-108</t>
  </si>
  <si>
    <t>AD-JTS Distr-Distr-NA-AccumDep</t>
  </si>
  <si>
    <t>0102-115-0019-00-108</t>
  </si>
  <si>
    <t>AD-JTS Distr-JTS Distr PIS-NA-AccumDep</t>
  </si>
  <si>
    <t>0102-114-0018-00-108</t>
  </si>
  <si>
    <t>AD-JTS Trans-JTS Trans CCNC-NA-AccumDep</t>
  </si>
  <si>
    <t>0102-114-0015-00-108</t>
  </si>
  <si>
    <t>AD-JTS Trans-Capital Lease-NA-AccumDep</t>
  </si>
  <si>
    <t>0102-114-0014-00-108</t>
  </si>
  <si>
    <t>AD-JTS Trans-Step up Transform-NA-AccumDep</t>
  </si>
  <si>
    <t>0102-114-0013-00-108</t>
  </si>
  <si>
    <t>AD-JTS Trans-Trans Sole Use-NA-AccumDep</t>
  </si>
  <si>
    <t>0102-114-0011-00-108</t>
  </si>
  <si>
    <t>AD-JTS Trans-JTS Trans PIS-NA-AccumDep</t>
  </si>
  <si>
    <t>0102-114-0006-00-108</t>
  </si>
  <si>
    <t>AD-JTS Trans-AFUDC-NA-AccumDep</t>
  </si>
  <si>
    <t>0102-114-0002-00-108</t>
  </si>
  <si>
    <t>AD-JTS Trans-Cap I PIS-NA-AccumDep</t>
  </si>
  <si>
    <t>0102-113-0359-00-108</t>
  </si>
  <si>
    <t>AD-PSt 2-Coal Reserves-NA-AccumDep</t>
  </si>
  <si>
    <t>0102-113-0358-00-108</t>
  </si>
  <si>
    <t>AD-PSt 2-Mine Development-NA-AccumDep</t>
  </si>
  <si>
    <t>0102-113-0005-00-108</t>
  </si>
  <si>
    <t>AD-PSt 2-ARO Asset-NA-AccumDep</t>
  </si>
  <si>
    <t>0102-113-0002-00-108</t>
  </si>
  <si>
    <t>AD-PSt 2-Cap I PIS-NA-AccumDep</t>
  </si>
  <si>
    <t>0102-113-0001-00-108</t>
  </si>
  <si>
    <t>AD-PSt 2-Steam PIS-NA-AccumDep</t>
  </si>
  <si>
    <t>0102-112-0359-00-108</t>
  </si>
  <si>
    <t>AD-PSt 1-Coal Reserves-NA-AccumDep</t>
  </si>
  <si>
    <t>0102-112-0358-00-108</t>
  </si>
  <si>
    <t>AD-PSt 1-Mine Development-NA-AccumDep</t>
  </si>
  <si>
    <t>0102-112-0005-00-108</t>
  </si>
  <si>
    <t>AD-PSt 1-ARO Asset-NA-AccumDep</t>
  </si>
  <si>
    <t>0102-112-0002-00-108</t>
  </si>
  <si>
    <t>AD-PSt 1-Cap I PIS-NA-AccumDep</t>
  </si>
  <si>
    <t>0102-112-0001-00-108</t>
  </si>
  <si>
    <t>AD-PSt 1-Steam PIS-NA-AccumDep</t>
  </si>
  <si>
    <t>0102-111-0027-00-108</t>
  </si>
  <si>
    <t>AD-RCT-FF&amp;E-NA-AccumDep</t>
  </si>
  <si>
    <t>0102-111-0009-00-108</t>
  </si>
  <si>
    <t>AD-RCT-CT PIS-NA-AccumDep</t>
  </si>
  <si>
    <t>0102-111-0002-00-108</t>
  </si>
  <si>
    <t>AD-RCT-Cap I PIS-NA-AccumDep</t>
  </si>
  <si>
    <t>0102-110-0027-00-108</t>
  </si>
  <si>
    <t>AD-ACT-FF&amp;E-NA-AccumDep</t>
  </si>
  <si>
    <t>0102-110-0009-00-108</t>
  </si>
  <si>
    <t>AD-ACT-CT PIS-NA-AccumDep</t>
  </si>
  <si>
    <t>0102-110-0008-00-108</t>
  </si>
  <si>
    <t>AD-ACT-ACT3 Cap. I PIS-NA-AccumDep</t>
  </si>
  <si>
    <t>0102-110-0002-00-108</t>
  </si>
  <si>
    <t>AD-ACT-Cap I PIS-NA-AccumDep</t>
  </si>
  <si>
    <t>0102-109-0009-00-108</t>
  </si>
  <si>
    <t>AD-GCT-CT PIS-NA-AccumDep</t>
  </si>
  <si>
    <t>0102-107-0017-00-108</t>
  </si>
  <si>
    <t>AD-TC 2-Transmission KY-NA-AccumDep</t>
  </si>
  <si>
    <t>0102-107-0016-00-108</t>
  </si>
  <si>
    <t>AD-TC 2-Transmission IN-NA-AccumDep</t>
  </si>
  <si>
    <t>0102-107-0005-00-108</t>
  </si>
  <si>
    <t>AD-TC 2-ARO Asset-NA-AccumDep</t>
  </si>
  <si>
    <t>0102-107-0004-00-108</t>
  </si>
  <si>
    <t>AD-TC 2-Cap I CCNC-NA-AccumDep</t>
  </si>
  <si>
    <t>0102-107-0003-00-108</t>
  </si>
  <si>
    <t>AD-TC 2-Steam CCNC-NA-AccumDep</t>
  </si>
  <si>
    <t>0102-107-0002-00-108</t>
  </si>
  <si>
    <t>AD-TC 2-Cap I PIS-NA-AccumDep</t>
  </si>
  <si>
    <t>0102-107-0001-00-108</t>
  </si>
  <si>
    <t>AD-TC 2-Steam PIS-NA-AccumDep</t>
  </si>
  <si>
    <t>0102-106-0007-00-108</t>
  </si>
  <si>
    <t>AD-TC 1-SCR Cap. I PIS-NA-AccumDep</t>
  </si>
  <si>
    <t>0102-106-0005-00-108</t>
  </si>
  <si>
    <t>AD-TC 1-ARO Asset-NA-AccumDep</t>
  </si>
  <si>
    <t>0102-106-0002-00-108</t>
  </si>
  <si>
    <t>AD-TC 1-Cap I PIS-NA-AccumDep</t>
  </si>
  <si>
    <t>0102-106-0001-00-108</t>
  </si>
  <si>
    <t>AD-TC 1-Steam PIS-NA-AccumDep</t>
  </si>
  <si>
    <t>0102-105-0007-00-108</t>
  </si>
  <si>
    <t>AD-G5-SCR Cap. I PIS-NA-AccumDep</t>
  </si>
  <si>
    <t>0102-105-0006-00-108</t>
  </si>
  <si>
    <t>AD-G5-AFUDC-NA-AccumDep</t>
  </si>
  <si>
    <t>0102-105-0005-00-108</t>
  </si>
  <si>
    <t>AD-G5-ARO Asset-NA-AccumDep</t>
  </si>
  <si>
    <t>0102-105-0003-00-108</t>
  </si>
  <si>
    <t>AD-G5-Steam CCNC-NA-AccumDep</t>
  </si>
  <si>
    <t>0102-105-0002-00-108</t>
  </si>
  <si>
    <t>AD-G5-Cap I PIS-NA-AccumDep</t>
  </si>
  <si>
    <t>0102-105-0001-00-108</t>
  </si>
  <si>
    <t>AD-G5-Steam PIS-NA-AccumDep</t>
  </si>
  <si>
    <t>0102-104-0020-00-108</t>
  </si>
  <si>
    <t>AD-Non-JTS VECTREN-Distr-NA-AccumDep</t>
  </si>
  <si>
    <t>0102-104-0012-00-108</t>
  </si>
  <si>
    <t>AD-Non-JTS VECTREN-Trans-NA-AccumDep</t>
  </si>
  <si>
    <t>0102-103-0020-00-108</t>
  </si>
  <si>
    <t>AD-Non-JTS NIPSCO-Distr-NA-AccumDep</t>
  </si>
  <si>
    <t>0102-103-0012-00-108</t>
  </si>
  <si>
    <t>AD-Non-JTS NIPSCO-Trans-NA-AccumDep</t>
  </si>
  <si>
    <t>0102-102-0012-00-108</t>
  </si>
  <si>
    <t>AD-Non-JTS PJM-Trans-NA-AccumDep</t>
  </si>
  <si>
    <t>0102-101-0012-00-108</t>
  </si>
  <si>
    <t>AD-Non-JTS MISO-Trans-NA-AccumDep</t>
  </si>
  <si>
    <t>0102-100-0032-00-108</t>
  </si>
  <si>
    <t>AD-Non-JTS SCADA-Comm Labor-NA-AccumDep</t>
  </si>
  <si>
    <t>0102-100-0031-00-108</t>
  </si>
  <si>
    <t>AD-Non-JTS SCADA-PLCP Switches-NA-AccumDep</t>
  </si>
  <si>
    <t>0102-100-0030-00-108</t>
  </si>
  <si>
    <t>AD-Non-JTS SCADA-Disconnects-NA-AccumDep</t>
  </si>
  <si>
    <t>0102-100-0029-00-108</t>
  </si>
  <si>
    <t>AD-Non-JTS SCADA-Comm Equip-NA-AccumDep</t>
  </si>
  <si>
    <t>0102-012-0422-00-108</t>
  </si>
  <si>
    <t>AD-ISC2-Materials &amp; Equipment-NA-AccumDep</t>
  </si>
  <si>
    <t>0102-012-0404-00-108</t>
  </si>
  <si>
    <t>AD-ISC2-Test Equipment-NA-AccumDep</t>
  </si>
  <si>
    <t>0102-012-0028-00-108</t>
  </si>
  <si>
    <t>AD-ISC2-Automobiles-NA-AccumDep</t>
  </si>
  <si>
    <t>0102-001-0028-00-108</t>
  </si>
  <si>
    <t>AD-Gen-Automobiles-NA-AccumDep</t>
  </si>
  <si>
    <t>0102-001-0027-00-108</t>
  </si>
  <si>
    <t>AD-Gen-FF&amp;E-NA-AccumDep</t>
  </si>
  <si>
    <t>0102-001-0026-00-108</t>
  </si>
  <si>
    <t>AD-Gen-Building-NA-AccumDep</t>
  </si>
  <si>
    <t>0102-001-0025-00-108</t>
  </si>
  <si>
    <t>AD-Gen-Software-NA-AccumDep</t>
  </si>
  <si>
    <t>0102-001-0023-00-108</t>
  </si>
  <si>
    <t>AD-Gen-Meters-NA-AccumDep</t>
  </si>
  <si>
    <t>0102-001-0006-00-108</t>
  </si>
  <si>
    <t>AD-Gen-AFUDC-NA-AccumDep</t>
  </si>
  <si>
    <t>Less accumulated depreciation</t>
  </si>
  <si>
    <t>0101-162-0407-00-101</t>
  </si>
  <si>
    <t>UPIS-Solar Parks Project-Solar Park-NA-EPIS</t>
  </si>
  <si>
    <t>0101-161-0407-00-101</t>
  </si>
  <si>
    <t>UPIS-Solar-Richmond-Solar Park-NA-EPIS</t>
  </si>
  <si>
    <t>0101-160-0407-00-101</t>
  </si>
  <si>
    <t>UPIS-Solar-Rensselaer-Solar Park-NA-EPIS</t>
  </si>
  <si>
    <t>0101-159-0407-00-101</t>
  </si>
  <si>
    <t>UPIS-Solar-Frankton-Solar Park-NA-EPIS</t>
  </si>
  <si>
    <t>0101-123-0314-00-101</t>
  </si>
  <si>
    <t>UPIS-WWVS/Rch-Environmental-NA-EPIS</t>
  </si>
  <si>
    <t>0101-123-0028-00-101</t>
  </si>
  <si>
    <t>UPIS-WWVS/Rch-Automobiles-NA-EPIS</t>
  </si>
  <si>
    <t>0101-123-0001-00-101</t>
  </si>
  <si>
    <t>UPIS-WWVS/Rch-Steam PIS-NA-EPIS</t>
  </si>
  <si>
    <t>0101-117-0359-00-101</t>
  </si>
  <si>
    <t>UPIS-PSt Mine-Coal Reserves-NA-EPIS</t>
  </si>
  <si>
    <t>0101-117-0358-00-101</t>
  </si>
  <si>
    <t>UPIS-PSt Mine-Mine Development-NA-EPIS</t>
  </si>
  <si>
    <t>0101-116-0001-00-101</t>
  </si>
  <si>
    <t>UPIS-PSt Other-Steam PIS-NA-EPIS</t>
  </si>
  <si>
    <t>0101-115-0023-00-101</t>
  </si>
  <si>
    <t>UPIS-JTS Distr-Meters-NA-EPIS</t>
  </si>
  <si>
    <t>0101-115-0022-00-106</t>
  </si>
  <si>
    <t>UPIS-JTS Distr-JTS Distr CCNC-NA-CCNC</t>
  </si>
  <si>
    <t>0101-115-0021-00-101</t>
  </si>
  <si>
    <t>UPIS-JTS Distr-Distr Sole Use-NA-EPIS</t>
  </si>
  <si>
    <t>0101-115-0020-00-101</t>
  </si>
  <si>
    <t>UPIS-JTS Distr-Distr-NA-EPIS</t>
  </si>
  <si>
    <t>0101-115-0019-00-101</t>
  </si>
  <si>
    <t>UPIS-JTS Distr-JTS Distr PIS-NA-EPIS</t>
  </si>
  <si>
    <t>0101-114-0018-00-106</t>
  </si>
  <si>
    <t>UPIS-JTS Trans-JTS Trans CCNC-NA-CCNC</t>
  </si>
  <si>
    <t>0101-114-0014-00-101</t>
  </si>
  <si>
    <t>UPIS-JTS Trans-Step up Transform-NA-EPIS</t>
  </si>
  <si>
    <t>0101-114-0013-00-101</t>
  </si>
  <si>
    <t>UPIS-JTS Trans-Trans Sole Use-NA-EPIS</t>
  </si>
  <si>
    <t>0101-114-0011-00-101</t>
  </si>
  <si>
    <t>UPIS-JTS Trans-JTS Trans PIS-NA-EPIS</t>
  </si>
  <si>
    <t>0101-114-0006-00-101</t>
  </si>
  <si>
    <t>UPIS-JTS Trans-AFUDC-NA-EPIS</t>
  </si>
  <si>
    <t>0101-114-0002-00-101</t>
  </si>
  <si>
    <t>UPIS-JTS Trans-Cap I PIS-NA-EPIS</t>
  </si>
  <si>
    <t>0101-113-0358-00-101</t>
  </si>
  <si>
    <t>UPIS-PSt 2-Mine Development-NA-EPIS</t>
  </si>
  <si>
    <t>0101-113-0005-00-101</t>
  </si>
  <si>
    <t>UPIS-PSt 2-ARO Asset-NA-EPIS</t>
  </si>
  <si>
    <t>0101-113-0002-00-101</t>
  </si>
  <si>
    <t>UPIS-PSt 2-Cap I PIS-NA-EPIS</t>
  </si>
  <si>
    <t>0101-113-0001-00-101</t>
  </si>
  <si>
    <t>UPIS-PSt 2-Steam PIS-NA-EPIS</t>
  </si>
  <si>
    <t>0101-112-0005-00-101</t>
  </si>
  <si>
    <t>UPIS-PSt 1-ARO Asset-NA-EPIS</t>
  </si>
  <si>
    <t>0101-112-0002-00-101</t>
  </si>
  <si>
    <t>UPIS-PSt 1-Cap I PIS-NA-EPIS</t>
  </si>
  <si>
    <t>0101-112-0001-00-101</t>
  </si>
  <si>
    <t>UPIS-PSt 1-Steam PIS-NA-EPIS</t>
  </si>
  <si>
    <t>0101-111-0027-00-101</t>
  </si>
  <si>
    <t>UPIS-RCT-FF&amp;E-NA-EPIS</t>
  </si>
  <si>
    <t>0101-111-0010-00-101</t>
  </si>
  <si>
    <t>UPIS-RCT-Land-NA-EPIS</t>
  </si>
  <si>
    <t>0101-111-0009-00-101</t>
  </si>
  <si>
    <t>UPIS-RCT-CT PIS-NA-EPIS</t>
  </si>
  <si>
    <t>0101-111-0002-00-101</t>
  </si>
  <si>
    <t>UPIS-RCT-Cap I PIS-NA-EPIS</t>
  </si>
  <si>
    <t>0101-110-0027-00-101</t>
  </si>
  <si>
    <t>UPIS-ACT-FF&amp;E-NA-EPIS</t>
  </si>
  <si>
    <t>0101-110-0010-00-101</t>
  </si>
  <si>
    <t>UPIS-ACT-Land-NA-EPIS</t>
  </si>
  <si>
    <t>0101-110-0009-00-101</t>
  </si>
  <si>
    <t>UPIS-ACT-CT PIS-NA-EPIS</t>
  </si>
  <si>
    <t>0101-110-0008-00-101</t>
  </si>
  <si>
    <t>UPIS-ACT-ACT3 Cap. I PIS-NA-EPIS</t>
  </si>
  <si>
    <t>0101-110-0002-00-101</t>
  </si>
  <si>
    <t>UPIS-ACT-Cap I PIS-NA-EPIS</t>
  </si>
  <si>
    <t>0101-109-0009-00-101</t>
  </si>
  <si>
    <t>UPIS-GCT-CT PIS-NA-EPIS</t>
  </si>
  <si>
    <t>0101-107-0017-00-106</t>
  </si>
  <si>
    <t>UPIS-TC 2-Transmission KY-NA-CCNC</t>
  </si>
  <si>
    <t>0101-107-0016-00-106</t>
  </si>
  <si>
    <t>UPIS-TC 2-Transmission IN-NA-CCNC</t>
  </si>
  <si>
    <t>0101-107-0005-00-101</t>
  </si>
  <si>
    <t>UPIS-TC 2-ARO Asset-NA-EPIS</t>
  </si>
  <si>
    <t>0101-107-0004-00-106</t>
  </si>
  <si>
    <t>UPIS-TC 2-Cap I CCNC-NA-CCNC</t>
  </si>
  <si>
    <t>0101-107-0003-00-106</t>
  </si>
  <si>
    <t>UPIS-TC 2-Steam CCNC-NA-CCNC</t>
  </si>
  <si>
    <t>0101-107-0002-00-101</t>
  </si>
  <si>
    <t>UPIS-TC 2-Cap I PIS-NA-EPIS</t>
  </si>
  <si>
    <t>0101-107-0001-00-101</t>
  </si>
  <si>
    <t>UPIS-TC 2-Steam PIS-NA-EPIS</t>
  </si>
  <si>
    <t>0101-106-0007-00-101</t>
  </si>
  <si>
    <t>UPIS-TC 1-SCR Cap. I PIS-NA-EPIS</t>
  </si>
  <si>
    <t>0101-106-0005-00-101</t>
  </si>
  <si>
    <t>UPIS-TC 1-ARO Asset-NA-EPIS</t>
  </si>
  <si>
    <t>0101-106-0002-00-101</t>
  </si>
  <si>
    <t>UPIS-TC 1-Cap I PIS-NA-EPIS</t>
  </si>
  <si>
    <t>0101-106-0001-00-101</t>
  </si>
  <si>
    <t>UPIS-TC 1-Steam PIS-NA-EPIS</t>
  </si>
  <si>
    <t>0101-105-0007-00-101</t>
  </si>
  <si>
    <t>UPIS-G5-SCR Cap. I PIS-NA-EPIS</t>
  </si>
  <si>
    <t>0101-105-0006-00-101</t>
  </si>
  <si>
    <t>UPIS-G5-AFUDC-NA-EPIS</t>
  </si>
  <si>
    <t>0101-105-0005-00-101</t>
  </si>
  <si>
    <t>UPIS-G5-ARO Asset-NA-EPIS</t>
  </si>
  <si>
    <t>0101-105-0003-00-106</t>
  </si>
  <si>
    <t>UPIS-G5-Steam CCNC-NA-CCNC</t>
  </si>
  <si>
    <t>0101-105-0002-00-101</t>
  </si>
  <si>
    <t>UPIS-G5-Cap I PIS-NA-EPIS</t>
  </si>
  <si>
    <t>0101-105-0001-00-101</t>
  </si>
  <si>
    <t>UPIS-G5-Steam PIS-NA-EPIS</t>
  </si>
  <si>
    <t>0101-104-0020-00-101</t>
  </si>
  <si>
    <t>UPIS-Non-JTS VECTREN-Distr-NA-EPIS</t>
  </si>
  <si>
    <t>0101-104-0012-00-101</t>
  </si>
  <si>
    <t>UPIS-Non-JTS VECTREN-Trans-NA-EPIS</t>
  </si>
  <si>
    <t>0101-103-0020-00-101</t>
  </si>
  <si>
    <t>UPIS-Non-JTS NIPSCO-Distr-NA-EPIS</t>
  </si>
  <si>
    <t>0101-103-0012-00-101</t>
  </si>
  <si>
    <t>UPIS-Non-JTS NIPSCO-Trans-NA-EPIS</t>
  </si>
  <si>
    <t>0101-102-0015-00-101</t>
  </si>
  <si>
    <t>UPIS-Non-JTS PJM-Capital Lease-NA-EPIS</t>
  </si>
  <si>
    <t>0101-102-0012-00-101</t>
  </si>
  <si>
    <t>UPIS-Non-JTS PJM-Trans-NA-EPIS</t>
  </si>
  <si>
    <t>0101-101-0012-00-101</t>
  </si>
  <si>
    <t>UPIS-Non-JTS MISO-Trans-NA-EPIS</t>
  </si>
  <si>
    <t>0101-100-0032-00-101</t>
  </si>
  <si>
    <t>UPIS-Non-JTS SCADA-Comm Labor-NA-EPIS</t>
  </si>
  <si>
    <t>0101-100-0031-00-101</t>
  </si>
  <si>
    <t>UPIS-Non-JTS SCADA-PLCP Switches-NA-EPIS</t>
  </si>
  <si>
    <t>0101-100-0030-00-101</t>
  </si>
  <si>
    <t>UPIS-Non-JTS SCADA-Disconnects-NA-EPIS</t>
  </si>
  <si>
    <t>0101-100-0029-00-101</t>
  </si>
  <si>
    <t>UPIS-Non-JTS SCADA-Comm Equip-NA-EPIS</t>
  </si>
  <si>
    <t>0101-012-0422-00-101</t>
  </si>
  <si>
    <t>UPIS-ISC2-Materials &amp; Equipment-NA-EPIS</t>
  </si>
  <si>
    <t>0101-012-0404-00-101</t>
  </si>
  <si>
    <t>UPIS-ISC2-Test Equipment-NA-EPIS</t>
  </si>
  <si>
    <t>0101-012-0028-00-101</t>
  </si>
  <si>
    <t>UPIS-ISC2-Automobiles-NA-EPIS</t>
  </si>
  <si>
    <t>0101-001-0406-00-101</t>
  </si>
  <si>
    <t>UPIS-Gen-FA Clearing-NA-EPIS</t>
  </si>
  <si>
    <t>0101-001-0033-00-101</t>
  </si>
  <si>
    <t>UPIS-Gen-Building AFUDC-NA-EPIS</t>
  </si>
  <si>
    <t>0101-001-0028-00-101</t>
  </si>
  <si>
    <t>UPIS-Gen-Automobiles-NA-EPIS</t>
  </si>
  <si>
    <t>0101-001-0027-00-101</t>
  </si>
  <si>
    <t>UPIS-Gen-FF&amp;E-NA-EPIS</t>
  </si>
  <si>
    <t>0101-001-0026-00-101</t>
  </si>
  <si>
    <t>UPIS-Gen-Building-NA-EPIS</t>
  </si>
  <si>
    <t>0101-001-0025-00-101</t>
  </si>
  <si>
    <t>UPIS-Gen-Software-NA-EPIS</t>
  </si>
  <si>
    <t>0101-001-0024-00-105</t>
  </si>
  <si>
    <t>UPIS-Gen-Land-Future Use-NA-EPFuture</t>
  </si>
  <si>
    <t>0101-001-0010-00-101</t>
  </si>
  <si>
    <t>UPIS-Gen-Land-NA-EPIS</t>
  </si>
  <si>
    <t>Utility plant in service</t>
  </si>
  <si>
    <t xml:space="preserve">Utility Plant </t>
  </si>
  <si>
    <t>Account</t>
  </si>
  <si>
    <t>Account Description</t>
  </si>
  <si>
    <t>Losses (Def. Debits)</t>
  </si>
  <si>
    <t>Accrued Rev</t>
  </si>
  <si>
    <t>YTD Net Inc</t>
  </si>
  <si>
    <t>Ret. Earnings</t>
  </si>
  <si>
    <t>Adjustments to Depreciation</t>
  </si>
  <si>
    <t>Depre</t>
  </si>
  <si>
    <t>Loss on G5</t>
  </si>
  <si>
    <t>Loss on TC1</t>
  </si>
  <si>
    <t>Loss on TC2</t>
  </si>
  <si>
    <t>Loss on PS1</t>
  </si>
  <si>
    <t>Loss on PS2</t>
  </si>
  <si>
    <t>Loss on GCT</t>
  </si>
  <si>
    <t>Loss on RCT</t>
  </si>
  <si>
    <t>Loss on ACT</t>
  </si>
  <si>
    <t>Gain on FA</t>
  </si>
  <si>
    <t>Gain on JTS</t>
  </si>
  <si>
    <t>Loss on JTS-Trms</t>
  </si>
  <si>
    <t>Loss on JTS-Dist</t>
  </si>
  <si>
    <t>Peru Municipal's</t>
  </si>
  <si>
    <t>Original Cost</t>
  </si>
  <si>
    <r>
      <t>Note:</t>
    </r>
    <r>
      <rPr>
        <sz val="8"/>
        <rFont val="Arial"/>
        <family val="2"/>
      </rPr>
      <t xml:space="preserve">  To be entered as a formula string. (Ex. Vintage Year 1962, additions of $5,000.00 and Deletions of $3,000.00.  Enter =5,000.00-3,000.00 on 1962 row)</t>
    </r>
  </si>
  <si>
    <t>Vintage Year</t>
  </si>
  <si>
    <t>350</t>
  </si>
  <si>
    <t>352</t>
  </si>
  <si>
    <t>353</t>
  </si>
  <si>
    <t>355</t>
  </si>
  <si>
    <t>356</t>
  </si>
  <si>
    <t>358</t>
  </si>
  <si>
    <t>Crawfordsville Municipal's</t>
  </si>
  <si>
    <t>Updated:</t>
  </si>
  <si>
    <t>JTS</t>
  </si>
  <si>
    <t>IMPA</t>
  </si>
  <si>
    <t>Transmission Revenue Credits ($000)</t>
  </si>
  <si>
    <t>Budget</t>
  </si>
  <si>
    <t>Percent (1)</t>
  </si>
  <si>
    <t>Budget(2)</t>
  </si>
  <si>
    <t>Pole Contact Rental (454)</t>
  </si>
  <si>
    <t>Rents</t>
  </si>
  <si>
    <t>Tower Lease Revenues (454)</t>
  </si>
  <si>
    <t>Transmission of Electricity for Hoosier</t>
  </si>
  <si>
    <t>Sch 9</t>
  </si>
  <si>
    <t>Power Transfer</t>
  </si>
  <si>
    <t>Other Transmission Revenues</t>
  </si>
  <si>
    <t>See Below</t>
  </si>
  <si>
    <t>Schedule 26 Revenues Direct Reimbursements</t>
  </si>
  <si>
    <t>Sch 26</t>
  </si>
  <si>
    <t>Budget (2)</t>
  </si>
  <si>
    <t>Percent</t>
  </si>
  <si>
    <t>Schedule 9</t>
  </si>
  <si>
    <t>Sch 7</t>
  </si>
  <si>
    <t>Schedule 8</t>
  </si>
  <si>
    <t>Sch 8</t>
  </si>
  <si>
    <t>Schedule 26</t>
  </si>
  <si>
    <t>Type of Revenue Credits</t>
  </si>
  <si>
    <t>IMPA ($000)</t>
  </si>
  <si>
    <t>Att O Ln</t>
  </si>
  <si>
    <t>Account:</t>
  </si>
  <si>
    <t>Page 3:</t>
  </si>
  <si>
    <t>Ln 34</t>
  </si>
  <si>
    <t>Ln 35</t>
  </si>
  <si>
    <t>Ln 35, 36</t>
  </si>
  <si>
    <t>Attachment O Summary</t>
  </si>
  <si>
    <t>Page 3</t>
  </si>
  <si>
    <t>Ln 36</t>
  </si>
  <si>
    <t>Reportable Revenue Credits</t>
  </si>
  <si>
    <t>Ln 37</t>
  </si>
  <si>
    <t>Diff</t>
  </si>
  <si>
    <t>s/b 0</t>
  </si>
  <si>
    <t>Native Load</t>
  </si>
  <si>
    <t>NITS</t>
  </si>
  <si>
    <t>MO/YR</t>
  </si>
  <si>
    <t>Schedule 10</t>
  </si>
  <si>
    <t>INPUT:</t>
  </si>
  <si>
    <t>Average</t>
  </si>
  <si>
    <t>December</t>
  </si>
  <si>
    <t>November</t>
  </si>
  <si>
    <t>October</t>
  </si>
  <si>
    <t>September</t>
  </si>
  <si>
    <t>August</t>
  </si>
  <si>
    <t>July</t>
  </si>
  <si>
    <t>June</t>
  </si>
  <si>
    <t>May</t>
  </si>
  <si>
    <t>April</t>
  </si>
  <si>
    <t>March</t>
  </si>
  <si>
    <t>February</t>
  </si>
  <si>
    <t>January</t>
  </si>
  <si>
    <t>(MW)</t>
  </si>
  <si>
    <t>Year</t>
  </si>
  <si>
    <t>Month</t>
  </si>
  <si>
    <t>Peak</t>
  </si>
  <si>
    <t>* At MISO Pricing Peak. Including losses.</t>
  </si>
  <si>
    <t>Time (EST)</t>
  </si>
  <si>
    <t>Date</t>
  </si>
  <si>
    <t>Source for Attachment O, Page 1, Line No. 8</t>
  </si>
  <si>
    <t>(As Reported to MISO)</t>
  </si>
  <si>
    <t xml:space="preserve">  Entered:</t>
  </si>
  <si>
    <t>IMPA/IMPA File List/800.000 – 899.999/800.010 Accounting * Accounts Payable Files/_YYYY/MISO RTO Inv #802 &amp; 810 000650</t>
  </si>
  <si>
    <t>MISO invoices in Laserfiche:</t>
  </si>
  <si>
    <t>Trial Balance</t>
  </si>
  <si>
    <t>I/S</t>
  </si>
  <si>
    <t>Taxes</t>
  </si>
  <si>
    <t>Loss on FA</t>
  </si>
  <si>
    <t>Attachment O</t>
  </si>
  <si>
    <t>Indiana Municipal Power Agency</t>
  </si>
  <si>
    <t>Error Checks</t>
  </si>
  <si>
    <t>Gross Plant in Service</t>
  </si>
  <si>
    <t>Electric Plant</t>
  </si>
  <si>
    <t>Variance</t>
  </si>
  <si>
    <t>Total Debt Service</t>
  </si>
  <si>
    <t>Current Maturities</t>
  </si>
  <si>
    <t>Interest Expense</t>
  </si>
  <si>
    <t>Attachment O - Page 2</t>
  </si>
  <si>
    <t>Attachment O - Page 3</t>
  </si>
  <si>
    <t>Payments in lieu of taxes</t>
  </si>
  <si>
    <t>Miscellaneous</t>
  </si>
  <si>
    <t>Less: Asset</t>
  </si>
  <si>
    <t>Retirement Obl.</t>
  </si>
  <si>
    <t>Ending Balance</t>
  </si>
  <si>
    <t>without AROs</t>
  </si>
  <si>
    <t>Total Electric Plant</t>
  </si>
  <si>
    <t>B/S</t>
  </si>
  <si>
    <t>Transmission Assets</t>
  </si>
  <si>
    <t>Elec Plant + CELP + PERU</t>
  </si>
  <si>
    <t>Total Plant</t>
  </si>
  <si>
    <t>Transmission plant Excluded from ISO Rates</t>
  </si>
  <si>
    <t>Transmission plant included in OATT Ancillary Services</t>
  </si>
  <si>
    <t>Segment 3: 0012 &amp; 0015</t>
  </si>
  <si>
    <t>Segment 2: 114</t>
  </si>
  <si>
    <t>Segment 2: 101-104</t>
  </si>
  <si>
    <t>Segment 3: 0014 "Step up" (per Att. O footnote K)</t>
  </si>
  <si>
    <t>Transmission expenses included in OATT Ancillary Services</t>
  </si>
  <si>
    <t>Att O FN I: Trms exp in OATT in 561 accts</t>
  </si>
  <si>
    <t>Total 456.1 Other Elec. Rev</t>
  </si>
  <si>
    <t>Revenue Credits</t>
  </si>
  <si>
    <t>Op &amp; Maint</t>
  </si>
  <si>
    <t>O&amp;M</t>
  </si>
  <si>
    <t>CWIP</t>
  </si>
  <si>
    <t>Gross Plant</t>
  </si>
  <si>
    <t>Segment 3: 0005 (ARO Asset)</t>
  </si>
  <si>
    <t>Total ARO Assets</t>
  </si>
  <si>
    <t>Total ARO Asset</t>
  </si>
  <si>
    <t>Seg 1: Plant (101-106,114,116)</t>
  </si>
  <si>
    <t>Schedule 1 Recoverable Expenses</t>
  </si>
  <si>
    <t>Acct 561 included in Att. O, page 3, line 13</t>
  </si>
  <si>
    <t>Acct 561.BA for Schedule 24 (Note: Duke reports 100% BA)</t>
  </si>
  <si>
    <t>Acct 561 available for Schedule 1</t>
  </si>
  <si>
    <t>Revenue Credits for Sched. 1/Acct 561</t>
  </si>
  <si>
    <t>transactions &lt;1 yr</t>
  </si>
  <si>
    <t>non-firm</t>
  </si>
  <si>
    <t>transactions w/ load not in divisor</t>
  </si>
  <si>
    <t>total Revenue Credits</t>
  </si>
  <si>
    <t>Net Sched. 1 Expenses (Acct 561 less Rev Credits)</t>
  </si>
  <si>
    <t>Attachment O - Input Data Variances</t>
  </si>
  <si>
    <t>Line No.</t>
  </si>
  <si>
    <t xml:space="preserve">Page </t>
  </si>
  <si>
    <t>1 of 4</t>
  </si>
  <si>
    <t>2 of 4</t>
  </si>
  <si>
    <t>3 of 4</t>
  </si>
  <si>
    <t>Description</t>
  </si>
  <si>
    <t>LESS ATTACHMENT GG ADJUSTMENT - Total Company</t>
  </si>
  <si>
    <t>LESS ATTACHMENT GG ADJUSTMENT - Transmission</t>
  </si>
  <si>
    <t>LESS ATTACHMENT MM ADJUSTMENT - Total Company</t>
  </si>
  <si>
    <t>LESS ATTACHMENT MM ADJUSTMENT - Transmission</t>
  </si>
  <si>
    <t>Tickmark</t>
  </si>
  <si>
    <t>Less: Peru &amp; CELP</t>
  </si>
  <si>
    <t>Balance Sheet</t>
  </si>
  <si>
    <t>Less:
Peru &amp; CELP</t>
  </si>
  <si>
    <t>Total Transmission</t>
  </si>
  <si>
    <t>Total A&amp;G</t>
  </si>
  <si>
    <t>Attachment O - Allocators</t>
  </si>
  <si>
    <t>Att. O - G150</t>
  </si>
  <si>
    <t>Att. O - I175</t>
  </si>
  <si>
    <t>Att. O - I179</t>
  </si>
  <si>
    <t>Att. O - K179</t>
  </si>
  <si>
    <t>Plus:
ARO Assets</t>
  </si>
  <si>
    <t>Segment 1: 0101 (plant)</t>
  </si>
  <si>
    <t>Loss on Scada</t>
  </si>
  <si>
    <t>Other Deferred Credits</t>
  </si>
  <si>
    <t>$ Variance</t>
  </si>
  <si>
    <t>% Variance</t>
  </si>
  <si>
    <t>Explanation</t>
  </si>
  <si>
    <t>Assets =  Liab &amp; Equity</t>
  </si>
  <si>
    <t>Maintenance Expense</t>
  </si>
  <si>
    <t>Operations Expense</t>
  </si>
  <si>
    <t>Less: 421 Gain/Loss</t>
  </si>
  <si>
    <t>I/S (Excl. Taxes)</t>
  </si>
  <si>
    <t xml:space="preserve">  Source:  This data is from Bill McConnell, Duke Energy</t>
  </si>
  <si>
    <t>For the 12 months ended 12/31/17</t>
  </si>
  <si>
    <t>UPIS-NON-JTS Duke-Distr-NA-EPIS</t>
  </si>
  <si>
    <t>0101-099-0020-00-101</t>
  </si>
  <si>
    <t>AD-NON-JTS Duke-Distr-NA-AccumDep</t>
  </si>
  <si>
    <t>0102-099-0020-00-108</t>
  </si>
  <si>
    <t>CWIP-Gen-IMPA Tech Services Building-NA-CWIP</t>
  </si>
  <si>
    <t>0103-001-0498-00-107</t>
  </si>
  <si>
    <t>CWIP-Gen-Elimination-NA-CWIP</t>
  </si>
  <si>
    <t>0103-001-8000-00-107</t>
  </si>
  <si>
    <t>CWIP-Solar Project Company-FA Clearing-NA-CWIP</t>
  </si>
  <si>
    <t>0103-400-0406-00-107</t>
  </si>
  <si>
    <t>RstCCE-Constr-2017A Project-Cash Rest-Investment</t>
  </si>
  <si>
    <t>0301-303-0503-87-124</t>
  </si>
  <si>
    <t>RstCCE-Constr-2017A Expense-Cash Rest-Investment</t>
  </si>
  <si>
    <t>0301-303-0504-87-124</t>
  </si>
  <si>
    <t>STInv-DSR-2009C Taxable-ST Rest US GA-Investment</t>
  </si>
  <si>
    <t>0402-305-0050-85-124</t>
  </si>
  <si>
    <t>Fuel/Mat Inv-Solar Parks Project-Solar Spar-NA-M&amp;S</t>
  </si>
  <si>
    <t>0404-162-0506-00-154</t>
  </si>
  <si>
    <t>OCA-Gen-Proj Co Inv-NA-InvSub</t>
  </si>
  <si>
    <t>0405-001-0484-00-123</t>
  </si>
  <si>
    <t>OCA-Gen-PPD Solar Def Cost-NA-Def Asset</t>
  </si>
  <si>
    <t>0405-001-0491-00-186</t>
  </si>
  <si>
    <t>OCA-Gen-Elimination-NA-Other AR</t>
  </si>
  <si>
    <t>0405-001-8000-00-143</t>
  </si>
  <si>
    <t>OCA-Gen-Elimination-NA-Def Asset</t>
  </si>
  <si>
    <t>0405-001-8000-00-186</t>
  </si>
  <si>
    <t>OCA-Solar Parks-GES Note Rece-NA-Def Asset</t>
  </si>
  <si>
    <t>0405-162-0507-00-186</t>
  </si>
  <si>
    <t>OCA-Solar Anderson-Solar Admin Costs-NA-Prepayment</t>
  </si>
  <si>
    <t>0405-178-0489-00-165</t>
  </si>
  <si>
    <t>OthDefCst-Gen-Ppd Solar Def Rev-NA-Def Asset</t>
  </si>
  <si>
    <t>0502-001-0486-00-186</t>
  </si>
  <si>
    <t>OthDefCst-Gen-Prepaid Power-NA-Def Asset</t>
  </si>
  <si>
    <t>0502-001-0487-00-186</t>
  </si>
  <si>
    <t>OthDefCst-Gen-GES Sale-NA-Def Asset</t>
  </si>
  <si>
    <t>0502-001-0508-00-186</t>
  </si>
  <si>
    <t>OthDefCst-ISC-Notes Receivable-NA-Def Asset</t>
  </si>
  <si>
    <t>0502-004-0423-00-186</t>
  </si>
  <si>
    <t>OthDefCst-ISC2-Notes Receivable-NA-Def Asset</t>
  </si>
  <si>
    <t>0502-012-0423-00-186</t>
  </si>
  <si>
    <t>OthDefCst-Solar Flora-GES Note Receiv-NA-Def Asset</t>
  </si>
  <si>
    <t>0502-183-0507-00-186</t>
  </si>
  <si>
    <t>OthDefCst-Spiceland Solar-GES Note Re-NA-Def Asset</t>
  </si>
  <si>
    <t>0502-184-0507-00-186</t>
  </si>
  <si>
    <t>OthDefCst-Solar Greenfield-GES Note R-NA-Def Asset</t>
  </si>
  <si>
    <t>0502-185-0507-00-186</t>
  </si>
  <si>
    <t>OthDefCst-Solar And 2 North-GES Note -NA-Def Asset</t>
  </si>
  <si>
    <t>0502-187-0507-00-186</t>
  </si>
  <si>
    <t>OthDefCst-Solar And 2 South-GES Note -NA-Def Asset</t>
  </si>
  <si>
    <t>0502-189-0507-00-186</t>
  </si>
  <si>
    <t>OthNCLiab-Gen-Ppd Solar Def Rev-NA-Deferred Liab</t>
  </si>
  <si>
    <t>0702-001-0486-00-253</t>
  </si>
  <si>
    <t>OthNCLiab-Gen-GES Sale-NA-Deferred Liab</t>
  </si>
  <si>
    <t>0702-001-0508-00-253</t>
  </si>
  <si>
    <t>OthNCLiab-Gen-Elimination-NA-Deferred Liab</t>
  </si>
  <si>
    <t>0702-001-8000-00-253</t>
  </si>
  <si>
    <t>OthNCLiab-PSt Other-PSt Oth LT Liab-NA-Deferred Li</t>
  </si>
  <si>
    <t>0702-116-0488-00-253</t>
  </si>
  <si>
    <t>RegLiab-Gen-ARO Funding-NA-ARO</t>
  </si>
  <si>
    <t>0703-001-0502-00-230</t>
  </si>
  <si>
    <t>AP-Gen-Elimination-NA-Accounts Payable</t>
  </si>
  <si>
    <t>0803-001-8000-00-232</t>
  </si>
  <si>
    <t>AccLiab-Gen-Benefits-NA-Accrued Liab</t>
  </si>
  <si>
    <t>0805-001-0298-00-242</t>
  </si>
  <si>
    <t>AccLiab-Gen-Elimination-NA-Accrued Liab</t>
  </si>
  <si>
    <t>0805-001-8000-00-242</t>
  </si>
  <si>
    <t>AccLiab-Solar Project Compa-Proj Co E-NA-Retained</t>
  </si>
  <si>
    <t>0805-400-0485-00-215</t>
  </si>
  <si>
    <t>OthRev-Gen-Spiceland Build Lease -Demand-NonUtilRe</t>
  </si>
  <si>
    <t>0902-001-0510-01-417</t>
  </si>
  <si>
    <t>OthRev-Gen-Spiceland Building Exp-Demand-NonUtilRe</t>
  </si>
  <si>
    <t>0902-001-0511-01-417</t>
  </si>
  <si>
    <t>OthRev-Gen-Elimination-NR-ISC-NonUtilRev</t>
  </si>
  <si>
    <t>0902-001-8000-10-417</t>
  </si>
  <si>
    <t>PP-Gen-Elimination-Demand-PurchPwr</t>
  </si>
  <si>
    <t>1001-001-8000-01-555</t>
  </si>
  <si>
    <t>PP-Gen-Elimination-Energy-PurchPwr</t>
  </si>
  <si>
    <t>1001-001-8000-02-555</t>
  </si>
  <si>
    <t>PP-Solar Anderson-Prepaid Power-Energy-PurchPwr</t>
  </si>
  <si>
    <t>1001-178-0487-02-555</t>
  </si>
  <si>
    <t>PP-Solar Anderson-Solar Admin Cost-Demand-PurchPwr</t>
  </si>
  <si>
    <t>1001-178-0489-01-555</t>
  </si>
  <si>
    <t>PP-Solar Flora-Solar Admin Costs-Demand-PurchPwr</t>
  </si>
  <si>
    <t>1001-183-0489-01-555</t>
  </si>
  <si>
    <t>PP-Solar Flora-GES PPA-Energy-PurchPwr</t>
  </si>
  <si>
    <t>1001-183-0512-02-555</t>
  </si>
  <si>
    <t>PP-Spiceland Solar-Solar Admin Cos-Demand-PurchPwr</t>
  </si>
  <si>
    <t>1001-184-0489-01-555</t>
  </si>
  <si>
    <t>PP-Spiceland Solar-GES PPA-Energy-PurchPwr</t>
  </si>
  <si>
    <t>1001-184-0512-02-555</t>
  </si>
  <si>
    <t>PP-Solar Greenfield-Solar Admin Co-Demand-PurchPwr</t>
  </si>
  <si>
    <t>1001-185-0489-01-555</t>
  </si>
  <si>
    <t>PP-Solar Greenfield-GES PPA-Energy-PurchPwr</t>
  </si>
  <si>
    <t>1001-185-0512-02-555</t>
  </si>
  <si>
    <t>PP-Solar Anderson 2 North-SolarAdm-Demand-PurchPwr</t>
  </si>
  <si>
    <t>1001-187-0489-01-555</t>
  </si>
  <si>
    <t>PP-Solar Anderson 2 North-GES PPA-Energy-PurchPwr</t>
  </si>
  <si>
    <t>1001-187-0512-02-555</t>
  </si>
  <si>
    <t>PP-Telamon-Solar Power-Energy-PurchPwr</t>
  </si>
  <si>
    <t>1001-188-0499-02-555</t>
  </si>
  <si>
    <t>PP-Solar Anderson 2 South-SolarAdm-Demand-PurchPwr</t>
  </si>
  <si>
    <t>1001-189-0489-01-555</t>
  </si>
  <si>
    <t>PP-Solar Anderson 2 South-GES PPA-Energy-PurchPwr</t>
  </si>
  <si>
    <t>1001-189-0512-02-555</t>
  </si>
  <si>
    <t>PP-Shell Capacity-MISO-Demand-PurchPwr</t>
  </si>
  <si>
    <t>1001-309-0169-01-555</t>
  </si>
  <si>
    <t>Fuel-TC 1-Ntl Gas-Energy-Fuel</t>
  </si>
  <si>
    <t>1002-106-0363-02-501</t>
  </si>
  <si>
    <t>Fuel-TC 2-Ntl Gas-Energy-Fuel</t>
  </si>
  <si>
    <t>1002-107-0363-02-501</t>
  </si>
  <si>
    <t>Prod-Gen-Employee Bonus-Demand-MiscSteam</t>
  </si>
  <si>
    <t>1003-001-0505-01-506</t>
  </si>
  <si>
    <t>Prod-G5-Station Use-Energy-MiscSteam</t>
  </si>
  <si>
    <t>1003-105-0157-02-506</t>
  </si>
  <si>
    <t>Prod-G5-Steam Expense-Energy-SteamExp</t>
  </si>
  <si>
    <t>1003-105-0199-02-502</t>
  </si>
  <si>
    <t>Prod-G5-DS Insurance-Demand-MiscSteam</t>
  </si>
  <si>
    <t>1003-105-0482-01-506</t>
  </si>
  <si>
    <t>Prod-TC 1-Steam Expense-Energy-SteamExp</t>
  </si>
  <si>
    <t>1003-106-0199-02-502</t>
  </si>
  <si>
    <t>Prod-TC 1-DS Insurance-Demand-MiscSteam</t>
  </si>
  <si>
    <t>1003-106-0482-01-506</t>
  </si>
  <si>
    <t>Prod-TC 2-Steam Expense-Energy-SteamExp</t>
  </si>
  <si>
    <t>1003-107-0199-02-502</t>
  </si>
  <si>
    <t>Prod-TC 2-DS Insurance-Demand-MiscSteam</t>
  </si>
  <si>
    <t>1003-107-0482-01-506</t>
  </si>
  <si>
    <t>Prod-PSt 1-Steam Expense-Energy-SteamExp</t>
  </si>
  <si>
    <t>1003-112-0199-02-502</t>
  </si>
  <si>
    <t>Prod-PSt 1-DS Insurance-Demand-MiscSteam</t>
  </si>
  <si>
    <t>1003-112-0482-01-506</t>
  </si>
  <si>
    <t>Prod-PSt2-Steam Expense-Energy-SteamExp</t>
  </si>
  <si>
    <t>1003-113-0199-02-502</t>
  </si>
  <si>
    <t>Prod-PSt2-DS Insurance-Demand-MiscSteam</t>
  </si>
  <si>
    <t>1003-113-0482-01-506</t>
  </si>
  <si>
    <t>Prod-WWVS/Rch-Steam Expense-Energy-SteamExp</t>
  </si>
  <si>
    <t>1003-123-0199-02-502</t>
  </si>
  <si>
    <t>Prod-WWVS/Rch-Capacity &amp; Energy P-Energy-MiscSteam</t>
  </si>
  <si>
    <t>1003-123-0431-02-506</t>
  </si>
  <si>
    <t>T&amp;LF-Gen-General-Demand-DistrMeterExp</t>
  </si>
  <si>
    <t>1004-001-0000-01-586</t>
  </si>
  <si>
    <t>T&amp;LF-Gen-Elimination-Demand-SCADA</t>
  </si>
  <si>
    <t>1004-001-8000-01-556</t>
  </si>
  <si>
    <t>T&amp;LF-MISO RTO-MVP-Energy-TranbyOthers</t>
  </si>
  <si>
    <t>1004-130-0480-02-565</t>
  </si>
  <si>
    <t>T&amp;LF-AEP CB-General Transmission-Demand-TranbyOthe</t>
  </si>
  <si>
    <t>1004-131-0493-01-565</t>
  </si>
  <si>
    <t>T&amp;LF-AEP CB-Transmission Enhancem-Demand-TranbyOth</t>
  </si>
  <si>
    <t>1004-131-0494-01-565</t>
  </si>
  <si>
    <t>T&amp;LF-AEP CB-ARR Rev/FTR Cost-Demand-TranbyOthers</t>
  </si>
  <si>
    <t>1004-131-0497-01-565</t>
  </si>
  <si>
    <t>T&amp;LF-AEP CB-ARR Rev/FTR Cost-Energy-TranbyOthers</t>
  </si>
  <si>
    <t>1004-131-0497-02-565</t>
  </si>
  <si>
    <t>T&amp;LF-MISO-ARR Rev/FTR Cost-Demand-TranbyOthers</t>
  </si>
  <si>
    <t>1004-135-0497-01-565</t>
  </si>
  <si>
    <t>T&amp;LF-MISO-ARR Rev/FTR Cost-Energy-TranbyOthers</t>
  </si>
  <si>
    <t>1004-135-0497-02-565</t>
  </si>
  <si>
    <t>T&amp;LF-PJM-General Transmission-Demand-TranbyOthers</t>
  </si>
  <si>
    <t>1004-136-0493-01-565</t>
  </si>
  <si>
    <t>T&amp;LF-PJM-Transmission Enhancement-Demand-TranbyOth</t>
  </si>
  <si>
    <t>1004-136-0494-01-565</t>
  </si>
  <si>
    <t>T&amp;LF-PJM-Oth Supporting Facilitie-Demand-TranbyOth</t>
  </si>
  <si>
    <t>1004-136-0495-01-565</t>
  </si>
  <si>
    <t>T&amp;LF-PJM-Power Factor Charges-Demand-TranbyOthers</t>
  </si>
  <si>
    <t>1004-136-0496-01-565</t>
  </si>
  <si>
    <t>T&amp;LF-PJM-ARR Rev/FTR Cost-Demand-TranbyOthers</t>
  </si>
  <si>
    <t>1004-136-0497-01-565</t>
  </si>
  <si>
    <t>T&amp;LF-PJM-ARR Rev/FTR Cost-Energy-TranbyOthers</t>
  </si>
  <si>
    <t>1004-136-0497-02-565</t>
  </si>
  <si>
    <t>OthOper-Gen-Elimination-Demand-NonUtilRev</t>
  </si>
  <si>
    <t>1005-001-8000-01-417</t>
  </si>
  <si>
    <t>OthOper-Gen-Elimination-NR-ISC-NonUtilRev</t>
  </si>
  <si>
    <t>1005-001-8000-10-417</t>
  </si>
  <si>
    <t>OthOper-ISC2-ISC DS Salary-NR-ISC-NonUtilRev</t>
  </si>
  <si>
    <t>1005-012-0483-10-417</t>
  </si>
  <si>
    <t>OthOper-ISC2-On Call Salary-NR-ISC-NonUtilRev</t>
  </si>
  <si>
    <t>1005-012-0501-10-417</t>
  </si>
  <si>
    <t>OthOper-Admin-Spiceland Builidng-NR-A&amp;G-OffSupExp</t>
  </si>
  <si>
    <t>1005-910-0509-03-921</t>
  </si>
  <si>
    <t>OthOper-MS-MS Printer-NR-A&amp;G-OutsideSrv</t>
  </si>
  <si>
    <t>1005-935-0490-03-923</t>
  </si>
  <si>
    <t>OthOper-CD-MS Printer-NR-A&amp;G-OutsideSrv</t>
  </si>
  <si>
    <t>1005-937-0490-03-923</t>
  </si>
  <si>
    <t>OthOper-CD-Video Production-NR-A&amp;G-OutsideSrv</t>
  </si>
  <si>
    <t>1005-937-0492-03-923</t>
  </si>
  <si>
    <t>Maint-Gen-Elimination-Demand-OthMntGen</t>
  </si>
  <si>
    <t>1006-001-8000-01-554</t>
  </si>
  <si>
    <t>Depr-NON-JTS Duke-Distr-NR-FRC DS-DeprExp</t>
  </si>
  <si>
    <t>1007-099-0020-06-403</t>
  </si>
  <si>
    <t>FRC-Gen-ARO Funding-NR-FRC DS-ARO</t>
  </si>
  <si>
    <t>1008-001-0502-06-230</t>
  </si>
  <si>
    <t>IntInc-Solar Flora-GES Note Receivab-Demand-IntInc</t>
  </si>
  <si>
    <t>1104-183-0507-01-419</t>
  </si>
  <si>
    <t>IntInc-Solar Flora-GES Note Recei-NR-IntInc-IntInc</t>
  </si>
  <si>
    <t>1104-183-0507-04-419</t>
  </si>
  <si>
    <t>IntInc-Spiceland Solar-GES Note Rece-Demand-IntInc</t>
  </si>
  <si>
    <t>1104-184-0507-01-419</t>
  </si>
  <si>
    <t>IntInc-Spiceland Solar-GES Note R-NR-IntInc-IntInc</t>
  </si>
  <si>
    <t>1104-184-0507-04-419</t>
  </si>
  <si>
    <t>IntInc-Solar Greenfield-GES Note Rec-Demand-IntInc</t>
  </si>
  <si>
    <t>1104-185-0507-01-419</t>
  </si>
  <si>
    <t>IntInc-Solar Greenfield-GES Note -NR-IntInc-IntInc</t>
  </si>
  <si>
    <t>1104-185-0507-04-419</t>
  </si>
  <si>
    <t>IntInc-Solar And 2 N-GES Note Rec-Demand-IntInc</t>
  </si>
  <si>
    <t>1104-187-0507-01-419</t>
  </si>
  <si>
    <t>IntInc-Solar Anderson 2-GES Note -NR-IntInc-IntInc</t>
  </si>
  <si>
    <t>1104-187-0507-04-419</t>
  </si>
  <si>
    <t>IntInc-Telamon-Loan Int Inc-Demand-IntInc</t>
  </si>
  <si>
    <t>1104-188-0500-01-419</t>
  </si>
  <si>
    <t>IntInc-Telamon-Loan Int Inc-NR-IntInc&amp;InvAm-IntInc</t>
  </si>
  <si>
    <t>1104-188-0500-04-419</t>
  </si>
  <si>
    <t>IntInc-Solar And 2 S-GES Note Rec-Demand-IntInc</t>
  </si>
  <si>
    <t>1104-189-0507-01-419</t>
  </si>
  <si>
    <t>IntInc-Solar Andersn 2 -GES Note -NR-IntInc-IntInc</t>
  </si>
  <si>
    <t>1104-189-0507-04-419</t>
  </si>
  <si>
    <t>2017</t>
  </si>
  <si>
    <r>
      <t>2017</t>
    </r>
    <r>
      <rPr>
        <b/>
        <sz val="10"/>
        <rFont val="Arial"/>
        <family val="2"/>
      </rPr>
      <t xml:space="preserve"> Beginning Balance By FERC Account By Vintage Year</t>
    </r>
  </si>
  <si>
    <t>new in 2016</t>
  </si>
  <si>
    <t>In addition, the 2016 budgeted payment was abnormally low due to Duke overpayment to IMPA in 2015.</t>
  </si>
  <si>
    <r>
      <t xml:space="preserve">(2) Received from Bill McConnell, Duke Energy Indiana, on </t>
    </r>
    <r>
      <rPr>
        <sz val="10"/>
        <color rgb="FF0000FF"/>
        <rFont val="Arial"/>
        <family val="2"/>
      </rPr>
      <t>March 27, 2018</t>
    </r>
  </si>
  <si>
    <r>
      <t xml:space="preserve">(1) Source: From </t>
    </r>
    <r>
      <rPr>
        <sz val="10"/>
        <color rgb="FF0000FF"/>
        <rFont val="Arial"/>
        <family val="2"/>
      </rPr>
      <t>2016</t>
    </r>
    <r>
      <rPr>
        <sz val="10"/>
        <rFont val="Arial"/>
        <family val="2"/>
      </rPr>
      <t xml:space="preserve"> JTS T&amp;LF Reconciliation BK Sch 3</t>
    </r>
  </si>
  <si>
    <t>Revenue Credits per GL - 0902-114-0144-01-456</t>
  </si>
  <si>
    <t>Checked 4-12-18</t>
  </si>
  <si>
    <t>Check to Income Stmt</t>
  </si>
  <si>
    <t>Total (Sum a-c)</t>
  </si>
  <si>
    <t>Significant transmission projects placed into service im 2017.</t>
  </si>
  <si>
    <t>Transmission charges in 2017 include an underpayment for 2016.</t>
  </si>
  <si>
    <t>IMPA Transmission Assets</t>
  </si>
  <si>
    <t>Plus:</t>
  </si>
  <si>
    <t xml:space="preserve">          Crawfordsville Transmission Assets</t>
  </si>
  <si>
    <t xml:space="preserve">          Peru Transmission Assets</t>
  </si>
  <si>
    <t>* Reported on EIA-412 Page 3, Line 2</t>
  </si>
  <si>
    <t>Total IMPA Gross Transmission Assets</t>
  </si>
  <si>
    <t>IMPA GROSS TRANSMISSION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</si>
</sst>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quot;$&quot;#,##0"/>
    <numFmt numFmtId="170" formatCode="&quot;$&quot;#,##0.000"/>
    <numFmt numFmtId="171" formatCode="&quot;$&quot;#,##0.00"/>
    <numFmt numFmtId="172" formatCode="_(&quot;$&quot;* #,##0_);_(&quot;$&quot;* \(#,##0\);_(&quot;$&quot;* &quot;-&quot;??_);_(@_)"/>
    <numFmt numFmtId="173" formatCode="_(* #,##0_);_(* \(#,##0\);_(* &quot;-&quot;??_);_(@_)"/>
    <numFmt numFmtId="174" formatCode="_(&quot;$&quot;* #,##0.00_);[Red]_(&quot;$&quot;* \(#,##0.00\);_(&quot;$&quot;* &quot;-&quot;??_);_(@_)"/>
    <numFmt numFmtId="175" formatCode="_(* #,##0.000_);_(* \(#,##0.000\);_(* &quot;-&quot;??_);_(@_)"/>
    <numFmt numFmtId="176" formatCode="mm/dd/yy;@"/>
    <numFmt numFmtId="177" formatCode="_(* #,##0.00000_);_(* \(#,##0.00000\);_(* &quot;-&quot;??_);_(@_)"/>
  </numFmts>
  <fonts count="52">
    <font>
      <sz val="12"/>
      <name val="Arial MT"/>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trike/>
      <sz val="12"/>
      <color indexed="10"/>
      <name val="Times New Roman"/>
      <family val="1"/>
    </font>
    <font>
      <sz val="12"/>
      <color indexed="10"/>
      <name val="Times New Roman"/>
      <family val="1"/>
    </font>
    <font>
      <sz val="12"/>
      <color indexed="17"/>
      <name val="Times New Roman"/>
      <family val="1"/>
    </font>
    <font>
      <b/>
      <sz val="12"/>
      <name val="Times New Roman"/>
      <family val="1"/>
    </font>
    <font>
      <sz val="12"/>
      <color indexed="12"/>
      <name val="Times New Roman"/>
      <family val="1"/>
    </font>
    <font>
      <u/>
      <sz val="12"/>
      <color indexed="17"/>
      <name val="Times New Roman"/>
      <family val="1"/>
    </font>
    <font>
      <b/>
      <sz val="12"/>
      <color indexed="17"/>
      <name val="Times New Roman"/>
      <family val="1"/>
    </font>
    <font>
      <b/>
      <sz val="12"/>
      <color indexed="48"/>
      <name val="Times New Roman"/>
      <family val="1"/>
    </font>
    <font>
      <sz val="12"/>
      <name val="Arial MT"/>
    </font>
    <font>
      <sz val="10"/>
      <name val="Arial"/>
      <family val="2"/>
    </font>
    <font>
      <b/>
      <sz val="12"/>
      <color indexed="12"/>
      <name val="Arial"/>
      <family val="2"/>
    </font>
    <font>
      <sz val="12"/>
      <name val="Arial"/>
      <family val="2"/>
    </font>
    <font>
      <b/>
      <sz val="11"/>
      <name val="Arial"/>
      <family val="2"/>
    </font>
    <font>
      <b/>
      <sz val="10"/>
      <name val="Arial"/>
      <family val="2"/>
    </font>
    <font>
      <sz val="10"/>
      <color indexed="12"/>
      <name val="Arial"/>
      <family val="2"/>
    </font>
    <font>
      <sz val="10"/>
      <color indexed="12"/>
      <name val="Arial"/>
      <family val="2"/>
    </font>
    <font>
      <sz val="10"/>
      <name val="Arial"/>
      <family val="2"/>
    </font>
    <font>
      <b/>
      <sz val="10"/>
      <name val="Calibri"/>
      <family val="2"/>
      <scheme val="minor"/>
    </font>
    <font>
      <sz val="10"/>
      <name val="Calibri"/>
      <family val="2"/>
      <scheme val="minor"/>
    </font>
    <font>
      <sz val="10"/>
      <name val="Arial MT"/>
    </font>
    <font>
      <b/>
      <sz val="10"/>
      <color theme="1"/>
      <name val="Calibri"/>
      <family val="2"/>
      <scheme val="minor"/>
    </font>
    <font>
      <sz val="10"/>
      <color theme="1"/>
      <name val="Calibri"/>
      <family val="2"/>
      <scheme val="minor"/>
    </font>
    <font>
      <u/>
      <sz val="10"/>
      <color theme="1"/>
      <name val="Calibri"/>
      <family val="2"/>
      <scheme val="minor"/>
    </font>
    <font>
      <b/>
      <sz val="16"/>
      <name val="Arial"/>
      <family val="2"/>
    </font>
    <font>
      <b/>
      <sz val="8"/>
      <name val="Arial"/>
      <family val="2"/>
    </font>
    <font>
      <sz val="8"/>
      <name val="Arial"/>
      <family val="2"/>
    </font>
    <font>
      <b/>
      <sz val="10"/>
      <color indexed="12"/>
      <name val="Arial"/>
      <family val="2"/>
    </font>
    <font>
      <b/>
      <u val="singleAccounting"/>
      <sz val="10"/>
      <name val="Arial"/>
      <family val="2"/>
    </font>
    <font>
      <b/>
      <u/>
      <sz val="10"/>
      <name val="Arial"/>
      <family val="2"/>
    </font>
    <font>
      <u val="singleAccounting"/>
      <sz val="10"/>
      <name val="Arial"/>
      <family val="2"/>
    </font>
    <font>
      <u val="doubleAccounting"/>
      <sz val="10"/>
      <name val="Arial"/>
      <family val="2"/>
    </font>
    <font>
      <u val="singleAccounting"/>
      <sz val="10"/>
      <color indexed="12"/>
      <name val="Arial"/>
      <family val="2"/>
    </font>
    <font>
      <u/>
      <sz val="10"/>
      <name val="Calibri"/>
      <family val="2"/>
      <scheme val="minor"/>
    </font>
    <font>
      <sz val="10"/>
      <color rgb="FF0000FF"/>
      <name val="Calibri"/>
      <family val="2"/>
      <scheme val="minor"/>
    </font>
    <font>
      <b/>
      <u/>
      <sz val="10"/>
      <name val="Calibri"/>
      <family val="2"/>
      <scheme val="minor"/>
    </font>
    <font>
      <sz val="9"/>
      <color indexed="81"/>
      <name val="Tahoma"/>
      <family val="2"/>
    </font>
    <font>
      <u/>
      <sz val="9"/>
      <color indexed="81"/>
      <name val="Tahoma"/>
      <family val="2"/>
    </font>
    <font>
      <b/>
      <u/>
      <sz val="10"/>
      <color theme="1"/>
      <name val="Calibri"/>
      <family val="2"/>
      <scheme val="minor"/>
    </font>
    <font>
      <sz val="9"/>
      <name val="Arial"/>
      <family val="2"/>
    </font>
    <font>
      <b/>
      <sz val="10"/>
      <color rgb="FF0000FF"/>
      <name val="Arial"/>
      <family val="2"/>
    </font>
    <font>
      <b/>
      <sz val="10"/>
      <color indexed="10"/>
      <name val="Arial"/>
      <family val="2"/>
    </font>
    <font>
      <sz val="10"/>
      <color rgb="FF0000FF"/>
      <name val="Arial"/>
      <family val="2"/>
    </font>
    <font>
      <sz val="10"/>
      <color rgb="FF0000FF"/>
      <name val="Arial MT"/>
    </font>
    <font>
      <b/>
      <sz val="10"/>
      <color rgb="FF0000FF"/>
      <name val="Calibri"/>
      <family val="2"/>
      <scheme val="minor"/>
    </font>
    <font>
      <u/>
      <sz val="10"/>
      <name val="Arial"/>
      <family val="2"/>
    </font>
    <font>
      <sz val="10"/>
      <color rgb="FFFF0000"/>
      <name val="Arial"/>
      <family val="2"/>
    </font>
    <font>
      <b/>
      <sz val="12"/>
      <name val="Arial MT"/>
    </font>
  </fonts>
  <fills count="1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27"/>
        <bgColor indexed="64"/>
      </patternFill>
    </fill>
    <fill>
      <patternFill patternType="solid">
        <fgColor rgb="FFFFFFCC"/>
        <bgColor indexed="64"/>
      </patternFill>
    </fill>
    <fill>
      <patternFill patternType="solid">
        <fgColor rgb="FF00B050"/>
        <bgColor indexed="64"/>
      </patternFill>
    </fill>
    <fill>
      <patternFill patternType="solid">
        <fgColor theme="0"/>
        <bgColor indexed="64"/>
      </patternFill>
    </fill>
  </fills>
  <borders count="33">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31">
    <xf numFmtId="171" fontId="0" fillId="0" borderId="0" applyProtection="0"/>
    <xf numFmtId="171" fontId="13" fillId="0" borderId="0" applyProtection="0"/>
    <xf numFmtId="43" fontId="13" fillId="0" borderId="0" applyFont="0" applyFill="0" applyBorder="0" applyAlignment="0" applyProtection="0"/>
    <xf numFmtId="0" fontId="14" fillId="0" borderId="0"/>
    <xf numFmtId="43" fontId="14" fillId="0" borderId="0" applyFont="0" applyFill="0" applyBorder="0" applyAlignment="0" applyProtection="0"/>
    <xf numFmtId="44" fontId="14" fillId="0" borderId="0" applyFont="0" applyFill="0" applyBorder="0" applyAlignment="0" applyProtection="0"/>
    <xf numFmtId="0" fontId="3" fillId="0" borderId="0"/>
    <xf numFmtId="43" fontId="3" fillId="0" borderId="0" applyFont="0" applyFill="0" applyBorder="0" applyAlignment="0" applyProtection="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2" fillId="0" borderId="0"/>
    <xf numFmtId="0" fontId="2" fillId="0" borderId="0"/>
    <xf numFmtId="171" fontId="13" fillId="0" borderId="0" applyProtection="0"/>
    <xf numFmtId="9" fontId="13" fillId="0" borderId="0" applyFont="0" applyFill="0" applyBorder="0" applyAlignment="0" applyProtection="0"/>
    <xf numFmtId="0" fontId="14" fillId="0" borderId="0"/>
    <xf numFmtId="43" fontId="14" fillId="0" borderId="0" applyFont="0" applyFill="0" applyBorder="0" applyAlignment="0" applyProtection="0"/>
    <xf numFmtId="14" fontId="18" fillId="7" borderId="1">
      <alignment horizontal="center" vertical="center" wrapText="1"/>
    </xf>
    <xf numFmtId="0" fontId="45" fillId="0" borderId="0" applyFill="0" applyBorder="0" applyProtection="0">
      <alignment horizontal="left" vertical="top"/>
    </xf>
    <xf numFmtId="0" fontId="14" fillId="0" borderId="0"/>
    <xf numFmtId="0" fontId="14" fillId="0" borderId="0"/>
    <xf numFmtId="0" fontId="14" fillId="0" borderId="0"/>
    <xf numFmtId="0" fontId="14" fillId="0" borderId="0"/>
    <xf numFmtId="0" fontId="1" fillId="0" borderId="0"/>
    <xf numFmtId="43" fontId="1" fillId="0" borderId="0" applyFont="0" applyFill="0" applyBorder="0" applyAlignment="0" applyProtection="0"/>
  </cellStyleXfs>
  <cellXfs count="523">
    <xf numFmtId="171" fontId="0" fillId="0" borderId="0" xfId="0" applyAlignment="1"/>
    <xf numFmtId="170" fontId="4" fillId="2" borderId="0" xfId="0" applyNumberFormat="1" applyFont="1" applyFill="1" applyProtection="1">
      <protection locked="0"/>
    </xf>
    <xf numFmtId="171" fontId="4" fillId="0" borderId="0" xfId="0" applyFont="1" applyFill="1" applyAlignment="1" applyProtection="1"/>
    <xf numFmtId="169" fontId="4" fillId="0" borderId="0" xfId="0" applyNumberFormat="1" applyFont="1" applyFill="1" applyBorder="1" applyProtection="1"/>
    <xf numFmtId="169" fontId="4" fillId="2" borderId="0" xfId="0" applyNumberFormat="1" applyFont="1" applyFill="1" applyBorder="1" applyAlignment="1" applyProtection="1">
      <protection locked="0"/>
    </xf>
    <xf numFmtId="169" fontId="4" fillId="0" borderId="0" xfId="0" applyNumberFormat="1" applyFont="1" applyFill="1" applyBorder="1" applyAlignment="1" applyProtection="1"/>
    <xf numFmtId="3" fontId="4" fillId="0" borderId="0" xfId="0" applyNumberFormat="1" applyFont="1" applyFill="1" applyAlignment="1" applyProtection="1"/>
    <xf numFmtId="0" fontId="4" fillId="2" borderId="0" xfId="0" applyNumberFormat="1" applyFont="1" applyFill="1" applyAlignment="1" applyProtection="1">
      <alignment horizontal="right"/>
      <protection locked="0"/>
    </xf>
    <xf numFmtId="169" fontId="4" fillId="2" borderId="1" xfId="0" applyNumberFormat="1" applyFont="1" applyFill="1" applyBorder="1" applyAlignment="1" applyProtection="1">
      <protection locked="0"/>
    </xf>
    <xf numFmtId="171" fontId="4" fillId="0" borderId="0" xfId="0" applyFont="1" applyAlignment="1" applyProtection="1"/>
    <xf numFmtId="171" fontId="4" fillId="0" borderId="0" xfId="0" applyFont="1" applyAlignment="1" applyProtection="1">
      <alignment horizontal="right"/>
    </xf>
    <xf numFmtId="0" fontId="4" fillId="0" borderId="0" xfId="0" applyNumberFormat="1" applyFont="1" applyAlignment="1" applyProtection="1"/>
    <xf numFmtId="0" fontId="4" fillId="0" borderId="0" xfId="0" applyNumberFormat="1" applyFont="1" applyAlignment="1" applyProtection="1">
      <alignment horizontal="left"/>
    </xf>
    <xf numFmtId="0" fontId="4" fillId="0" borderId="0" xfId="0" applyNumberFormat="1" applyFont="1" applyProtection="1"/>
    <xf numFmtId="0" fontId="4" fillId="0" borderId="0" xfId="0" applyNumberFormat="1" applyFont="1" applyAlignment="1" applyProtection="1">
      <alignment horizontal="right"/>
    </xf>
    <xf numFmtId="0" fontId="4" fillId="2" borderId="0" xfId="0" applyNumberFormat="1" applyFont="1" applyFill="1" applyProtection="1"/>
    <xf numFmtId="171" fontId="4" fillId="2" borderId="0" xfId="0" applyFont="1" applyFill="1" applyAlignment="1" applyProtection="1"/>
    <xf numFmtId="3" fontId="4" fillId="0" borderId="0" xfId="0" applyNumberFormat="1" applyFont="1" applyAlignment="1" applyProtection="1"/>
    <xf numFmtId="0" fontId="4" fillId="0" borderId="0" xfId="0" applyNumberFormat="1" applyFont="1" applyAlignment="1" applyProtection="1">
      <alignment horizontal="center"/>
    </xf>
    <xf numFmtId="0" fontId="4" fillId="0" borderId="0" xfId="0" applyNumberFormat="1" applyFont="1" applyFill="1" applyProtection="1"/>
    <xf numFmtId="49" fontId="4" fillId="0" borderId="0" xfId="0" applyNumberFormat="1" applyFont="1" applyProtection="1"/>
    <xf numFmtId="0" fontId="4" fillId="0" borderId="1" xfId="0" applyNumberFormat="1" applyFont="1" applyBorder="1" applyAlignment="1" applyProtection="1">
      <alignment horizontal="center"/>
    </xf>
    <xf numFmtId="3" fontId="4" fillId="0" borderId="0" xfId="0" applyNumberFormat="1" applyFont="1" applyProtection="1"/>
    <xf numFmtId="42" fontId="4" fillId="0" borderId="0" xfId="0" applyNumberFormat="1" applyFont="1" applyProtection="1"/>
    <xf numFmtId="0" fontId="4" fillId="0" borderId="1" xfId="0" applyNumberFormat="1" applyFont="1" applyBorder="1" applyAlignment="1" applyProtection="1">
      <alignment horizontal="centerContinuous"/>
    </xf>
    <xf numFmtId="166" fontId="4" fillId="0" borderId="0" xfId="0" applyNumberFormat="1" applyFont="1" applyAlignment="1" applyProtection="1"/>
    <xf numFmtId="0" fontId="7" fillId="0" borderId="0" xfId="0" applyNumberFormat="1" applyFont="1" applyProtection="1"/>
    <xf numFmtId="3" fontId="4" fillId="0" borderId="1" xfId="0" applyNumberFormat="1" applyFont="1" applyBorder="1" applyAlignment="1" applyProtection="1"/>
    <xf numFmtId="3" fontId="4" fillId="0" borderId="0" xfId="0" applyNumberFormat="1" applyFont="1" applyAlignment="1" applyProtection="1">
      <alignment horizontal="fill"/>
    </xf>
    <xf numFmtId="3" fontId="4" fillId="0" borderId="3" xfId="0" applyNumberFormat="1" applyFont="1" applyBorder="1" applyAlignment="1" applyProtection="1"/>
    <xf numFmtId="42" fontId="4" fillId="0" borderId="2" xfId="0" applyNumberFormat="1" applyFont="1" applyBorder="1" applyAlignment="1" applyProtection="1">
      <alignment horizontal="right"/>
    </xf>
    <xf numFmtId="171" fontId="7" fillId="0" borderId="0" xfId="0" applyFont="1" applyAlignment="1" applyProtection="1"/>
    <xf numFmtId="3" fontId="4" fillId="0" borderId="0" xfId="0" applyNumberFormat="1" applyFont="1" applyFill="1" applyBorder="1" applyProtection="1"/>
    <xf numFmtId="168" fontId="4" fillId="0" borderId="0" xfId="0" applyNumberFormat="1" applyFont="1" applyProtection="1"/>
    <xf numFmtId="168" fontId="4" fillId="0" borderId="0" xfId="0" applyNumberFormat="1" applyFont="1" applyAlignment="1" applyProtection="1">
      <alignment horizontal="center"/>
    </xf>
    <xf numFmtId="171" fontId="4" fillId="0" borderId="0" xfId="0" applyFont="1" applyAlignment="1" applyProtection="1">
      <alignment horizontal="center"/>
    </xf>
    <xf numFmtId="170" fontId="4" fillId="0" borderId="0" xfId="0" applyNumberFormat="1" applyFont="1" applyAlignment="1" applyProtection="1"/>
    <xf numFmtId="170" fontId="4" fillId="0" borderId="0" xfId="0" applyNumberFormat="1" applyFont="1" applyProtection="1"/>
    <xf numFmtId="0" fontId="4" fillId="0" borderId="0" xfId="0" applyNumberFormat="1" applyFont="1" applyFill="1" applyAlignment="1" applyProtection="1">
      <alignment horizontal="center"/>
    </xf>
    <xf numFmtId="0" fontId="4" fillId="0" borderId="0" xfId="0" applyNumberFormat="1" applyFont="1" applyFill="1" applyAlignment="1" applyProtection="1"/>
    <xf numFmtId="170" fontId="4" fillId="0" borderId="0" xfId="0" applyNumberFormat="1" applyFont="1" applyFill="1" applyProtection="1"/>
    <xf numFmtId="3" fontId="4" fillId="0" borderId="0" xfId="0" applyNumberFormat="1" applyFont="1" applyAlignment="1" applyProtection="1">
      <alignment horizontal="right"/>
    </xf>
    <xf numFmtId="49" fontId="4" fillId="0" borderId="0" xfId="0" applyNumberFormat="1" applyFont="1" applyAlignment="1" applyProtection="1">
      <alignment horizontal="left"/>
    </xf>
    <xf numFmtId="49" fontId="4" fillId="0" borderId="0" xfId="0" applyNumberFormat="1" applyFont="1" applyAlignment="1" applyProtection="1">
      <alignment horizontal="center"/>
    </xf>
    <xf numFmtId="3" fontId="8" fillId="0" borderId="0" xfId="0" applyNumberFormat="1" applyFont="1" applyAlignment="1" applyProtection="1">
      <alignment horizontal="center"/>
    </xf>
    <xf numFmtId="0" fontId="8" fillId="0" borderId="0" xfId="0" applyNumberFormat="1" applyFont="1" applyAlignment="1" applyProtection="1">
      <alignment horizontal="center"/>
    </xf>
    <xf numFmtId="171" fontId="8" fillId="0" borderId="0" xfId="0" applyFont="1" applyAlignment="1" applyProtection="1">
      <alignment horizontal="center"/>
    </xf>
    <xf numFmtId="3" fontId="8" fillId="0" borderId="0" xfId="0" applyNumberFormat="1" applyFont="1" applyAlignment="1" applyProtection="1"/>
    <xf numFmtId="3" fontId="4" fillId="2" borderId="0" xfId="0" applyNumberFormat="1" applyFont="1" applyFill="1" applyAlignment="1" applyProtection="1"/>
    <xf numFmtId="165" fontId="4" fillId="0" borderId="0" xfId="0" applyNumberFormat="1" applyFont="1" applyAlignment="1" applyProtection="1"/>
    <xf numFmtId="3" fontId="5" fillId="0" borderId="0" xfId="0" applyNumberFormat="1" applyFont="1" applyAlignment="1" applyProtection="1"/>
    <xf numFmtId="0" fontId="4" fillId="0" borderId="0" xfId="0" applyNumberFormat="1" applyFont="1" applyFill="1" applyAlignment="1" applyProtection="1">
      <alignment horizontal="fill"/>
    </xf>
    <xf numFmtId="164" fontId="4" fillId="0" borderId="0" xfId="0" applyNumberFormat="1" applyFont="1" applyAlignment="1" applyProtection="1">
      <alignment horizontal="center"/>
    </xf>
    <xf numFmtId="167" fontId="4" fillId="0" borderId="0" xfId="0" applyNumberFormat="1" applyFont="1" applyAlignment="1" applyProtection="1"/>
    <xf numFmtId="166" fontId="4" fillId="0" borderId="0" xfId="0" applyNumberFormat="1" applyFont="1" applyAlignment="1" applyProtection="1">
      <alignment horizontal="center"/>
    </xf>
    <xf numFmtId="3" fontId="4" fillId="0" borderId="0" xfId="0" applyNumberFormat="1" applyFont="1" applyBorder="1" applyAlignment="1" applyProtection="1"/>
    <xf numFmtId="3" fontId="4" fillId="0" borderId="2" xfId="0" applyNumberFormat="1" applyFont="1" applyFill="1" applyBorder="1" applyAlignment="1" applyProtection="1"/>
    <xf numFmtId="0" fontId="8" fillId="0" borderId="0" xfId="0" applyNumberFormat="1" applyFont="1" applyAlignment="1" applyProtection="1"/>
    <xf numFmtId="0" fontId="4" fillId="0" borderId="1" xfId="0" applyNumberFormat="1" applyFont="1" applyBorder="1" applyProtection="1"/>
    <xf numFmtId="3" fontId="4" fillId="0" borderId="0" xfId="0" applyNumberFormat="1" applyFont="1" applyAlignment="1" applyProtection="1">
      <alignment horizontal="center"/>
    </xf>
    <xf numFmtId="49" fontId="4" fillId="0" borderId="0" xfId="0" applyNumberFormat="1" applyFont="1" applyBorder="1" applyAlignment="1" applyProtection="1"/>
    <xf numFmtId="49" fontId="4" fillId="0" borderId="0" xfId="0" applyNumberFormat="1" applyFont="1" applyAlignment="1" applyProtection="1"/>
    <xf numFmtId="165" fontId="4" fillId="0" borderId="0" xfId="0" applyNumberFormat="1" applyFont="1" applyAlignment="1" applyProtection="1">
      <alignment horizontal="right"/>
    </xf>
    <xf numFmtId="171" fontId="12" fillId="0" borderId="0" xfId="0" applyFont="1" applyFill="1" applyBorder="1" applyAlignment="1" applyProtection="1"/>
    <xf numFmtId="171" fontId="4" fillId="0" borderId="0" xfId="0" applyFont="1" applyFill="1" applyBorder="1" applyAlignment="1" applyProtection="1"/>
    <xf numFmtId="3" fontId="4" fillId="0" borderId="0" xfId="0" applyNumberFormat="1" applyFont="1" applyFill="1" applyBorder="1" applyAlignment="1" applyProtection="1"/>
    <xf numFmtId="0" fontId="4" fillId="0" borderId="0" xfId="0" applyNumberFormat="1" applyFont="1" applyFill="1" applyBorder="1" applyAlignment="1" applyProtection="1"/>
    <xf numFmtId="171" fontId="4" fillId="0" borderId="0" xfId="0" applyFont="1" applyBorder="1" applyAlignment="1" applyProtection="1"/>
    <xf numFmtId="0" fontId="4" fillId="0" borderId="0" xfId="0" applyNumberFormat="1" applyFont="1" applyBorder="1" applyProtection="1"/>
    <xf numFmtId="171" fontId="4" fillId="0" borderId="0" xfId="0" applyFont="1" applyFill="1" applyBorder="1" applyAlignment="1" applyProtection="1">
      <alignment horizontal="left"/>
    </xf>
    <xf numFmtId="3" fontId="4" fillId="0" borderId="0" xfId="0" applyNumberFormat="1" applyFont="1" applyFill="1" applyBorder="1" applyAlignment="1" applyProtection="1">
      <alignment horizontal="left"/>
    </xf>
    <xf numFmtId="0" fontId="4" fillId="0" borderId="0" xfId="0" applyNumberFormat="1" applyFont="1" applyFill="1" applyBorder="1" applyAlignment="1" applyProtection="1">
      <alignment horizontal="left"/>
    </xf>
    <xf numFmtId="169" fontId="4" fillId="0" borderId="0" xfId="0" applyNumberFormat="1" applyFont="1" applyFill="1" applyBorder="1" applyAlignment="1" applyProtection="1">
      <alignment horizontal="right"/>
    </xf>
    <xf numFmtId="3" fontId="7" fillId="0" borderId="0" xfId="0" applyNumberFormat="1" applyFont="1" applyFill="1" applyBorder="1" applyAlignment="1" applyProtection="1">
      <alignment horizontal="left"/>
    </xf>
    <xf numFmtId="3" fontId="9" fillId="0" borderId="0" xfId="0" applyNumberFormat="1" applyFont="1" applyAlignment="1" applyProtection="1"/>
    <xf numFmtId="171" fontId="7" fillId="0" borderId="0" xfId="0" applyFont="1" applyFill="1" applyBorder="1" applyAlignment="1" applyProtection="1">
      <alignment horizontal="left"/>
    </xf>
    <xf numFmtId="171" fontId="9" fillId="0" borderId="0" xfId="0" applyFont="1" applyAlignment="1" applyProtection="1"/>
    <xf numFmtId="171" fontId="10" fillId="0" borderId="0" xfId="0" applyFont="1" applyFill="1" applyBorder="1" applyAlignment="1" applyProtection="1">
      <alignment horizontal="left"/>
    </xf>
    <xf numFmtId="165" fontId="4" fillId="0" borderId="0" xfId="0" applyNumberFormat="1" applyFont="1" applyProtection="1"/>
    <xf numFmtId="166" fontId="4" fillId="0" borderId="0" xfId="0" applyNumberFormat="1" applyFont="1" applyProtection="1"/>
    <xf numFmtId="171" fontId="7" fillId="0" borderId="0" xfId="0" applyFont="1" applyFill="1" applyBorder="1" applyAlignment="1" applyProtection="1">
      <alignment horizontal="left" wrapText="1"/>
    </xf>
    <xf numFmtId="3" fontId="4" fillId="0" borderId="1" xfId="0" applyNumberFormat="1" applyFont="1" applyBorder="1" applyAlignment="1" applyProtection="1">
      <alignment horizontal="center"/>
    </xf>
    <xf numFmtId="4" fontId="4" fillId="0" borderId="0" xfId="0" applyNumberFormat="1" applyFont="1" applyAlignment="1" applyProtection="1"/>
    <xf numFmtId="3" fontId="4" fillId="0" borderId="0" xfId="0" applyNumberFormat="1" applyFont="1" applyBorder="1" applyAlignment="1" applyProtection="1">
      <alignment horizontal="center"/>
    </xf>
    <xf numFmtId="0" fontId="4" fillId="0" borderId="1" xfId="0" applyNumberFormat="1" applyFont="1" applyBorder="1" applyAlignment="1" applyProtection="1"/>
    <xf numFmtId="0" fontId="6" fillId="0" borderId="0" xfId="0" applyNumberFormat="1" applyFont="1" applyProtection="1"/>
    <xf numFmtId="171" fontId="6" fillId="0" borderId="0" xfId="0" applyFont="1" applyAlignment="1" applyProtection="1"/>
    <xf numFmtId="171" fontId="4" fillId="0" borderId="1" xfId="0" applyFont="1" applyBorder="1" applyAlignment="1" applyProtection="1"/>
    <xf numFmtId="3" fontId="4" fillId="0" borderId="0" xfId="0" applyNumberFormat="1" applyFont="1" applyAlignment="1" applyProtection="1">
      <alignment horizontal="left"/>
    </xf>
    <xf numFmtId="0" fontId="4" fillId="0" borderId="0" xfId="0" applyNumberFormat="1" applyFont="1" applyBorder="1" applyAlignment="1" applyProtection="1"/>
    <xf numFmtId="0" fontId="4" fillId="0" borderId="0" xfId="0" applyNumberFormat="1" applyFont="1" applyFill="1" applyBorder="1" applyProtection="1"/>
    <xf numFmtId="0" fontId="4" fillId="0" borderId="1" xfId="0" applyNumberFormat="1" applyFont="1" applyFill="1" applyBorder="1" applyAlignment="1" applyProtection="1"/>
    <xf numFmtId="0" fontId="4" fillId="0" borderId="1" xfId="0" applyNumberFormat="1" applyFont="1" applyFill="1" applyBorder="1" applyProtection="1"/>
    <xf numFmtId="171" fontId="4" fillId="0" borderId="0" xfId="0" applyNumberFormat="1" applyFont="1" applyAlignment="1" applyProtection="1"/>
    <xf numFmtId="169" fontId="4" fillId="0" borderId="0" xfId="0" applyNumberFormat="1" applyFont="1" applyAlignment="1" applyProtection="1">
      <alignment horizontal="right"/>
    </xf>
    <xf numFmtId="169" fontId="4" fillId="0" borderId="0" xfId="0" applyNumberFormat="1" applyFont="1" applyProtection="1"/>
    <xf numFmtId="0" fontId="4" fillId="0" borderId="0" xfId="0" applyNumberFormat="1" applyFont="1" applyAlignment="1" applyProtection="1">
      <alignment horizontal="left" indent="8"/>
    </xf>
    <xf numFmtId="0" fontId="11" fillId="0" borderId="0" xfId="0" applyNumberFormat="1" applyFont="1" applyProtection="1"/>
    <xf numFmtId="0" fontId="4" fillId="0" borderId="0" xfId="0" applyNumberFormat="1" applyFont="1" applyAlignment="1" applyProtection="1">
      <alignment horizontal="center" vertical="top" wrapText="1"/>
    </xf>
    <xf numFmtId="0" fontId="4" fillId="0" borderId="0" xfId="0" applyNumberFormat="1" applyFont="1" applyFill="1" applyAlignment="1" applyProtection="1">
      <alignment horizontal="center" vertical="top" wrapText="1"/>
    </xf>
    <xf numFmtId="0" fontId="6" fillId="0" borderId="0" xfId="0" applyNumberFormat="1" applyFont="1" applyAlignment="1" applyProtection="1"/>
    <xf numFmtId="3" fontId="6" fillId="0" borderId="0" xfId="0" applyNumberFormat="1" applyFont="1" applyFill="1" applyAlignment="1" applyProtection="1"/>
    <xf numFmtId="3" fontId="6" fillId="0" borderId="0" xfId="0" applyNumberFormat="1" applyFont="1" applyFill="1" applyBorder="1" applyAlignment="1" applyProtection="1"/>
    <xf numFmtId="0" fontId="6" fillId="0" borderId="0" xfId="0" applyNumberFormat="1" applyFont="1" applyFill="1" applyProtection="1"/>
    <xf numFmtId="0" fontId="4" fillId="0" borderId="0" xfId="1" applyNumberFormat="1" applyFont="1" applyFill="1" applyProtection="1"/>
    <xf numFmtId="0" fontId="7" fillId="0" borderId="0" xfId="0" applyNumberFormat="1" applyFont="1" applyFill="1" applyAlignment="1" applyProtection="1">
      <alignment horizontal="left"/>
    </xf>
    <xf numFmtId="49" fontId="4" fillId="2" borderId="0" xfId="0" applyNumberFormat="1" applyFont="1" applyFill="1" applyProtection="1">
      <protection locked="0"/>
    </xf>
    <xf numFmtId="3" fontId="4" fillId="2" borderId="0" xfId="0" applyNumberFormat="1" applyFont="1" applyFill="1" applyProtection="1">
      <protection locked="0"/>
    </xf>
    <xf numFmtId="3" fontId="4" fillId="3" borderId="0" xfId="0" applyNumberFormat="1" applyFont="1" applyFill="1" applyAlignment="1" applyProtection="1">
      <protection locked="0"/>
    </xf>
    <xf numFmtId="3" fontId="4" fillId="2" borderId="0" xfId="0" applyNumberFormat="1" applyFont="1" applyFill="1" applyBorder="1" applyProtection="1">
      <protection locked="0"/>
    </xf>
    <xf numFmtId="3" fontId="4" fillId="2" borderId="1" xfId="0" applyNumberFormat="1" applyFont="1" applyFill="1" applyBorder="1" applyProtection="1">
      <protection locked="0"/>
    </xf>
    <xf numFmtId="3" fontId="4" fillId="2" borderId="0" xfId="0" applyNumberFormat="1" applyFont="1" applyFill="1" applyAlignment="1" applyProtection="1">
      <protection locked="0"/>
    </xf>
    <xf numFmtId="3" fontId="4" fillId="2" borderId="1" xfId="0" applyNumberFormat="1" applyFont="1" applyFill="1" applyBorder="1" applyAlignment="1" applyProtection="1">
      <protection locked="0"/>
    </xf>
    <xf numFmtId="3" fontId="4" fillId="2" borderId="0" xfId="0" applyNumberFormat="1" applyFont="1" applyFill="1" applyBorder="1" applyAlignment="1" applyProtection="1">
      <protection locked="0"/>
    </xf>
    <xf numFmtId="169" fontId="4" fillId="2" borderId="0" xfId="0" applyNumberFormat="1" applyFont="1" applyFill="1" applyAlignment="1" applyProtection="1">
      <protection locked="0"/>
    </xf>
    <xf numFmtId="169" fontId="4" fillId="2" borderId="0" xfId="0" applyNumberFormat="1" applyFont="1" applyFill="1" applyBorder="1" applyProtection="1">
      <protection locked="0"/>
    </xf>
    <xf numFmtId="165" fontId="4" fillId="0" borderId="0" xfId="0" applyNumberFormat="1" applyFont="1" applyAlignment="1" applyProtection="1">
      <protection locked="0"/>
    </xf>
    <xf numFmtId="0" fontId="14" fillId="0" borderId="0" xfId="3"/>
    <xf numFmtId="0" fontId="14" fillId="0" borderId="5" xfId="3" applyBorder="1" applyAlignment="1">
      <alignment horizontal="center"/>
    </xf>
    <xf numFmtId="0" fontId="14" fillId="0" borderId="6" xfId="3" applyBorder="1"/>
    <xf numFmtId="0" fontId="14" fillId="0" borderId="6" xfId="3" applyBorder="1" applyAlignment="1">
      <alignment horizontal="center"/>
    </xf>
    <xf numFmtId="0" fontId="14" fillId="0" borderId="7" xfId="3" applyBorder="1" applyAlignment="1">
      <alignment horizontal="center"/>
    </xf>
    <xf numFmtId="0" fontId="14" fillId="0" borderId="8" xfId="3" applyBorder="1" applyAlignment="1">
      <alignment horizontal="center"/>
    </xf>
    <xf numFmtId="0" fontId="14" fillId="0" borderId="9" xfId="3" applyBorder="1" applyAlignment="1">
      <alignment horizontal="center"/>
    </xf>
    <xf numFmtId="0" fontId="18" fillId="0" borderId="5" xfId="3" applyFont="1" applyBorder="1" applyAlignment="1">
      <alignment horizontal="center"/>
    </xf>
    <xf numFmtId="43" fontId="0" fillId="0" borderId="5" xfId="4" applyFont="1" applyBorder="1"/>
    <xf numFmtId="0" fontId="14" fillId="0" borderId="9" xfId="3" applyBorder="1"/>
    <xf numFmtId="37" fontId="0" fillId="0" borderId="9" xfId="4" applyNumberFormat="1" applyFont="1" applyBorder="1"/>
    <xf numFmtId="0" fontId="14" fillId="0" borderId="7" xfId="3" applyBorder="1" applyAlignment="1">
      <alignment horizontal="left" indent="1"/>
    </xf>
    <xf numFmtId="172" fontId="19" fillId="0" borderId="7" xfId="5" applyNumberFormat="1" applyFont="1" applyBorder="1"/>
    <xf numFmtId="0" fontId="14" fillId="0" borderId="7" xfId="3" applyBorder="1"/>
    <xf numFmtId="0" fontId="14" fillId="0" borderId="10" xfId="3" applyBorder="1" applyAlignment="1">
      <alignment horizontal="center"/>
    </xf>
    <xf numFmtId="0" fontId="14" fillId="0" borderId="10" xfId="3" applyBorder="1"/>
    <xf numFmtId="0" fontId="14" fillId="0" borderId="10" xfId="3" applyFill="1" applyBorder="1"/>
    <xf numFmtId="0" fontId="14" fillId="0" borderId="9" xfId="3" applyBorder="1" applyAlignment="1">
      <alignment horizontal="left" indent="1"/>
    </xf>
    <xf numFmtId="0" fontId="18" fillId="0" borderId="11" xfId="3" applyFont="1" applyFill="1" applyBorder="1"/>
    <xf numFmtId="37" fontId="18" fillId="0" borderId="12" xfId="4" applyNumberFormat="1" applyFont="1" applyBorder="1"/>
    <xf numFmtId="0" fontId="14" fillId="0" borderId="13" xfId="3" applyFill="1" applyBorder="1" applyAlignment="1">
      <alignment horizontal="center"/>
    </xf>
    <xf numFmtId="0" fontId="18" fillId="0" borderId="14" xfId="3" applyFont="1" applyFill="1" applyBorder="1"/>
    <xf numFmtId="0" fontId="14" fillId="0" borderId="5" xfId="3" applyFill="1" applyBorder="1" applyAlignment="1">
      <alignment horizontal="center"/>
    </xf>
    <xf numFmtId="0" fontId="14" fillId="0" borderId="9" xfId="3" applyFill="1" applyBorder="1"/>
    <xf numFmtId="0" fontId="18" fillId="0" borderId="9" xfId="3" applyFont="1" applyFill="1" applyBorder="1" applyAlignment="1">
      <alignment horizontal="center"/>
    </xf>
    <xf numFmtId="0" fontId="14" fillId="0" borderId="9" xfId="3" applyFill="1" applyBorder="1" applyAlignment="1">
      <alignment horizontal="center"/>
    </xf>
    <xf numFmtId="0" fontId="14" fillId="0" borderId="15" xfId="3" applyBorder="1"/>
    <xf numFmtId="0" fontId="14" fillId="0" borderId="16" xfId="3" applyBorder="1" applyAlignment="1">
      <alignment horizontal="center"/>
    </xf>
    <xf numFmtId="0" fontId="18" fillId="0" borderId="5" xfId="3" applyFont="1" applyBorder="1"/>
    <xf numFmtId="37" fontId="18" fillId="0" borderId="5" xfId="4" applyNumberFormat="1" applyFont="1" applyBorder="1"/>
    <xf numFmtId="0" fontId="18" fillId="0" borderId="17" xfId="3" applyFont="1" applyBorder="1"/>
    <xf numFmtId="0" fontId="18" fillId="0" borderId="9" xfId="3" applyFont="1" applyBorder="1" applyAlignment="1">
      <alignment horizontal="center"/>
    </xf>
    <xf numFmtId="173" fontId="19" fillId="0" borderId="7" xfId="4" applyNumberFormat="1" applyFont="1" applyBorder="1"/>
    <xf numFmtId="0" fontId="14" fillId="0" borderId="7" xfId="3" applyFill="1" applyBorder="1" applyAlignment="1">
      <alignment horizontal="left" indent="1"/>
    </xf>
    <xf numFmtId="173" fontId="0" fillId="0" borderId="9" xfId="4" applyNumberFormat="1" applyFont="1" applyBorder="1"/>
    <xf numFmtId="0" fontId="18" fillId="0" borderId="18" xfId="3" applyFont="1" applyFill="1" applyBorder="1"/>
    <xf numFmtId="173" fontId="18" fillId="0" borderId="12" xfId="4" applyNumberFormat="1" applyFont="1" applyBorder="1"/>
    <xf numFmtId="173" fontId="0" fillId="0" borderId="7" xfId="4" applyNumberFormat="1" applyFont="1" applyBorder="1"/>
    <xf numFmtId="0" fontId="18" fillId="0" borderId="14" xfId="3" applyFont="1" applyBorder="1"/>
    <xf numFmtId="0" fontId="18" fillId="0" borderId="7" xfId="3" applyFont="1" applyBorder="1" applyAlignment="1">
      <alignment horizontal="center"/>
    </xf>
    <xf numFmtId="173" fontId="19" fillId="0" borderId="10" xfId="4" applyNumberFormat="1" applyFont="1" applyBorder="1"/>
    <xf numFmtId="0" fontId="18" fillId="0" borderId="18" xfId="3" applyFont="1" applyBorder="1"/>
    <xf numFmtId="0" fontId="14" fillId="0" borderId="10" xfId="3" applyFill="1" applyBorder="1" applyAlignment="1">
      <alignment horizontal="center"/>
    </xf>
    <xf numFmtId="173" fontId="19" fillId="0" borderId="9" xfId="4" applyNumberFormat="1" applyFont="1" applyBorder="1"/>
    <xf numFmtId="0" fontId="14" fillId="0" borderId="7" xfId="3" applyFill="1" applyBorder="1" applyAlignment="1">
      <alignment horizontal="center"/>
    </xf>
    <xf numFmtId="0" fontId="14" fillId="0" borderId="7" xfId="3" quotePrefix="1" applyBorder="1" applyAlignment="1">
      <alignment horizontal="left" indent="1"/>
    </xf>
    <xf numFmtId="0" fontId="18" fillId="0" borderId="9" xfId="3" applyFont="1" applyBorder="1"/>
    <xf numFmtId="173" fontId="18" fillId="0" borderId="9" xfId="4" applyNumberFormat="1" applyFont="1" applyBorder="1"/>
    <xf numFmtId="0" fontId="14" fillId="0" borderId="19" xfId="3" applyBorder="1" applyAlignment="1">
      <alignment horizontal="center"/>
    </xf>
    <xf numFmtId="0" fontId="18" fillId="0" borderId="20" xfId="3" applyFont="1" applyBorder="1"/>
    <xf numFmtId="172" fontId="18" fillId="0" borderId="12" xfId="5" applyNumberFormat="1" applyFont="1" applyBorder="1"/>
    <xf numFmtId="0" fontId="14" fillId="0" borderId="21" xfId="3" applyBorder="1" applyAlignment="1">
      <alignment horizontal="center"/>
    </xf>
    <xf numFmtId="0" fontId="14" fillId="0" borderId="0" xfId="3" applyBorder="1"/>
    <xf numFmtId="37" fontId="0" fillId="0" borderId="0" xfId="4" applyNumberFormat="1" applyFont="1" applyBorder="1"/>
    <xf numFmtId="43" fontId="0" fillId="0" borderId="0" xfId="4" applyFont="1" applyBorder="1"/>
    <xf numFmtId="37" fontId="14" fillId="0" borderId="0" xfId="3" applyNumberFormat="1" applyBorder="1"/>
    <xf numFmtId="0" fontId="16" fillId="0" borderId="0" xfId="3" applyFont="1" applyAlignment="1">
      <alignment horizontal="left"/>
    </xf>
    <xf numFmtId="14" fontId="16" fillId="0" borderId="0" xfId="3" applyNumberFormat="1" applyFont="1" applyAlignment="1">
      <alignment horizontal="left"/>
    </xf>
    <xf numFmtId="0" fontId="14" fillId="0" borderId="0" xfId="3" applyAlignment="1">
      <alignment horizontal="left"/>
    </xf>
    <xf numFmtId="0" fontId="17" fillId="0" borderId="0" xfId="3" applyFont="1" applyBorder="1" applyAlignment="1">
      <alignment horizontal="left"/>
    </xf>
    <xf numFmtId="0" fontId="14" fillId="0" borderId="5" xfId="3" applyBorder="1"/>
    <xf numFmtId="0" fontId="14" fillId="0" borderId="22" xfId="3" applyBorder="1"/>
    <xf numFmtId="0" fontId="14" fillId="0" borderId="22" xfId="3" applyBorder="1" applyAlignment="1">
      <alignment horizontal="center"/>
    </xf>
    <xf numFmtId="0" fontId="14" fillId="0" borderId="8" xfId="3" applyBorder="1"/>
    <xf numFmtId="172" fontId="20" fillId="0" borderId="8" xfId="5" applyNumberFormat="1" applyFont="1" applyBorder="1"/>
    <xf numFmtId="173" fontId="20" fillId="0" borderId="8" xfId="4" applyNumberFormat="1" applyFont="1" applyBorder="1"/>
    <xf numFmtId="0" fontId="14" fillId="0" borderId="13" xfId="3" applyBorder="1"/>
    <xf numFmtId="173" fontId="20" fillId="0" borderId="13" xfId="4" applyNumberFormat="1" applyFont="1" applyBorder="1"/>
    <xf numFmtId="173" fontId="20" fillId="0" borderId="6" xfId="4" applyNumberFormat="1" applyFont="1" applyBorder="1"/>
    <xf numFmtId="0" fontId="14" fillId="0" borderId="23" xfId="3" applyBorder="1" applyAlignment="1">
      <alignment horizontal="center"/>
    </xf>
    <xf numFmtId="0" fontId="14" fillId="0" borderId="24" xfId="3" applyBorder="1"/>
    <xf numFmtId="173" fontId="18" fillId="0" borderId="25" xfId="4" applyNumberFormat="1" applyFont="1" applyBorder="1"/>
    <xf numFmtId="0" fontId="18" fillId="0" borderId="24" xfId="3" applyFont="1" applyBorder="1"/>
    <xf numFmtId="173" fontId="19" fillId="0" borderId="6" xfId="4" applyNumberFormat="1" applyFont="1" applyBorder="1"/>
    <xf numFmtId="0" fontId="21" fillId="0" borderId="23" xfId="3" applyFont="1" applyBorder="1" applyAlignment="1">
      <alignment horizontal="center"/>
    </xf>
    <xf numFmtId="0" fontId="21" fillId="0" borderId="24" xfId="3" applyFont="1" applyBorder="1"/>
    <xf numFmtId="173" fontId="19" fillId="0" borderId="8" xfId="4" applyNumberFormat="1" applyFont="1" applyBorder="1"/>
    <xf numFmtId="172" fontId="18" fillId="0" borderId="26" xfId="5" applyNumberFormat="1" applyFont="1" applyBorder="1"/>
    <xf numFmtId="37" fontId="14" fillId="0" borderId="0" xfId="3" applyNumberFormat="1"/>
    <xf numFmtId="172" fontId="19" fillId="0" borderId="10" xfId="5" applyNumberFormat="1" applyFont="1" applyBorder="1"/>
    <xf numFmtId="172" fontId="18" fillId="0" borderId="10" xfId="5" applyNumberFormat="1" applyFont="1" applyBorder="1"/>
    <xf numFmtId="172" fontId="0" fillId="0" borderId="10" xfId="5" applyNumberFormat="1" applyFont="1" applyBorder="1"/>
    <xf numFmtId="173" fontId="20" fillId="0" borderId="10" xfId="4" applyNumberFormat="1" applyFont="1" applyBorder="1"/>
    <xf numFmtId="173" fontId="18" fillId="0" borderId="10" xfId="4" applyNumberFormat="1" applyFont="1" applyBorder="1"/>
    <xf numFmtId="173" fontId="20" fillId="0" borderId="5" xfId="4" applyNumberFormat="1" applyFont="1" applyBorder="1"/>
    <xf numFmtId="173" fontId="18" fillId="0" borderId="5" xfId="4" applyNumberFormat="1" applyFont="1" applyBorder="1"/>
    <xf numFmtId="172" fontId="18" fillId="0" borderId="27" xfId="5" applyNumberFormat="1" applyFont="1" applyBorder="1"/>
    <xf numFmtId="172" fontId="18" fillId="0" borderId="23" xfId="5" applyNumberFormat="1" applyFont="1" applyBorder="1"/>
    <xf numFmtId="0" fontId="18" fillId="0" borderId="10" xfId="3" applyFont="1" applyBorder="1"/>
    <xf numFmtId="172" fontId="18" fillId="0" borderId="7" xfId="5" applyNumberFormat="1" applyFont="1" applyBorder="1"/>
    <xf numFmtId="37" fontId="18" fillId="0" borderId="7" xfId="3" applyNumberFormat="1" applyFont="1" applyBorder="1"/>
    <xf numFmtId="0" fontId="16" fillId="0" borderId="0" xfId="3" applyFont="1" applyAlignment="1">
      <alignment horizontal="center"/>
    </xf>
    <xf numFmtId="14" fontId="16" fillId="0" borderId="0" xfId="3" applyNumberFormat="1" applyFont="1" applyAlignment="1">
      <alignment horizontal="center"/>
    </xf>
    <xf numFmtId="0" fontId="18" fillId="0" borderId="4" xfId="3" applyFont="1" applyBorder="1" applyAlignment="1">
      <alignment horizontal="center"/>
    </xf>
    <xf numFmtId="37" fontId="14" fillId="0" borderId="5" xfId="3" applyNumberFormat="1" applyBorder="1"/>
    <xf numFmtId="37" fontId="14" fillId="0" borderId="6" xfId="3" applyNumberFormat="1" applyBorder="1"/>
    <xf numFmtId="0" fontId="14" fillId="0" borderId="4" xfId="3" applyBorder="1"/>
    <xf numFmtId="172" fontId="19" fillId="0" borderId="8" xfId="5" applyNumberFormat="1" applyFont="1" applyBorder="1"/>
    <xf numFmtId="172" fontId="14" fillId="0" borderId="8" xfId="5" applyNumberFormat="1" applyFont="1" applyBorder="1"/>
    <xf numFmtId="173" fontId="14" fillId="0" borderId="8" xfId="4" applyNumberFormat="1" applyFont="1" applyBorder="1"/>
    <xf numFmtId="173" fontId="14" fillId="0" borderId="6" xfId="4" applyNumberFormat="1" applyFont="1" applyBorder="1"/>
    <xf numFmtId="0" fontId="14" fillId="0" borderId="4" xfId="3" applyBorder="1" applyAlignment="1">
      <alignment horizontal="left" indent="1"/>
    </xf>
    <xf numFmtId="0" fontId="14" fillId="0" borderId="0" xfId="3" applyFill="1" applyBorder="1"/>
    <xf numFmtId="0" fontId="14" fillId="0" borderId="4" xfId="3" applyFill="1" applyBorder="1" applyAlignment="1">
      <alignment horizontal="left" indent="1"/>
    </xf>
    <xf numFmtId="0" fontId="14" fillId="0" borderId="28" xfId="3" applyFill="1" applyBorder="1"/>
    <xf numFmtId="173" fontId="19" fillId="0" borderId="13" xfId="4" applyNumberFormat="1" applyFont="1" applyBorder="1"/>
    <xf numFmtId="173" fontId="14" fillId="0" borderId="13" xfId="4" applyNumberFormat="1" applyFont="1" applyBorder="1"/>
    <xf numFmtId="0" fontId="14" fillId="0" borderId="28" xfId="3" applyBorder="1"/>
    <xf numFmtId="172" fontId="18" fillId="0" borderId="24" xfId="5" applyNumberFormat="1" applyFont="1" applyBorder="1"/>
    <xf numFmtId="172" fontId="18" fillId="0" borderId="25" xfId="5" applyNumberFormat="1" applyFont="1" applyBorder="1"/>
    <xf numFmtId="37" fontId="19" fillId="0" borderId="6" xfId="3" applyNumberFormat="1" applyFont="1" applyBorder="1"/>
    <xf numFmtId="0" fontId="14" fillId="0" borderId="8" xfId="3" applyBorder="1" applyAlignment="1">
      <alignment horizontal="left" indent="1"/>
    </xf>
    <xf numFmtId="173" fontId="19" fillId="0" borderId="8" xfId="4" applyNumberFormat="1" applyFont="1" applyBorder="1" applyAlignment="1">
      <alignment horizontal="right"/>
    </xf>
    <xf numFmtId="173" fontId="19" fillId="0" borderId="6" xfId="4" applyNumberFormat="1" applyFont="1" applyBorder="1" applyAlignment="1">
      <alignment horizontal="right"/>
    </xf>
    <xf numFmtId="173" fontId="19" fillId="0" borderId="13" xfId="4" applyNumberFormat="1" applyFont="1" applyBorder="1" applyAlignment="1">
      <alignment horizontal="right"/>
    </xf>
    <xf numFmtId="37" fontId="19" fillId="0" borderId="6" xfId="3" applyNumberFormat="1" applyFont="1" applyBorder="1" applyAlignment="1">
      <alignment horizontal="right"/>
    </xf>
    <xf numFmtId="37" fontId="19" fillId="0" borderId="22" xfId="3" applyNumberFormat="1" applyFont="1" applyBorder="1"/>
    <xf numFmtId="0" fontId="14" fillId="0" borderId="18" xfId="3" applyBorder="1"/>
    <xf numFmtId="37" fontId="14" fillId="0" borderId="4" xfId="3" applyNumberFormat="1" applyBorder="1"/>
    <xf numFmtId="37" fontId="19" fillId="0" borderId="8" xfId="3" applyNumberFormat="1" applyFont="1" applyBorder="1"/>
    <xf numFmtId="43" fontId="23" fillId="0" borderId="0" xfId="2" applyFont="1"/>
    <xf numFmtId="43" fontId="24" fillId="0" borderId="0" xfId="2" applyFont="1" applyBorder="1"/>
    <xf numFmtId="0" fontId="25" fillId="0" borderId="0" xfId="6" applyFont="1"/>
    <xf numFmtId="0" fontId="26" fillId="0" borderId="0" xfId="6" applyFont="1"/>
    <xf numFmtId="0" fontId="26" fillId="0" borderId="0" xfId="6" applyFont="1" applyAlignment="1">
      <alignment horizontal="center"/>
    </xf>
    <xf numFmtId="37" fontId="20" fillId="0" borderId="10" xfId="4" applyNumberFormat="1" applyFont="1" applyFill="1" applyBorder="1"/>
    <xf numFmtId="37" fontId="19" fillId="0" borderId="9" xfId="4" applyNumberFormat="1" applyFont="1" applyFill="1" applyBorder="1"/>
    <xf numFmtId="173" fontId="19" fillId="0" borderId="7" xfId="4" applyNumberFormat="1" applyFont="1" applyFill="1" applyBorder="1"/>
    <xf numFmtId="173" fontId="19" fillId="0" borderId="6" xfId="2" applyNumberFormat="1" applyFont="1" applyBorder="1"/>
    <xf numFmtId="173" fontId="19" fillId="0" borderId="9" xfId="2" applyNumberFormat="1" applyFont="1" applyFill="1" applyBorder="1"/>
    <xf numFmtId="173" fontId="19" fillId="0" borderId="5" xfId="4" applyNumberFormat="1" applyFont="1" applyFill="1" applyBorder="1"/>
    <xf numFmtId="43" fontId="14" fillId="0" borderId="0" xfId="3" applyNumberFormat="1"/>
    <xf numFmtId="173" fontId="19" fillId="0" borderId="10" xfId="4" applyNumberFormat="1" applyFont="1" applyFill="1" applyBorder="1"/>
    <xf numFmtId="173" fontId="20" fillId="0" borderId="7" xfId="4" applyNumberFormat="1" applyFont="1" applyFill="1" applyBorder="1"/>
    <xf numFmtId="173" fontId="20" fillId="0" borderId="5" xfId="4" applyNumberFormat="1" applyFont="1" applyFill="1" applyBorder="1"/>
    <xf numFmtId="173" fontId="19" fillId="0" borderId="9" xfId="4" applyNumberFormat="1" applyFont="1" applyFill="1" applyBorder="1"/>
    <xf numFmtId="0" fontId="21" fillId="0" borderId="0" xfId="3" applyFont="1" applyFill="1" applyBorder="1"/>
    <xf numFmtId="37" fontId="0" fillId="0" borderId="0" xfId="4" applyNumberFormat="1" applyFont="1" applyFill="1" applyBorder="1"/>
    <xf numFmtId="43" fontId="26" fillId="0" borderId="0" xfId="2" applyFont="1"/>
    <xf numFmtId="43" fontId="26" fillId="0" borderId="16" xfId="2" applyFont="1" applyBorder="1"/>
    <xf numFmtId="172" fontId="19" fillId="0" borderId="7" xfId="5" applyNumberFormat="1" applyFont="1" applyFill="1" applyBorder="1"/>
    <xf numFmtId="37" fontId="19" fillId="0" borderId="7" xfId="4" applyNumberFormat="1" applyFont="1" applyFill="1" applyBorder="1"/>
    <xf numFmtId="0" fontId="26" fillId="5" borderId="0" xfId="6" applyFont="1" applyFill="1"/>
    <xf numFmtId="43" fontId="26" fillId="5" borderId="0" xfId="2" applyFont="1" applyFill="1"/>
    <xf numFmtId="43" fontId="26" fillId="5" borderId="16" xfId="2" applyFont="1" applyFill="1" applyBorder="1"/>
    <xf numFmtId="43" fontId="21" fillId="0" borderId="0" xfId="3" quotePrefix="1" applyNumberFormat="1" applyFont="1"/>
    <xf numFmtId="43" fontId="14" fillId="0" borderId="0" xfId="2" applyFont="1" applyFill="1" applyBorder="1"/>
    <xf numFmtId="43" fontId="19" fillId="0" borderId="7" xfId="2" applyFont="1" applyFill="1" applyBorder="1"/>
    <xf numFmtId="43" fontId="26" fillId="0" borderId="0" xfId="6" applyNumberFormat="1" applyFont="1"/>
    <xf numFmtId="0" fontId="28" fillId="0" borderId="0" xfId="8" applyFont="1" applyFill="1" applyBorder="1" applyAlignment="1">
      <alignment horizontal="centerContinuous"/>
    </xf>
    <xf numFmtId="0" fontId="14" fillId="0" borderId="0" xfId="8" applyFill="1" applyAlignment="1">
      <alignment horizontal="centerContinuous"/>
    </xf>
    <xf numFmtId="0" fontId="14" fillId="0" borderId="0" xfId="8" applyAlignment="1">
      <alignment horizontal="centerContinuous"/>
    </xf>
    <xf numFmtId="0" fontId="14" fillId="0" borderId="0" xfId="8"/>
    <xf numFmtId="0" fontId="28" fillId="2" borderId="0" xfId="8" applyFont="1" applyFill="1" applyBorder="1" applyAlignment="1">
      <alignment horizontal="centerContinuous"/>
    </xf>
    <xf numFmtId="0" fontId="14" fillId="2" borderId="0" xfId="8" applyFill="1" applyAlignment="1">
      <alignment horizontal="centerContinuous"/>
    </xf>
    <xf numFmtId="0" fontId="16" fillId="0" borderId="0" xfId="8" applyFont="1" applyAlignment="1">
      <alignment horizontal="centerContinuous"/>
    </xf>
    <xf numFmtId="0" fontId="16" fillId="2" borderId="0" xfId="8" applyFont="1" applyFill="1" applyAlignment="1">
      <alignment horizontal="centerContinuous"/>
    </xf>
    <xf numFmtId="0" fontId="14" fillId="0" borderId="0" xfId="8" applyFill="1"/>
    <xf numFmtId="0" fontId="29" fillId="2" borderId="0" xfId="8" applyFont="1" applyFill="1"/>
    <xf numFmtId="0" fontId="14" fillId="2" borderId="0" xfId="8" applyFill="1"/>
    <xf numFmtId="0" fontId="14" fillId="0" borderId="0" xfId="8" applyAlignment="1">
      <alignment horizontal="center"/>
    </xf>
    <xf numFmtId="0" fontId="31" fillId="0" borderId="1" xfId="8" applyFont="1" applyBorder="1" applyAlignment="1" applyProtection="1">
      <alignment horizontal="centerContinuous"/>
      <protection locked="0"/>
    </xf>
    <xf numFmtId="0" fontId="18" fillId="0" borderId="1" xfId="8" applyFont="1" applyBorder="1" applyAlignment="1">
      <alignment horizontal="centerContinuous"/>
    </xf>
    <xf numFmtId="0" fontId="14" fillId="2" borderId="0" xfId="8" applyFill="1" applyAlignment="1">
      <alignment horizontal="center"/>
    </xf>
    <xf numFmtId="0" fontId="18" fillId="2" borderId="1" xfId="8" applyFont="1" applyFill="1" applyBorder="1" applyAlignment="1">
      <alignment horizontal="centerContinuous"/>
    </xf>
    <xf numFmtId="0" fontId="32" fillId="0" borderId="0" xfId="8" applyFont="1" applyBorder="1" applyAlignment="1">
      <alignment horizontal="center"/>
    </xf>
    <xf numFmtId="49" fontId="32" fillId="0" borderId="0" xfId="8" quotePrefix="1" applyNumberFormat="1" applyFont="1" applyBorder="1" applyAlignment="1">
      <alignment horizontal="center"/>
    </xf>
    <xf numFmtId="0" fontId="32" fillId="2" borderId="0" xfId="8" applyFont="1" applyFill="1" applyBorder="1" applyAlignment="1">
      <alignment horizontal="center"/>
    </xf>
    <xf numFmtId="49" fontId="32" fillId="2" borderId="0" xfId="8" quotePrefix="1" applyNumberFormat="1" applyFont="1" applyFill="1" applyBorder="1" applyAlignment="1">
      <alignment horizontal="center"/>
    </xf>
    <xf numFmtId="0" fontId="14" fillId="0" borderId="0" xfId="8" applyBorder="1" applyAlignment="1">
      <alignment horizontal="center"/>
    </xf>
    <xf numFmtId="0" fontId="33" fillId="0" borderId="0" xfId="8" applyFont="1" applyAlignment="1">
      <alignment horizontal="center"/>
    </xf>
    <xf numFmtId="0" fontId="14" fillId="2" borderId="10" xfId="8" applyFill="1" applyBorder="1" applyAlignment="1">
      <alignment horizontal="center"/>
    </xf>
    <xf numFmtId="0" fontId="33" fillId="2" borderId="10" xfId="8" applyFont="1" applyFill="1" applyBorder="1" applyAlignment="1">
      <alignment horizontal="center"/>
    </xf>
    <xf numFmtId="44" fontId="14" fillId="0" borderId="0" xfId="8" applyNumberFormat="1" applyFont="1"/>
    <xf numFmtId="44" fontId="14" fillId="0" borderId="0" xfId="5" applyFont="1"/>
    <xf numFmtId="44" fontId="19" fillId="2" borderId="10" xfId="8" applyNumberFormat="1" applyFont="1" applyFill="1" applyBorder="1" applyProtection="1">
      <protection locked="0"/>
    </xf>
    <xf numFmtId="44" fontId="14" fillId="2" borderId="10" xfId="8" applyNumberFormat="1" applyFont="1" applyFill="1" applyBorder="1"/>
    <xf numFmtId="174" fontId="14" fillId="0" borderId="0" xfId="8" applyNumberFormat="1" applyFont="1"/>
    <xf numFmtId="39" fontId="19" fillId="2" borderId="10" xfId="8" applyNumberFormat="1" applyFont="1" applyFill="1" applyBorder="1" applyProtection="1">
      <protection locked="0"/>
    </xf>
    <xf numFmtId="0" fontId="34" fillId="0" borderId="0" xfId="8" applyFont="1"/>
    <xf numFmtId="44" fontId="34" fillId="0" borderId="0" xfId="5" applyFont="1"/>
    <xf numFmtId="0" fontId="14" fillId="2" borderId="10" xfId="8" applyFont="1" applyFill="1" applyBorder="1" applyAlignment="1">
      <alignment horizontal="center"/>
    </xf>
    <xf numFmtId="43" fontId="14" fillId="2" borderId="10" xfId="8" applyNumberFormat="1" applyFont="1" applyFill="1" applyBorder="1"/>
    <xf numFmtId="44" fontId="35" fillId="0" borderId="0" xfId="8" applyNumberFormat="1" applyFont="1"/>
    <xf numFmtId="44" fontId="35" fillId="2" borderId="10" xfId="8" applyNumberFormat="1" applyFont="1" applyFill="1" applyBorder="1"/>
    <xf numFmtId="174" fontId="35" fillId="0" borderId="0" xfId="8" applyNumberFormat="1" applyFont="1"/>
    <xf numFmtId="0" fontId="14" fillId="2" borderId="0" xfId="3" applyFill="1"/>
    <xf numFmtId="0" fontId="31" fillId="0" borderId="1" xfId="8" applyFont="1" applyBorder="1" applyAlignment="1">
      <alignment horizontal="centerContinuous"/>
    </xf>
    <xf numFmtId="44" fontId="19" fillId="2" borderId="10" xfId="8" applyNumberFormat="1" applyFont="1" applyFill="1" applyBorder="1"/>
    <xf numFmtId="43" fontId="19" fillId="2" borderId="10" xfId="8" applyNumberFormat="1" applyFont="1" applyFill="1" applyBorder="1"/>
    <xf numFmtId="0" fontId="14" fillId="0" borderId="0" xfId="8" applyFont="1"/>
    <xf numFmtId="0" fontId="14" fillId="0" borderId="0" xfId="8" applyFont="1" applyAlignment="1">
      <alignment horizontal="center"/>
    </xf>
    <xf numFmtId="43" fontId="34" fillId="2" borderId="10" xfId="8" applyNumberFormat="1" applyFont="1" applyFill="1" applyBorder="1"/>
    <xf numFmtId="44" fontId="34" fillId="0" borderId="0" xfId="8" applyNumberFormat="1" applyFont="1"/>
    <xf numFmtId="43" fontId="36" fillId="2" borderId="10" xfId="8" applyNumberFormat="1" applyFont="1" applyFill="1" applyBorder="1"/>
    <xf numFmtId="0" fontId="18" fillId="0" borderId="0" xfId="3" applyFont="1" applyAlignment="1">
      <alignment horizontal="center"/>
    </xf>
    <xf numFmtId="0" fontId="18" fillId="0" borderId="0" xfId="3" applyFont="1"/>
    <xf numFmtId="0" fontId="18" fillId="0" borderId="0" xfId="3" applyFont="1" applyFill="1" applyBorder="1" applyAlignment="1">
      <alignment horizontal="center"/>
    </xf>
    <xf numFmtId="0" fontId="14" fillId="0" borderId="0" xfId="3" applyFont="1"/>
    <xf numFmtId="0" fontId="14" fillId="0" borderId="0" xfId="3" applyFont="1" applyAlignment="1">
      <alignment horizontal="center"/>
    </xf>
    <xf numFmtId="0" fontId="18" fillId="0" borderId="10" xfId="3" applyFont="1" applyBorder="1" applyAlignment="1">
      <alignment horizontal="center"/>
    </xf>
    <xf numFmtId="0" fontId="18" fillId="0" borderId="28" xfId="3" applyFont="1" applyBorder="1" applyAlignment="1">
      <alignment horizontal="center"/>
    </xf>
    <xf numFmtId="0" fontId="18" fillId="0" borderId="9" xfId="3" applyFont="1" applyBorder="1" applyAlignment="1">
      <alignment horizontal="right"/>
    </xf>
    <xf numFmtId="0" fontId="18" fillId="0" borderId="0" xfId="3" applyFont="1" applyBorder="1" applyAlignment="1">
      <alignment horizontal="right"/>
    </xf>
    <xf numFmtId="0" fontId="14" fillId="0" borderId="5" xfId="3" applyFont="1" applyBorder="1"/>
    <xf numFmtId="0" fontId="14" fillId="0" borderId="9" xfId="3" applyFont="1" applyBorder="1"/>
    <xf numFmtId="0" fontId="14" fillId="0" borderId="9" xfId="3" applyFont="1" applyBorder="1" applyAlignment="1">
      <alignment horizontal="right"/>
    </xf>
    <xf numFmtId="173" fontId="14" fillId="0" borderId="0" xfId="4" applyNumberFormat="1" applyFont="1" applyBorder="1" applyAlignment="1">
      <alignment horizontal="right"/>
    </xf>
    <xf numFmtId="0" fontId="14" fillId="0" borderId="0" xfId="3" quotePrefix="1" applyFont="1"/>
    <xf numFmtId="173" fontId="14" fillId="0" borderId="9" xfId="4" applyNumberFormat="1" applyFont="1" applyBorder="1"/>
    <xf numFmtId="0" fontId="14" fillId="0" borderId="29" xfId="3" applyFont="1" applyBorder="1"/>
    <xf numFmtId="0" fontId="14" fillId="0" borderId="16" xfId="3" applyFont="1" applyBorder="1"/>
    <xf numFmtId="0" fontId="14" fillId="0" borderId="15" xfId="3" applyFont="1" applyBorder="1"/>
    <xf numFmtId="0" fontId="14" fillId="0" borderId="0" xfId="3" applyFont="1" applyBorder="1"/>
    <xf numFmtId="0" fontId="14" fillId="0" borderId="6" xfId="3" applyFont="1" applyBorder="1"/>
    <xf numFmtId="14" fontId="14" fillId="0" borderId="0" xfId="3" applyNumberFormat="1" applyFont="1"/>
    <xf numFmtId="172" fontId="24" fillId="0" borderId="0" xfId="5" applyNumberFormat="1" applyFont="1" applyFill="1" applyBorder="1"/>
    <xf numFmtId="173" fontId="14" fillId="0" borderId="16" xfId="3" applyNumberFormat="1" applyFont="1" applyBorder="1"/>
    <xf numFmtId="172" fontId="24" fillId="0" borderId="16" xfId="5" applyNumberFormat="1" applyFont="1" applyBorder="1"/>
    <xf numFmtId="0" fontId="14" fillId="0" borderId="0" xfId="3" applyFont="1" applyFill="1" applyBorder="1"/>
    <xf numFmtId="164" fontId="24" fillId="0" borderId="0" xfId="9" applyNumberFormat="1" applyFont="1"/>
    <xf numFmtId="172" fontId="24" fillId="0" borderId="0" xfId="5" applyNumberFormat="1" applyFont="1"/>
    <xf numFmtId="173" fontId="24" fillId="0" borderId="0" xfId="4" applyNumberFormat="1" applyFont="1"/>
    <xf numFmtId="172" fontId="14" fillId="0" borderId="16" xfId="3" applyNumberFormat="1" applyFont="1" applyBorder="1"/>
    <xf numFmtId="172" fontId="14" fillId="0" borderId="0" xfId="3" applyNumberFormat="1" applyFont="1" applyFill="1" applyBorder="1"/>
    <xf numFmtId="172" fontId="14" fillId="0" borderId="0" xfId="3" applyNumberFormat="1" applyFont="1"/>
    <xf numFmtId="10" fontId="24" fillId="0" borderId="0" xfId="9" applyNumberFormat="1" applyFont="1" applyBorder="1"/>
    <xf numFmtId="173" fontId="24" fillId="0" borderId="15" xfId="4" applyNumberFormat="1" applyFont="1" applyBorder="1"/>
    <xf numFmtId="173" fontId="24" fillId="0" borderId="30" xfId="4" applyNumberFormat="1" applyFont="1" applyBorder="1"/>
    <xf numFmtId="10" fontId="14" fillId="0" borderId="31" xfId="3" applyNumberFormat="1" applyFont="1" applyBorder="1"/>
    <xf numFmtId="173" fontId="14" fillId="0" borderId="32" xfId="3" applyNumberFormat="1" applyFont="1" applyBorder="1"/>
    <xf numFmtId="0" fontId="14" fillId="0" borderId="7" xfId="3" applyFont="1" applyBorder="1"/>
    <xf numFmtId="173" fontId="24" fillId="0" borderId="7" xfId="4" applyNumberFormat="1" applyFont="1" applyBorder="1"/>
    <xf numFmtId="0" fontId="14" fillId="0" borderId="4" xfId="3" applyFont="1" applyBorder="1"/>
    <xf numFmtId="0" fontId="14" fillId="0" borderId="18" xfId="3" applyFont="1" applyBorder="1"/>
    <xf numFmtId="173" fontId="14" fillId="0" borderId="0" xfId="3" applyNumberFormat="1" applyFont="1"/>
    <xf numFmtId="0" fontId="14" fillId="0" borderId="22" xfId="3" applyFont="1" applyBorder="1"/>
    <xf numFmtId="173" fontId="14" fillId="0" borderId="0" xfId="3" applyNumberFormat="1" applyFont="1" applyBorder="1"/>
    <xf numFmtId="0" fontId="14" fillId="0" borderId="0" xfId="3" applyFont="1" applyBorder="1" applyAlignment="1">
      <alignment horizontal="right"/>
    </xf>
    <xf numFmtId="0" fontId="14" fillId="0" borderId="8" xfId="3" applyFont="1" applyBorder="1"/>
    <xf numFmtId="0" fontId="23" fillId="0" borderId="0" xfId="3" applyFont="1"/>
    <xf numFmtId="0" fontId="22" fillId="0" borderId="0" xfId="3" applyFont="1"/>
    <xf numFmtId="0" fontId="22" fillId="0" borderId="0" xfId="3" applyFont="1" applyAlignment="1">
      <alignment horizontal="center"/>
    </xf>
    <xf numFmtId="0" fontId="22" fillId="0" borderId="4" xfId="3" applyFont="1" applyBorder="1" applyAlignment="1">
      <alignment horizontal="center"/>
    </xf>
    <xf numFmtId="17" fontId="23" fillId="0" borderId="0" xfId="3" applyNumberFormat="1" applyFont="1" applyAlignment="1">
      <alignment horizontal="center"/>
    </xf>
    <xf numFmtId="44" fontId="23" fillId="0" borderId="0" xfId="3" applyNumberFormat="1" applyFont="1"/>
    <xf numFmtId="43" fontId="23" fillId="0" borderId="0" xfId="4" applyFont="1"/>
    <xf numFmtId="0" fontId="23" fillId="0" borderId="16" xfId="3" applyFont="1" applyBorder="1" applyAlignment="1">
      <alignment horizontal="center"/>
    </xf>
    <xf numFmtId="0" fontId="23" fillId="0" borderId="0" xfId="3" applyFont="1" applyAlignment="1">
      <alignment horizontal="center"/>
    </xf>
    <xf numFmtId="2" fontId="23" fillId="0" borderId="0" xfId="3" applyNumberFormat="1" applyFont="1"/>
    <xf numFmtId="44" fontId="23" fillId="0" borderId="0" xfId="5" applyFont="1"/>
    <xf numFmtId="44" fontId="23" fillId="0" borderId="16" xfId="5" applyFont="1" applyBorder="1"/>
    <xf numFmtId="0" fontId="26" fillId="0" borderId="0" xfId="3" quotePrefix="1" applyFont="1"/>
    <xf numFmtId="0" fontId="23" fillId="0" borderId="0" xfId="3" applyFont="1" applyAlignment="1">
      <alignment horizontal="left"/>
    </xf>
    <xf numFmtId="14" fontId="23" fillId="0" borderId="0" xfId="3" applyNumberFormat="1" applyFont="1" applyAlignment="1">
      <alignment horizontal="center"/>
    </xf>
    <xf numFmtId="0" fontId="23" fillId="0" borderId="0" xfId="3" applyFont="1" applyBorder="1"/>
    <xf numFmtId="0" fontId="23" fillId="0" borderId="0" xfId="3" applyFont="1" applyBorder="1" applyAlignment="1">
      <alignment horizontal="center"/>
    </xf>
    <xf numFmtId="10" fontId="23" fillId="0" borderId="0" xfId="9" applyNumberFormat="1" applyFont="1"/>
    <xf numFmtId="0" fontId="23" fillId="0" borderId="0" xfId="3" applyFont="1" applyFill="1" applyBorder="1" applyAlignment="1"/>
    <xf numFmtId="0" fontId="26" fillId="0" borderId="0" xfId="3" applyFont="1"/>
    <xf numFmtId="0" fontId="26" fillId="0" borderId="0" xfId="3" applyFont="1" applyAlignment="1">
      <alignment horizontal="center"/>
    </xf>
    <xf numFmtId="0" fontId="37" fillId="0" borderId="0" xfId="3" applyFont="1" applyAlignment="1">
      <alignment horizontal="center"/>
    </xf>
    <xf numFmtId="0" fontId="37" fillId="0" borderId="0" xfId="3" applyFont="1" applyBorder="1" applyAlignment="1">
      <alignment horizontal="center"/>
    </xf>
    <xf numFmtId="0" fontId="22" fillId="0" borderId="28" xfId="3" applyFont="1" applyFill="1" applyBorder="1" applyAlignment="1">
      <alignment horizontal="center"/>
    </xf>
    <xf numFmtId="17" fontId="26" fillId="0" borderId="0" xfId="3" applyNumberFormat="1" applyFont="1" applyAlignment="1">
      <alignment horizontal="center"/>
    </xf>
    <xf numFmtId="175" fontId="26" fillId="0" borderId="0" xfId="4" applyNumberFormat="1" applyFont="1"/>
    <xf numFmtId="0" fontId="23" fillId="0" borderId="1" xfId="3" applyFont="1" applyFill="1" applyBorder="1" applyAlignment="1"/>
    <xf numFmtId="0" fontId="26" fillId="0" borderId="16" xfId="3" applyFont="1" applyBorder="1" applyAlignment="1">
      <alignment horizontal="center"/>
    </xf>
    <xf numFmtId="175" fontId="26" fillId="0" borderId="16" xfId="4" applyNumberFormat="1" applyFont="1" applyBorder="1"/>
    <xf numFmtId="0" fontId="26" fillId="0" borderId="16" xfId="3" applyFont="1" applyBorder="1"/>
    <xf numFmtId="173" fontId="23" fillId="0" borderId="0" xfId="4" applyNumberFormat="1" applyFont="1" applyFill="1" applyBorder="1" applyAlignment="1"/>
    <xf numFmtId="168" fontId="26" fillId="0" borderId="0" xfId="3" applyNumberFormat="1" applyFont="1"/>
    <xf numFmtId="43" fontId="26" fillId="0" borderId="0" xfId="3" applyNumberFormat="1" applyFont="1" applyAlignment="1">
      <alignment horizontal="center"/>
    </xf>
    <xf numFmtId="0" fontId="26" fillId="0" borderId="0" xfId="3" applyFont="1" applyAlignment="1">
      <alignment horizontal="center"/>
    </xf>
    <xf numFmtId="44" fontId="38" fillId="0" borderId="0" xfId="5" applyFont="1"/>
    <xf numFmtId="43" fontId="38" fillId="0" borderId="0" xfId="4" applyFont="1"/>
    <xf numFmtId="0" fontId="25" fillId="0" borderId="0" xfId="6" applyFont="1" applyFill="1"/>
    <xf numFmtId="0" fontId="25" fillId="0" borderId="0" xfId="6" applyFont="1" applyFill="1" applyAlignment="1">
      <alignment horizontal="center"/>
    </xf>
    <xf numFmtId="0" fontId="26" fillId="0" borderId="0" xfId="6" applyFont="1" applyFill="1"/>
    <xf numFmtId="0" fontId="26" fillId="0" borderId="0" xfId="6" applyFont="1" applyFill="1" applyAlignment="1">
      <alignment horizontal="center"/>
    </xf>
    <xf numFmtId="43" fontId="23" fillId="0" borderId="0" xfId="7" applyFont="1" applyFill="1"/>
    <xf numFmtId="43" fontId="22" fillId="0" borderId="0" xfId="7" applyFont="1" applyFill="1"/>
    <xf numFmtId="173" fontId="19" fillId="0" borderId="10" xfId="2" applyNumberFormat="1" applyFont="1" applyFill="1" applyBorder="1"/>
    <xf numFmtId="0" fontId="25" fillId="0" borderId="4" xfId="6" applyFont="1" applyFill="1" applyBorder="1" applyAlignment="1">
      <alignment horizontal="center"/>
    </xf>
    <xf numFmtId="43" fontId="25" fillId="0" borderId="4" xfId="7" quotePrefix="1" applyFont="1" applyFill="1" applyBorder="1" applyAlignment="1">
      <alignment horizontal="center"/>
    </xf>
    <xf numFmtId="173" fontId="19" fillId="0" borderId="8" xfId="4" applyNumberFormat="1" applyFont="1" applyFill="1" applyBorder="1"/>
    <xf numFmtId="43" fontId="23" fillId="0" borderId="0" xfId="3" applyNumberFormat="1" applyFont="1"/>
    <xf numFmtId="173" fontId="19" fillId="0" borderId="13" xfId="4" applyNumberFormat="1" applyFont="1" applyFill="1" applyBorder="1"/>
    <xf numFmtId="173" fontId="19" fillId="0" borderId="6" xfId="4" applyNumberFormat="1" applyFont="1" applyFill="1" applyBorder="1"/>
    <xf numFmtId="43" fontId="23" fillId="0" borderId="0" xfId="2" applyFont="1" applyFill="1"/>
    <xf numFmtId="0" fontId="23" fillId="0" borderId="0" xfId="3" applyFont="1" applyFill="1"/>
    <xf numFmtId="43" fontId="23" fillId="0" borderId="0" xfId="2" applyFont="1" applyFill="1" applyBorder="1"/>
    <xf numFmtId="43" fontId="23" fillId="0" borderId="0" xfId="2" applyFont="1" applyBorder="1"/>
    <xf numFmtId="43" fontId="23" fillId="0" borderId="0" xfId="3" applyNumberFormat="1" applyFont="1" applyBorder="1"/>
    <xf numFmtId="0" fontId="23" fillId="0" borderId="0" xfId="3" applyFont="1" applyFill="1" applyBorder="1" applyAlignment="1">
      <alignment horizontal="center"/>
    </xf>
    <xf numFmtId="0" fontId="26" fillId="0" borderId="0" xfId="6" applyFont="1" applyAlignment="1">
      <alignment horizontal="left"/>
    </xf>
    <xf numFmtId="176" fontId="23" fillId="0" borderId="0" xfId="3" applyNumberFormat="1" applyFont="1" applyFill="1" applyBorder="1" applyAlignment="1">
      <alignment horizontal="center"/>
    </xf>
    <xf numFmtId="176" fontId="23" fillId="0" borderId="1" xfId="3" applyNumberFormat="1" applyFont="1" applyFill="1" applyBorder="1" applyAlignment="1">
      <alignment horizontal="center"/>
    </xf>
    <xf numFmtId="0" fontId="42" fillId="5" borderId="0" xfId="6" applyFont="1" applyFill="1"/>
    <xf numFmtId="43" fontId="23" fillId="0" borderId="0" xfId="2" applyFont="1" applyAlignment="1"/>
    <xf numFmtId="43" fontId="22" fillId="0" borderId="0" xfId="2" applyFont="1" applyAlignment="1">
      <alignment horizontal="center"/>
    </xf>
    <xf numFmtId="43" fontId="22" fillId="0" borderId="0" xfId="2" applyFont="1" applyAlignment="1"/>
    <xf numFmtId="0" fontId="25" fillId="5" borderId="0" xfId="6" applyFont="1" applyFill="1" applyAlignment="1">
      <alignment horizontal="center"/>
    </xf>
    <xf numFmtId="0" fontId="27" fillId="5" borderId="0" xfId="6" applyFont="1" applyFill="1"/>
    <xf numFmtId="43" fontId="26" fillId="5" borderId="0" xfId="6" applyNumberFormat="1" applyFont="1" applyFill="1"/>
    <xf numFmtId="43" fontId="26" fillId="5" borderId="16" xfId="6" applyNumberFormat="1" applyFont="1" applyFill="1" applyBorder="1"/>
    <xf numFmtId="0" fontId="25" fillId="5" borderId="0" xfId="6" applyFont="1" applyFill="1"/>
    <xf numFmtId="43" fontId="25" fillId="5" borderId="16" xfId="2" applyFont="1" applyFill="1" applyBorder="1"/>
    <xf numFmtId="43" fontId="22" fillId="6" borderId="0" xfId="2" applyFont="1" applyFill="1" applyAlignment="1"/>
    <xf numFmtId="43" fontId="23" fillId="0" borderId="0" xfId="2" applyFont="1" applyAlignment="1">
      <alignment horizontal="center"/>
    </xf>
    <xf numFmtId="43" fontId="23" fillId="6" borderId="0" xfId="2" applyFont="1" applyFill="1" applyAlignment="1">
      <alignment horizontal="center"/>
    </xf>
    <xf numFmtId="173" fontId="14" fillId="0" borderId="5" xfId="4" applyNumberFormat="1" applyFont="1" applyBorder="1"/>
    <xf numFmtId="173" fontId="14" fillId="0" borderId="10" xfId="4" applyNumberFormat="1" applyFont="1" applyBorder="1"/>
    <xf numFmtId="43" fontId="22" fillId="0" borderId="0" xfId="2" applyFont="1" applyAlignment="1">
      <alignment horizontal="center" wrapText="1"/>
    </xf>
    <xf numFmtId="0" fontId="25" fillId="5" borderId="4" xfId="6" quotePrefix="1" applyFont="1" applyFill="1" applyBorder="1" applyAlignment="1">
      <alignment horizontal="center"/>
    </xf>
    <xf numFmtId="0" fontId="26" fillId="5" borderId="0" xfId="6" applyFont="1" applyFill="1" applyAlignment="1">
      <alignment horizontal="right"/>
    </xf>
    <xf numFmtId="0" fontId="25" fillId="5" borderId="0" xfId="6" applyFont="1" applyFill="1" applyAlignment="1">
      <alignment horizontal="right"/>
    </xf>
    <xf numFmtId="43" fontId="14" fillId="0" borderId="0" xfId="2" applyFont="1"/>
    <xf numFmtId="0" fontId="43" fillId="0" borderId="0" xfId="3" applyFont="1"/>
    <xf numFmtId="173" fontId="44" fillId="0" borderId="10" xfId="4" applyNumberFormat="1" applyFont="1" applyBorder="1"/>
    <xf numFmtId="173" fontId="44" fillId="0" borderId="5" xfId="4" applyNumberFormat="1" applyFont="1" applyBorder="1"/>
    <xf numFmtId="43" fontId="26" fillId="0" borderId="0" xfId="2" applyFont="1" applyBorder="1"/>
    <xf numFmtId="0" fontId="26" fillId="0" borderId="0" xfId="6" applyFont="1" applyBorder="1"/>
    <xf numFmtId="0" fontId="25" fillId="5" borderId="4" xfId="6" applyFont="1" applyFill="1" applyBorder="1" applyAlignment="1">
      <alignment horizontal="center"/>
    </xf>
    <xf numFmtId="0" fontId="26" fillId="5" borderId="4" xfId="6" applyFont="1" applyFill="1" applyBorder="1"/>
    <xf numFmtId="0" fontId="25" fillId="5" borderId="0" xfId="6" applyFont="1" applyFill="1" applyBorder="1"/>
    <xf numFmtId="43" fontId="38" fillId="4" borderId="0" xfId="2" applyFont="1" applyFill="1"/>
    <xf numFmtId="43" fontId="26" fillId="0" borderId="16" xfId="6" applyNumberFormat="1" applyFont="1" applyBorder="1"/>
    <xf numFmtId="0" fontId="38" fillId="5" borderId="0" xfId="6" applyFont="1" applyFill="1"/>
    <xf numFmtId="171" fontId="23" fillId="0" borderId="0" xfId="0" applyFont="1" applyAlignment="1"/>
    <xf numFmtId="0" fontId="39" fillId="0" borderId="0" xfId="0" applyNumberFormat="1" applyFont="1" applyAlignment="1">
      <alignment horizontal="center"/>
    </xf>
    <xf numFmtId="0" fontId="23" fillId="0" borderId="0" xfId="0" applyNumberFormat="1" applyFont="1" applyAlignment="1">
      <alignment horizontal="center"/>
    </xf>
    <xf numFmtId="0" fontId="22" fillId="0" borderId="0" xfId="2" applyNumberFormat="1" applyFont="1" applyAlignment="1">
      <alignment horizontal="left"/>
    </xf>
    <xf numFmtId="0" fontId="23" fillId="0" borderId="0" xfId="0" applyNumberFormat="1" applyFont="1" applyAlignment="1">
      <alignment horizontal="left"/>
    </xf>
    <xf numFmtId="171" fontId="23" fillId="0" borderId="0" xfId="0" applyFont="1" applyAlignment="1">
      <alignment horizontal="center"/>
    </xf>
    <xf numFmtId="9" fontId="23" fillId="0" borderId="0" xfId="20" applyFont="1" applyAlignment="1"/>
    <xf numFmtId="171" fontId="23" fillId="0" borderId="0" xfId="0" applyFont="1" applyAlignment="1">
      <alignment wrapText="1"/>
    </xf>
    <xf numFmtId="173" fontId="23" fillId="0" borderId="0" xfId="2" applyNumberFormat="1" applyFont="1" applyAlignment="1"/>
    <xf numFmtId="173" fontId="38" fillId="0" borderId="0" xfId="2" applyNumberFormat="1" applyFont="1" applyAlignment="1"/>
    <xf numFmtId="177" fontId="23" fillId="0" borderId="0" xfId="2" applyNumberFormat="1" applyFont="1" applyAlignment="1">
      <alignment horizontal="center"/>
    </xf>
    <xf numFmtId="43" fontId="23" fillId="0" borderId="0" xfId="2" applyNumberFormat="1" applyFont="1" applyAlignment="1">
      <alignment horizontal="center"/>
    </xf>
    <xf numFmtId="43" fontId="23" fillId="0" borderId="0" xfId="2" applyNumberFormat="1" applyFont="1" applyAlignment="1"/>
    <xf numFmtId="173" fontId="24" fillId="0" borderId="0" xfId="4" applyNumberFormat="1" applyFont="1" applyFill="1"/>
    <xf numFmtId="173" fontId="47" fillId="8" borderId="0" xfId="4" applyNumberFormat="1" applyFont="1" applyFill="1"/>
    <xf numFmtId="173" fontId="47" fillId="8" borderId="4" xfId="4" applyNumberFormat="1" applyFont="1" applyFill="1" applyBorder="1"/>
    <xf numFmtId="164" fontId="47" fillId="8" borderId="0" xfId="9" applyNumberFormat="1" applyFont="1" applyFill="1"/>
    <xf numFmtId="172" fontId="47" fillId="8" borderId="0" xfId="5" applyNumberFormat="1" applyFont="1" applyFill="1"/>
    <xf numFmtId="9" fontId="47" fillId="8" borderId="0" xfId="9" applyFont="1" applyFill="1"/>
    <xf numFmtId="173" fontId="46" fillId="8" borderId="15" xfId="4" applyNumberFormat="1" applyFont="1" applyFill="1" applyBorder="1" applyAlignment="1">
      <alignment horizontal="right"/>
    </xf>
    <xf numFmtId="0" fontId="44" fillId="8" borderId="10" xfId="3" applyFont="1" applyFill="1" applyBorder="1" applyAlignment="1">
      <alignment horizontal="center"/>
    </xf>
    <xf numFmtId="173" fontId="47" fillId="8" borderId="0" xfId="4" applyNumberFormat="1" applyFont="1" applyFill="1" applyBorder="1"/>
    <xf numFmtId="43" fontId="22" fillId="0" borderId="0" xfId="2" applyFont="1" applyFill="1" applyAlignment="1">
      <alignment horizontal="center"/>
    </xf>
    <xf numFmtId="43" fontId="23" fillId="0" borderId="0" xfId="2" applyFont="1" applyFill="1" applyAlignment="1">
      <alignment horizontal="center"/>
    </xf>
    <xf numFmtId="43" fontId="22" fillId="0" borderId="0" xfId="2" applyFont="1" applyFill="1" applyAlignment="1">
      <alignment horizontal="center" wrapText="1"/>
    </xf>
    <xf numFmtId="43" fontId="23" fillId="0" borderId="0" xfId="2" applyFont="1" applyFill="1" applyAlignment="1"/>
    <xf numFmtId="177" fontId="23" fillId="9" borderId="0" xfId="2" applyNumberFormat="1" applyFont="1" applyFill="1" applyAlignment="1">
      <alignment horizontal="center"/>
    </xf>
    <xf numFmtId="43" fontId="23" fillId="9" borderId="0" xfId="2" applyFont="1" applyFill="1" applyAlignment="1">
      <alignment horizontal="center"/>
    </xf>
    <xf numFmtId="0" fontId="16" fillId="0" borderId="0" xfId="3" applyFont="1" applyAlignment="1">
      <alignment horizontal="center"/>
    </xf>
    <xf numFmtId="0" fontId="42" fillId="5" borderId="0" xfId="6" applyFont="1" applyFill="1" applyAlignment="1">
      <alignment horizontal="center"/>
    </xf>
    <xf numFmtId="0" fontId="14" fillId="0" borderId="0" xfId="3" applyBorder="1" applyAlignment="1">
      <alignment horizontal="center"/>
    </xf>
    <xf numFmtId="43" fontId="14" fillId="0" borderId="0" xfId="2" applyFont="1" applyBorder="1"/>
    <xf numFmtId="0" fontId="18" fillId="0" borderId="0" xfId="3" applyFont="1" applyBorder="1" applyAlignment="1">
      <alignment horizontal="center"/>
    </xf>
    <xf numFmtId="43" fontId="14" fillId="0" borderId="0" xfId="3" applyNumberFormat="1" applyBorder="1"/>
    <xf numFmtId="0" fontId="14" fillId="0" borderId="0" xfId="3" quotePrefix="1" applyBorder="1"/>
    <xf numFmtId="171" fontId="22" fillId="0" borderId="0" xfId="0" applyFont="1" applyAlignment="1">
      <alignment horizontal="center"/>
    </xf>
    <xf numFmtId="171" fontId="48" fillId="0" borderId="0" xfId="0" applyFont="1" applyAlignment="1">
      <alignment horizontal="center"/>
    </xf>
    <xf numFmtId="0" fontId="39" fillId="0" borderId="0" xfId="0" applyNumberFormat="1" applyFont="1" applyAlignment="1">
      <alignment horizontal="left"/>
    </xf>
    <xf numFmtId="0" fontId="22" fillId="0" borderId="4" xfId="0" applyNumberFormat="1" applyFont="1" applyBorder="1" applyAlignment="1">
      <alignment horizontal="center"/>
    </xf>
    <xf numFmtId="173" fontId="22" fillId="0" borderId="4" xfId="2" quotePrefix="1" applyNumberFormat="1" applyFont="1" applyBorder="1" applyAlignment="1">
      <alignment horizontal="center"/>
    </xf>
    <xf numFmtId="9" fontId="22" fillId="0" borderId="4" xfId="20" quotePrefix="1" applyFont="1" applyBorder="1" applyAlignment="1">
      <alignment horizontal="center"/>
    </xf>
    <xf numFmtId="0" fontId="26" fillId="0" borderId="0" xfId="3" applyFont="1" applyAlignment="1">
      <alignment horizontal="center"/>
    </xf>
    <xf numFmtId="14" fontId="38" fillId="0" borderId="0" xfId="3" applyNumberFormat="1" applyFont="1" applyAlignment="1">
      <alignment horizontal="center"/>
    </xf>
    <xf numFmtId="171" fontId="0" fillId="4" borderId="0" xfId="0" applyFill="1"/>
    <xf numFmtId="171" fontId="0" fillId="0" borderId="0" xfId="0"/>
    <xf numFmtId="171" fontId="0" fillId="2" borderId="10" xfId="0" applyFill="1" applyBorder="1"/>
    <xf numFmtId="171" fontId="44" fillId="4" borderId="0" xfId="0" applyFont="1" applyFill="1"/>
    <xf numFmtId="0" fontId="49" fillId="0" borderId="0" xfId="8" applyFont="1" applyAlignment="1">
      <alignment horizontal="center"/>
    </xf>
    <xf numFmtId="174" fontId="49" fillId="0" borderId="0" xfId="8" applyNumberFormat="1" applyFont="1"/>
    <xf numFmtId="0" fontId="26" fillId="10" borderId="0" xfId="6" applyFont="1" applyFill="1"/>
    <xf numFmtId="14" fontId="18" fillId="0" borderId="0" xfId="3" applyNumberFormat="1" applyFont="1" applyFill="1" applyBorder="1" applyAlignment="1">
      <alignment horizontal="center"/>
    </xf>
    <xf numFmtId="0" fontId="50" fillId="0" borderId="0" xfId="3" applyFont="1"/>
    <xf numFmtId="14" fontId="14" fillId="0" borderId="0" xfId="3" applyNumberFormat="1"/>
    <xf numFmtId="0" fontId="14" fillId="0" borderId="0" xfId="3" applyAlignment="1">
      <alignment horizontal="right"/>
    </xf>
    <xf numFmtId="0" fontId="50" fillId="0" borderId="10" xfId="3" applyFont="1" applyBorder="1" applyAlignment="1">
      <alignment horizontal="center"/>
    </xf>
    <xf numFmtId="173" fontId="14" fillId="0" borderId="0" xfId="3" applyNumberFormat="1"/>
    <xf numFmtId="169" fontId="0" fillId="0" borderId="0" xfId="0" applyNumberFormat="1" applyAlignment="1"/>
    <xf numFmtId="171" fontId="0" fillId="0" borderId="0" xfId="0" quotePrefix="1" applyAlignment="1"/>
    <xf numFmtId="169" fontId="0" fillId="0" borderId="16" xfId="0" applyNumberFormat="1" applyBorder="1" applyAlignment="1"/>
    <xf numFmtId="0" fontId="8" fillId="0" borderId="0" xfId="0" applyNumberFormat="1" applyFont="1" applyAlignment="1" applyProtection="1">
      <alignment horizontal="center"/>
    </xf>
    <xf numFmtId="0" fontId="4" fillId="0" borderId="0" xfId="0" applyNumberFormat="1" applyFont="1" applyAlignment="1" applyProtection="1">
      <alignment vertical="top" wrapText="1"/>
    </xf>
    <xf numFmtId="0" fontId="4" fillId="0" borderId="0" xfId="0" applyNumberFormat="1" applyFont="1" applyFill="1" applyAlignment="1" applyProtection="1">
      <alignment vertical="top" wrapText="1"/>
    </xf>
    <xf numFmtId="0" fontId="4" fillId="0" borderId="0" xfId="0" applyNumberFormat="1" applyFont="1" applyFill="1" applyBorder="1" applyAlignment="1" applyProtection="1">
      <alignment horizontal="center"/>
    </xf>
    <xf numFmtId="0" fontId="15" fillId="0" borderId="0" xfId="3" applyFont="1" applyAlignment="1">
      <alignment horizontal="center"/>
    </xf>
    <xf numFmtId="0" fontId="16" fillId="0" borderId="0" xfId="3" applyFont="1" applyAlignment="1">
      <alignment horizontal="center"/>
    </xf>
    <xf numFmtId="14" fontId="15" fillId="0" borderId="0" xfId="3" applyNumberFormat="1" applyFont="1" applyAlignment="1">
      <alignment horizontal="center"/>
    </xf>
    <xf numFmtId="0" fontId="17" fillId="0" borderId="4" xfId="3" applyFont="1" applyBorder="1" applyAlignment="1">
      <alignment horizontal="center"/>
    </xf>
    <xf numFmtId="0" fontId="14" fillId="0" borderId="29" xfId="3" applyBorder="1" applyAlignment="1">
      <alignment horizontal="left"/>
    </xf>
    <xf numFmtId="0" fontId="14" fillId="0" borderId="16" xfId="3" applyBorder="1" applyAlignment="1">
      <alignment horizontal="left"/>
    </xf>
    <xf numFmtId="0" fontId="18" fillId="0" borderId="4" xfId="3" applyFont="1" applyBorder="1" applyAlignment="1">
      <alignment horizontal="center"/>
    </xf>
    <xf numFmtId="0" fontId="18" fillId="0" borderId="14" xfId="3" applyFont="1" applyBorder="1" applyAlignment="1">
      <alignment horizontal="center"/>
    </xf>
    <xf numFmtId="0" fontId="18" fillId="0" borderId="28" xfId="3" applyFont="1" applyBorder="1" applyAlignment="1">
      <alignment horizontal="center"/>
    </xf>
    <xf numFmtId="0" fontId="18" fillId="0" borderId="13" xfId="3" applyFont="1" applyBorder="1" applyAlignment="1">
      <alignment horizontal="center"/>
    </xf>
    <xf numFmtId="0" fontId="25" fillId="0" borderId="0" xfId="3" applyFont="1" applyAlignment="1">
      <alignment horizontal="center"/>
    </xf>
    <xf numFmtId="0" fontId="22" fillId="0" borderId="0" xfId="3" applyFont="1" applyAlignment="1">
      <alignment horizontal="center"/>
    </xf>
    <xf numFmtId="0" fontId="26" fillId="0" borderId="0" xfId="3" applyFont="1" applyAlignment="1">
      <alignment horizontal="center"/>
    </xf>
    <xf numFmtId="171" fontId="51" fillId="0" borderId="0" xfId="0" applyFont="1" applyAlignment="1">
      <alignment horizontal="center"/>
    </xf>
  </cellXfs>
  <cellStyles count="31">
    <cellStyle name="Comma" xfId="2" builtinId="3"/>
    <cellStyle name="Comma 2" xfId="4"/>
    <cellStyle name="Comma 2 2" xfId="10"/>
    <cellStyle name="Comma 3" xfId="7"/>
    <cellStyle name="Comma 3 2" xfId="22"/>
    <cellStyle name="Comma 4" xfId="30"/>
    <cellStyle name="Comma 7" xfId="11"/>
    <cellStyle name="Currency 2" xfId="5"/>
    <cellStyle name="Currency 2 2" xfId="12"/>
    <cellStyle name="Currency 3" xfId="13"/>
    <cellStyle name="Heading" xfId="23"/>
    <cellStyle name="Normal" xfId="0" builtinId="0"/>
    <cellStyle name="Normal 2" xfId="3"/>
    <cellStyle name="Normal 2 2" xfId="14"/>
    <cellStyle name="Normal 2 2 2" xfId="27"/>
    <cellStyle name="Normal 2 3" xfId="15"/>
    <cellStyle name="Normal 2 3 2" xfId="28"/>
    <cellStyle name="Normal 2 4" xfId="16"/>
    <cellStyle name="Normal 2 5" xfId="25"/>
    <cellStyle name="Normal 2 6" xfId="26"/>
    <cellStyle name="Normal 3" xfId="6"/>
    <cellStyle name="Normal 3 2" xfId="17"/>
    <cellStyle name="Normal 3 3" xfId="18"/>
    <cellStyle name="Normal 3 4" xfId="29"/>
    <cellStyle name="Normal 4" xfId="19"/>
    <cellStyle name="Normal 6" xfId="21"/>
    <cellStyle name="Normal_2002 AD&amp;AE TLF Recon IMPA Test" xfId="8"/>
    <cellStyle name="Normal_Attachment O &amp; GG Final 11_11_09" xfId="1"/>
    <cellStyle name="Percent" xfId="20" builtinId="5"/>
    <cellStyle name="Percent 2" xfId="9"/>
    <cellStyle name="Tickmark" xfId="24"/>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19"/>
  <sheetViews>
    <sheetView zoomScale="80" zoomScaleNormal="80" zoomScaleSheetLayoutView="75" workbookViewId="0">
      <selection activeCell="P14" sqref="P14"/>
    </sheetView>
  </sheetViews>
  <sheetFormatPr defaultRowHeight="15.75"/>
  <cols>
    <col min="1" max="1" width="4.6640625" style="9" customWidth="1"/>
    <col min="2" max="2" width="27.77734375" style="9" customWidth="1"/>
    <col min="3" max="3" width="33" style="9" customWidth="1"/>
    <col min="4" max="4" width="13" style="9" customWidth="1"/>
    <col min="5" max="5" width="4.77734375" style="9" customWidth="1"/>
    <col min="6" max="6" width="4.109375" style="9" customWidth="1"/>
    <col min="7" max="7" width="8.33203125" style="9" customWidth="1"/>
    <col min="8" max="8" width="3.77734375" style="9" customWidth="1"/>
    <col min="9" max="9" width="12.77734375" style="9" customWidth="1"/>
    <col min="10" max="10" width="1.5546875" style="9" customWidth="1"/>
    <col min="11" max="11" width="7.6640625" style="9" customWidth="1"/>
    <col min="12" max="15" width="9.21875" style="9" customWidth="1"/>
    <col min="16" max="16" width="6.88671875" style="9" customWidth="1"/>
    <col min="17" max="16384" width="8.88671875" style="9"/>
  </cols>
  <sheetData>
    <row r="1" spans="1:15">
      <c r="K1" s="10" t="s">
        <v>235</v>
      </c>
    </row>
    <row r="2" spans="1:15">
      <c r="B2" s="11"/>
      <c r="C2" s="11"/>
      <c r="D2" s="12"/>
      <c r="E2" s="11"/>
      <c r="F2" s="11"/>
      <c r="G2" s="11"/>
      <c r="H2" s="13"/>
      <c r="I2" s="13"/>
      <c r="J2" s="13"/>
      <c r="K2" s="14" t="s">
        <v>136</v>
      </c>
      <c r="L2" s="13"/>
    </row>
    <row r="3" spans="1:15">
      <c r="B3" s="11"/>
      <c r="C3" s="11"/>
      <c r="D3" s="12"/>
      <c r="E3" s="11"/>
      <c r="F3" s="11"/>
      <c r="G3" s="11"/>
      <c r="H3" s="13"/>
      <c r="I3" s="13"/>
      <c r="J3" s="13"/>
      <c r="K3" s="14"/>
      <c r="L3" s="13"/>
    </row>
    <row r="4" spans="1:15">
      <c r="B4" s="11" t="s">
        <v>0</v>
      </c>
      <c r="C4" s="11"/>
      <c r="D4" s="12" t="s">
        <v>1</v>
      </c>
      <c r="E4" s="11"/>
      <c r="F4" s="11"/>
      <c r="G4" s="11"/>
      <c r="H4" s="15"/>
      <c r="I4" s="16"/>
      <c r="J4" s="15"/>
      <c r="K4" s="7" t="s">
        <v>3198</v>
      </c>
      <c r="L4" s="13"/>
    </row>
    <row r="5" spans="1:15">
      <c r="B5" s="11"/>
      <c r="C5" s="17" t="s">
        <v>2</v>
      </c>
      <c r="D5" s="17" t="s">
        <v>3</v>
      </c>
      <c r="E5" s="17"/>
      <c r="F5" s="17"/>
      <c r="G5" s="17"/>
      <c r="H5" s="13"/>
      <c r="I5" s="13"/>
      <c r="J5" s="13"/>
      <c r="K5" s="13"/>
      <c r="L5" s="13"/>
      <c r="N5" s="13"/>
      <c r="O5" s="13"/>
    </row>
    <row r="6" spans="1:15">
      <c r="B6" s="13"/>
      <c r="C6" s="13"/>
      <c r="D6" s="13"/>
      <c r="E6" s="13"/>
      <c r="F6" s="13"/>
      <c r="G6" s="13"/>
      <c r="H6" s="13"/>
      <c r="I6" s="13"/>
      <c r="J6" s="13"/>
      <c r="K6" s="13"/>
      <c r="L6" s="13"/>
      <c r="N6" s="13"/>
      <c r="O6" s="13"/>
    </row>
    <row r="7" spans="1:15">
      <c r="A7" s="18"/>
      <c r="B7" s="13"/>
      <c r="C7" s="13"/>
      <c r="D7" s="106" t="s">
        <v>430</v>
      </c>
      <c r="E7" s="19"/>
      <c r="F7" s="13"/>
      <c r="G7" s="13"/>
      <c r="H7" s="13"/>
      <c r="I7" s="13"/>
      <c r="J7" s="13"/>
      <c r="K7" s="13"/>
      <c r="L7" s="13"/>
      <c r="N7" s="13"/>
      <c r="O7" s="13"/>
    </row>
    <row r="8" spans="1:15">
      <c r="A8" s="18"/>
      <c r="B8" s="13"/>
      <c r="C8" s="13"/>
      <c r="D8" s="20"/>
      <c r="E8" s="13"/>
      <c r="F8" s="13"/>
      <c r="G8" s="13"/>
      <c r="H8" s="13"/>
      <c r="I8" s="13"/>
      <c r="J8" s="13"/>
      <c r="K8" s="13"/>
      <c r="L8" s="13"/>
      <c r="N8" s="13"/>
      <c r="O8" s="13"/>
    </row>
    <row r="9" spans="1:15">
      <c r="A9" s="18" t="s">
        <v>4</v>
      </c>
      <c r="B9" s="13"/>
      <c r="C9" s="13"/>
      <c r="D9" s="20"/>
      <c r="E9" s="13"/>
      <c r="F9" s="13"/>
      <c r="G9" s="13"/>
      <c r="H9" s="13"/>
      <c r="I9" s="18" t="s">
        <v>5</v>
      </c>
      <c r="J9" s="13"/>
      <c r="K9" s="13"/>
      <c r="L9" s="13"/>
      <c r="N9" s="13"/>
      <c r="O9" s="13"/>
    </row>
    <row r="10" spans="1:15" ht="16.5" thickBot="1">
      <c r="A10" s="21" t="s">
        <v>6</v>
      </c>
      <c r="B10" s="13"/>
      <c r="C10" s="13"/>
      <c r="D10" s="13"/>
      <c r="E10" s="13"/>
      <c r="F10" s="13"/>
      <c r="G10" s="13"/>
      <c r="H10" s="13"/>
      <c r="I10" s="21" t="s">
        <v>7</v>
      </c>
      <c r="J10" s="13"/>
      <c r="K10" s="13"/>
      <c r="L10" s="13"/>
      <c r="N10" s="13"/>
      <c r="O10" s="13"/>
    </row>
    <row r="11" spans="1:15">
      <c r="A11" s="18">
        <v>1</v>
      </c>
      <c r="B11" s="13" t="s">
        <v>189</v>
      </c>
      <c r="C11" s="13"/>
      <c r="D11" s="22"/>
      <c r="E11" s="13"/>
      <c r="F11" s="13"/>
      <c r="G11" s="13"/>
      <c r="H11" s="13"/>
      <c r="I11" s="23">
        <f>+I108</f>
        <v>14752028.864866953</v>
      </c>
      <c r="J11" s="13"/>
      <c r="K11" s="13"/>
      <c r="L11" s="13"/>
      <c r="N11" s="13"/>
      <c r="O11" s="13"/>
    </row>
    <row r="12" spans="1:15">
      <c r="A12" s="18"/>
      <c r="B12" s="13"/>
      <c r="C12" s="13"/>
      <c r="D12" s="13"/>
      <c r="E12" s="13"/>
      <c r="F12" s="13"/>
      <c r="G12" s="13"/>
      <c r="H12" s="13"/>
      <c r="I12" s="22"/>
      <c r="J12" s="13"/>
      <c r="K12" s="13"/>
      <c r="L12" s="13"/>
      <c r="N12" s="13"/>
      <c r="O12" s="13"/>
    </row>
    <row r="13" spans="1:15" ht="16.5" thickBot="1">
      <c r="A13" s="18" t="s">
        <v>2</v>
      </c>
      <c r="B13" s="11" t="s">
        <v>8</v>
      </c>
      <c r="C13" s="17" t="s">
        <v>130</v>
      </c>
      <c r="D13" s="21" t="s">
        <v>9</v>
      </c>
      <c r="E13" s="17"/>
      <c r="F13" s="24" t="s">
        <v>10</v>
      </c>
      <c r="G13" s="24"/>
      <c r="H13" s="13"/>
      <c r="I13" s="22"/>
      <c r="J13" s="13"/>
      <c r="K13" s="13"/>
      <c r="L13" s="13"/>
      <c r="N13" s="13"/>
      <c r="O13" s="13"/>
    </row>
    <row r="14" spans="1:15">
      <c r="A14" s="18">
        <v>2</v>
      </c>
      <c r="B14" s="11" t="s">
        <v>11</v>
      </c>
      <c r="C14" s="17" t="s">
        <v>12</v>
      </c>
      <c r="D14" s="17">
        <f>I197</f>
        <v>20000</v>
      </c>
      <c r="E14" s="17"/>
      <c r="F14" s="17" t="s">
        <v>13</v>
      </c>
      <c r="G14" s="25">
        <f>I159</f>
        <v>0.93918611524451545</v>
      </c>
      <c r="H14" s="17"/>
      <c r="I14" s="17">
        <f>+G14*D14</f>
        <v>18783.722304890311</v>
      </c>
      <c r="J14" s="13"/>
      <c r="K14" s="13"/>
      <c r="N14" s="13"/>
      <c r="O14" s="13"/>
    </row>
    <row r="15" spans="1:15">
      <c r="A15" s="18">
        <v>3</v>
      </c>
      <c r="B15" s="11" t="s">
        <v>143</v>
      </c>
      <c r="C15" s="17" t="s">
        <v>14</v>
      </c>
      <c r="D15" s="17">
        <f>I204</f>
        <v>243000</v>
      </c>
      <c r="E15" s="17"/>
      <c r="F15" s="17" t="str">
        <f>+F14</f>
        <v>TP</v>
      </c>
      <c r="G15" s="25">
        <f>+G14</f>
        <v>0.93918611524451545</v>
      </c>
      <c r="H15" s="17"/>
      <c r="I15" s="17">
        <f>+G15*D15</f>
        <v>228222.22600441726</v>
      </c>
      <c r="J15" s="13"/>
      <c r="K15" s="13"/>
      <c r="N15" s="13"/>
      <c r="O15" s="13"/>
    </row>
    <row r="16" spans="1:15">
      <c r="A16" s="18">
        <v>4</v>
      </c>
      <c r="B16" s="11" t="s">
        <v>15</v>
      </c>
      <c r="C16" s="17"/>
      <c r="D16" s="107">
        <v>0</v>
      </c>
      <c r="E16" s="17"/>
      <c r="F16" s="17" t="s">
        <v>13</v>
      </c>
      <c r="G16" s="25">
        <f>+G14</f>
        <v>0.93918611524451545</v>
      </c>
      <c r="H16" s="17"/>
      <c r="I16" s="17">
        <f>+G16*D16</f>
        <v>0</v>
      </c>
      <c r="J16" s="13"/>
      <c r="K16" s="13"/>
      <c r="L16" s="26"/>
      <c r="N16" s="13"/>
      <c r="O16" s="13"/>
    </row>
    <row r="17" spans="1:15" ht="16.5" thickBot="1">
      <c r="A17" s="18">
        <v>5</v>
      </c>
      <c r="B17" s="11" t="s">
        <v>16</v>
      </c>
      <c r="C17" s="17"/>
      <c r="D17" s="107">
        <v>0</v>
      </c>
      <c r="E17" s="17"/>
      <c r="F17" s="17" t="s">
        <v>13</v>
      </c>
      <c r="G17" s="25">
        <f>+G14</f>
        <v>0.93918611524451545</v>
      </c>
      <c r="H17" s="17"/>
      <c r="I17" s="27">
        <f>+G17*D17</f>
        <v>0</v>
      </c>
      <c r="J17" s="13"/>
      <c r="K17" s="13"/>
      <c r="L17" s="26"/>
      <c r="N17" s="13"/>
      <c r="O17" s="13"/>
    </row>
    <row r="18" spans="1:15">
      <c r="A18" s="18">
        <v>6</v>
      </c>
      <c r="B18" s="11" t="s">
        <v>17</v>
      </c>
      <c r="C18" s="13"/>
      <c r="D18" s="28" t="s">
        <v>2</v>
      </c>
      <c r="E18" s="17"/>
      <c r="F18" s="17"/>
      <c r="G18" s="25"/>
      <c r="H18" s="17"/>
      <c r="I18" s="17">
        <f>SUM(I14:I17)</f>
        <v>247005.94830930757</v>
      </c>
      <c r="J18" s="13"/>
      <c r="K18" s="13"/>
      <c r="L18" s="13"/>
      <c r="N18" s="13"/>
      <c r="O18" s="13"/>
    </row>
    <row r="19" spans="1:15">
      <c r="A19" s="18"/>
      <c r="B19" s="11"/>
      <c r="C19" s="13"/>
      <c r="D19" s="28"/>
      <c r="E19" s="17"/>
      <c r="F19" s="17"/>
      <c r="G19" s="25"/>
      <c r="H19" s="17"/>
      <c r="I19" s="17"/>
      <c r="J19" s="13"/>
      <c r="K19" s="13"/>
      <c r="L19" s="13"/>
      <c r="N19" s="13"/>
      <c r="O19" s="13"/>
    </row>
    <row r="20" spans="1:15">
      <c r="A20" s="18" t="s">
        <v>236</v>
      </c>
      <c r="B20" s="11" t="s">
        <v>239</v>
      </c>
      <c r="C20" s="13"/>
      <c r="D20" s="28"/>
      <c r="E20" s="17"/>
      <c r="F20" s="17"/>
      <c r="G20" s="25"/>
      <c r="H20" s="17"/>
      <c r="I20" s="108">
        <v>0</v>
      </c>
      <c r="J20" s="13"/>
      <c r="K20" s="13"/>
      <c r="L20" s="13"/>
      <c r="N20" s="13"/>
      <c r="O20" s="13"/>
    </row>
    <row r="21" spans="1:15">
      <c r="A21" s="18" t="s">
        <v>237</v>
      </c>
      <c r="B21" s="11" t="s">
        <v>240</v>
      </c>
      <c r="C21" s="13"/>
      <c r="D21" s="28"/>
      <c r="E21" s="17"/>
      <c r="F21" s="17"/>
      <c r="G21" s="25"/>
      <c r="H21" s="17"/>
      <c r="I21" s="108">
        <v>0</v>
      </c>
      <c r="J21" s="13"/>
      <c r="K21" s="13"/>
      <c r="L21" s="13"/>
      <c r="N21" s="13"/>
      <c r="O21" s="13"/>
    </row>
    <row r="22" spans="1:15" ht="16.5" thickBot="1">
      <c r="A22" s="18" t="s">
        <v>238</v>
      </c>
      <c r="B22" s="11" t="s">
        <v>241</v>
      </c>
      <c r="C22" s="13"/>
      <c r="D22" s="28"/>
      <c r="E22" s="17"/>
      <c r="F22" s="17"/>
      <c r="G22" s="25"/>
      <c r="H22" s="17"/>
      <c r="I22" s="29">
        <f>I20+I21</f>
        <v>0</v>
      </c>
      <c r="J22" s="13"/>
      <c r="K22" s="13"/>
      <c r="L22" s="13"/>
      <c r="N22" s="13"/>
      <c r="O22" s="13"/>
    </row>
    <row r="23" spans="1:15">
      <c r="A23" s="18"/>
      <c r="B23" s="11"/>
      <c r="C23" s="13"/>
      <c r="D23" s="28"/>
      <c r="E23" s="17"/>
      <c r="F23" s="17"/>
      <c r="G23" s="25"/>
      <c r="H23" s="17"/>
      <c r="I23" s="17"/>
      <c r="J23" s="13"/>
      <c r="K23" s="13"/>
      <c r="L23" s="13"/>
      <c r="N23" s="13"/>
      <c r="O23" s="13"/>
    </row>
    <row r="24" spans="1:15" ht="16.5" thickBot="1">
      <c r="A24" s="18">
        <v>7</v>
      </c>
      <c r="B24" s="11" t="s">
        <v>18</v>
      </c>
      <c r="C24" s="13" t="s">
        <v>248</v>
      </c>
      <c r="D24" s="28" t="s">
        <v>2</v>
      </c>
      <c r="E24" s="17"/>
      <c r="F24" s="17"/>
      <c r="G24" s="17"/>
      <c r="H24" s="17"/>
      <c r="I24" s="30">
        <f>+I11-I18+I22</f>
        <v>14505022.916557645</v>
      </c>
      <c r="J24" s="13"/>
      <c r="K24" s="13"/>
      <c r="L24" s="13"/>
      <c r="N24" s="13"/>
      <c r="O24" s="13"/>
    </row>
    <row r="25" spans="1:15" ht="16.5" thickTop="1">
      <c r="A25" s="18"/>
      <c r="C25" s="13"/>
      <c r="D25" s="28"/>
      <c r="E25" s="17"/>
      <c r="F25" s="17"/>
      <c r="G25" s="17"/>
      <c r="H25" s="17"/>
      <c r="J25" s="13"/>
      <c r="K25" s="13"/>
      <c r="L25" s="13"/>
      <c r="N25" s="13"/>
      <c r="O25" s="13"/>
    </row>
    <row r="26" spans="1:15">
      <c r="A26" s="18" t="s">
        <v>2</v>
      </c>
      <c r="B26" s="11" t="s">
        <v>19</v>
      </c>
      <c r="C26" s="13"/>
      <c r="D26" s="22"/>
      <c r="E26" s="13"/>
      <c r="F26" s="13"/>
      <c r="G26" s="13"/>
      <c r="H26" s="13"/>
      <c r="I26" s="22"/>
      <c r="J26" s="13"/>
      <c r="K26" s="13"/>
      <c r="L26" s="13"/>
      <c r="N26" s="13"/>
      <c r="O26" s="13"/>
    </row>
    <row r="27" spans="1:15">
      <c r="A27" s="18">
        <v>8</v>
      </c>
      <c r="B27" s="11" t="s">
        <v>20</v>
      </c>
      <c r="D27" s="22"/>
      <c r="E27" s="13"/>
      <c r="F27" s="13"/>
      <c r="G27" s="13" t="s">
        <v>21</v>
      </c>
      <c r="H27" s="13"/>
      <c r="I27" s="107">
        <f>'JTS Peak'!C20*1000</f>
        <v>481226.66666666669</v>
      </c>
      <c r="J27" s="13"/>
      <c r="K27" s="13"/>
      <c r="L27" s="31"/>
      <c r="N27" s="13"/>
      <c r="O27" s="13"/>
    </row>
    <row r="28" spans="1:15">
      <c r="A28" s="18">
        <v>9</v>
      </c>
      <c r="B28" s="11" t="s">
        <v>22</v>
      </c>
      <c r="C28" s="17"/>
      <c r="D28" s="17"/>
      <c r="E28" s="17"/>
      <c r="F28" s="17"/>
      <c r="G28" s="17" t="s">
        <v>23</v>
      </c>
      <c r="H28" s="17"/>
      <c r="I28" s="107">
        <v>0</v>
      </c>
      <c r="J28" s="13"/>
      <c r="K28" s="13"/>
      <c r="L28" s="13"/>
      <c r="N28" s="13"/>
      <c r="O28" s="13"/>
    </row>
    <row r="29" spans="1:15">
      <c r="A29" s="18">
        <v>10</v>
      </c>
      <c r="B29" s="11" t="s">
        <v>24</v>
      </c>
      <c r="C29" s="13"/>
      <c r="D29" s="13"/>
      <c r="E29" s="13"/>
      <c r="F29" s="13"/>
      <c r="G29" s="13" t="s">
        <v>25</v>
      </c>
      <c r="H29" s="13"/>
      <c r="I29" s="107">
        <v>0</v>
      </c>
      <c r="J29" s="13"/>
      <c r="K29" s="13"/>
      <c r="L29" s="13"/>
      <c r="N29" s="13"/>
      <c r="O29" s="13"/>
    </row>
    <row r="30" spans="1:15">
      <c r="A30" s="18">
        <v>11</v>
      </c>
      <c r="B30" s="32" t="s">
        <v>26</v>
      </c>
      <c r="C30" s="13"/>
      <c r="D30" s="13"/>
      <c r="E30" s="13"/>
      <c r="F30" s="13"/>
      <c r="G30" s="13" t="s">
        <v>27</v>
      </c>
      <c r="H30" s="13"/>
      <c r="I30" s="107">
        <v>0</v>
      </c>
      <c r="J30" s="13"/>
      <c r="K30" s="13"/>
      <c r="L30" s="13"/>
      <c r="N30" s="13"/>
      <c r="O30" s="13"/>
    </row>
    <row r="31" spans="1:15">
      <c r="A31" s="18">
        <v>12</v>
      </c>
      <c r="B31" s="32" t="s">
        <v>28</v>
      </c>
      <c r="C31" s="13"/>
      <c r="D31" s="13"/>
      <c r="E31" s="13"/>
      <c r="F31" s="13"/>
      <c r="G31" s="13"/>
      <c r="H31" s="13"/>
      <c r="I31" s="107">
        <v>0</v>
      </c>
      <c r="J31" s="13"/>
      <c r="K31" s="13"/>
      <c r="L31" s="13"/>
      <c r="N31" s="13"/>
      <c r="O31" s="13"/>
    </row>
    <row r="32" spans="1:15">
      <c r="A32" s="18">
        <v>13</v>
      </c>
      <c r="B32" s="32" t="s">
        <v>155</v>
      </c>
      <c r="C32" s="13"/>
      <c r="D32" s="13"/>
      <c r="E32" s="13"/>
      <c r="F32" s="13"/>
      <c r="G32" s="13"/>
      <c r="H32" s="13"/>
      <c r="I32" s="109">
        <v>0</v>
      </c>
      <c r="J32" s="13"/>
      <c r="K32" s="13"/>
      <c r="L32" s="13"/>
      <c r="N32" s="13"/>
      <c r="O32" s="13"/>
    </row>
    <row r="33" spans="1:15" ht="16.5" thickBot="1">
      <c r="A33" s="18">
        <v>14</v>
      </c>
      <c r="B33" s="11" t="s">
        <v>124</v>
      </c>
      <c r="C33" s="13"/>
      <c r="D33" s="13"/>
      <c r="E33" s="13"/>
      <c r="F33" s="13"/>
      <c r="G33" s="13"/>
      <c r="H33" s="13"/>
      <c r="I33" s="110">
        <v>0</v>
      </c>
      <c r="J33" s="13"/>
      <c r="K33" s="13"/>
      <c r="L33" s="13"/>
      <c r="N33" s="13"/>
      <c r="O33" s="13"/>
    </row>
    <row r="34" spans="1:15">
      <c r="A34" s="18">
        <v>15</v>
      </c>
      <c r="B34" s="11" t="s">
        <v>157</v>
      </c>
      <c r="C34" s="13"/>
      <c r="D34" s="13"/>
      <c r="E34" s="13"/>
      <c r="F34" s="13"/>
      <c r="G34" s="13"/>
      <c r="H34" s="13"/>
      <c r="I34" s="22">
        <f>SUM(I27:I33)</f>
        <v>481226.66666666669</v>
      </c>
      <c r="J34" s="13"/>
      <c r="K34" s="13"/>
      <c r="L34" s="13"/>
      <c r="N34" s="13"/>
      <c r="O34" s="13"/>
    </row>
    <row r="35" spans="1:15">
      <c r="A35" s="18"/>
      <c r="B35" s="11"/>
      <c r="C35" s="13"/>
      <c r="D35" s="13"/>
      <c r="E35" s="13"/>
      <c r="F35" s="13"/>
      <c r="G35" s="13"/>
      <c r="H35" s="13"/>
      <c r="I35" s="22"/>
      <c r="J35" s="13"/>
      <c r="K35" s="13"/>
      <c r="L35" s="13"/>
      <c r="N35" s="13"/>
      <c r="O35" s="13"/>
    </row>
    <row r="36" spans="1:15">
      <c r="A36" s="18">
        <v>16</v>
      </c>
      <c r="B36" s="11" t="s">
        <v>29</v>
      </c>
      <c r="C36" s="13" t="s">
        <v>151</v>
      </c>
      <c r="D36" s="33">
        <f>IF(I34&gt;0,I24/I34,0)</f>
        <v>30.141768778173095</v>
      </c>
      <c r="E36" s="13"/>
      <c r="F36" s="13"/>
      <c r="G36" s="13"/>
      <c r="H36" s="13"/>
      <c r="J36" s="13"/>
      <c r="K36" s="13"/>
      <c r="L36" s="13"/>
      <c r="N36" s="13"/>
      <c r="O36" s="13"/>
    </row>
    <row r="37" spans="1:15">
      <c r="A37" s="18">
        <v>17</v>
      </c>
      <c r="B37" s="11" t="s">
        <v>156</v>
      </c>
      <c r="C37" s="13"/>
      <c r="D37" s="33">
        <f>+D36/12</f>
        <v>2.511814064847758</v>
      </c>
      <c r="E37" s="13"/>
      <c r="F37" s="13"/>
      <c r="G37" s="13"/>
      <c r="H37" s="13"/>
      <c r="J37" s="13"/>
      <c r="K37" s="13"/>
      <c r="L37" s="13"/>
      <c r="N37" s="13"/>
      <c r="O37" s="13"/>
    </row>
    <row r="38" spans="1:15">
      <c r="A38" s="18"/>
      <c r="B38" s="11"/>
      <c r="C38" s="13"/>
      <c r="D38" s="33"/>
      <c r="E38" s="13"/>
      <c r="F38" s="13"/>
      <c r="G38" s="13"/>
      <c r="H38" s="13"/>
      <c r="J38" s="13"/>
      <c r="K38" s="13"/>
      <c r="L38" s="13"/>
      <c r="N38" s="13"/>
      <c r="O38" s="13"/>
    </row>
    <row r="39" spans="1:15">
      <c r="A39" s="18"/>
      <c r="B39" s="11"/>
      <c r="C39" s="13"/>
      <c r="D39" s="34" t="s">
        <v>30</v>
      </c>
      <c r="E39" s="13"/>
      <c r="F39" s="13"/>
      <c r="G39" s="13"/>
      <c r="H39" s="13"/>
      <c r="I39" s="35" t="s">
        <v>31</v>
      </c>
      <c r="J39" s="13"/>
      <c r="K39" s="13"/>
      <c r="L39" s="13"/>
      <c r="N39" s="13"/>
      <c r="O39" s="13"/>
    </row>
    <row r="40" spans="1:15">
      <c r="A40" s="18">
        <v>18</v>
      </c>
      <c r="B40" s="11" t="s">
        <v>32</v>
      </c>
      <c r="C40" s="13" t="s">
        <v>152</v>
      </c>
      <c r="D40" s="33">
        <f>+D36/52</f>
        <v>0.57964939958025186</v>
      </c>
      <c r="E40" s="13"/>
      <c r="F40" s="13"/>
      <c r="G40" s="13"/>
      <c r="H40" s="13"/>
      <c r="I40" s="36">
        <f>+D36/52</f>
        <v>0.57964939958025186</v>
      </c>
      <c r="J40" s="13"/>
      <c r="K40" s="13"/>
      <c r="L40" s="13"/>
      <c r="N40" s="13"/>
      <c r="O40" s="13"/>
    </row>
    <row r="41" spans="1:15">
      <c r="A41" s="18">
        <v>19</v>
      </c>
      <c r="B41" s="11" t="s">
        <v>33</v>
      </c>
      <c r="C41" s="13" t="s">
        <v>190</v>
      </c>
      <c r="D41" s="33">
        <f>+D36/260</f>
        <v>0.11592987991605036</v>
      </c>
      <c r="E41" s="13" t="s">
        <v>34</v>
      </c>
      <c r="G41" s="13"/>
      <c r="H41" s="13"/>
      <c r="I41" s="36">
        <f>+D36/365</f>
        <v>8.2580188433350951E-2</v>
      </c>
      <c r="J41" s="13"/>
      <c r="K41" s="13"/>
      <c r="L41" s="13"/>
      <c r="N41" s="13"/>
      <c r="O41" s="13"/>
    </row>
    <row r="42" spans="1:15">
      <c r="A42" s="18">
        <v>20</v>
      </c>
      <c r="B42" s="11" t="s">
        <v>35</v>
      </c>
      <c r="C42" s="13" t="s">
        <v>191</v>
      </c>
      <c r="D42" s="33">
        <f>+D36/4160*1000</f>
        <v>7.2456174947531471</v>
      </c>
      <c r="E42" s="13" t="s">
        <v>36</v>
      </c>
      <c r="G42" s="13"/>
      <c r="H42" s="13"/>
      <c r="I42" s="36">
        <f>+D36/8760*1000</f>
        <v>3.4408411847229563</v>
      </c>
      <c r="J42" s="13"/>
      <c r="K42" s="13" t="s">
        <v>2</v>
      </c>
      <c r="L42" s="13"/>
      <c r="N42" s="13"/>
      <c r="O42" s="13"/>
    </row>
    <row r="43" spans="1:15">
      <c r="A43" s="18"/>
      <c r="B43" s="11"/>
      <c r="C43" s="13" t="s">
        <v>37</v>
      </c>
      <c r="D43" s="13"/>
      <c r="E43" s="13" t="s">
        <v>38</v>
      </c>
      <c r="G43" s="13"/>
      <c r="H43" s="13"/>
      <c r="J43" s="13"/>
      <c r="K43" s="13" t="s">
        <v>2</v>
      </c>
      <c r="L43" s="13"/>
      <c r="N43" s="13"/>
      <c r="O43" s="13"/>
    </row>
    <row r="44" spans="1:15">
      <c r="A44" s="18"/>
      <c r="B44" s="11"/>
      <c r="C44" s="13"/>
      <c r="D44" s="13"/>
      <c r="E44" s="13"/>
      <c r="G44" s="13"/>
      <c r="H44" s="13"/>
      <c r="J44" s="13"/>
      <c r="K44" s="13" t="s">
        <v>2</v>
      </c>
      <c r="L44" s="13"/>
      <c r="N44" s="13"/>
      <c r="O44" s="13"/>
    </row>
    <row r="45" spans="1:15">
      <c r="A45" s="18">
        <v>21</v>
      </c>
      <c r="B45" s="11" t="s">
        <v>158</v>
      </c>
      <c r="C45" s="13" t="s">
        <v>150</v>
      </c>
      <c r="D45" s="1">
        <f>'FERC Chgs'!G18</f>
        <v>321387.57</v>
      </c>
      <c r="E45" s="37" t="s">
        <v>39</v>
      </c>
      <c r="F45" s="37"/>
      <c r="G45" s="37"/>
      <c r="H45" s="37"/>
      <c r="I45" s="37">
        <f>D45</f>
        <v>321387.57</v>
      </c>
      <c r="J45" s="37" t="s">
        <v>39</v>
      </c>
      <c r="K45" s="13"/>
      <c r="L45" s="13"/>
      <c r="N45" s="13"/>
      <c r="O45" s="13"/>
    </row>
    <row r="46" spans="1:15">
      <c r="A46" s="18">
        <v>22</v>
      </c>
      <c r="B46" s="11"/>
      <c r="C46" s="13"/>
      <c r="D46" s="1">
        <v>0</v>
      </c>
      <c r="E46" s="37" t="s">
        <v>40</v>
      </c>
      <c r="F46" s="37"/>
      <c r="G46" s="37"/>
      <c r="H46" s="37"/>
      <c r="I46" s="37">
        <f>D46</f>
        <v>0</v>
      </c>
      <c r="J46" s="37" t="s">
        <v>40</v>
      </c>
      <c r="K46" s="13"/>
      <c r="L46" s="13"/>
      <c r="N46" s="13"/>
      <c r="O46" s="13"/>
    </row>
    <row r="47" spans="1:15" s="2" customFormat="1">
      <c r="A47" s="38"/>
      <c r="B47" s="39"/>
      <c r="C47" s="19"/>
      <c r="D47" s="40"/>
      <c r="E47" s="40"/>
      <c r="F47" s="40"/>
      <c r="G47" s="40"/>
      <c r="H47" s="40"/>
      <c r="I47" s="40"/>
      <c r="J47" s="40"/>
      <c r="K47" s="19"/>
      <c r="L47" s="19"/>
      <c r="N47" s="19"/>
      <c r="O47" s="19"/>
    </row>
    <row r="48" spans="1:15" s="2" customFormat="1">
      <c r="A48" s="38"/>
      <c r="B48" s="39"/>
      <c r="C48" s="19"/>
      <c r="D48" s="40"/>
      <c r="E48" s="40"/>
      <c r="F48" s="40"/>
      <c r="G48" s="40"/>
      <c r="H48" s="40"/>
      <c r="I48" s="40"/>
      <c r="J48" s="40"/>
      <c r="K48" s="19"/>
      <c r="L48" s="19"/>
      <c r="N48" s="19"/>
      <c r="O48" s="19"/>
    </row>
    <row r="49" spans="1:15" s="2" customFormat="1">
      <c r="A49" s="38"/>
      <c r="B49" s="39"/>
      <c r="C49" s="19"/>
      <c r="D49" s="40"/>
      <c r="E49" s="40"/>
      <c r="F49" s="40"/>
      <c r="G49" s="40"/>
      <c r="H49" s="40"/>
      <c r="I49" s="40"/>
      <c r="J49" s="40"/>
      <c r="K49" s="19"/>
      <c r="L49" s="19"/>
      <c r="N49" s="19"/>
      <c r="O49" s="19"/>
    </row>
    <row r="50" spans="1:15" s="2" customFormat="1">
      <c r="A50" s="38"/>
      <c r="B50" s="39"/>
      <c r="C50" s="19"/>
      <c r="D50" s="40"/>
      <c r="E50" s="40"/>
      <c r="F50" s="40"/>
      <c r="G50" s="40"/>
      <c r="H50" s="40"/>
      <c r="I50" s="40"/>
      <c r="J50" s="40"/>
      <c r="K50" s="19"/>
      <c r="L50" s="19"/>
      <c r="N50" s="19"/>
      <c r="O50" s="19"/>
    </row>
    <row r="51" spans="1:15" s="2" customFormat="1">
      <c r="A51" s="38"/>
      <c r="B51" s="39"/>
      <c r="C51" s="19"/>
      <c r="D51" s="40"/>
      <c r="E51" s="40"/>
      <c r="F51" s="40"/>
      <c r="G51" s="40"/>
      <c r="H51" s="40"/>
      <c r="I51" s="40"/>
      <c r="J51" s="40"/>
      <c r="K51" s="19"/>
      <c r="L51" s="19"/>
      <c r="N51" s="19"/>
      <c r="O51" s="19"/>
    </row>
    <row r="52" spans="1:15" s="2" customFormat="1">
      <c r="A52" s="38"/>
      <c r="B52" s="39"/>
      <c r="C52" s="19"/>
      <c r="D52" s="40"/>
      <c r="E52" s="40"/>
      <c r="F52" s="40"/>
      <c r="G52" s="40"/>
      <c r="H52" s="40"/>
      <c r="I52" s="40"/>
      <c r="J52" s="40"/>
      <c r="K52" s="19"/>
      <c r="L52" s="19"/>
      <c r="N52" s="19"/>
      <c r="O52" s="19"/>
    </row>
    <row r="53" spans="1:15" s="2" customFormat="1">
      <c r="A53" s="38"/>
      <c r="B53" s="39"/>
      <c r="C53" s="19"/>
      <c r="D53" s="40"/>
      <c r="E53" s="40"/>
      <c r="F53" s="40"/>
      <c r="G53" s="40"/>
      <c r="H53" s="40"/>
      <c r="I53" s="40"/>
      <c r="J53" s="40"/>
      <c r="K53" s="19"/>
      <c r="L53" s="19"/>
      <c r="N53" s="19"/>
      <c r="O53" s="19"/>
    </row>
    <row r="54" spans="1:15" s="2" customFormat="1">
      <c r="A54" s="38"/>
      <c r="B54" s="39"/>
      <c r="C54" s="19"/>
      <c r="D54" s="40"/>
      <c r="E54" s="40"/>
      <c r="F54" s="40"/>
      <c r="G54" s="40"/>
      <c r="H54" s="40"/>
      <c r="I54" s="40"/>
      <c r="J54" s="40"/>
      <c r="K54" s="19"/>
      <c r="L54" s="19"/>
      <c r="N54" s="19"/>
      <c r="O54" s="19"/>
    </row>
    <row r="55" spans="1:15" s="2" customFormat="1">
      <c r="A55" s="38"/>
      <c r="B55" s="39"/>
      <c r="C55" s="19"/>
      <c r="D55" s="40"/>
      <c r="E55" s="40"/>
      <c r="F55" s="40"/>
      <c r="G55" s="40"/>
      <c r="H55" s="40"/>
      <c r="I55" s="40"/>
      <c r="J55" s="40"/>
      <c r="K55" s="19"/>
      <c r="L55" s="19"/>
      <c r="N55" s="19"/>
      <c r="O55" s="19"/>
    </row>
    <row r="56" spans="1:15" s="2" customFormat="1">
      <c r="A56" s="38"/>
      <c r="B56" s="39"/>
      <c r="C56" s="19"/>
      <c r="D56" s="40"/>
      <c r="E56" s="40"/>
      <c r="F56" s="40"/>
      <c r="G56" s="40"/>
      <c r="H56" s="40"/>
      <c r="I56" s="40"/>
      <c r="J56" s="40"/>
      <c r="K56" s="19"/>
      <c r="L56" s="19"/>
      <c r="N56" s="19"/>
      <c r="O56" s="19"/>
    </row>
    <row r="57" spans="1:15" s="2" customFormat="1">
      <c r="A57" s="38"/>
      <c r="B57" s="39"/>
      <c r="C57" s="19"/>
      <c r="D57" s="40"/>
      <c r="E57" s="40"/>
      <c r="F57" s="40"/>
      <c r="G57" s="40"/>
      <c r="H57" s="40"/>
      <c r="I57" s="40"/>
      <c r="J57" s="40"/>
      <c r="K57" s="19"/>
      <c r="L57" s="19"/>
      <c r="N57" s="19"/>
      <c r="O57" s="19"/>
    </row>
    <row r="58" spans="1:15" s="2" customFormat="1">
      <c r="A58" s="38"/>
      <c r="B58" s="39"/>
      <c r="C58" s="19"/>
      <c r="D58" s="40"/>
      <c r="E58" s="40"/>
      <c r="F58" s="40"/>
      <c r="G58" s="40"/>
      <c r="H58" s="40"/>
      <c r="I58" s="40"/>
      <c r="J58" s="40"/>
      <c r="K58" s="19"/>
      <c r="L58" s="19"/>
      <c r="N58" s="19"/>
      <c r="O58" s="19"/>
    </row>
    <row r="59" spans="1:15" s="2" customFormat="1">
      <c r="A59" s="38"/>
      <c r="B59" s="39"/>
      <c r="C59" s="19"/>
      <c r="D59" s="40"/>
      <c r="E59" s="40"/>
      <c r="F59" s="40"/>
      <c r="G59" s="40"/>
      <c r="H59" s="40"/>
      <c r="I59" s="40"/>
      <c r="J59" s="40"/>
      <c r="K59" s="19"/>
      <c r="L59" s="19"/>
      <c r="N59" s="19"/>
      <c r="O59" s="19"/>
    </row>
    <row r="60" spans="1:15" s="2" customFormat="1">
      <c r="A60" s="38"/>
      <c r="B60" s="39"/>
      <c r="C60" s="19"/>
      <c r="D60" s="40"/>
      <c r="E60" s="40"/>
      <c r="F60" s="40"/>
      <c r="G60" s="40"/>
      <c r="H60" s="40"/>
      <c r="I60" s="40"/>
      <c r="J60" s="40"/>
      <c r="K60" s="19"/>
      <c r="L60" s="19"/>
      <c r="N60" s="19"/>
      <c r="O60" s="19"/>
    </row>
    <row r="61" spans="1:15" s="2" customFormat="1">
      <c r="A61" s="38"/>
      <c r="B61" s="39"/>
      <c r="C61" s="19"/>
      <c r="D61" s="40"/>
      <c r="E61" s="40"/>
      <c r="F61" s="40"/>
      <c r="G61" s="40"/>
      <c r="H61" s="40"/>
      <c r="I61" s="40"/>
      <c r="J61" s="40"/>
      <c r="K61" s="19"/>
      <c r="L61" s="19"/>
      <c r="N61" s="19"/>
      <c r="O61" s="19"/>
    </row>
    <row r="62" spans="1:15" s="2" customFormat="1">
      <c r="A62" s="38"/>
      <c r="B62" s="39"/>
      <c r="C62" s="19"/>
      <c r="D62" s="40"/>
      <c r="E62" s="40"/>
      <c r="F62" s="40"/>
      <c r="G62" s="40"/>
      <c r="H62" s="40"/>
      <c r="I62" s="40"/>
      <c r="J62" s="40"/>
      <c r="K62" s="19"/>
      <c r="L62" s="19"/>
      <c r="N62" s="19"/>
      <c r="O62" s="19"/>
    </row>
    <row r="63" spans="1:15" s="2" customFormat="1">
      <c r="A63" s="38"/>
      <c r="B63" s="39"/>
      <c r="C63" s="19"/>
      <c r="D63" s="40"/>
      <c r="E63" s="40"/>
      <c r="F63" s="40"/>
      <c r="G63" s="40"/>
      <c r="H63" s="40"/>
      <c r="I63" s="40"/>
      <c r="J63" s="40"/>
      <c r="K63" s="19"/>
      <c r="L63" s="19"/>
      <c r="N63" s="19"/>
      <c r="O63" s="19"/>
    </row>
    <row r="64" spans="1:15" s="2" customFormat="1">
      <c r="A64" s="38"/>
      <c r="B64" s="39"/>
      <c r="C64" s="19"/>
      <c r="D64" s="40"/>
      <c r="E64" s="40"/>
      <c r="F64" s="40"/>
      <c r="G64" s="40"/>
      <c r="H64" s="40"/>
      <c r="I64" s="40"/>
      <c r="J64" s="40"/>
      <c r="K64" s="19"/>
      <c r="L64" s="19"/>
      <c r="N64" s="19"/>
      <c r="O64" s="19"/>
    </row>
    <row r="65" spans="1:15" s="2" customFormat="1">
      <c r="A65" s="38"/>
      <c r="B65" s="39"/>
      <c r="C65" s="19"/>
      <c r="D65" s="40"/>
      <c r="E65" s="40"/>
      <c r="F65" s="40"/>
      <c r="G65" s="40"/>
      <c r="H65" s="40"/>
      <c r="I65" s="40"/>
      <c r="J65" s="40"/>
      <c r="K65" s="19"/>
      <c r="L65" s="19"/>
      <c r="N65" s="19"/>
      <c r="O65" s="19"/>
    </row>
    <row r="66" spans="1:15" s="2" customFormat="1">
      <c r="A66" s="38"/>
      <c r="B66" s="39"/>
      <c r="C66" s="19"/>
      <c r="D66" s="40"/>
      <c r="E66" s="40"/>
      <c r="F66" s="40"/>
      <c r="G66" s="40"/>
      <c r="H66" s="40"/>
      <c r="I66" s="40"/>
      <c r="J66" s="40"/>
      <c r="K66" s="10" t="s">
        <v>235</v>
      </c>
      <c r="L66" s="19"/>
      <c r="N66" s="19"/>
      <c r="O66" s="19"/>
    </row>
    <row r="67" spans="1:15">
      <c r="B67" s="11"/>
      <c r="C67" s="11"/>
      <c r="D67" s="12"/>
      <c r="E67" s="11"/>
      <c r="F67" s="11"/>
      <c r="G67" s="11"/>
      <c r="H67" s="13"/>
      <c r="I67" s="13"/>
      <c r="J67" s="13"/>
      <c r="K67" s="14" t="s">
        <v>137</v>
      </c>
      <c r="L67" s="13"/>
      <c r="N67" s="13"/>
      <c r="O67" s="13"/>
    </row>
    <row r="68" spans="1:15">
      <c r="B68" s="11"/>
      <c r="C68" s="11"/>
      <c r="D68" s="12"/>
      <c r="E68" s="11"/>
      <c r="F68" s="11"/>
      <c r="G68" s="11"/>
      <c r="H68" s="13"/>
      <c r="I68" s="13"/>
      <c r="J68" s="13"/>
      <c r="K68" s="14"/>
      <c r="L68" s="13"/>
      <c r="N68" s="13"/>
      <c r="O68" s="13"/>
    </row>
    <row r="69" spans="1:15">
      <c r="A69" s="18"/>
      <c r="B69" s="11" t="str">
        <f>B4</f>
        <v>Formula Rate - Cash Flow</v>
      </c>
      <c r="C69" s="17"/>
      <c r="D69" s="17" t="str">
        <f>D4</f>
        <v xml:space="preserve">   Rate Formula Template</v>
      </c>
      <c r="E69" s="17"/>
      <c r="F69" s="17"/>
      <c r="G69" s="17"/>
      <c r="H69" s="17"/>
      <c r="J69" s="17"/>
      <c r="K69" s="41" t="str">
        <f>K4</f>
        <v>For the 12 months ended 12/31/17</v>
      </c>
      <c r="L69" s="13"/>
      <c r="N69" s="17"/>
      <c r="O69" s="11"/>
    </row>
    <row r="70" spans="1:15">
      <c r="A70" s="18"/>
      <c r="B70" s="11"/>
      <c r="C70" s="17"/>
      <c r="D70" s="17" t="str">
        <f>D5</f>
        <v>Utilizing EIA Form 412 Data</v>
      </c>
      <c r="E70" s="17"/>
      <c r="F70" s="17"/>
      <c r="G70" s="17"/>
      <c r="H70" s="17"/>
      <c r="I70" s="17"/>
      <c r="J70" s="17"/>
      <c r="K70" s="17"/>
      <c r="L70" s="13"/>
      <c r="N70" s="17"/>
      <c r="O70" s="11"/>
    </row>
    <row r="71" spans="1:15">
      <c r="A71" s="18"/>
      <c r="C71" s="17"/>
      <c r="D71" s="17"/>
      <c r="E71" s="17"/>
      <c r="F71" s="17"/>
      <c r="G71" s="17"/>
      <c r="H71" s="17"/>
      <c r="I71" s="17"/>
      <c r="J71" s="17"/>
      <c r="K71" s="17"/>
      <c r="L71" s="13"/>
      <c r="N71" s="17"/>
      <c r="O71" s="11"/>
    </row>
    <row r="72" spans="1:15">
      <c r="A72" s="18"/>
      <c r="D72" s="9" t="str">
        <f>D7</f>
        <v>INDIANA MUNICIPAL POWER AGENCY</v>
      </c>
      <c r="J72" s="17"/>
      <c r="K72" s="17"/>
      <c r="L72" s="13"/>
      <c r="N72" s="17"/>
      <c r="O72" s="11"/>
    </row>
    <row r="73" spans="1:15">
      <c r="A73" s="18"/>
      <c r="B73" s="18" t="s">
        <v>41</v>
      </c>
      <c r="C73" s="18" t="s">
        <v>42</v>
      </c>
      <c r="D73" s="18" t="s">
        <v>43</v>
      </c>
      <c r="E73" s="17" t="s">
        <v>2</v>
      </c>
      <c r="F73" s="17"/>
      <c r="G73" s="42" t="s">
        <v>44</v>
      </c>
      <c r="H73" s="17"/>
      <c r="I73" s="43" t="s">
        <v>45</v>
      </c>
      <c r="J73" s="17"/>
      <c r="K73" s="17"/>
      <c r="L73" s="11"/>
      <c r="N73" s="17"/>
      <c r="O73" s="11"/>
    </row>
    <row r="74" spans="1:15">
      <c r="A74" s="18" t="s">
        <v>4</v>
      </c>
      <c r="B74" s="11"/>
      <c r="C74" s="44" t="s">
        <v>46</v>
      </c>
      <c r="D74" s="17"/>
      <c r="E74" s="17"/>
      <c r="F74" s="17"/>
      <c r="G74" s="18"/>
      <c r="H74" s="17"/>
      <c r="I74" s="45" t="s">
        <v>47</v>
      </c>
      <c r="J74" s="17"/>
      <c r="K74" s="45"/>
      <c r="L74" s="11"/>
      <c r="N74" s="17"/>
      <c r="O74" s="11"/>
    </row>
    <row r="75" spans="1:15" ht="16.5" thickBot="1">
      <c r="A75" s="21" t="s">
        <v>6</v>
      </c>
      <c r="B75" s="11"/>
      <c r="C75" s="46" t="s">
        <v>48</v>
      </c>
      <c r="D75" s="45" t="s">
        <v>49</v>
      </c>
      <c r="E75" s="47"/>
      <c r="F75" s="505" t="s">
        <v>10</v>
      </c>
      <c r="G75" s="505"/>
      <c r="H75" s="47"/>
      <c r="I75" s="18" t="s">
        <v>50</v>
      </c>
      <c r="J75" s="17"/>
      <c r="K75" s="45"/>
      <c r="L75" s="11"/>
      <c r="N75" s="17"/>
      <c r="O75" s="11"/>
    </row>
    <row r="76" spans="1:15">
      <c r="A76" s="18"/>
      <c r="B76" s="11" t="s">
        <v>216</v>
      </c>
      <c r="C76" s="17"/>
      <c r="D76" s="17"/>
      <c r="E76" s="17"/>
      <c r="F76" s="17"/>
      <c r="G76" s="17"/>
      <c r="H76" s="17"/>
      <c r="I76" s="17"/>
      <c r="J76" s="17"/>
      <c r="K76" s="17"/>
      <c r="L76" s="11"/>
      <c r="N76" s="17"/>
      <c r="O76" s="11"/>
    </row>
    <row r="77" spans="1:15">
      <c r="A77" s="18">
        <v>1</v>
      </c>
      <c r="B77" s="11" t="s">
        <v>51</v>
      </c>
      <c r="C77" s="9" t="s">
        <v>192</v>
      </c>
      <c r="D77" s="111">
        <f>'Op &amp; Maint'!F21</f>
        <v>42355487.239999995</v>
      </c>
      <c r="E77" s="17"/>
      <c r="F77" s="17" t="s">
        <v>52</v>
      </c>
      <c r="G77" s="49">
        <f>I168</f>
        <v>0.91763308956817413</v>
      </c>
      <c r="H77" s="17"/>
      <c r="I77" s="17">
        <f t="shared" ref="I77:I85" si="0">+G77*D77</f>
        <v>38866796.616206571</v>
      </c>
      <c r="J77" s="13"/>
      <c r="K77" s="17"/>
      <c r="L77" s="11"/>
      <c r="N77" s="18"/>
      <c r="O77" s="17" t="s">
        <v>2</v>
      </c>
    </row>
    <row r="78" spans="1:15">
      <c r="A78" s="38" t="s">
        <v>141</v>
      </c>
      <c r="B78" s="39" t="s">
        <v>160</v>
      </c>
      <c r="C78" s="2"/>
      <c r="D78" s="111">
        <v>0</v>
      </c>
      <c r="E78" s="17"/>
      <c r="F78" s="50"/>
      <c r="G78" s="49">
        <v>1</v>
      </c>
      <c r="H78" s="17"/>
      <c r="I78" s="17">
        <f>+G78*D78</f>
        <v>0</v>
      </c>
      <c r="J78" s="13"/>
      <c r="K78" s="17"/>
      <c r="L78" s="11"/>
      <c r="N78" s="18"/>
      <c r="O78" s="17"/>
    </row>
    <row r="79" spans="1:15">
      <c r="A79" s="18">
        <v>2</v>
      </c>
      <c r="B79" s="11" t="s">
        <v>53</v>
      </c>
      <c r="C79" s="9" t="s">
        <v>2</v>
      </c>
      <c r="D79" s="111">
        <f>SUMIF('Trial Balance'!$C$520:$C$1517,"****-***-****-**-565",'Trial Balance'!$E$520:$E$1517)</f>
        <v>37380882.149999999</v>
      </c>
      <c r="E79" s="17"/>
      <c r="F79" s="17" t="s">
        <v>52</v>
      </c>
      <c r="G79" s="49">
        <f>+G77</f>
        <v>0.91763308956817413</v>
      </c>
      <c r="H79" s="17"/>
      <c r="I79" s="17">
        <f t="shared" si="0"/>
        <v>34301934.37808831</v>
      </c>
      <c r="J79" s="13"/>
      <c r="K79" s="17"/>
      <c r="L79" s="11"/>
      <c r="N79" s="18"/>
      <c r="O79" s="17"/>
    </row>
    <row r="80" spans="1:15">
      <c r="A80" s="18">
        <v>3</v>
      </c>
      <c r="B80" s="11" t="s">
        <v>55</v>
      </c>
      <c r="C80" s="9" t="s">
        <v>193</v>
      </c>
      <c r="D80" s="111">
        <f>'Op &amp; Maint'!F29</f>
        <v>9340535.4499999974</v>
      </c>
      <c r="E80" s="17"/>
      <c r="F80" s="17" t="s">
        <v>56</v>
      </c>
      <c r="G80" s="49">
        <f>I175</f>
        <v>9.3060000000000004E-2</v>
      </c>
      <c r="H80" s="17"/>
      <c r="I80" s="17">
        <f t="shared" si="0"/>
        <v>869230.22897699976</v>
      </c>
      <c r="J80" s="17"/>
      <c r="K80" s="17" t="s">
        <v>2</v>
      </c>
      <c r="L80" s="11"/>
      <c r="N80" s="18"/>
      <c r="O80" s="11"/>
    </row>
    <row r="81" spans="1:15">
      <c r="A81" s="18">
        <v>4</v>
      </c>
      <c r="B81" s="11" t="s">
        <v>57</v>
      </c>
      <c r="C81" s="17"/>
      <c r="D81" s="111">
        <v>0</v>
      </c>
      <c r="E81" s="17"/>
      <c r="F81" s="17" t="str">
        <f>+F80</f>
        <v>W/S</v>
      </c>
      <c r="G81" s="49">
        <f>G80</f>
        <v>9.3060000000000004E-2</v>
      </c>
      <c r="H81" s="17"/>
      <c r="I81" s="17">
        <f t="shared" si="0"/>
        <v>0</v>
      </c>
      <c r="J81" s="17"/>
      <c r="K81" s="17"/>
      <c r="L81" s="11"/>
      <c r="N81" s="18"/>
      <c r="O81" s="11"/>
    </row>
    <row r="82" spans="1:15">
      <c r="A82" s="18">
        <v>5</v>
      </c>
      <c r="B82" s="11" t="s">
        <v>159</v>
      </c>
      <c r="C82" s="17"/>
      <c r="D82" s="111">
        <v>0</v>
      </c>
      <c r="E82" s="17"/>
      <c r="F82" s="17" t="str">
        <f>+F81</f>
        <v>W/S</v>
      </c>
      <c r="G82" s="49">
        <f>G81</f>
        <v>9.3060000000000004E-2</v>
      </c>
      <c r="H82" s="17"/>
      <c r="I82" s="17">
        <f t="shared" si="0"/>
        <v>0</v>
      </c>
      <c r="J82" s="17"/>
      <c r="K82" s="17"/>
      <c r="L82" s="11"/>
      <c r="N82" s="18"/>
      <c r="O82" s="11"/>
    </row>
    <row r="83" spans="1:15">
      <c r="A83" s="18" t="s">
        <v>131</v>
      </c>
      <c r="B83" s="11" t="s">
        <v>161</v>
      </c>
      <c r="C83" s="17"/>
      <c r="D83" s="111">
        <v>0</v>
      </c>
      <c r="E83" s="17"/>
      <c r="F83" s="17" t="str">
        <f>+F77</f>
        <v>TE</v>
      </c>
      <c r="G83" s="49">
        <f>+G77</f>
        <v>0.91763308956817413</v>
      </c>
      <c r="H83" s="17"/>
      <c r="I83" s="17">
        <f t="shared" si="0"/>
        <v>0</v>
      </c>
      <c r="J83" s="17"/>
      <c r="K83" s="17"/>
      <c r="L83" s="11"/>
      <c r="N83" s="18"/>
      <c r="O83" s="11"/>
    </row>
    <row r="84" spans="1:15">
      <c r="A84" s="18">
        <v>6</v>
      </c>
      <c r="B84" s="11" t="s">
        <v>58</v>
      </c>
      <c r="C84" s="17"/>
      <c r="D84" s="111">
        <v>0</v>
      </c>
      <c r="E84" s="17"/>
      <c r="F84" s="17" t="s">
        <v>59</v>
      </c>
      <c r="G84" s="49">
        <f>K179</f>
        <v>9.3060000000000004E-2</v>
      </c>
      <c r="H84" s="17"/>
      <c r="I84" s="17">
        <f t="shared" si="0"/>
        <v>0</v>
      </c>
      <c r="J84" s="17"/>
      <c r="K84" s="17"/>
      <c r="L84" s="11"/>
      <c r="N84" s="18"/>
      <c r="O84" s="11"/>
    </row>
    <row r="85" spans="1:15" ht="16.5" thickBot="1">
      <c r="A85" s="18">
        <v>7</v>
      </c>
      <c r="B85" s="11" t="s">
        <v>60</v>
      </c>
      <c r="C85" s="17"/>
      <c r="D85" s="112">
        <v>0</v>
      </c>
      <c r="E85" s="17"/>
      <c r="F85" s="17"/>
      <c r="G85" s="49">
        <v>1</v>
      </c>
      <c r="H85" s="17"/>
      <c r="I85" s="27">
        <f t="shared" si="0"/>
        <v>0</v>
      </c>
      <c r="J85" s="17"/>
      <c r="K85" s="17"/>
      <c r="L85" s="11"/>
      <c r="N85" s="18"/>
      <c r="O85" s="11"/>
    </row>
    <row r="86" spans="1:15">
      <c r="A86" s="38">
        <v>8</v>
      </c>
      <c r="B86" s="39" t="s">
        <v>194</v>
      </c>
      <c r="C86" s="6"/>
      <c r="D86" s="6">
        <f>+D77-D79+D80-D81-D82+D83+D84+D85-D78</f>
        <v>14315140.539999994</v>
      </c>
      <c r="E86" s="6"/>
      <c r="F86" s="6"/>
      <c r="G86" s="6"/>
      <c r="H86" s="6"/>
      <c r="I86" s="6">
        <f>+I77-I79+I80-I81-I82+I83+I84+I85-I78</f>
        <v>5434092.4670952605</v>
      </c>
      <c r="J86" s="6"/>
      <c r="K86" s="6"/>
      <c r="L86" s="6"/>
      <c r="M86" s="2"/>
      <c r="N86" s="51"/>
      <c r="O86" s="39"/>
    </row>
    <row r="87" spans="1:15">
      <c r="A87" s="18"/>
      <c r="C87" s="17"/>
      <c r="E87" s="17"/>
      <c r="F87" s="17"/>
      <c r="G87" s="17"/>
      <c r="H87" s="17"/>
      <c r="J87" s="17"/>
      <c r="K87" s="17"/>
      <c r="L87" s="11"/>
      <c r="N87" s="17"/>
      <c r="O87" s="11"/>
    </row>
    <row r="88" spans="1:15">
      <c r="A88" s="18"/>
      <c r="B88" s="11" t="s">
        <v>61</v>
      </c>
      <c r="C88" s="17"/>
      <c r="D88" s="17"/>
      <c r="E88" s="17"/>
      <c r="F88" s="17"/>
      <c r="G88" s="17"/>
      <c r="H88" s="17"/>
      <c r="I88" s="17"/>
      <c r="J88" s="17"/>
      <c r="K88" s="17"/>
      <c r="L88" s="11"/>
      <c r="N88" s="17"/>
      <c r="O88" s="11"/>
    </row>
    <row r="89" spans="1:15">
      <c r="A89" s="18">
        <v>9</v>
      </c>
      <c r="B89" s="11" t="s">
        <v>62</v>
      </c>
      <c r="C89" s="9" t="s">
        <v>2</v>
      </c>
      <c r="D89" s="111">
        <f>'Trial Balance'!H1435</f>
        <v>82450695.629999995</v>
      </c>
      <c r="E89" s="17"/>
      <c r="F89" s="17" t="s">
        <v>63</v>
      </c>
      <c r="G89" s="49">
        <f>G150</f>
        <v>9.3055675481229769E-2</v>
      </c>
      <c r="H89" s="17"/>
      <c r="I89" s="17">
        <f>+G89*D89</f>
        <v>7672505.1757469289</v>
      </c>
      <c r="J89" s="17"/>
      <c r="K89" s="52"/>
      <c r="L89" s="11"/>
      <c r="N89" s="18"/>
      <c r="O89" s="17" t="s">
        <v>2</v>
      </c>
    </row>
    <row r="90" spans="1:15" ht="16.5" thickBot="1">
      <c r="A90" s="18">
        <v>10</v>
      </c>
      <c r="B90" s="11" t="s">
        <v>217</v>
      </c>
      <c r="D90" s="112">
        <f>'Trial Balance'!E1437</f>
        <v>-8629053.2799999993</v>
      </c>
      <c r="E90" s="17"/>
      <c r="F90" s="17" t="s">
        <v>63</v>
      </c>
      <c r="G90" s="49">
        <f>G150</f>
        <v>9.3055675481229769E-2</v>
      </c>
      <c r="H90" s="17"/>
      <c r="I90" s="27">
        <f>+G90*D90</f>
        <v>-802982.38173392124</v>
      </c>
      <c r="J90" s="17"/>
      <c r="K90" s="52"/>
      <c r="L90" s="11"/>
      <c r="N90" s="18"/>
      <c r="O90" s="17" t="s">
        <v>2</v>
      </c>
    </row>
    <row r="91" spans="1:15">
      <c r="A91" s="18">
        <v>11</v>
      </c>
      <c r="B91" s="11" t="s">
        <v>162</v>
      </c>
      <c r="C91" s="17"/>
      <c r="D91" s="17">
        <f>SUM(D89:D90)</f>
        <v>73821642.349999994</v>
      </c>
      <c r="E91" s="17"/>
      <c r="F91" s="17"/>
      <c r="G91" s="17"/>
      <c r="H91" s="17"/>
      <c r="I91" s="17">
        <f>SUM(I89:I90)</f>
        <v>6869522.7940130075</v>
      </c>
      <c r="J91" s="17"/>
      <c r="K91" s="17"/>
      <c r="L91" s="11"/>
      <c r="N91" s="17"/>
      <c r="O91" s="11"/>
    </row>
    <row r="92" spans="1:15">
      <c r="A92" s="18"/>
      <c r="B92" s="11"/>
      <c r="C92" s="17"/>
      <c r="D92" s="17"/>
      <c r="E92" s="17"/>
      <c r="F92" s="17"/>
      <c r="G92" s="17"/>
      <c r="H92" s="17"/>
      <c r="I92" s="17"/>
      <c r="J92" s="17"/>
      <c r="K92" s="17"/>
      <c r="L92" s="11"/>
      <c r="N92" s="17"/>
      <c r="O92" s="11"/>
    </row>
    <row r="93" spans="1:15">
      <c r="A93" s="18" t="s">
        <v>2</v>
      </c>
      <c r="B93" s="11" t="s">
        <v>163</v>
      </c>
      <c r="D93" s="17"/>
      <c r="E93" s="17"/>
      <c r="F93" s="17"/>
      <c r="G93" s="17"/>
      <c r="H93" s="17"/>
      <c r="I93" s="17"/>
      <c r="J93" s="17"/>
      <c r="K93" s="17"/>
      <c r="L93" s="11"/>
      <c r="N93" s="17"/>
      <c r="O93" s="11"/>
    </row>
    <row r="94" spans="1:15">
      <c r="A94" s="18"/>
      <c r="B94" s="11" t="s">
        <v>64</v>
      </c>
      <c r="E94" s="17"/>
      <c r="F94" s="17"/>
      <c r="H94" s="17"/>
      <c r="J94" s="17"/>
      <c r="K94" s="52"/>
      <c r="L94" s="11"/>
      <c r="N94" s="18"/>
      <c r="O94" s="11"/>
    </row>
    <row r="95" spans="1:15">
      <c r="A95" s="18">
        <v>12</v>
      </c>
      <c r="B95" s="11" t="s">
        <v>65</v>
      </c>
      <c r="C95" s="17"/>
      <c r="D95" s="111">
        <v>0</v>
      </c>
      <c r="E95" s="17"/>
      <c r="F95" s="17" t="s">
        <v>56</v>
      </c>
      <c r="G95" s="25">
        <f>G80</f>
        <v>9.3060000000000004E-2</v>
      </c>
      <c r="H95" s="17"/>
      <c r="I95" s="17">
        <f>+G95*D95</f>
        <v>0</v>
      </c>
      <c r="J95" s="17"/>
      <c r="K95" s="52"/>
      <c r="L95" s="11"/>
      <c r="N95" s="18"/>
      <c r="O95" s="11"/>
    </row>
    <row r="96" spans="1:15">
      <c r="A96" s="18">
        <v>13</v>
      </c>
      <c r="B96" s="11" t="s">
        <v>66</v>
      </c>
      <c r="C96" s="17"/>
      <c r="D96" s="111">
        <v>0</v>
      </c>
      <c r="E96" s="17"/>
      <c r="F96" s="17" t="str">
        <f>+F95</f>
        <v>W/S</v>
      </c>
      <c r="G96" s="25">
        <f>G80</f>
        <v>9.3060000000000004E-2</v>
      </c>
      <c r="H96" s="17"/>
      <c r="I96" s="17">
        <f>+G96*D96</f>
        <v>0</v>
      </c>
      <c r="J96" s="17"/>
      <c r="K96" s="52"/>
      <c r="L96" s="11"/>
      <c r="N96" s="18"/>
      <c r="O96" s="11"/>
    </row>
    <row r="97" spans="1:15">
      <c r="A97" s="18">
        <v>14</v>
      </c>
      <c r="B97" s="11" t="s">
        <v>67</v>
      </c>
      <c r="C97" s="17"/>
      <c r="E97" s="17"/>
      <c r="F97" s="17"/>
      <c r="H97" s="17"/>
      <c r="J97" s="17"/>
      <c r="K97" s="52"/>
      <c r="L97" s="11"/>
      <c r="N97" s="18"/>
      <c r="O97" s="11"/>
    </row>
    <row r="98" spans="1:15">
      <c r="A98" s="18">
        <v>15</v>
      </c>
      <c r="B98" s="11" t="s">
        <v>68</v>
      </c>
      <c r="C98" s="17"/>
      <c r="D98" s="111">
        <v>0</v>
      </c>
      <c r="E98" s="17"/>
      <c r="F98" s="17" t="s">
        <v>63</v>
      </c>
      <c r="G98" s="25">
        <f>G150</f>
        <v>9.3055675481229769E-2</v>
      </c>
      <c r="H98" s="17"/>
      <c r="I98" s="17">
        <f>+G98*D98</f>
        <v>0</v>
      </c>
      <c r="J98" s="17"/>
      <c r="K98" s="52"/>
      <c r="L98" s="11"/>
      <c r="N98" s="18"/>
      <c r="O98" s="11"/>
    </row>
    <row r="99" spans="1:15">
      <c r="A99" s="18">
        <v>16</v>
      </c>
      <c r="B99" s="11" t="s">
        <v>69</v>
      </c>
      <c r="C99" s="17"/>
      <c r="D99" s="111">
        <v>0</v>
      </c>
      <c r="E99" s="17"/>
      <c r="F99" s="17"/>
      <c r="G99" s="25" t="s">
        <v>135</v>
      </c>
      <c r="H99" s="17"/>
      <c r="I99" s="17">
        <v>0</v>
      </c>
      <c r="J99" s="17"/>
      <c r="K99" s="52"/>
      <c r="L99" s="11"/>
      <c r="N99" s="18"/>
      <c r="O99" s="11"/>
    </row>
    <row r="100" spans="1:15">
      <c r="A100" s="18">
        <v>17</v>
      </c>
      <c r="B100" s="11" t="s">
        <v>70</v>
      </c>
      <c r="C100" s="17"/>
      <c r="D100" s="111">
        <v>0</v>
      </c>
      <c r="E100" s="17"/>
      <c r="F100" s="17" t="str">
        <f>+F98</f>
        <v>GP</v>
      </c>
      <c r="G100" s="25">
        <f>+G98</f>
        <v>9.3055675481229769E-2</v>
      </c>
      <c r="H100" s="17"/>
      <c r="I100" s="17">
        <f>+G100*D100</f>
        <v>0</v>
      </c>
      <c r="J100" s="17"/>
      <c r="K100" s="52"/>
      <c r="L100" s="11"/>
      <c r="N100" s="18"/>
      <c r="O100" s="11"/>
    </row>
    <row r="101" spans="1:15" ht="16.5" thickBot="1">
      <c r="A101" s="18">
        <v>18</v>
      </c>
      <c r="B101" s="11" t="s">
        <v>71</v>
      </c>
      <c r="C101" s="17"/>
      <c r="D101" s="112">
        <f>Taxes!C8</f>
        <v>3153616.0900000003</v>
      </c>
      <c r="E101" s="17"/>
      <c r="F101" s="17" t="s">
        <v>63</v>
      </c>
      <c r="G101" s="25">
        <f>G100</f>
        <v>9.3055675481229769E-2</v>
      </c>
      <c r="H101" s="17"/>
      <c r="I101" s="27">
        <f>+G101*D101</f>
        <v>293461.87546342472</v>
      </c>
      <c r="J101" s="17"/>
      <c r="K101" s="52"/>
      <c r="L101" s="11"/>
      <c r="N101" s="18"/>
      <c r="O101" s="11"/>
    </row>
    <row r="102" spans="1:15">
      <c r="A102" s="18">
        <v>19</v>
      </c>
      <c r="B102" s="11" t="s">
        <v>195</v>
      </c>
      <c r="C102" s="17"/>
      <c r="D102" s="17">
        <f>SUM(D95:D101)</f>
        <v>3153616.0900000003</v>
      </c>
      <c r="E102" s="17"/>
      <c r="F102" s="17"/>
      <c r="G102" s="25"/>
      <c r="H102" s="17"/>
      <c r="I102" s="17">
        <f>SUM(I95:I101)</f>
        <v>293461.87546342472</v>
      </c>
      <c r="J102" s="17"/>
      <c r="K102" s="17"/>
      <c r="L102" s="11"/>
      <c r="N102" s="17"/>
      <c r="O102" s="11"/>
    </row>
    <row r="103" spans="1:15">
      <c r="A103" s="18"/>
      <c r="B103" s="11"/>
      <c r="C103" s="17"/>
      <c r="D103" s="17"/>
      <c r="E103" s="17"/>
      <c r="F103" s="17"/>
      <c r="G103" s="25"/>
      <c r="H103" s="17"/>
      <c r="I103" s="17"/>
      <c r="J103" s="17"/>
      <c r="K103" s="17"/>
      <c r="L103" s="11"/>
      <c r="N103" s="17"/>
      <c r="O103" s="11"/>
    </row>
    <row r="104" spans="1:15" ht="16.5" thickBot="1">
      <c r="A104" s="18">
        <v>20</v>
      </c>
      <c r="B104" s="11" t="s">
        <v>196</v>
      </c>
      <c r="C104" s="17"/>
      <c r="D104" s="27">
        <f>D86+D91+D102</f>
        <v>91290398.979999989</v>
      </c>
      <c r="E104" s="17"/>
      <c r="F104" s="17"/>
      <c r="G104" s="25"/>
      <c r="H104" s="17"/>
      <c r="I104" s="27">
        <f>I86+I91+I102</f>
        <v>12597077.136571692</v>
      </c>
      <c r="J104" s="17"/>
      <c r="K104" s="17"/>
      <c r="L104" s="11"/>
      <c r="N104" s="17"/>
      <c r="O104" s="11"/>
    </row>
    <row r="105" spans="1:15">
      <c r="A105" s="18" t="s">
        <v>2</v>
      </c>
      <c r="C105" s="53"/>
      <c r="D105" s="17"/>
      <c r="E105" s="17"/>
      <c r="F105" s="17"/>
      <c r="G105" s="25"/>
      <c r="H105" s="17"/>
      <c r="I105" s="17"/>
      <c r="J105" s="17"/>
      <c r="K105" s="17"/>
      <c r="L105" s="11"/>
      <c r="N105" s="17"/>
      <c r="O105" s="11"/>
    </row>
    <row r="106" spans="1:15">
      <c r="A106" s="18">
        <v>21</v>
      </c>
      <c r="B106" s="11" t="s">
        <v>72</v>
      </c>
      <c r="D106" s="111">
        <f>'Income Statement'!C31</f>
        <v>23157660.370000064</v>
      </c>
      <c r="E106" s="17"/>
      <c r="F106" s="17" t="s">
        <v>63</v>
      </c>
      <c r="G106" s="54">
        <f>+G98</f>
        <v>9.3055675481229769E-2</v>
      </c>
      <c r="H106" s="17"/>
      <c r="I106" s="6">
        <f>+D106*G106</f>
        <v>2154951.7282952615</v>
      </c>
      <c r="J106" s="17"/>
      <c r="K106" s="52"/>
      <c r="L106" s="11"/>
      <c r="N106" s="18"/>
      <c r="O106" s="17"/>
    </row>
    <row r="107" spans="1:15">
      <c r="A107" s="18"/>
      <c r="B107" s="11"/>
      <c r="D107" s="55"/>
      <c r="E107" s="17"/>
      <c r="F107" s="17"/>
      <c r="G107" s="54"/>
      <c r="H107" s="17"/>
      <c r="I107" s="55"/>
      <c r="J107" s="17"/>
      <c r="K107" s="52"/>
      <c r="L107" s="11"/>
      <c r="N107" s="18"/>
      <c r="O107" s="17"/>
    </row>
    <row r="108" spans="1:15">
      <c r="A108" s="18">
        <v>22</v>
      </c>
      <c r="B108" s="11" t="s">
        <v>197</v>
      </c>
      <c r="C108" s="17"/>
      <c r="D108" s="55">
        <f>+D104+D106</f>
        <v>114448059.35000005</v>
      </c>
      <c r="E108" s="17"/>
      <c r="F108" s="17"/>
      <c r="G108" s="17"/>
      <c r="H108" s="17"/>
      <c r="I108" s="55">
        <f>+I104+I106</f>
        <v>14752028.864866953</v>
      </c>
      <c r="J108" s="13"/>
      <c r="K108" s="13"/>
      <c r="L108" s="11"/>
      <c r="N108" s="13"/>
      <c r="O108" s="11"/>
    </row>
    <row r="109" spans="1:15">
      <c r="A109" s="18"/>
      <c r="B109" s="11"/>
      <c r="C109" s="17"/>
      <c r="D109" s="55"/>
      <c r="E109" s="17"/>
      <c r="F109" s="17"/>
      <c r="G109" s="17"/>
      <c r="H109" s="17"/>
      <c r="I109" s="55"/>
      <c r="J109" s="13"/>
      <c r="K109" s="13"/>
      <c r="L109" s="11"/>
      <c r="N109" s="13"/>
      <c r="O109" s="11"/>
    </row>
    <row r="110" spans="1:15">
      <c r="A110" s="18">
        <v>23</v>
      </c>
      <c r="B110" s="39" t="s">
        <v>232</v>
      </c>
      <c r="C110" s="6"/>
      <c r="D110" s="111"/>
      <c r="J110" s="13"/>
      <c r="K110" s="13"/>
      <c r="L110" s="11"/>
      <c r="N110" s="13"/>
      <c r="O110" s="11"/>
    </row>
    <row r="111" spans="1:15">
      <c r="A111" s="18"/>
      <c r="B111" s="11" t="s">
        <v>164</v>
      </c>
      <c r="C111" s="17"/>
      <c r="J111" s="13"/>
      <c r="K111" s="13"/>
      <c r="L111" s="11"/>
      <c r="N111" s="13"/>
      <c r="O111" s="11"/>
    </row>
    <row r="112" spans="1:15">
      <c r="A112" s="18"/>
      <c r="B112" s="11" t="s">
        <v>165</v>
      </c>
      <c r="C112" s="17"/>
      <c r="D112" s="113">
        <v>0</v>
      </c>
      <c r="E112" s="17"/>
      <c r="F112" s="17"/>
      <c r="G112" s="17"/>
      <c r="H112" s="17"/>
      <c r="I112" s="113">
        <v>0</v>
      </c>
      <c r="J112" s="13"/>
      <c r="K112" s="13"/>
      <c r="L112" s="11"/>
      <c r="N112" s="13"/>
      <c r="O112" s="11"/>
    </row>
    <row r="113" spans="1:15">
      <c r="A113" s="18"/>
      <c r="B113" s="11"/>
      <c r="C113" s="17"/>
      <c r="D113" s="55"/>
      <c r="E113" s="17"/>
      <c r="F113" s="17"/>
      <c r="G113" s="17"/>
      <c r="H113" s="17"/>
      <c r="I113" s="55"/>
      <c r="J113" s="13"/>
      <c r="K113" s="13"/>
      <c r="L113" s="11"/>
      <c r="N113" s="13"/>
      <c r="O113" s="11"/>
    </row>
    <row r="114" spans="1:15">
      <c r="A114" s="18" t="s">
        <v>213</v>
      </c>
      <c r="B114" s="39" t="s">
        <v>233</v>
      </c>
      <c r="C114" s="6"/>
      <c r="J114" s="13"/>
      <c r="K114" s="13"/>
      <c r="L114" s="11"/>
      <c r="N114" s="13"/>
      <c r="O114" s="11"/>
    </row>
    <row r="115" spans="1:15">
      <c r="A115" s="18"/>
      <c r="B115" s="11" t="s">
        <v>164</v>
      </c>
      <c r="C115" s="17"/>
      <c r="J115" s="13"/>
      <c r="K115" s="13"/>
      <c r="L115" s="11"/>
      <c r="N115" s="13"/>
      <c r="O115" s="11"/>
    </row>
    <row r="116" spans="1:15" ht="16.5" thickBot="1">
      <c r="A116" s="18"/>
      <c r="B116" s="11" t="s">
        <v>214</v>
      </c>
      <c r="C116" s="17"/>
      <c r="D116" s="112">
        <v>0</v>
      </c>
      <c r="E116" s="17"/>
      <c r="F116" s="17"/>
      <c r="G116" s="17"/>
      <c r="H116" s="17"/>
      <c r="I116" s="112">
        <v>0</v>
      </c>
      <c r="J116" s="13"/>
      <c r="K116" s="13"/>
      <c r="L116" s="11"/>
      <c r="N116" s="13"/>
      <c r="O116" s="11"/>
    </row>
    <row r="117" spans="1:15" ht="16.5" thickBot="1">
      <c r="A117" s="38">
        <v>24</v>
      </c>
      <c r="B117" s="39" t="s">
        <v>145</v>
      </c>
      <c r="C117" s="6"/>
      <c r="D117" s="56">
        <f>+D108-D112-D116</f>
        <v>114448059.35000005</v>
      </c>
      <c r="E117" s="6"/>
      <c r="F117" s="6"/>
      <c r="G117" s="6"/>
      <c r="H117" s="6"/>
      <c r="I117" s="56">
        <f>+I108-I112-I116</f>
        <v>14752028.864866953</v>
      </c>
      <c r="J117" s="19"/>
      <c r="K117" s="6"/>
      <c r="L117" s="19"/>
      <c r="M117" s="2"/>
      <c r="N117" s="6"/>
      <c r="O117" s="2"/>
    </row>
    <row r="118" spans="1:15" ht="16.5" thickTop="1">
      <c r="A118" s="18"/>
      <c r="B118" s="11" t="s">
        <v>215</v>
      </c>
      <c r="C118" s="17"/>
      <c r="D118" s="55"/>
      <c r="E118" s="17"/>
      <c r="F118" s="17"/>
      <c r="G118" s="17"/>
      <c r="H118" s="17"/>
      <c r="I118" s="55"/>
      <c r="J118" s="13"/>
      <c r="K118" s="13"/>
      <c r="L118" s="11"/>
      <c r="N118" s="13"/>
      <c r="O118" s="11"/>
    </row>
    <row r="119" spans="1:15">
      <c r="A119" s="18"/>
      <c r="B119" s="11"/>
      <c r="C119" s="17"/>
      <c r="D119" s="55"/>
      <c r="E119" s="17"/>
      <c r="F119" s="17"/>
      <c r="G119" s="17"/>
      <c r="H119" s="17"/>
      <c r="I119" s="55"/>
      <c r="J119" s="13"/>
      <c r="K119" s="13"/>
      <c r="L119" s="11"/>
      <c r="N119" s="13"/>
      <c r="O119" s="11"/>
    </row>
    <row r="120" spans="1:15">
      <c r="A120" s="18"/>
      <c r="B120" s="11"/>
      <c r="C120" s="17"/>
      <c r="D120" s="55"/>
      <c r="E120" s="17"/>
      <c r="F120" s="17"/>
      <c r="G120" s="17"/>
      <c r="H120" s="17"/>
      <c r="I120" s="55"/>
      <c r="J120" s="13"/>
      <c r="K120" s="13"/>
      <c r="L120" s="11"/>
      <c r="N120" s="13"/>
      <c r="O120" s="11"/>
    </row>
    <row r="121" spans="1:15">
      <c r="A121" s="18"/>
      <c r="B121" s="11"/>
      <c r="C121" s="17"/>
      <c r="D121" s="55"/>
      <c r="E121" s="17"/>
      <c r="F121" s="17"/>
      <c r="G121" s="17"/>
      <c r="H121" s="17"/>
      <c r="I121" s="55"/>
      <c r="J121" s="13"/>
      <c r="K121" s="13"/>
      <c r="L121" s="11"/>
      <c r="N121" s="13"/>
      <c r="O121" s="11"/>
    </row>
    <row r="122" spans="1:15">
      <c r="A122" s="18"/>
      <c r="B122" s="11"/>
      <c r="C122" s="17"/>
      <c r="D122" s="55"/>
      <c r="E122" s="17"/>
      <c r="F122" s="17"/>
      <c r="G122" s="17"/>
      <c r="H122" s="17"/>
      <c r="I122" s="55"/>
      <c r="J122" s="13"/>
      <c r="K122" s="13"/>
      <c r="L122" s="11"/>
      <c r="N122" s="13"/>
      <c r="O122" s="11"/>
    </row>
    <row r="123" spans="1:15">
      <c r="A123" s="18"/>
      <c r="B123" s="11"/>
      <c r="C123" s="17"/>
      <c r="D123" s="55"/>
      <c r="E123" s="17"/>
      <c r="F123" s="17"/>
      <c r="G123" s="17"/>
      <c r="H123" s="17"/>
      <c r="I123" s="55"/>
      <c r="J123" s="13"/>
      <c r="K123" s="13"/>
      <c r="L123" s="11"/>
      <c r="N123" s="13"/>
      <c r="O123" s="11"/>
    </row>
    <row r="124" spans="1:15">
      <c r="A124" s="18"/>
      <c r="B124" s="11"/>
      <c r="C124" s="17"/>
      <c r="D124" s="55"/>
      <c r="E124" s="17"/>
      <c r="F124" s="17"/>
      <c r="G124" s="17"/>
      <c r="H124" s="17"/>
      <c r="I124" s="55"/>
      <c r="J124" s="13"/>
      <c r="K124" s="13"/>
      <c r="L124" s="11"/>
      <c r="N124" s="13"/>
      <c r="O124" s="11"/>
    </row>
    <row r="125" spans="1:15">
      <c r="A125" s="18"/>
      <c r="B125" s="11"/>
      <c r="C125" s="17"/>
      <c r="D125" s="55"/>
      <c r="E125" s="17"/>
      <c r="F125" s="17"/>
      <c r="G125" s="17"/>
      <c r="H125" s="17"/>
      <c r="I125" s="55"/>
      <c r="J125" s="13"/>
      <c r="K125" s="13"/>
      <c r="L125" s="11"/>
      <c r="N125" s="13"/>
      <c r="O125" s="11"/>
    </row>
    <row r="126" spans="1:15">
      <c r="A126" s="18"/>
      <c r="B126" s="11"/>
      <c r="C126" s="17"/>
      <c r="D126" s="55"/>
      <c r="E126" s="17"/>
      <c r="F126" s="17"/>
      <c r="G126" s="17"/>
      <c r="H126" s="17"/>
      <c r="I126" s="55"/>
      <c r="J126" s="13"/>
      <c r="K126" s="13"/>
      <c r="L126" s="11"/>
      <c r="N126" s="13"/>
      <c r="O126" s="11"/>
    </row>
    <row r="127" spans="1:15">
      <c r="A127" s="18"/>
      <c r="B127" s="11"/>
      <c r="C127" s="17"/>
      <c r="D127" s="55"/>
      <c r="E127" s="17"/>
      <c r="F127" s="17"/>
      <c r="G127" s="17"/>
      <c r="H127" s="17"/>
      <c r="I127" s="55"/>
      <c r="J127" s="13"/>
      <c r="K127" s="13"/>
      <c r="L127" s="11"/>
      <c r="N127" s="13"/>
      <c r="O127" s="11"/>
    </row>
    <row r="128" spans="1:15">
      <c r="A128" s="18"/>
      <c r="B128" s="11"/>
      <c r="C128" s="17"/>
      <c r="D128" s="55"/>
      <c r="E128" s="17"/>
      <c r="F128" s="17"/>
      <c r="G128" s="17"/>
      <c r="H128" s="17"/>
      <c r="I128" s="55"/>
      <c r="J128" s="13"/>
      <c r="K128" s="13"/>
      <c r="L128" s="11"/>
      <c r="N128" s="13"/>
      <c r="O128" s="11"/>
    </row>
    <row r="129" spans="1:15">
      <c r="A129" s="18"/>
      <c r="B129" s="11"/>
      <c r="C129" s="17"/>
      <c r="D129" s="55"/>
      <c r="E129" s="17"/>
      <c r="F129" s="17"/>
      <c r="G129" s="17"/>
      <c r="H129" s="17"/>
      <c r="I129" s="55"/>
      <c r="J129" s="13"/>
      <c r="K129" s="13"/>
      <c r="L129" s="11"/>
      <c r="N129" s="13"/>
      <c r="O129" s="11"/>
    </row>
    <row r="130" spans="1:15">
      <c r="A130" s="18"/>
      <c r="B130" s="11"/>
      <c r="C130" s="17"/>
      <c r="D130" s="55"/>
      <c r="E130" s="17"/>
      <c r="F130" s="17"/>
      <c r="G130" s="17"/>
      <c r="H130" s="17"/>
      <c r="I130" s="55"/>
      <c r="J130" s="13"/>
      <c r="K130" s="13"/>
      <c r="L130" s="11"/>
      <c r="N130" s="13"/>
      <c r="O130" s="11"/>
    </row>
    <row r="131" spans="1:15">
      <c r="A131" s="18"/>
      <c r="B131" s="11"/>
      <c r="C131" s="17"/>
      <c r="D131" s="55"/>
      <c r="E131" s="17"/>
      <c r="F131" s="17"/>
      <c r="G131" s="17"/>
      <c r="H131" s="17"/>
      <c r="I131" s="55"/>
      <c r="J131" s="13"/>
      <c r="K131" s="13"/>
      <c r="L131" s="11"/>
      <c r="N131" s="13"/>
      <c r="O131" s="11"/>
    </row>
    <row r="132" spans="1:15">
      <c r="A132" s="18"/>
      <c r="B132" s="11"/>
      <c r="C132" s="17"/>
      <c r="D132" s="55"/>
      <c r="E132" s="17"/>
      <c r="F132" s="17"/>
      <c r="G132" s="17"/>
      <c r="H132" s="17"/>
      <c r="I132" s="55"/>
      <c r="J132" s="13"/>
      <c r="K132" s="13"/>
      <c r="L132" s="11"/>
      <c r="N132" s="13"/>
      <c r="O132" s="11"/>
    </row>
    <row r="133" spans="1:15">
      <c r="A133" s="18"/>
      <c r="B133" s="11"/>
      <c r="C133" s="17"/>
      <c r="D133" s="55"/>
      <c r="E133" s="17"/>
      <c r="F133" s="17"/>
      <c r="G133" s="17"/>
      <c r="H133" s="17"/>
      <c r="I133" s="55"/>
      <c r="J133" s="13"/>
      <c r="K133" s="10" t="s">
        <v>235</v>
      </c>
      <c r="L133" s="11"/>
      <c r="N133" s="13"/>
      <c r="O133" s="11"/>
    </row>
    <row r="134" spans="1:15">
      <c r="B134" s="11"/>
      <c r="C134" s="11"/>
      <c r="D134" s="12"/>
      <c r="E134" s="11"/>
      <c r="F134" s="11"/>
      <c r="G134" s="11"/>
      <c r="H134" s="13"/>
      <c r="I134" s="13"/>
      <c r="K134" s="14" t="s">
        <v>138</v>
      </c>
      <c r="L134" s="11"/>
      <c r="N134" s="13"/>
      <c r="O134" s="13"/>
    </row>
    <row r="135" spans="1:15" ht="9" customHeight="1">
      <c r="A135" s="18"/>
      <c r="J135" s="17"/>
      <c r="K135" s="17"/>
      <c r="L135" s="11"/>
      <c r="N135" s="18"/>
      <c r="O135" s="17"/>
    </row>
    <row r="136" spans="1:15">
      <c r="A136" s="18"/>
      <c r="B136" s="11" t="str">
        <f>B4</f>
        <v>Formula Rate - Cash Flow</v>
      </c>
      <c r="D136" s="9" t="str">
        <f>D4</f>
        <v xml:space="preserve">   Rate Formula Template</v>
      </c>
      <c r="J136" s="17"/>
      <c r="K136" s="10" t="str">
        <f>K4</f>
        <v>For the 12 months ended 12/31/17</v>
      </c>
      <c r="L136" s="11"/>
      <c r="N136" s="17"/>
      <c r="O136" s="11"/>
    </row>
    <row r="137" spans="1:15">
      <c r="A137" s="18"/>
      <c r="B137" s="11"/>
      <c r="D137" s="9" t="str">
        <f>D5</f>
        <v>Utilizing EIA Form 412 Data</v>
      </c>
      <c r="J137" s="17"/>
      <c r="K137" s="17"/>
      <c r="L137" s="11"/>
      <c r="N137" s="17"/>
      <c r="O137" s="11"/>
    </row>
    <row r="138" spans="1:15" ht="9" customHeight="1">
      <c r="A138" s="18"/>
      <c r="J138" s="17"/>
      <c r="K138" s="17"/>
      <c r="L138" s="11"/>
      <c r="N138" s="17"/>
      <c r="O138" s="11"/>
    </row>
    <row r="139" spans="1:15">
      <c r="A139" s="18"/>
      <c r="D139" s="9" t="str">
        <f>D7</f>
        <v>INDIANA MUNICIPAL POWER AGENCY</v>
      </c>
      <c r="J139" s="17"/>
      <c r="K139" s="17"/>
      <c r="L139" s="11"/>
      <c r="N139" s="17"/>
      <c r="O139" s="11"/>
    </row>
    <row r="140" spans="1:15">
      <c r="A140" s="18" t="s">
        <v>4</v>
      </c>
      <c r="C140" s="11"/>
      <c r="D140" s="11"/>
      <c r="E140" s="11"/>
      <c r="F140" s="11"/>
      <c r="G140" s="11"/>
      <c r="H140" s="11"/>
      <c r="I140" s="11"/>
      <c r="J140" s="11"/>
      <c r="K140" s="11"/>
      <c r="L140" s="11"/>
      <c r="N140" s="11"/>
      <c r="O140" s="11"/>
    </row>
    <row r="141" spans="1:15" ht="16.5" thickBot="1">
      <c r="A141" s="21" t="s">
        <v>6</v>
      </c>
      <c r="C141" s="57" t="s">
        <v>73</v>
      </c>
      <c r="E141" s="13"/>
      <c r="F141" s="13"/>
      <c r="G141" s="13"/>
      <c r="H141" s="13"/>
      <c r="I141" s="13"/>
      <c r="J141" s="17"/>
      <c r="K141" s="17"/>
      <c r="L141" s="13"/>
      <c r="N141" s="17"/>
      <c r="O141" s="11"/>
    </row>
    <row r="142" spans="1:15" ht="9" customHeight="1">
      <c r="A142" s="18"/>
      <c r="C142" s="57"/>
      <c r="E142" s="13"/>
      <c r="F142" s="13"/>
      <c r="G142" s="13"/>
      <c r="H142" s="13"/>
      <c r="I142" s="13"/>
      <c r="J142" s="17"/>
      <c r="K142" s="17"/>
      <c r="L142" s="13"/>
      <c r="N142" s="17"/>
      <c r="O142" s="11"/>
    </row>
    <row r="143" spans="1:15">
      <c r="B143" s="57"/>
      <c r="C143" s="44" t="s">
        <v>46</v>
      </c>
      <c r="D143" s="17"/>
      <c r="E143" s="17"/>
      <c r="F143" s="17"/>
      <c r="G143" s="18"/>
      <c r="H143" s="17"/>
      <c r="J143" s="17"/>
      <c r="K143" s="17"/>
      <c r="L143" s="13"/>
      <c r="N143" s="17"/>
      <c r="O143" s="11"/>
    </row>
    <row r="144" spans="1:15">
      <c r="A144" s="18"/>
      <c r="B144" s="11" t="s">
        <v>74</v>
      </c>
      <c r="C144" s="46" t="s">
        <v>48</v>
      </c>
      <c r="D144" s="45" t="s">
        <v>49</v>
      </c>
      <c r="E144" s="47"/>
      <c r="F144" s="505" t="s">
        <v>10</v>
      </c>
      <c r="G144" s="505"/>
      <c r="H144" s="47"/>
      <c r="I144" s="45" t="s">
        <v>47</v>
      </c>
      <c r="J144" s="17"/>
      <c r="K144" s="17"/>
      <c r="L144" s="13"/>
      <c r="N144" s="17"/>
      <c r="O144" s="11"/>
    </row>
    <row r="145" spans="1:17">
      <c r="A145" s="18">
        <v>1</v>
      </c>
      <c r="B145" s="11" t="s">
        <v>75</v>
      </c>
      <c r="C145" s="17" t="s">
        <v>198</v>
      </c>
      <c r="D145" s="113">
        <f>'Electric Plant'!J15</f>
        <v>1456337527</v>
      </c>
      <c r="E145" s="17"/>
      <c r="F145" s="17" t="s">
        <v>54</v>
      </c>
      <c r="G145" s="49" t="s">
        <v>2</v>
      </c>
      <c r="H145" s="17"/>
      <c r="I145" s="17" t="s">
        <v>2</v>
      </c>
      <c r="J145" s="17"/>
      <c r="K145" s="17"/>
      <c r="L145" s="13"/>
      <c r="N145" s="17"/>
      <c r="O145" s="11"/>
    </row>
    <row r="146" spans="1:17">
      <c r="A146" s="18">
        <v>2</v>
      </c>
      <c r="B146" s="11" t="s">
        <v>76</v>
      </c>
      <c r="C146" s="17" t="s">
        <v>199</v>
      </c>
      <c r="D146" s="113">
        <f>'Electric Plant'!J17+'CELP Assets'!Z64+'Peru Assets'!Z64</f>
        <v>161620727.89000002</v>
      </c>
      <c r="E146" s="17"/>
      <c r="F146" s="17" t="s">
        <v>13</v>
      </c>
      <c r="G146" s="49">
        <f>I159</f>
        <v>0.93918611524451545</v>
      </c>
      <c r="H146" s="17"/>
      <c r="I146" s="17">
        <f>+G146*D146</f>
        <v>151791943.57000002</v>
      </c>
      <c r="J146" s="17"/>
      <c r="K146" s="17"/>
      <c r="L146" s="13"/>
      <c r="N146" s="17"/>
      <c r="O146" s="11"/>
    </row>
    <row r="147" spans="1:17">
      <c r="A147" s="18">
        <v>3</v>
      </c>
      <c r="B147" s="11" t="s">
        <v>77</v>
      </c>
      <c r="C147" s="17" t="s">
        <v>200</v>
      </c>
      <c r="D147" s="113">
        <f>'Electric Plant'!J18</f>
        <v>13237474</v>
      </c>
      <c r="E147" s="17"/>
      <c r="F147" s="17" t="s">
        <v>54</v>
      </c>
      <c r="G147" s="49" t="s">
        <v>2</v>
      </c>
      <c r="H147" s="17"/>
      <c r="I147" s="17" t="s">
        <v>2</v>
      </c>
      <c r="J147" s="17"/>
      <c r="K147" s="17"/>
      <c r="L147" s="13"/>
      <c r="N147" s="17"/>
      <c r="O147" s="11"/>
    </row>
    <row r="148" spans="1:17">
      <c r="A148" s="18">
        <v>4</v>
      </c>
      <c r="B148" s="11" t="s">
        <v>78</v>
      </c>
      <c r="C148" s="17" t="s">
        <v>218</v>
      </c>
      <c r="D148" s="113">
        <f>'Electric Plant'!J19</f>
        <v>17764741</v>
      </c>
      <c r="E148" s="17"/>
      <c r="F148" s="17" t="s">
        <v>56</v>
      </c>
      <c r="G148" s="49">
        <f>G80</f>
        <v>9.3060000000000004E-2</v>
      </c>
      <c r="H148" s="17"/>
      <c r="I148" s="17">
        <f>+G148*D148</f>
        <v>1653186.79746</v>
      </c>
      <c r="J148" s="17"/>
      <c r="K148" s="17"/>
      <c r="L148" s="13"/>
      <c r="N148" s="17"/>
      <c r="O148" s="11"/>
    </row>
    <row r="149" spans="1:17" ht="16.5" thickBot="1">
      <c r="A149" s="18">
        <v>5</v>
      </c>
      <c r="B149" s="11" t="s">
        <v>58</v>
      </c>
      <c r="C149" s="17"/>
      <c r="D149" s="112">
        <v>0</v>
      </c>
      <c r="E149" s="17"/>
      <c r="F149" s="17" t="s">
        <v>59</v>
      </c>
      <c r="G149" s="49">
        <f>K179</f>
        <v>9.3060000000000004E-2</v>
      </c>
      <c r="H149" s="17"/>
      <c r="I149" s="27">
        <f>+G149*D149</f>
        <v>0</v>
      </c>
      <c r="J149" s="17"/>
      <c r="K149" s="17"/>
      <c r="L149" s="11"/>
      <c r="N149" s="17"/>
      <c r="O149" s="11"/>
    </row>
    <row r="150" spans="1:17">
      <c r="A150" s="18">
        <v>6</v>
      </c>
      <c r="B150" s="11" t="s">
        <v>166</v>
      </c>
      <c r="C150" s="17"/>
      <c r="D150" s="17">
        <f>SUM(D145:D149)</f>
        <v>1648960469.8900001</v>
      </c>
      <c r="E150" s="17"/>
      <c r="F150" s="17" t="s">
        <v>79</v>
      </c>
      <c r="G150" s="52">
        <f>IF(I150&gt;0,I150/D150,0)</f>
        <v>9.3055675481229769E-2</v>
      </c>
      <c r="H150" s="17"/>
      <c r="I150" s="17">
        <f>SUM(I145:I149)</f>
        <v>153445130.36746001</v>
      </c>
      <c r="J150" s="17"/>
      <c r="K150" s="17"/>
    </row>
    <row r="151" spans="1:17" ht="9.75" customHeight="1">
      <c r="A151" s="18"/>
      <c r="B151" s="11"/>
      <c r="C151" s="17"/>
      <c r="D151" s="17"/>
      <c r="E151" s="17"/>
      <c r="F151" s="17"/>
      <c r="G151" s="52"/>
      <c r="H151" s="17"/>
      <c r="I151" s="17"/>
      <c r="J151" s="17"/>
      <c r="K151" s="17"/>
    </row>
    <row r="152" spans="1:17">
      <c r="A152" s="18"/>
      <c r="B152" s="11" t="s">
        <v>82</v>
      </c>
      <c r="C152" s="13"/>
      <c r="D152" s="13"/>
      <c r="E152" s="13"/>
      <c r="F152" s="13"/>
      <c r="G152" s="13"/>
      <c r="H152" s="13"/>
      <c r="I152" s="13"/>
      <c r="J152" s="17"/>
      <c r="K152" s="17"/>
    </row>
    <row r="153" spans="1:17">
      <c r="A153" s="18"/>
      <c r="B153" s="11"/>
      <c r="C153" s="13"/>
      <c r="D153" s="13"/>
      <c r="E153" s="13"/>
      <c r="F153" s="13"/>
      <c r="G153" s="13"/>
      <c r="H153" s="13"/>
      <c r="I153" s="13"/>
      <c r="J153" s="17"/>
      <c r="K153" s="17"/>
    </row>
    <row r="154" spans="1:17">
      <c r="A154" s="18">
        <v>7</v>
      </c>
      <c r="B154" s="13" t="s">
        <v>167</v>
      </c>
      <c r="C154" s="13"/>
      <c r="D154" s="17"/>
      <c r="E154" s="17"/>
      <c r="F154" s="17"/>
      <c r="G154" s="17"/>
      <c r="H154" s="17"/>
      <c r="I154" s="17">
        <f>D146</f>
        <v>161620727.89000002</v>
      </c>
      <c r="J154" s="17"/>
      <c r="K154" s="17"/>
    </row>
    <row r="155" spans="1:17">
      <c r="A155" s="18">
        <v>8</v>
      </c>
      <c r="B155" s="13" t="s">
        <v>168</v>
      </c>
      <c r="I155" s="111">
        <f>'Trial Balance'!I26</f>
        <v>9199420.3200000003</v>
      </c>
      <c r="J155" s="17"/>
      <c r="K155" s="17"/>
    </row>
    <row r="156" spans="1:17" ht="16.5" thickBot="1">
      <c r="A156" s="18">
        <v>9</v>
      </c>
      <c r="B156" s="58" t="s">
        <v>169</v>
      </c>
      <c r="C156" s="58"/>
      <c r="D156" s="55"/>
      <c r="E156" s="17"/>
      <c r="F156" s="17"/>
      <c r="G156" s="59"/>
      <c r="H156" s="17"/>
      <c r="I156" s="112">
        <f>'Trial Balance'!I67</f>
        <v>629364</v>
      </c>
      <c r="J156" s="17"/>
      <c r="K156" s="17"/>
    </row>
    <row r="157" spans="1:17">
      <c r="A157" s="18">
        <v>10</v>
      </c>
      <c r="B157" s="13" t="s">
        <v>181</v>
      </c>
      <c r="C157" s="13"/>
      <c r="D157" s="55"/>
      <c r="E157" s="17"/>
      <c r="F157" s="17"/>
      <c r="G157" s="59"/>
      <c r="H157" s="17"/>
      <c r="I157" s="17">
        <f>I154-I155-I156</f>
        <v>151791943.57000002</v>
      </c>
      <c r="J157" s="17"/>
      <c r="K157" s="17"/>
    </row>
    <row r="158" spans="1:17">
      <c r="A158" s="18"/>
      <c r="C158" s="13"/>
      <c r="D158" s="55"/>
      <c r="E158" s="17"/>
      <c r="F158" s="17"/>
      <c r="G158" s="59"/>
      <c r="H158" s="17"/>
      <c r="J158" s="17"/>
      <c r="K158" s="17"/>
    </row>
    <row r="159" spans="1:17">
      <c r="A159" s="18">
        <v>11</v>
      </c>
      <c r="B159" s="13" t="s">
        <v>170</v>
      </c>
      <c r="C159" s="20"/>
      <c r="D159" s="60"/>
      <c r="E159" s="61"/>
      <c r="F159" s="61"/>
      <c r="G159" s="43"/>
      <c r="H159" s="17" t="s">
        <v>83</v>
      </c>
      <c r="I159" s="62">
        <f>IF(I154&gt;0,I157/I154,0)</f>
        <v>0.93918611524451545</v>
      </c>
      <c r="J159" s="17"/>
      <c r="K159" s="17"/>
      <c r="L159" s="63"/>
      <c r="M159" s="64"/>
      <c r="N159" s="65"/>
      <c r="O159" s="66"/>
      <c r="P159" s="64"/>
      <c r="Q159" s="64"/>
    </row>
    <row r="160" spans="1:17">
      <c r="D160" s="67"/>
      <c r="J160" s="17"/>
      <c r="K160" s="17"/>
      <c r="L160" s="66"/>
      <c r="M160" s="64"/>
      <c r="N160" s="65"/>
      <c r="O160" s="66"/>
      <c r="P160" s="64"/>
      <c r="Q160" s="64"/>
    </row>
    <row r="161" spans="1:17">
      <c r="B161" s="11" t="s">
        <v>80</v>
      </c>
      <c r="D161" s="67"/>
      <c r="J161" s="17"/>
      <c r="K161" s="17"/>
      <c r="L161" s="508"/>
      <c r="M161" s="508"/>
      <c r="N161" s="508"/>
      <c r="O161" s="508"/>
      <c r="P161" s="508"/>
      <c r="Q161" s="508"/>
    </row>
    <row r="162" spans="1:17">
      <c r="A162" s="18">
        <v>12</v>
      </c>
      <c r="B162" s="9" t="s">
        <v>171</v>
      </c>
      <c r="D162" s="68"/>
      <c r="E162" s="13"/>
      <c r="F162" s="13"/>
      <c r="G162" s="18"/>
      <c r="H162" s="13"/>
      <c r="I162" s="17">
        <f>D77</f>
        <v>42355487.239999995</v>
      </c>
      <c r="J162" s="17"/>
      <c r="K162" s="17"/>
      <c r="L162" s="69"/>
      <c r="M162" s="69"/>
      <c r="N162" s="70"/>
      <c r="O162" s="71"/>
      <c r="P162" s="69"/>
      <c r="Q162" s="69"/>
    </row>
    <row r="163" spans="1:17" ht="16.5" thickBot="1">
      <c r="A163" s="18">
        <v>13</v>
      </c>
      <c r="B163" s="58" t="s">
        <v>172</v>
      </c>
      <c r="C163" s="58"/>
      <c r="D163" s="55"/>
      <c r="E163" s="55"/>
      <c r="F163" s="17"/>
      <c r="G163" s="17"/>
      <c r="H163" s="17"/>
      <c r="I163" s="112">
        <f>'Trial Balance'!I924</f>
        <v>972000</v>
      </c>
      <c r="J163" s="17"/>
      <c r="K163" s="17"/>
      <c r="L163" s="72"/>
      <c r="M163" s="73"/>
      <c r="N163" s="70"/>
      <c r="O163" s="71"/>
      <c r="P163" s="69"/>
      <c r="Q163" s="69"/>
    </row>
    <row r="164" spans="1:17">
      <c r="A164" s="18">
        <v>14</v>
      </c>
      <c r="B164" s="13" t="s">
        <v>173</v>
      </c>
      <c r="C164" s="20"/>
      <c r="D164" s="60"/>
      <c r="E164" s="61"/>
      <c r="F164" s="61"/>
      <c r="G164" s="43"/>
      <c r="H164" s="61"/>
      <c r="I164" s="17">
        <f>+I162-I163</f>
        <v>41383487.239999995</v>
      </c>
      <c r="J164" s="74"/>
      <c r="K164" s="74"/>
      <c r="L164" s="72"/>
      <c r="M164" s="75"/>
      <c r="N164" s="69"/>
      <c r="O164" s="69"/>
      <c r="P164" s="69"/>
      <c r="Q164" s="69"/>
    </row>
    <row r="165" spans="1:17" s="76" customFormat="1">
      <c r="A165" s="18"/>
      <c r="B165" s="13"/>
      <c r="C165" s="13"/>
      <c r="D165" s="55"/>
      <c r="E165" s="17"/>
      <c r="F165" s="17"/>
      <c r="G165" s="17"/>
      <c r="H165" s="9"/>
      <c r="I165" s="9"/>
      <c r="J165" s="17"/>
      <c r="K165" s="17"/>
      <c r="L165" s="72"/>
      <c r="M165" s="75"/>
      <c r="N165" s="69"/>
      <c r="O165" s="69"/>
      <c r="P165" s="69"/>
      <c r="Q165" s="69"/>
    </row>
    <row r="166" spans="1:17">
      <c r="A166" s="18">
        <v>15</v>
      </c>
      <c r="B166" s="13" t="s">
        <v>174</v>
      </c>
      <c r="C166" s="13"/>
      <c r="D166" s="17"/>
      <c r="E166" s="17"/>
      <c r="F166" s="17"/>
      <c r="G166" s="17"/>
      <c r="H166" s="17"/>
      <c r="I166" s="49">
        <f>IF(I162&gt;0,I164/I162,0)</f>
        <v>0.97705137956524191</v>
      </c>
      <c r="K166" s="17"/>
      <c r="L166" s="72"/>
      <c r="M166" s="77"/>
      <c r="N166" s="75"/>
      <c r="O166" s="75"/>
      <c r="P166" s="69"/>
      <c r="Q166" s="69"/>
    </row>
    <row r="167" spans="1:17">
      <c r="A167" s="18">
        <v>16</v>
      </c>
      <c r="B167" s="13" t="s">
        <v>175</v>
      </c>
      <c r="C167" s="13"/>
      <c r="D167" s="17"/>
      <c r="E167" s="17"/>
      <c r="F167" s="17"/>
      <c r="G167" s="17"/>
      <c r="H167" s="13" t="s">
        <v>13</v>
      </c>
      <c r="I167" s="78">
        <f>I159</f>
        <v>0.93918611524451545</v>
      </c>
      <c r="L167" s="72"/>
      <c r="M167" s="75"/>
      <c r="N167" s="69"/>
      <c r="O167" s="75"/>
      <c r="P167" s="69"/>
      <c r="Q167" s="69"/>
    </row>
    <row r="168" spans="1:17">
      <c r="A168" s="18">
        <v>17</v>
      </c>
      <c r="B168" s="13" t="s">
        <v>176</v>
      </c>
      <c r="C168" s="13"/>
      <c r="D168" s="13"/>
      <c r="E168" s="13"/>
      <c r="F168" s="13"/>
      <c r="G168" s="13"/>
      <c r="H168" s="13" t="s">
        <v>81</v>
      </c>
      <c r="I168" s="79">
        <f>+I167*I166</f>
        <v>0.91763308956817413</v>
      </c>
      <c r="L168" s="72"/>
      <c r="M168" s="75"/>
      <c r="N168" s="69"/>
      <c r="O168" s="75"/>
      <c r="P168" s="69"/>
      <c r="Q168" s="69"/>
    </row>
    <row r="169" spans="1:17">
      <c r="L169" s="72"/>
      <c r="M169" s="75"/>
      <c r="N169" s="69"/>
      <c r="O169" s="80"/>
      <c r="P169" s="69"/>
      <c r="Q169" s="69"/>
    </row>
    <row r="170" spans="1:17" ht="16.5" thickBot="1">
      <c r="A170" s="18" t="s">
        <v>2</v>
      </c>
      <c r="B170" s="11" t="s">
        <v>180</v>
      </c>
      <c r="C170" s="17"/>
      <c r="D170" s="81" t="s">
        <v>84</v>
      </c>
      <c r="E170" s="81"/>
      <c r="F170" s="17"/>
      <c r="G170" s="81" t="s">
        <v>85</v>
      </c>
      <c r="H170" s="17"/>
      <c r="I170" s="17"/>
      <c r="L170" s="72"/>
      <c r="M170" s="75"/>
      <c r="N170" s="70"/>
      <c r="O170" s="71"/>
      <c r="P170" s="69"/>
      <c r="Q170" s="69"/>
    </row>
    <row r="171" spans="1:17">
      <c r="A171" s="18">
        <v>18</v>
      </c>
      <c r="B171" s="11" t="s">
        <v>75</v>
      </c>
      <c r="C171" s="17"/>
      <c r="D171" s="111">
        <v>0</v>
      </c>
      <c r="E171" s="82">
        <v>0</v>
      </c>
      <c r="F171" s="82"/>
      <c r="G171" s="17">
        <f>D171*E171</f>
        <v>0</v>
      </c>
      <c r="H171" s="17"/>
      <c r="I171" s="17"/>
      <c r="J171" s="17"/>
      <c r="K171" s="17"/>
      <c r="L171" s="72"/>
      <c r="M171" s="75"/>
      <c r="N171" s="70"/>
      <c r="O171" s="71"/>
      <c r="P171" s="69"/>
      <c r="Q171" s="69"/>
    </row>
    <row r="172" spans="1:17">
      <c r="A172" s="18">
        <v>19</v>
      </c>
      <c r="B172" s="11" t="s">
        <v>76</v>
      </c>
      <c r="C172" s="17"/>
      <c r="D172" s="111">
        <v>0</v>
      </c>
      <c r="E172" s="82">
        <f>I159</f>
        <v>0.93918611524451545</v>
      </c>
      <c r="F172" s="82"/>
      <c r="G172" s="17">
        <f>D172*E172</f>
        <v>0</v>
      </c>
      <c r="H172" s="17"/>
      <c r="I172" s="17"/>
      <c r="J172" s="17"/>
      <c r="K172" s="17"/>
      <c r="L172" s="64"/>
      <c r="M172" s="64"/>
      <c r="N172" s="64"/>
      <c r="O172" s="64"/>
      <c r="P172" s="64"/>
      <c r="Q172" s="64"/>
    </row>
    <row r="173" spans="1:17">
      <c r="A173" s="18">
        <v>20</v>
      </c>
      <c r="B173" s="11" t="s">
        <v>77</v>
      </c>
      <c r="C173" s="17"/>
      <c r="D173" s="111">
        <v>0</v>
      </c>
      <c r="E173" s="82">
        <v>0</v>
      </c>
      <c r="F173" s="82"/>
      <c r="G173" s="17">
        <f>D173*E173</f>
        <v>0</v>
      </c>
      <c r="H173" s="17"/>
      <c r="I173" s="83" t="s">
        <v>86</v>
      </c>
      <c r="J173" s="17"/>
      <c r="K173" s="17"/>
      <c r="L173" s="64"/>
      <c r="M173" s="64"/>
      <c r="N173" s="64"/>
      <c r="O173" s="64"/>
      <c r="P173" s="64"/>
      <c r="Q173" s="64"/>
    </row>
    <row r="174" spans="1:17" ht="16.5" thickBot="1">
      <c r="A174" s="18">
        <v>21</v>
      </c>
      <c r="B174" s="11" t="s">
        <v>87</v>
      </c>
      <c r="C174" s="17"/>
      <c r="D174" s="112">
        <v>0</v>
      </c>
      <c r="E174" s="82">
        <v>0</v>
      </c>
      <c r="F174" s="82"/>
      <c r="G174" s="27">
        <f>D174*E174</f>
        <v>0</v>
      </c>
      <c r="H174" s="17"/>
      <c r="I174" s="21" t="s">
        <v>88</v>
      </c>
      <c r="J174" s="17"/>
      <c r="K174" s="17"/>
      <c r="L174" s="66"/>
      <c r="M174" s="64"/>
      <c r="N174" s="65"/>
      <c r="O174" s="66"/>
      <c r="P174" s="64"/>
      <c r="Q174" s="64"/>
    </row>
    <row r="175" spans="1:17">
      <c r="A175" s="18">
        <v>22</v>
      </c>
      <c r="B175" s="11" t="s">
        <v>183</v>
      </c>
      <c r="C175" s="17"/>
      <c r="D175" s="17">
        <f>SUM(D171:D174)</f>
        <v>0</v>
      </c>
      <c r="E175" s="17"/>
      <c r="F175" s="17"/>
      <c r="G175" s="17">
        <f>SUM(G171:G174)</f>
        <v>0</v>
      </c>
      <c r="H175" s="18" t="s">
        <v>89</v>
      </c>
      <c r="I175" s="116">
        <v>9.3060000000000004E-2</v>
      </c>
      <c r="J175" s="17"/>
      <c r="K175" s="49"/>
      <c r="L175" s="11"/>
      <c r="N175" s="17"/>
      <c r="O175" s="11"/>
    </row>
    <row r="176" spans="1:17" ht="9.75" customHeight="1">
      <c r="A176" s="18"/>
      <c r="B176" s="11"/>
      <c r="C176" s="17"/>
      <c r="D176" s="17"/>
      <c r="E176" s="17"/>
      <c r="F176" s="17"/>
      <c r="G176" s="17"/>
      <c r="H176" s="17"/>
      <c r="I176" s="17"/>
      <c r="J176" s="17"/>
      <c r="K176" s="17"/>
      <c r="L176" s="11"/>
      <c r="N176" s="17"/>
      <c r="O176" s="11"/>
    </row>
    <row r="177" spans="1:15">
      <c r="A177" s="18"/>
      <c r="B177" s="11" t="s">
        <v>177</v>
      </c>
      <c r="C177" s="17"/>
      <c r="D177" s="44" t="s">
        <v>84</v>
      </c>
      <c r="E177" s="17"/>
      <c r="F177" s="17"/>
      <c r="G177" s="59" t="s">
        <v>90</v>
      </c>
      <c r="H177" s="54" t="s">
        <v>2</v>
      </c>
      <c r="I177" s="52" t="s">
        <v>91</v>
      </c>
      <c r="J177" s="17"/>
      <c r="K177" s="17"/>
      <c r="L177" s="11"/>
      <c r="N177" s="17"/>
      <c r="O177" s="11"/>
    </row>
    <row r="178" spans="1:15">
      <c r="A178" s="18">
        <v>23</v>
      </c>
      <c r="B178" s="11" t="s">
        <v>92</v>
      </c>
      <c r="C178" s="17"/>
      <c r="D178" s="111">
        <f>D150</f>
        <v>1648960469.8900001</v>
      </c>
      <c r="E178" s="17"/>
      <c r="G178" s="18" t="s">
        <v>126</v>
      </c>
      <c r="H178" s="54"/>
      <c r="I178" s="18" t="s">
        <v>127</v>
      </c>
      <c r="J178" s="17"/>
      <c r="K178" s="18" t="s">
        <v>59</v>
      </c>
      <c r="L178" s="11"/>
      <c r="N178" s="17"/>
      <c r="O178" s="11"/>
    </row>
    <row r="179" spans="1:15">
      <c r="A179" s="18">
        <v>24</v>
      </c>
      <c r="B179" s="11" t="s">
        <v>93</v>
      </c>
      <c r="C179" s="17"/>
      <c r="D179" s="111">
        <v>0</v>
      </c>
      <c r="E179" s="17"/>
      <c r="G179" s="25">
        <f>IF(D181&gt;0,D178/D181,0)</f>
        <v>1</v>
      </c>
      <c r="H179" s="59" t="s">
        <v>94</v>
      </c>
      <c r="I179" s="25">
        <f>I175</f>
        <v>9.3060000000000004E-2</v>
      </c>
      <c r="J179" s="54" t="s">
        <v>89</v>
      </c>
      <c r="K179" s="25">
        <f>I179*G179</f>
        <v>9.3060000000000004E-2</v>
      </c>
      <c r="L179" s="11"/>
      <c r="N179" s="17"/>
      <c r="O179" s="11"/>
    </row>
    <row r="180" spans="1:15" ht="16.5" thickBot="1">
      <c r="A180" s="18">
        <v>25</v>
      </c>
      <c r="B180" s="84" t="s">
        <v>95</v>
      </c>
      <c r="C180" s="55"/>
      <c r="D180" s="112">
        <v>0</v>
      </c>
      <c r="E180" s="17"/>
      <c r="F180" s="17"/>
      <c r="G180" s="17"/>
      <c r="H180" s="17"/>
      <c r="I180" s="17"/>
      <c r="L180" s="11"/>
      <c r="N180" s="17"/>
      <c r="O180" s="11"/>
    </row>
    <row r="181" spans="1:15">
      <c r="A181" s="18">
        <v>26</v>
      </c>
      <c r="B181" s="11" t="s">
        <v>125</v>
      </c>
      <c r="C181" s="17"/>
      <c r="D181" s="17">
        <f>D178+D179+D180</f>
        <v>1648960469.8900001</v>
      </c>
      <c r="E181" s="17"/>
      <c r="F181" s="17"/>
      <c r="G181" s="17"/>
      <c r="H181" s="17"/>
      <c r="I181" s="17"/>
      <c r="J181" s="17"/>
      <c r="K181" s="17"/>
      <c r="L181" s="11"/>
      <c r="N181" s="17"/>
      <c r="O181" s="11"/>
    </row>
    <row r="182" spans="1:15" ht="11.25" customHeight="1">
      <c r="A182" s="18"/>
      <c r="B182" s="11" t="s">
        <v>2</v>
      </c>
      <c r="C182" s="17"/>
      <c r="E182" s="17"/>
      <c r="F182" s="17"/>
      <c r="G182" s="17"/>
      <c r="H182" s="17"/>
      <c r="I182" s="17" t="s">
        <v>2</v>
      </c>
      <c r="J182" s="17"/>
      <c r="K182" s="17"/>
      <c r="L182" s="11"/>
      <c r="N182" s="17"/>
      <c r="O182" s="11"/>
    </row>
    <row r="183" spans="1:15" ht="16.5" thickBot="1">
      <c r="A183" s="18"/>
      <c r="B183" s="11" t="s">
        <v>96</v>
      </c>
      <c r="C183" s="17"/>
      <c r="D183" s="81" t="s">
        <v>84</v>
      </c>
      <c r="E183" s="17"/>
      <c r="F183" s="17"/>
      <c r="G183" s="17"/>
      <c r="H183" s="17"/>
      <c r="J183" s="17" t="s">
        <v>2</v>
      </c>
      <c r="K183" s="17"/>
      <c r="L183" s="11"/>
      <c r="N183" s="17"/>
      <c r="O183" s="11"/>
    </row>
    <row r="184" spans="1:15">
      <c r="A184" s="18">
        <v>27</v>
      </c>
      <c r="B184" s="17" t="s">
        <v>97</v>
      </c>
      <c r="C184" s="11" t="s">
        <v>204</v>
      </c>
      <c r="D184" s="114">
        <f>'Balance sheet'!F20</f>
        <v>1249485000</v>
      </c>
      <c r="E184" s="17"/>
      <c r="F184" s="17"/>
      <c r="G184" s="17"/>
      <c r="H184" s="17"/>
      <c r="I184" s="17"/>
      <c r="J184" s="17"/>
      <c r="K184" s="17"/>
      <c r="L184" s="17" t="s">
        <v>2</v>
      </c>
      <c r="N184" s="17"/>
      <c r="O184" s="11"/>
    </row>
    <row r="185" spans="1:15" ht="11.25" customHeight="1">
      <c r="A185" s="18"/>
      <c r="B185" s="11"/>
      <c r="C185" s="17"/>
      <c r="D185" s="17"/>
      <c r="E185" s="17"/>
      <c r="F185" s="17"/>
      <c r="G185" s="17"/>
      <c r="H185" s="17"/>
      <c r="I185" s="17"/>
      <c r="J185" s="17"/>
      <c r="K185" s="17"/>
      <c r="L185" s="17"/>
      <c r="N185" s="17"/>
      <c r="O185" s="11"/>
    </row>
    <row r="186" spans="1:15">
      <c r="A186" s="18">
        <v>28</v>
      </c>
      <c r="B186" s="11" t="s">
        <v>98</v>
      </c>
      <c r="D186" s="111">
        <f>D89</f>
        <v>82450695.629999995</v>
      </c>
      <c r="E186" s="17"/>
      <c r="F186" s="17"/>
      <c r="G186" s="59"/>
      <c r="H186" s="17"/>
      <c r="I186" s="17"/>
      <c r="J186" s="17"/>
      <c r="K186" s="17"/>
      <c r="L186" s="17"/>
      <c r="N186" s="17"/>
      <c r="O186" s="11"/>
    </row>
    <row r="187" spans="1:15" ht="16.5" thickBot="1">
      <c r="A187" s="18">
        <v>29</v>
      </c>
      <c r="B187" s="11" t="s">
        <v>99</v>
      </c>
      <c r="C187" s="13" t="s">
        <v>205</v>
      </c>
      <c r="D187" s="112">
        <f>'Trial Balance'!H1434</f>
        <v>56390695.630000003</v>
      </c>
      <c r="E187" s="11"/>
      <c r="F187" s="11"/>
      <c r="G187" s="11"/>
      <c r="H187" s="11"/>
      <c r="I187" s="11"/>
      <c r="J187" s="17"/>
      <c r="K187" s="17"/>
      <c r="N187" s="17"/>
      <c r="O187" s="11"/>
    </row>
    <row r="188" spans="1:15">
      <c r="A188" s="18">
        <v>30</v>
      </c>
      <c r="B188" s="11" t="s">
        <v>178</v>
      </c>
      <c r="C188" s="11"/>
      <c r="D188" s="17">
        <f>D186-D187</f>
        <v>26059999.999999993</v>
      </c>
      <c r="E188" s="11"/>
      <c r="F188" s="11"/>
      <c r="G188" s="11"/>
      <c r="H188" s="11"/>
      <c r="I188" s="11"/>
      <c r="J188" s="11"/>
      <c r="K188" s="17"/>
      <c r="L188" s="17"/>
      <c r="N188" s="17"/>
      <c r="O188" s="11"/>
    </row>
    <row r="189" spans="1:15" ht="11.25" customHeight="1">
      <c r="A189" s="18" t="s">
        <v>2</v>
      </c>
      <c r="B189" s="11"/>
      <c r="C189" s="11"/>
      <c r="D189" s="11"/>
      <c r="E189" s="11"/>
      <c r="F189" s="11"/>
      <c r="G189" s="11"/>
      <c r="H189" s="11"/>
      <c r="I189" s="11"/>
      <c r="J189" s="11"/>
      <c r="L189" s="17"/>
      <c r="N189" s="17"/>
      <c r="O189" s="11"/>
    </row>
    <row r="190" spans="1:15">
      <c r="A190" s="18"/>
      <c r="B190" s="11" t="s">
        <v>100</v>
      </c>
      <c r="C190" s="13"/>
      <c r="D190" s="13"/>
      <c r="E190" s="13"/>
      <c r="F190" s="13"/>
      <c r="G190" s="13"/>
      <c r="H190" s="13"/>
      <c r="I190" s="13"/>
      <c r="J190" s="11"/>
      <c r="L190" s="17"/>
      <c r="N190" s="17"/>
      <c r="O190" s="11"/>
    </row>
    <row r="191" spans="1:15" ht="16.5" customHeight="1" thickBot="1">
      <c r="A191" s="18"/>
      <c r="B191" s="11"/>
      <c r="C191" s="11"/>
      <c r="D191" s="11"/>
      <c r="E191" s="11"/>
      <c r="F191" s="11"/>
      <c r="G191" s="11"/>
      <c r="H191" s="11"/>
      <c r="I191" s="21" t="s">
        <v>101</v>
      </c>
      <c r="J191" s="13"/>
      <c r="K191" s="13"/>
      <c r="L191" s="17"/>
      <c r="N191" s="17"/>
      <c r="O191" s="11"/>
    </row>
    <row r="192" spans="1:15">
      <c r="A192" s="18"/>
      <c r="B192" s="11" t="s">
        <v>102</v>
      </c>
      <c r="C192" s="13"/>
      <c r="D192" s="13"/>
      <c r="E192" s="13"/>
      <c r="F192" s="13"/>
      <c r="G192" s="85" t="s">
        <v>2</v>
      </c>
      <c r="H192" s="86"/>
      <c r="I192" s="2"/>
      <c r="J192" s="13"/>
      <c r="K192" s="13"/>
      <c r="L192" s="11"/>
      <c r="N192" s="17"/>
      <c r="O192" s="11"/>
    </row>
    <row r="193" spans="1:15">
      <c r="A193" s="18">
        <v>31</v>
      </c>
      <c r="B193" s="9" t="s">
        <v>179</v>
      </c>
      <c r="C193" s="13"/>
      <c r="D193" s="13"/>
      <c r="E193" s="13"/>
      <c r="F193" s="13"/>
      <c r="H193" s="86"/>
      <c r="I193" s="111">
        <v>0</v>
      </c>
      <c r="J193" s="13"/>
      <c r="K193" s="13"/>
      <c r="L193" s="11"/>
      <c r="N193" s="17"/>
      <c r="O193" s="11"/>
    </row>
    <row r="194" spans="1:15" ht="16.5" thickBot="1">
      <c r="A194" s="18">
        <v>32</v>
      </c>
      <c r="B194" s="87" t="s">
        <v>128</v>
      </c>
      <c r="C194" s="58"/>
      <c r="D194" s="67"/>
      <c r="E194" s="68"/>
      <c r="F194" s="68"/>
      <c r="G194" s="68"/>
      <c r="H194" s="13"/>
      <c r="I194" s="112">
        <v>0</v>
      </c>
      <c r="J194" s="13"/>
      <c r="K194" s="13"/>
      <c r="L194" s="11"/>
      <c r="N194" s="17"/>
      <c r="O194" s="11"/>
    </row>
    <row r="195" spans="1:15">
      <c r="A195" s="18">
        <v>33</v>
      </c>
      <c r="B195" s="9" t="s">
        <v>103</v>
      </c>
      <c r="C195" s="13"/>
      <c r="E195" s="13"/>
      <c r="F195" s="13"/>
      <c r="G195" s="13"/>
      <c r="H195" s="13"/>
      <c r="I195" s="48">
        <f>+I193-I194</f>
        <v>0</v>
      </c>
      <c r="J195" s="13"/>
      <c r="K195" s="13"/>
      <c r="L195" s="11"/>
      <c r="N195" s="17"/>
      <c r="O195" s="11"/>
    </row>
    <row r="196" spans="1:15" ht="9.75" customHeight="1">
      <c r="A196" s="18"/>
      <c r="B196" s="9" t="s">
        <v>2</v>
      </c>
      <c r="C196" s="13"/>
      <c r="E196" s="13"/>
      <c r="F196" s="13"/>
      <c r="G196" s="37"/>
      <c r="H196" s="13"/>
      <c r="I196" s="3" t="s">
        <v>2</v>
      </c>
      <c r="J196" s="13"/>
      <c r="K196" s="13"/>
      <c r="L196" s="17" t="s">
        <v>2</v>
      </c>
      <c r="N196" s="17"/>
      <c r="O196" s="11"/>
    </row>
    <row r="197" spans="1:15">
      <c r="A197" s="18">
        <v>34</v>
      </c>
      <c r="B197" s="11" t="s">
        <v>182</v>
      </c>
      <c r="C197" s="13"/>
      <c r="E197" s="13"/>
      <c r="F197" s="13"/>
      <c r="G197" s="37"/>
      <c r="H197" s="13"/>
      <c r="I197" s="115">
        <f>'Revenue Credits'!E35</f>
        <v>20000</v>
      </c>
      <c r="J197" s="13"/>
      <c r="K197" s="13"/>
      <c r="L197" s="17"/>
      <c r="N197" s="17"/>
      <c r="O197" s="11"/>
    </row>
    <row r="198" spans="1:15" ht="9.75" customHeight="1">
      <c r="A198" s="18"/>
      <c r="C198" s="13"/>
      <c r="D198" s="13"/>
      <c r="E198" s="13"/>
      <c r="F198" s="13"/>
      <c r="G198" s="13"/>
      <c r="H198" s="13"/>
      <c r="I198" s="3" t="s">
        <v>2</v>
      </c>
      <c r="J198" s="13"/>
      <c r="K198" s="13"/>
      <c r="L198" s="17"/>
      <c r="N198" s="17"/>
      <c r="O198" s="11"/>
    </row>
    <row r="199" spans="1:15">
      <c r="B199" s="11" t="s">
        <v>144</v>
      </c>
      <c r="C199" s="13"/>
      <c r="D199" s="13"/>
      <c r="E199" s="13"/>
      <c r="F199" s="13"/>
      <c r="G199" s="13"/>
      <c r="H199" s="13"/>
      <c r="J199" s="13"/>
      <c r="K199" s="13"/>
      <c r="L199" s="11"/>
      <c r="N199" s="17"/>
      <c r="O199" s="11"/>
    </row>
    <row r="200" spans="1:15">
      <c r="A200" s="18">
        <v>35</v>
      </c>
      <c r="B200" s="11" t="s">
        <v>104</v>
      </c>
      <c r="C200" s="17"/>
      <c r="D200" s="17"/>
      <c r="E200" s="17"/>
      <c r="F200" s="17"/>
      <c r="G200" s="17"/>
      <c r="H200" s="17"/>
      <c r="I200" s="4">
        <f>'Revenue Credits'!E36</f>
        <v>1775000</v>
      </c>
      <c r="J200" s="13"/>
      <c r="K200" s="13"/>
      <c r="L200" s="88"/>
      <c r="N200" s="17"/>
      <c r="O200" s="11"/>
    </row>
    <row r="201" spans="1:15">
      <c r="A201" s="18">
        <v>36</v>
      </c>
      <c r="B201" s="89" t="s">
        <v>129</v>
      </c>
      <c r="C201" s="68"/>
      <c r="D201" s="68"/>
      <c r="E201" s="68"/>
      <c r="F201" s="68"/>
      <c r="G201" s="13"/>
      <c r="H201" s="13"/>
      <c r="I201" s="4">
        <f>'Revenue Credits'!E37+'Revenue Credits'!E38</f>
        <v>1532000</v>
      </c>
      <c r="J201" s="13"/>
      <c r="K201" s="13"/>
      <c r="L201" s="88"/>
      <c r="N201" s="17"/>
      <c r="O201" s="11"/>
    </row>
    <row r="202" spans="1:15">
      <c r="A202" s="18" t="s">
        <v>146</v>
      </c>
      <c r="B202" s="66" t="s">
        <v>225</v>
      </c>
      <c r="C202" s="90"/>
      <c r="D202" s="68"/>
      <c r="E202" s="68"/>
      <c r="F202" s="68"/>
      <c r="G202" s="13"/>
      <c r="H202" s="13"/>
      <c r="I202" s="4">
        <v>0</v>
      </c>
      <c r="J202" s="13"/>
      <c r="K202" s="13"/>
      <c r="L202" s="88"/>
      <c r="N202" s="17"/>
      <c r="O202" s="11"/>
    </row>
    <row r="203" spans="1:15" ht="16.5" thickBot="1">
      <c r="A203" s="18" t="s">
        <v>211</v>
      </c>
      <c r="B203" s="91" t="s">
        <v>226</v>
      </c>
      <c r="C203" s="92"/>
      <c r="D203" s="68"/>
      <c r="E203" s="68"/>
      <c r="F203" s="68"/>
      <c r="G203" s="13"/>
      <c r="H203" s="13"/>
      <c r="I203" s="8">
        <v>0</v>
      </c>
      <c r="J203" s="13"/>
      <c r="K203" s="13"/>
      <c r="N203" s="13"/>
      <c r="O203" s="11"/>
    </row>
    <row r="204" spans="1:15">
      <c r="A204" s="18">
        <v>37</v>
      </c>
      <c r="B204" s="9" t="s">
        <v>212</v>
      </c>
      <c r="C204" s="18"/>
      <c r="D204" s="17"/>
      <c r="E204" s="17"/>
      <c r="F204" s="17"/>
      <c r="G204" s="17"/>
      <c r="H204" s="13"/>
      <c r="I204" s="5">
        <f>+I200-I201-I202-I203</f>
        <v>243000</v>
      </c>
      <c r="J204" s="13"/>
      <c r="K204" s="13"/>
      <c r="N204" s="13"/>
      <c r="O204" s="11"/>
    </row>
    <row r="205" spans="1:15">
      <c r="A205" s="18"/>
      <c r="C205" s="18"/>
      <c r="D205" s="17"/>
      <c r="E205" s="17"/>
      <c r="F205" s="17"/>
      <c r="G205" s="17"/>
      <c r="H205" s="13"/>
      <c r="I205" s="5"/>
      <c r="J205" s="13"/>
      <c r="K205" s="10" t="s">
        <v>235</v>
      </c>
      <c r="N205" s="13"/>
      <c r="O205" s="11"/>
    </row>
    <row r="206" spans="1:15">
      <c r="A206" s="18"/>
      <c r="B206" s="11"/>
      <c r="C206" s="13"/>
      <c r="D206" s="17"/>
      <c r="E206" s="17"/>
      <c r="F206" s="17"/>
      <c r="G206" s="17"/>
      <c r="H206" s="13"/>
      <c r="I206" s="17"/>
      <c r="J206" s="13"/>
      <c r="K206" s="14" t="s">
        <v>139</v>
      </c>
      <c r="L206" s="13"/>
      <c r="N206" s="13"/>
      <c r="O206" s="13"/>
    </row>
    <row r="207" spans="1:15">
      <c r="A207" s="18"/>
      <c r="B207" s="93" t="str">
        <f>B4</f>
        <v>Formula Rate - Cash Flow</v>
      </c>
      <c r="C207" s="18"/>
      <c r="D207" s="17" t="str">
        <f>D4</f>
        <v xml:space="preserve">   Rate Formula Template</v>
      </c>
      <c r="E207" s="17"/>
      <c r="F207" s="17"/>
      <c r="G207" s="17"/>
      <c r="H207" s="13"/>
      <c r="J207" s="13"/>
      <c r="K207" s="94" t="str">
        <f>K4</f>
        <v>For the 12 months ended 12/31/17</v>
      </c>
      <c r="L207" s="11"/>
      <c r="N207" s="13"/>
      <c r="O207" s="13"/>
    </row>
    <row r="208" spans="1:15">
      <c r="A208" s="18"/>
      <c r="B208" s="93"/>
      <c r="C208" s="18"/>
      <c r="D208" s="17" t="str">
        <f>D5</f>
        <v>Utilizing EIA Form 412 Data</v>
      </c>
      <c r="E208" s="17"/>
      <c r="F208" s="17"/>
      <c r="G208" s="17"/>
      <c r="H208" s="13"/>
      <c r="I208" s="95"/>
      <c r="J208" s="2"/>
      <c r="K208" s="6"/>
      <c r="N208" s="13"/>
      <c r="O208" s="13"/>
    </row>
    <row r="209" spans="1:15">
      <c r="A209" s="18"/>
      <c r="B209" s="93"/>
      <c r="C209" s="18"/>
      <c r="D209" s="17"/>
      <c r="E209" s="17"/>
      <c r="F209" s="17"/>
      <c r="G209" s="17"/>
      <c r="H209" s="13"/>
      <c r="I209" s="95"/>
      <c r="J209" s="2"/>
      <c r="K209" s="6"/>
      <c r="N209" s="13"/>
      <c r="O209" s="11"/>
    </row>
    <row r="210" spans="1:15">
      <c r="A210" s="18"/>
      <c r="B210" s="93"/>
      <c r="C210" s="18"/>
      <c r="D210" s="17" t="str">
        <f>D7</f>
        <v>INDIANA MUNICIPAL POWER AGENCY</v>
      </c>
      <c r="E210" s="17"/>
      <c r="F210" s="17"/>
      <c r="G210" s="17"/>
      <c r="H210" s="13"/>
      <c r="I210" s="95"/>
      <c r="J210" s="2"/>
      <c r="K210" s="6"/>
      <c r="N210" s="13"/>
      <c r="O210" s="11"/>
    </row>
    <row r="211" spans="1:15">
      <c r="A211" s="18"/>
      <c r="B211" s="93"/>
      <c r="C211" s="18"/>
      <c r="D211" s="17"/>
      <c r="E211" s="17"/>
      <c r="F211" s="17"/>
      <c r="G211" s="17"/>
      <c r="H211" s="13"/>
      <c r="I211" s="95"/>
      <c r="J211" s="2"/>
      <c r="K211" s="6"/>
      <c r="N211" s="13"/>
      <c r="O211" s="11"/>
    </row>
    <row r="212" spans="1:15">
      <c r="A212" s="18"/>
      <c r="B212" s="11" t="s">
        <v>105</v>
      </c>
      <c r="C212" s="18"/>
      <c r="D212" s="17"/>
      <c r="E212" s="17"/>
      <c r="F212" s="17"/>
      <c r="G212" s="17"/>
      <c r="H212" s="13"/>
      <c r="I212" s="17"/>
      <c r="J212" s="2"/>
      <c r="K212" s="6"/>
      <c r="N212" s="13"/>
      <c r="O212" s="13"/>
    </row>
    <row r="213" spans="1:15">
      <c r="A213" s="18"/>
      <c r="B213" s="96" t="s">
        <v>153</v>
      </c>
      <c r="C213" s="18"/>
      <c r="D213" s="17"/>
      <c r="E213" s="17"/>
      <c r="F213" s="17"/>
      <c r="G213" s="17"/>
      <c r="H213" s="13"/>
      <c r="I213" s="17"/>
      <c r="J213" s="13"/>
      <c r="K213" s="17"/>
      <c r="L213" s="97"/>
      <c r="N213" s="13"/>
      <c r="O213" s="13"/>
    </row>
    <row r="214" spans="1:15">
      <c r="A214" s="18"/>
      <c r="B214" s="96" t="s">
        <v>154</v>
      </c>
      <c r="C214" s="13"/>
      <c r="D214" s="17"/>
      <c r="E214" s="17"/>
      <c r="F214" s="17"/>
      <c r="G214" s="28"/>
      <c r="H214" s="13"/>
      <c r="I214" s="17"/>
      <c r="J214" s="13"/>
      <c r="K214" s="17"/>
      <c r="L214" s="97"/>
      <c r="N214" s="13"/>
      <c r="O214" s="13"/>
    </row>
    <row r="215" spans="1:15">
      <c r="A215" s="18" t="s">
        <v>106</v>
      </c>
      <c r="B215" s="11"/>
      <c r="C215" s="13"/>
      <c r="D215" s="17"/>
      <c r="E215" s="17"/>
      <c r="F215" s="17"/>
      <c r="G215" s="17"/>
      <c r="H215" s="13"/>
      <c r="I215" s="17"/>
      <c r="J215" s="13"/>
      <c r="K215" s="17"/>
      <c r="L215" s="11"/>
      <c r="N215" s="13"/>
      <c r="O215" s="13"/>
    </row>
    <row r="216" spans="1:15" ht="16.5" thickBot="1">
      <c r="A216" s="21" t="s">
        <v>107</v>
      </c>
      <c r="B216" s="11"/>
      <c r="C216" s="13"/>
      <c r="D216" s="17"/>
      <c r="E216" s="17"/>
      <c r="F216" s="17"/>
      <c r="G216" s="17"/>
      <c r="H216" s="13"/>
      <c r="I216" s="17"/>
      <c r="J216" s="13"/>
      <c r="K216" s="17"/>
      <c r="L216" s="11"/>
      <c r="N216" s="13"/>
      <c r="O216" s="13"/>
    </row>
    <row r="217" spans="1:15" ht="32.25" customHeight="1">
      <c r="A217" s="98" t="s">
        <v>108</v>
      </c>
      <c r="B217" s="506" t="s">
        <v>206</v>
      </c>
      <c r="C217" s="506"/>
      <c r="D217" s="506"/>
      <c r="E217" s="506"/>
      <c r="F217" s="506"/>
      <c r="G217" s="506"/>
      <c r="H217" s="506"/>
      <c r="I217" s="506"/>
      <c r="J217" s="506"/>
      <c r="K217" s="506"/>
      <c r="L217" s="11"/>
      <c r="N217" s="13"/>
      <c r="O217" s="13"/>
    </row>
    <row r="218" spans="1:15" ht="65.25" customHeight="1">
      <c r="A218" s="98" t="s">
        <v>109</v>
      </c>
      <c r="B218" s="506" t="s">
        <v>207</v>
      </c>
      <c r="C218" s="506"/>
      <c r="D218" s="506"/>
      <c r="E218" s="506"/>
      <c r="F218" s="506"/>
      <c r="G218" s="506"/>
      <c r="H218" s="506"/>
      <c r="I218" s="506"/>
      <c r="J218" s="506"/>
      <c r="K218" s="506"/>
      <c r="L218" s="11"/>
      <c r="N218" s="13"/>
      <c r="O218" s="13"/>
    </row>
    <row r="219" spans="1:15">
      <c r="A219" s="98" t="s">
        <v>110</v>
      </c>
      <c r="B219" s="506" t="s">
        <v>208</v>
      </c>
      <c r="C219" s="506"/>
      <c r="D219" s="506"/>
      <c r="E219" s="506"/>
      <c r="F219" s="506"/>
      <c r="G219" s="506"/>
      <c r="H219" s="506"/>
      <c r="I219" s="506"/>
      <c r="J219" s="506"/>
      <c r="K219" s="506"/>
      <c r="N219" s="13"/>
      <c r="O219" s="13"/>
    </row>
    <row r="220" spans="1:15">
      <c r="A220" s="98" t="s">
        <v>111</v>
      </c>
      <c r="B220" s="506" t="s">
        <v>208</v>
      </c>
      <c r="C220" s="506"/>
      <c r="D220" s="506"/>
      <c r="E220" s="506"/>
      <c r="F220" s="506"/>
      <c r="G220" s="506"/>
      <c r="H220" s="506"/>
      <c r="I220" s="506"/>
      <c r="J220" s="506"/>
      <c r="K220" s="506"/>
      <c r="L220" s="11"/>
      <c r="N220" s="13"/>
      <c r="O220" s="13"/>
    </row>
    <row r="221" spans="1:15">
      <c r="A221" s="98" t="s">
        <v>112</v>
      </c>
      <c r="B221" s="506" t="s">
        <v>234</v>
      </c>
      <c r="C221" s="506"/>
      <c r="D221" s="506"/>
      <c r="E221" s="506"/>
      <c r="F221" s="506"/>
      <c r="G221" s="506"/>
      <c r="H221" s="506"/>
      <c r="I221" s="506"/>
      <c r="J221" s="506"/>
      <c r="K221" s="506"/>
      <c r="L221" s="11"/>
      <c r="N221" s="13"/>
      <c r="O221" s="13"/>
    </row>
    <row r="222" spans="1:15" ht="32.25" customHeight="1">
      <c r="A222" s="98" t="s">
        <v>113</v>
      </c>
      <c r="B222" s="506" t="s">
        <v>184</v>
      </c>
      <c r="C222" s="506"/>
      <c r="D222" s="506"/>
      <c r="E222" s="506"/>
      <c r="F222" s="506"/>
      <c r="G222" s="506"/>
      <c r="H222" s="506"/>
      <c r="I222" s="506"/>
      <c r="J222" s="506"/>
      <c r="K222" s="506"/>
      <c r="N222" s="13"/>
      <c r="O222" s="13"/>
    </row>
    <row r="223" spans="1:15" ht="32.25" customHeight="1">
      <c r="A223" s="98" t="s">
        <v>114</v>
      </c>
      <c r="B223" s="506" t="s">
        <v>188</v>
      </c>
      <c r="C223" s="506"/>
      <c r="D223" s="506"/>
      <c r="E223" s="506"/>
      <c r="F223" s="506"/>
      <c r="G223" s="506"/>
      <c r="H223" s="506"/>
      <c r="I223" s="506"/>
      <c r="J223" s="506"/>
      <c r="K223" s="506"/>
      <c r="L223" s="11"/>
      <c r="N223" s="13"/>
      <c r="O223" s="13"/>
    </row>
    <row r="224" spans="1:15" ht="78.75" customHeight="1">
      <c r="A224" s="98" t="s">
        <v>115</v>
      </c>
      <c r="B224" s="507" t="s">
        <v>187</v>
      </c>
      <c r="C224" s="507"/>
      <c r="D224" s="507"/>
      <c r="E224" s="507"/>
      <c r="F224" s="507"/>
      <c r="G224" s="507"/>
      <c r="H224" s="507"/>
      <c r="I224" s="507"/>
      <c r="J224" s="507"/>
      <c r="K224" s="507"/>
      <c r="L224" s="11"/>
      <c r="N224" s="13"/>
      <c r="O224" s="13"/>
    </row>
    <row r="225" spans="1:15">
      <c r="A225" s="99" t="s">
        <v>116</v>
      </c>
      <c r="B225" s="507" t="s">
        <v>149</v>
      </c>
      <c r="C225" s="507"/>
      <c r="D225" s="507"/>
      <c r="E225" s="507"/>
      <c r="F225" s="507"/>
      <c r="G225" s="507"/>
      <c r="H225" s="507"/>
      <c r="I225" s="507"/>
      <c r="J225" s="507"/>
      <c r="K225" s="507"/>
      <c r="L225" s="11"/>
      <c r="N225" s="13"/>
      <c r="O225" s="13"/>
    </row>
    <row r="226" spans="1:15" ht="32.25" customHeight="1">
      <c r="A226" s="99" t="s">
        <v>117</v>
      </c>
      <c r="B226" s="507" t="s">
        <v>227</v>
      </c>
      <c r="C226" s="507"/>
      <c r="D226" s="507"/>
      <c r="E226" s="507"/>
      <c r="F226" s="507"/>
      <c r="G226" s="507"/>
      <c r="H226" s="507"/>
      <c r="I226" s="507"/>
      <c r="J226" s="507"/>
      <c r="K226" s="507"/>
      <c r="L226" s="11"/>
      <c r="N226" s="13"/>
      <c r="O226" s="13"/>
    </row>
    <row r="227" spans="1:15" s="2" customFormat="1" ht="48" customHeight="1">
      <c r="A227" s="99" t="s">
        <v>118</v>
      </c>
      <c r="B227" s="507" t="s">
        <v>201</v>
      </c>
      <c r="C227" s="507"/>
      <c r="D227" s="507"/>
      <c r="E227" s="507"/>
      <c r="F227" s="507"/>
      <c r="G227" s="507"/>
      <c r="H227" s="507"/>
      <c r="I227" s="507"/>
      <c r="J227" s="507"/>
      <c r="K227" s="507"/>
      <c r="L227" s="39"/>
      <c r="N227" s="19"/>
      <c r="O227" s="19"/>
    </row>
    <row r="228" spans="1:15" s="2" customFormat="1" ht="32.25" customHeight="1">
      <c r="A228" s="99" t="s">
        <v>119</v>
      </c>
      <c r="B228" s="507" t="s">
        <v>186</v>
      </c>
      <c r="C228" s="507"/>
      <c r="D228" s="507"/>
      <c r="E228" s="507"/>
      <c r="F228" s="507"/>
      <c r="G228" s="507"/>
      <c r="H228" s="507"/>
      <c r="I228" s="507"/>
      <c r="J228" s="507"/>
      <c r="K228" s="507"/>
      <c r="L228" s="39"/>
      <c r="N228" s="19"/>
      <c r="O228" s="19"/>
    </row>
    <row r="229" spans="1:15" s="2" customFormat="1">
      <c r="A229" s="99" t="s">
        <v>120</v>
      </c>
      <c r="B229" s="507" t="s">
        <v>132</v>
      </c>
      <c r="C229" s="507"/>
      <c r="D229" s="507"/>
      <c r="E229" s="507"/>
      <c r="F229" s="507"/>
      <c r="G229" s="507"/>
      <c r="H229" s="507"/>
      <c r="I229" s="507"/>
      <c r="J229" s="507"/>
      <c r="K229" s="507"/>
      <c r="L229" s="39"/>
      <c r="N229" s="19"/>
      <c r="O229" s="19"/>
    </row>
    <row r="230" spans="1:15" s="2" customFormat="1" ht="32.25" customHeight="1">
      <c r="A230" s="99" t="s">
        <v>121</v>
      </c>
      <c r="B230" s="507" t="s">
        <v>185</v>
      </c>
      <c r="C230" s="507"/>
      <c r="D230" s="507"/>
      <c r="E230" s="507"/>
      <c r="F230" s="507"/>
      <c r="G230" s="507"/>
      <c r="H230" s="507"/>
      <c r="I230" s="507"/>
      <c r="J230" s="507"/>
      <c r="K230" s="507"/>
      <c r="L230" s="39"/>
      <c r="N230" s="19"/>
      <c r="O230" s="19"/>
    </row>
    <row r="231" spans="1:15" s="2" customFormat="1">
      <c r="A231" s="99" t="s">
        <v>122</v>
      </c>
      <c r="B231" s="507" t="s">
        <v>123</v>
      </c>
      <c r="C231" s="507"/>
      <c r="D231" s="507"/>
      <c r="E231" s="507"/>
      <c r="F231" s="507"/>
      <c r="G231" s="507"/>
      <c r="H231" s="507"/>
      <c r="I231" s="507"/>
      <c r="J231" s="507"/>
      <c r="K231" s="507"/>
      <c r="L231" s="39"/>
      <c r="N231" s="19"/>
      <c r="O231" s="19"/>
    </row>
    <row r="232" spans="1:15" s="2" customFormat="1" ht="48" customHeight="1">
      <c r="A232" s="99" t="s">
        <v>133</v>
      </c>
      <c r="B232" s="507" t="s">
        <v>202</v>
      </c>
      <c r="C232" s="507"/>
      <c r="D232" s="507"/>
      <c r="E232" s="507"/>
      <c r="F232" s="507"/>
      <c r="G232" s="507"/>
      <c r="H232" s="507"/>
      <c r="I232" s="507"/>
      <c r="J232" s="507"/>
      <c r="K232" s="507"/>
      <c r="L232" s="39"/>
      <c r="N232" s="19"/>
      <c r="O232" s="19"/>
    </row>
    <row r="233" spans="1:15" s="2" customFormat="1" ht="63" customHeight="1">
      <c r="A233" s="99" t="s">
        <v>134</v>
      </c>
      <c r="B233" s="507" t="s">
        <v>203</v>
      </c>
      <c r="C233" s="507"/>
      <c r="D233" s="507"/>
      <c r="E233" s="507"/>
      <c r="F233" s="507"/>
      <c r="G233" s="507"/>
      <c r="H233" s="507"/>
      <c r="I233" s="507"/>
      <c r="J233" s="507"/>
      <c r="K233" s="507"/>
      <c r="L233" s="39"/>
      <c r="N233" s="19"/>
      <c r="O233" s="19"/>
    </row>
    <row r="234" spans="1:15" s="2" customFormat="1">
      <c r="A234" s="99" t="s">
        <v>140</v>
      </c>
      <c r="B234" s="507" t="s">
        <v>219</v>
      </c>
      <c r="C234" s="507"/>
      <c r="D234" s="507"/>
      <c r="E234" s="507"/>
      <c r="F234" s="507"/>
      <c r="G234" s="507"/>
      <c r="H234" s="507"/>
      <c r="I234" s="507"/>
      <c r="J234" s="507"/>
      <c r="K234" s="507"/>
      <c r="L234" s="39"/>
      <c r="N234" s="19"/>
      <c r="O234" s="19"/>
    </row>
    <row r="235" spans="1:15" s="2" customFormat="1">
      <c r="A235" s="99" t="s">
        <v>142</v>
      </c>
      <c r="B235" s="507" t="s">
        <v>220</v>
      </c>
      <c r="C235" s="507"/>
      <c r="D235" s="507"/>
      <c r="E235" s="507"/>
      <c r="F235" s="507"/>
      <c r="G235" s="507"/>
      <c r="H235" s="507"/>
      <c r="I235" s="507"/>
      <c r="J235" s="507"/>
      <c r="K235" s="507"/>
      <c r="L235" s="39"/>
      <c r="N235" s="19"/>
      <c r="O235" s="19"/>
    </row>
    <row r="236" spans="1:15" s="2" customFormat="1">
      <c r="A236" s="98" t="s">
        <v>147</v>
      </c>
      <c r="B236" s="507" t="s">
        <v>228</v>
      </c>
      <c r="C236" s="507"/>
      <c r="D236" s="507"/>
      <c r="E236" s="507"/>
      <c r="F236" s="507"/>
      <c r="G236" s="507"/>
      <c r="H236" s="507"/>
      <c r="I236" s="507"/>
      <c r="J236" s="507"/>
      <c r="K236" s="507"/>
      <c r="L236" s="39"/>
      <c r="N236" s="19"/>
      <c r="O236" s="19"/>
    </row>
    <row r="237" spans="1:15" ht="32.25" customHeight="1">
      <c r="A237" s="98" t="s">
        <v>148</v>
      </c>
      <c r="B237" s="507" t="s">
        <v>229</v>
      </c>
      <c r="C237" s="507"/>
      <c r="D237" s="507"/>
      <c r="E237" s="507"/>
      <c r="F237" s="507"/>
      <c r="G237" s="507"/>
      <c r="H237" s="507"/>
      <c r="I237" s="507"/>
      <c r="J237" s="507"/>
      <c r="K237" s="507"/>
      <c r="L237" s="11"/>
      <c r="N237" s="13"/>
      <c r="O237" s="11"/>
    </row>
    <row r="238" spans="1:15" s="86" customFormat="1">
      <c r="A238" s="98" t="s">
        <v>209</v>
      </c>
      <c r="B238" s="507" t="s">
        <v>230</v>
      </c>
      <c r="C238" s="507"/>
      <c r="D238" s="507"/>
      <c r="E238" s="507"/>
      <c r="F238" s="507"/>
      <c r="G238" s="507"/>
      <c r="H238" s="507"/>
      <c r="I238" s="507"/>
      <c r="J238" s="507"/>
      <c r="K238" s="507"/>
      <c r="L238" s="100"/>
      <c r="N238" s="85"/>
      <c r="O238" s="100"/>
    </row>
    <row r="239" spans="1:15" s="86" customFormat="1" ht="36" customHeight="1">
      <c r="A239" s="98" t="s">
        <v>210</v>
      </c>
      <c r="B239" s="507" t="s">
        <v>231</v>
      </c>
      <c r="C239" s="507"/>
      <c r="D239" s="507"/>
      <c r="E239" s="507"/>
      <c r="F239" s="507"/>
      <c r="G239" s="507"/>
      <c r="H239" s="507"/>
      <c r="I239" s="507"/>
      <c r="J239" s="507"/>
      <c r="K239" s="507"/>
      <c r="L239" s="100"/>
      <c r="N239" s="85"/>
      <c r="O239" s="100"/>
    </row>
    <row r="240" spans="1:15" s="86" customFormat="1">
      <c r="A240" s="18" t="s">
        <v>223</v>
      </c>
      <c r="B240" s="19" t="s">
        <v>221</v>
      </c>
      <c r="C240" s="101"/>
      <c r="D240" s="102"/>
      <c r="E240" s="101"/>
      <c r="F240" s="101"/>
      <c r="G240" s="101"/>
      <c r="H240" s="101"/>
      <c r="I240" s="102"/>
      <c r="J240" s="103"/>
      <c r="K240" s="103"/>
      <c r="L240" s="100"/>
      <c r="N240" s="85"/>
      <c r="O240" s="100"/>
    </row>
    <row r="241" spans="1:15" s="86" customFormat="1">
      <c r="A241" s="18" t="s">
        <v>224</v>
      </c>
      <c r="B241" s="104" t="s">
        <v>222</v>
      </c>
      <c r="C241" s="101"/>
      <c r="D241" s="102"/>
      <c r="E241" s="101"/>
      <c r="F241" s="101"/>
      <c r="G241" s="101"/>
      <c r="H241" s="101"/>
      <c r="I241" s="102"/>
      <c r="J241" s="103"/>
      <c r="K241" s="103"/>
      <c r="L241" s="100"/>
      <c r="N241" s="85"/>
      <c r="O241" s="100"/>
    </row>
    <row r="242" spans="1:15" s="86" customFormat="1">
      <c r="A242" s="35" t="s">
        <v>242</v>
      </c>
      <c r="B242" s="19" t="s">
        <v>244</v>
      </c>
      <c r="C242" s="17"/>
      <c r="D242" s="55"/>
      <c r="E242" s="17"/>
      <c r="F242" s="17"/>
      <c r="G242" s="17"/>
      <c r="H242" s="17"/>
      <c r="I242" s="55"/>
      <c r="J242" s="13"/>
      <c r="K242" s="13"/>
      <c r="L242" s="11"/>
      <c r="N242" s="85"/>
      <c r="O242" s="100"/>
    </row>
    <row r="243" spans="1:15" s="86" customFormat="1">
      <c r="A243" s="35"/>
      <c r="B243" s="19" t="s">
        <v>245</v>
      </c>
      <c r="C243" s="17"/>
      <c r="D243" s="55"/>
      <c r="E243" s="17"/>
      <c r="F243" s="17"/>
      <c r="G243" s="17"/>
      <c r="H243" s="17"/>
      <c r="I243" s="55"/>
      <c r="J243" s="13"/>
      <c r="K243" s="13"/>
      <c r="L243" s="11"/>
      <c r="N243" s="85"/>
      <c r="O243" s="100"/>
    </row>
    <row r="244" spans="1:15" s="86" customFormat="1">
      <c r="A244" s="35" t="s">
        <v>243</v>
      </c>
      <c r="B244" s="19" t="s">
        <v>246</v>
      </c>
      <c r="C244" s="17"/>
      <c r="D244" s="55"/>
      <c r="E244" s="17"/>
      <c r="F244" s="17"/>
      <c r="G244" s="17"/>
      <c r="H244" s="17"/>
      <c r="I244" s="55"/>
      <c r="J244" s="13"/>
      <c r="K244" s="13"/>
      <c r="L244" s="11"/>
      <c r="N244" s="85"/>
      <c r="O244" s="100"/>
    </row>
    <row r="245" spans="1:15" s="86" customFormat="1">
      <c r="A245" s="18"/>
      <c r="B245" s="19" t="s">
        <v>247</v>
      </c>
      <c r="C245" s="17"/>
      <c r="D245" s="55"/>
      <c r="E245" s="17"/>
      <c r="F245" s="17"/>
      <c r="G245" s="17"/>
      <c r="H245" s="17"/>
      <c r="I245" s="55"/>
      <c r="J245" s="13"/>
      <c r="K245" s="13"/>
      <c r="L245" s="11"/>
      <c r="N245" s="85"/>
      <c r="O245" s="100"/>
    </row>
    <row r="246" spans="1:15" s="86" customFormat="1">
      <c r="A246" s="18"/>
      <c r="B246" s="11"/>
      <c r="C246" s="17"/>
      <c r="D246" s="55"/>
      <c r="E246" s="17"/>
      <c r="F246" s="17"/>
      <c r="G246" s="17"/>
      <c r="H246" s="17"/>
      <c r="I246" s="55"/>
      <c r="J246" s="13"/>
      <c r="K246" s="13"/>
      <c r="L246" s="11"/>
      <c r="N246" s="85"/>
      <c r="O246" s="100"/>
    </row>
    <row r="247" spans="1:15">
      <c r="A247" s="18"/>
      <c r="B247" s="13"/>
      <c r="C247" s="13"/>
      <c r="D247" s="13"/>
      <c r="E247" s="13"/>
      <c r="F247" s="13"/>
      <c r="G247" s="13"/>
      <c r="H247" s="13"/>
      <c r="I247" s="13"/>
      <c r="J247" s="13"/>
      <c r="K247" s="13"/>
      <c r="L247" s="11"/>
      <c r="N247" s="13"/>
      <c r="O247" s="13"/>
    </row>
    <row r="248" spans="1:15">
      <c r="A248" s="18"/>
      <c r="B248" s="13"/>
      <c r="C248" s="13"/>
      <c r="D248" s="13"/>
      <c r="E248" s="13"/>
      <c r="F248" s="13"/>
      <c r="G248" s="13"/>
      <c r="H248" s="13"/>
      <c r="I248" s="13"/>
      <c r="J248" s="13"/>
      <c r="K248" s="13"/>
      <c r="N248" s="13"/>
      <c r="O248" s="13"/>
    </row>
    <row r="249" spans="1:15">
      <c r="A249" s="18"/>
      <c r="B249" s="13"/>
      <c r="C249" s="13"/>
      <c r="D249" s="13"/>
      <c r="E249" s="13"/>
      <c r="F249" s="13"/>
      <c r="G249" s="13"/>
      <c r="H249" s="13"/>
      <c r="I249" s="13"/>
      <c r="J249" s="13"/>
      <c r="K249" s="13"/>
      <c r="N249" s="13"/>
      <c r="O249" s="13"/>
    </row>
    <row r="250" spans="1:15">
      <c r="A250" s="18"/>
      <c r="B250" s="13"/>
      <c r="C250" s="13"/>
      <c r="D250" s="13"/>
      <c r="E250" s="13"/>
      <c r="F250" s="13"/>
      <c r="G250" s="13"/>
      <c r="H250" s="13"/>
      <c r="I250" s="13"/>
      <c r="J250" s="13"/>
      <c r="K250" s="13"/>
      <c r="N250" s="13"/>
      <c r="O250" s="13"/>
    </row>
    <row r="251" spans="1:15">
      <c r="A251" s="18"/>
      <c r="B251" s="13"/>
      <c r="C251" s="13"/>
      <c r="D251" s="13"/>
      <c r="E251" s="13"/>
      <c r="F251" s="13"/>
      <c r="G251" s="13"/>
      <c r="H251" s="13"/>
      <c r="I251" s="13"/>
      <c r="J251" s="13"/>
      <c r="K251" s="13"/>
      <c r="N251" s="13"/>
      <c r="O251" s="13"/>
    </row>
    <row r="252" spans="1:15">
      <c r="A252" s="18"/>
      <c r="B252" s="13"/>
      <c r="C252" s="13"/>
      <c r="D252" s="13"/>
      <c r="E252" s="13"/>
      <c r="F252" s="13"/>
      <c r="G252" s="13"/>
      <c r="H252" s="13"/>
      <c r="I252" s="13"/>
      <c r="J252" s="13"/>
      <c r="K252" s="13"/>
      <c r="N252" s="13"/>
      <c r="O252" s="13"/>
    </row>
    <row r="253" spans="1:15">
      <c r="A253" s="18"/>
      <c r="B253" s="13"/>
      <c r="C253" s="13"/>
      <c r="D253" s="13"/>
      <c r="E253" s="13"/>
      <c r="F253" s="13"/>
      <c r="G253" s="13"/>
      <c r="H253" s="13"/>
      <c r="I253" s="13"/>
      <c r="J253" s="13"/>
      <c r="K253" s="13"/>
      <c r="N253" s="13"/>
      <c r="O253" s="13"/>
    </row>
    <row r="254" spans="1:15">
      <c r="A254" s="18"/>
      <c r="B254" s="13"/>
      <c r="C254" s="13"/>
      <c r="D254" s="13"/>
      <c r="E254" s="13"/>
      <c r="F254" s="13"/>
      <c r="G254" s="13"/>
      <c r="H254" s="13"/>
      <c r="I254" s="13"/>
      <c r="J254" s="13"/>
      <c r="K254" s="13"/>
      <c r="N254" s="13"/>
      <c r="O254" s="13"/>
    </row>
    <row r="255" spans="1:15">
      <c r="A255" s="18"/>
      <c r="B255" s="13"/>
      <c r="C255" s="13"/>
      <c r="D255" s="13"/>
      <c r="E255" s="13"/>
      <c r="F255" s="13"/>
      <c r="G255" s="13"/>
      <c r="H255" s="13"/>
      <c r="I255" s="13"/>
      <c r="J255" s="13"/>
      <c r="K255" s="13"/>
      <c r="N255" s="13"/>
      <c r="O255" s="13"/>
    </row>
    <row r="256" spans="1:15">
      <c r="A256" s="18"/>
      <c r="B256" s="13"/>
      <c r="C256" s="13"/>
      <c r="D256" s="13"/>
      <c r="E256" s="13"/>
      <c r="F256" s="13"/>
      <c r="G256" s="13"/>
      <c r="H256" s="13"/>
      <c r="I256" s="13"/>
      <c r="J256" s="13"/>
      <c r="K256" s="13"/>
      <c r="N256" s="13"/>
      <c r="O256" s="13"/>
    </row>
    <row r="257" spans="1:15">
      <c r="A257" s="18"/>
      <c r="B257" s="13"/>
      <c r="C257" s="13"/>
      <c r="D257" s="13"/>
      <c r="E257" s="13"/>
      <c r="F257" s="13"/>
      <c r="G257" s="13"/>
      <c r="H257" s="13"/>
      <c r="I257" s="13"/>
      <c r="J257" s="13"/>
      <c r="K257" s="13"/>
      <c r="L257" s="13"/>
      <c r="N257" s="13"/>
      <c r="O257" s="13"/>
    </row>
    <row r="258" spans="1:15">
      <c r="A258" s="18"/>
      <c r="B258" s="13"/>
      <c r="C258" s="13"/>
      <c r="D258" s="13"/>
      <c r="E258" s="13"/>
      <c r="F258" s="13"/>
      <c r="G258" s="13"/>
      <c r="H258" s="13"/>
      <c r="I258" s="13"/>
      <c r="J258" s="13"/>
      <c r="K258" s="13"/>
      <c r="L258" s="13"/>
      <c r="N258" s="13"/>
      <c r="O258" s="13"/>
    </row>
    <row r="259" spans="1:15">
      <c r="A259" s="18"/>
      <c r="B259" s="13"/>
      <c r="C259" s="13"/>
      <c r="D259" s="13"/>
      <c r="E259" s="13"/>
      <c r="F259" s="13"/>
      <c r="G259" s="13"/>
      <c r="H259" s="13"/>
      <c r="I259" s="13"/>
      <c r="J259" s="13"/>
      <c r="K259" s="13"/>
      <c r="L259" s="13"/>
      <c r="N259" s="13"/>
      <c r="O259" s="13"/>
    </row>
    <row r="260" spans="1:15">
      <c r="A260" s="18"/>
      <c r="B260" s="13"/>
      <c r="C260" s="13"/>
      <c r="D260" s="13"/>
      <c r="E260" s="13"/>
      <c r="F260" s="13"/>
      <c r="G260" s="13"/>
      <c r="H260" s="13"/>
      <c r="I260" s="13"/>
      <c r="J260" s="13"/>
      <c r="K260" s="13"/>
      <c r="L260" s="13"/>
      <c r="N260" s="13"/>
      <c r="O260" s="13"/>
    </row>
    <row r="261" spans="1:15">
      <c r="B261" s="13"/>
      <c r="C261" s="13"/>
      <c r="D261" s="13"/>
      <c r="E261" s="13"/>
      <c r="F261" s="13"/>
      <c r="G261" s="13"/>
      <c r="H261" s="13"/>
      <c r="I261" s="13"/>
      <c r="J261" s="13"/>
      <c r="K261" s="13"/>
      <c r="L261" s="13"/>
      <c r="N261" s="13"/>
      <c r="O261" s="13"/>
    </row>
    <row r="262" spans="1:15">
      <c r="B262" s="13"/>
      <c r="C262" s="13"/>
      <c r="D262" s="13"/>
      <c r="E262" s="13"/>
      <c r="F262" s="13"/>
      <c r="G262" s="13"/>
      <c r="H262" s="13"/>
      <c r="I262" s="13"/>
      <c r="J262" s="13"/>
      <c r="K262" s="13"/>
      <c r="L262" s="13"/>
      <c r="N262" s="13"/>
      <c r="O262" s="13"/>
    </row>
    <row r="263" spans="1:15">
      <c r="B263" s="13"/>
      <c r="C263" s="13"/>
      <c r="D263" s="13"/>
      <c r="E263" s="13"/>
      <c r="F263" s="13"/>
      <c r="G263" s="13"/>
      <c r="H263" s="13"/>
      <c r="I263" s="13"/>
      <c r="J263" s="13"/>
      <c r="K263" s="13"/>
      <c r="L263" s="13"/>
      <c r="N263" s="13"/>
      <c r="O263" s="13"/>
    </row>
    <row r="264" spans="1:15">
      <c r="B264" s="13"/>
      <c r="C264" s="13"/>
      <c r="D264" s="13"/>
      <c r="E264" s="13"/>
      <c r="F264" s="13"/>
      <c r="G264" s="13"/>
      <c r="H264" s="13"/>
      <c r="I264" s="13"/>
      <c r="J264" s="13"/>
      <c r="K264" s="13"/>
      <c r="L264" s="13"/>
      <c r="N264" s="13"/>
      <c r="O264" s="13"/>
    </row>
    <row r="265" spans="1:15">
      <c r="B265" s="13"/>
      <c r="C265" s="13"/>
      <c r="D265" s="13"/>
      <c r="E265" s="13"/>
      <c r="F265" s="13"/>
      <c r="G265" s="13"/>
      <c r="H265" s="13"/>
      <c r="I265" s="13"/>
      <c r="J265" s="13"/>
      <c r="K265" s="13"/>
      <c r="L265" s="13"/>
      <c r="N265" s="13"/>
      <c r="O265" s="13"/>
    </row>
    <row r="266" spans="1:15">
      <c r="B266" s="13"/>
      <c r="C266" s="13"/>
      <c r="D266" s="13"/>
      <c r="E266" s="13"/>
      <c r="F266" s="13"/>
      <c r="G266" s="13"/>
      <c r="H266" s="13"/>
      <c r="I266" s="13"/>
      <c r="J266" s="13"/>
      <c r="K266" s="13"/>
      <c r="L266" s="13"/>
      <c r="N266" s="13"/>
      <c r="O266" s="13"/>
    </row>
    <row r="267" spans="1:15">
      <c r="B267" s="13"/>
      <c r="C267" s="13"/>
      <c r="D267" s="13"/>
      <c r="E267" s="13"/>
      <c r="F267" s="13"/>
      <c r="G267" s="13"/>
      <c r="H267" s="13"/>
      <c r="I267" s="13"/>
      <c r="J267" s="13"/>
      <c r="K267" s="13"/>
      <c r="L267" s="13"/>
      <c r="N267" s="13"/>
      <c r="O267" s="13"/>
    </row>
    <row r="268" spans="1:15">
      <c r="B268" s="13"/>
      <c r="C268" s="13"/>
      <c r="D268" s="13"/>
      <c r="E268" s="13"/>
      <c r="F268" s="13"/>
      <c r="G268" s="13"/>
      <c r="H268" s="13"/>
      <c r="I268" s="13"/>
      <c r="J268" s="13"/>
      <c r="K268" s="13"/>
      <c r="L268" s="13"/>
      <c r="N268" s="13"/>
      <c r="O268" s="13"/>
    </row>
    <row r="269" spans="1:15">
      <c r="B269" s="13"/>
      <c r="C269" s="13"/>
      <c r="D269" s="13"/>
      <c r="E269" s="13"/>
      <c r="F269" s="13"/>
      <c r="G269" s="13"/>
      <c r="H269" s="13"/>
      <c r="I269" s="13"/>
      <c r="J269" s="13"/>
      <c r="K269" s="13"/>
      <c r="L269" s="13"/>
      <c r="N269" s="13"/>
      <c r="O269" s="13"/>
    </row>
    <row r="270" spans="1:15">
      <c r="J270" s="13"/>
      <c r="K270" s="13"/>
      <c r="L270" s="13"/>
      <c r="N270" s="13"/>
      <c r="O270" s="13"/>
    </row>
    <row r="271" spans="1:15">
      <c r="L271" s="13"/>
      <c r="N271" s="13"/>
      <c r="O271" s="13"/>
    </row>
    <row r="272" spans="1:15">
      <c r="L272" s="13"/>
      <c r="N272" s="13"/>
      <c r="O272" s="13"/>
    </row>
    <row r="273" spans="12:12">
      <c r="L273" s="13"/>
    </row>
    <row r="274" spans="12:12">
      <c r="L274" s="13"/>
    </row>
    <row r="275" spans="12:12">
      <c r="L275" s="13"/>
    </row>
    <row r="276" spans="12:12">
      <c r="L276" s="13"/>
    </row>
    <row r="277" spans="12:12">
      <c r="L277" s="13"/>
    </row>
    <row r="278" spans="12:12">
      <c r="L278" s="13"/>
    </row>
    <row r="279" spans="12:12">
      <c r="L279" s="13"/>
    </row>
    <row r="280" spans="12:12">
      <c r="L280" s="13"/>
    </row>
    <row r="281" spans="12:12">
      <c r="L281" s="13"/>
    </row>
    <row r="282" spans="12:12">
      <c r="L282" s="13"/>
    </row>
    <row r="283" spans="12:12">
      <c r="L283" s="13"/>
    </row>
    <row r="284" spans="12:12">
      <c r="L284" s="13"/>
    </row>
    <row r="285" spans="12:12">
      <c r="L285" s="13"/>
    </row>
    <row r="286" spans="12:12">
      <c r="L286" s="13"/>
    </row>
    <row r="287" spans="12:12">
      <c r="L287" s="13"/>
    </row>
    <row r="288" spans="12:12">
      <c r="L288" s="13"/>
    </row>
    <row r="289" spans="12:12">
      <c r="L289" s="13"/>
    </row>
    <row r="290" spans="12:12">
      <c r="L290" s="13"/>
    </row>
    <row r="291" spans="12:12">
      <c r="L291" s="13"/>
    </row>
    <row r="292" spans="12:12">
      <c r="L292" s="13"/>
    </row>
    <row r="293" spans="12:12">
      <c r="L293" s="13"/>
    </row>
    <row r="295" spans="12:12">
      <c r="L295" s="13"/>
    </row>
    <row r="296" spans="12:12">
      <c r="L296" s="13"/>
    </row>
    <row r="297" spans="12:12">
      <c r="L297" s="105"/>
    </row>
    <row r="298" spans="12:12">
      <c r="L298" s="13"/>
    </row>
    <row r="299" spans="12:12">
      <c r="L299" s="13"/>
    </row>
    <row r="300" spans="12:12">
      <c r="L300" s="13"/>
    </row>
    <row r="301" spans="12:12">
      <c r="L301" s="13"/>
    </row>
    <row r="302" spans="12:12">
      <c r="L302" s="13"/>
    </row>
    <row r="303" spans="12:12">
      <c r="L303" s="13"/>
    </row>
    <row r="304" spans="12:12">
      <c r="L304" s="13"/>
    </row>
    <row r="305" spans="12:12">
      <c r="L305" s="13"/>
    </row>
    <row r="306" spans="12:12">
      <c r="L306" s="13"/>
    </row>
    <row r="307" spans="12:12">
      <c r="L307" s="13"/>
    </row>
    <row r="308" spans="12:12">
      <c r="L308" s="13"/>
    </row>
    <row r="309" spans="12:12">
      <c r="L309" s="13"/>
    </row>
    <row r="310" spans="12:12">
      <c r="L310" s="13"/>
    </row>
    <row r="311" spans="12:12">
      <c r="L311" s="13"/>
    </row>
    <row r="312" spans="12:12">
      <c r="L312" s="13"/>
    </row>
    <row r="313" spans="12:12">
      <c r="L313" s="13"/>
    </row>
    <row r="314" spans="12:12">
      <c r="L314" s="13"/>
    </row>
    <row r="315" spans="12:12">
      <c r="L315" s="13"/>
    </row>
    <row r="316" spans="12:12">
      <c r="L316" s="13"/>
    </row>
    <row r="317" spans="12:12">
      <c r="L317" s="13"/>
    </row>
    <row r="318" spans="12:12">
      <c r="L318" s="13"/>
    </row>
    <row r="319" spans="12:12">
      <c r="L319" s="13"/>
    </row>
  </sheetData>
  <sheetProtection password="D71B" sheet="1" objects="1" scenarios="1"/>
  <mergeCells count="26">
    <mergeCell ref="L161:Q161"/>
    <mergeCell ref="B219:K219"/>
    <mergeCell ref="B218:K218"/>
    <mergeCell ref="B217:K217"/>
    <mergeCell ref="B222:K222"/>
    <mergeCell ref="B239:K239"/>
    <mergeCell ref="B221:K221"/>
    <mergeCell ref="B223:K223"/>
    <mergeCell ref="B227:K227"/>
    <mergeCell ref="B226:K226"/>
    <mergeCell ref="B225:K225"/>
    <mergeCell ref="B238:K238"/>
    <mergeCell ref="B233:K233"/>
    <mergeCell ref="B230:K230"/>
    <mergeCell ref="B224:K224"/>
    <mergeCell ref="B229:K229"/>
    <mergeCell ref="B228:K228"/>
    <mergeCell ref="B231:K231"/>
    <mergeCell ref="F75:G75"/>
    <mergeCell ref="F144:G144"/>
    <mergeCell ref="B220:K220"/>
    <mergeCell ref="B237:K237"/>
    <mergeCell ref="B236:K236"/>
    <mergeCell ref="B235:K235"/>
    <mergeCell ref="B234:K234"/>
    <mergeCell ref="B232:K232"/>
  </mergeCells>
  <phoneticPr fontId="0" type="noConversion"/>
  <pageMargins left="0.5" right="0.5" top="0.75" bottom="0.75" header="0.37" footer="0.36"/>
  <pageSetup scale="63" fitToHeight="4" orientation="portrait" r:id="rId1"/>
  <headerFooter alignWithMargins="0">
    <oddFooter>&amp;RV32
EFF 06.01.15</oddFooter>
  </headerFooter>
  <rowBreaks count="3" manualBreakCount="3">
    <brk id="65" max="10" man="1"/>
    <brk id="132" max="10" man="1"/>
    <brk id="20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9"/>
  <sheetViews>
    <sheetView zoomScaleNormal="100" workbookViewId="0">
      <selection sqref="A1:G1"/>
    </sheetView>
  </sheetViews>
  <sheetFormatPr defaultRowHeight="12.75"/>
  <cols>
    <col min="1" max="1" width="8.33203125" style="357" customWidth="1"/>
    <col min="2" max="2" width="3.5546875" style="357" customWidth="1"/>
    <col min="3" max="3" width="9.88671875" style="357" customWidth="1"/>
    <col min="4" max="4" width="2.33203125" style="357" customWidth="1"/>
    <col min="5" max="5" width="12" style="357" bestFit="1" customWidth="1"/>
    <col min="6" max="6" width="2.88671875" style="357" customWidth="1"/>
    <col min="7" max="7" width="12" style="357" bestFit="1" customWidth="1"/>
    <col min="8" max="8" width="9.88671875" style="357" customWidth="1"/>
    <col min="9" max="9" width="9" style="357" customWidth="1"/>
    <col min="10" max="10" width="7.44140625" style="357" bestFit="1" customWidth="1"/>
    <col min="11" max="16384" width="8.88671875" style="357"/>
  </cols>
  <sheetData>
    <row r="1" spans="1:10">
      <c r="A1" s="519" t="s">
        <v>430</v>
      </c>
      <c r="B1" s="519"/>
      <c r="C1" s="519"/>
      <c r="D1" s="519"/>
      <c r="E1" s="519"/>
      <c r="F1" s="519"/>
      <c r="G1" s="519"/>
      <c r="I1" s="357" t="s">
        <v>3083</v>
      </c>
    </row>
    <row r="2" spans="1:10">
      <c r="A2" s="520" t="str">
        <f>CONCATENATE("FERC Charges for ",'Trial Balance'!E1)</f>
        <v>FERC Charges for 2017</v>
      </c>
      <c r="B2" s="520"/>
      <c r="C2" s="520"/>
      <c r="D2" s="520"/>
      <c r="E2" s="520"/>
      <c r="F2" s="520"/>
      <c r="G2" s="520"/>
      <c r="I2" s="488">
        <v>43118</v>
      </c>
      <c r="J2" s="357" t="s">
        <v>3420</v>
      </c>
    </row>
    <row r="3" spans="1:10">
      <c r="A3" s="358"/>
      <c r="B3" s="358"/>
      <c r="C3" s="358"/>
      <c r="D3" s="358"/>
      <c r="E3" s="358"/>
      <c r="F3" s="358"/>
      <c r="G3" s="358"/>
    </row>
    <row r="4" spans="1:10">
      <c r="A4" s="358"/>
      <c r="B4" s="358"/>
      <c r="C4" s="359" t="s">
        <v>3082</v>
      </c>
      <c r="D4" s="359"/>
      <c r="E4" s="359" t="s">
        <v>3082</v>
      </c>
      <c r="F4" s="359"/>
      <c r="G4" s="359"/>
    </row>
    <row r="5" spans="1:10">
      <c r="A5" s="360" t="s">
        <v>3081</v>
      </c>
      <c r="B5" s="358"/>
      <c r="C5" s="360" t="s">
        <v>3080</v>
      </c>
      <c r="D5" s="359"/>
      <c r="E5" s="360" t="s">
        <v>3079</v>
      </c>
      <c r="F5" s="359"/>
      <c r="G5" s="360" t="s">
        <v>9</v>
      </c>
      <c r="I5" s="357" t="s">
        <v>3108</v>
      </c>
    </row>
    <row r="6" spans="1:10">
      <c r="A6" s="361">
        <f t="shared" ref="A6:A15" si="0">EDATE(A7,-1)</f>
        <v>42763</v>
      </c>
      <c r="B6" s="361"/>
      <c r="C6" s="391">
        <v>6306.69</v>
      </c>
      <c r="D6" s="363"/>
      <c r="E6" s="391">
        <v>20831.099999999999</v>
      </c>
      <c r="F6" s="363"/>
      <c r="G6" s="367">
        <f t="shared" ref="G6:G18" si="1">+C6+E6</f>
        <v>27137.789999999997</v>
      </c>
      <c r="I6" s="357" t="s">
        <v>3107</v>
      </c>
      <c r="J6" s="362"/>
    </row>
    <row r="7" spans="1:10">
      <c r="A7" s="361">
        <f t="shared" si="0"/>
        <v>42794</v>
      </c>
      <c r="B7" s="361"/>
      <c r="C7" s="392">
        <v>5617.61</v>
      </c>
      <c r="D7" s="363"/>
      <c r="E7" s="392">
        <v>17648</v>
      </c>
      <c r="F7" s="363"/>
      <c r="G7" s="367">
        <f t="shared" si="1"/>
        <v>23265.61</v>
      </c>
      <c r="I7" s="362"/>
      <c r="J7" s="362"/>
    </row>
    <row r="8" spans="1:10">
      <c r="A8" s="361">
        <f t="shared" si="0"/>
        <v>42824</v>
      </c>
      <c r="B8" s="361"/>
      <c r="C8" s="392">
        <v>6841.88</v>
      </c>
      <c r="D8" s="363"/>
      <c r="E8" s="392">
        <v>19746.53</v>
      </c>
      <c r="F8" s="363"/>
      <c r="G8" s="367">
        <f t="shared" si="1"/>
        <v>26588.41</v>
      </c>
      <c r="I8" s="362"/>
      <c r="J8" s="362"/>
    </row>
    <row r="9" spans="1:10">
      <c r="A9" s="361">
        <f t="shared" si="0"/>
        <v>42855</v>
      </c>
      <c r="B9" s="361"/>
      <c r="C9" s="392">
        <v>6181.42</v>
      </c>
      <c r="D9" s="363"/>
      <c r="E9" s="392">
        <v>16944.560000000001</v>
      </c>
      <c r="F9" s="363"/>
      <c r="G9" s="367">
        <f t="shared" si="1"/>
        <v>23125.980000000003</v>
      </c>
      <c r="I9" s="362"/>
      <c r="J9" s="362"/>
    </row>
    <row r="10" spans="1:10">
      <c r="A10" s="361">
        <f t="shared" si="0"/>
        <v>42885</v>
      </c>
      <c r="B10" s="361"/>
      <c r="C10" s="392">
        <v>6768.24</v>
      </c>
      <c r="D10" s="363"/>
      <c r="E10" s="392">
        <v>20915.09</v>
      </c>
      <c r="F10" s="363"/>
      <c r="G10" s="367">
        <f t="shared" si="1"/>
        <v>27683.33</v>
      </c>
      <c r="I10" s="362"/>
      <c r="J10" s="362"/>
    </row>
    <row r="11" spans="1:10">
      <c r="A11" s="361">
        <f t="shared" si="0"/>
        <v>42916</v>
      </c>
      <c r="B11" s="361"/>
      <c r="C11" s="392">
        <v>7415.54</v>
      </c>
      <c r="D11" s="363"/>
      <c r="E11" s="392">
        <v>22784.62</v>
      </c>
      <c r="F11" s="363"/>
      <c r="G11" s="367">
        <f t="shared" si="1"/>
        <v>30200.16</v>
      </c>
      <c r="I11" s="362"/>
      <c r="J11" s="362"/>
    </row>
    <row r="12" spans="1:10">
      <c r="A12" s="361">
        <f t="shared" si="0"/>
        <v>42946</v>
      </c>
      <c r="B12" s="361"/>
      <c r="C12" s="392">
        <v>7022.52</v>
      </c>
      <c r="D12" s="363"/>
      <c r="E12" s="392">
        <v>24342.63</v>
      </c>
      <c r="F12" s="363"/>
      <c r="G12" s="367">
        <f t="shared" si="1"/>
        <v>31365.15</v>
      </c>
      <c r="I12" s="362"/>
      <c r="J12" s="362"/>
    </row>
    <row r="13" spans="1:10">
      <c r="A13" s="361">
        <f t="shared" si="0"/>
        <v>42977</v>
      </c>
      <c r="B13" s="361"/>
      <c r="C13" s="392">
        <v>7365.97</v>
      </c>
      <c r="D13" s="363"/>
      <c r="E13" s="392">
        <v>23745.17</v>
      </c>
      <c r="F13" s="363"/>
      <c r="G13" s="367">
        <f t="shared" si="1"/>
        <v>31111.14</v>
      </c>
      <c r="I13" s="362"/>
      <c r="J13" s="362"/>
    </row>
    <row r="14" spans="1:10">
      <c r="A14" s="361">
        <f t="shared" si="0"/>
        <v>43008</v>
      </c>
      <c r="B14" s="361"/>
      <c r="C14" s="392">
        <v>7193.78</v>
      </c>
      <c r="D14" s="363"/>
      <c r="E14" s="392">
        <v>22483.200000000001</v>
      </c>
      <c r="F14" s="363"/>
      <c r="G14" s="367">
        <f t="shared" si="1"/>
        <v>29676.98</v>
      </c>
      <c r="I14" s="362"/>
      <c r="J14" s="362"/>
    </row>
    <row r="15" spans="1:10">
      <c r="A15" s="361">
        <f t="shared" si="0"/>
        <v>43038</v>
      </c>
      <c r="B15" s="361"/>
      <c r="C15" s="392">
        <v>6607.98</v>
      </c>
      <c r="D15" s="363"/>
      <c r="E15" s="392">
        <v>17927.87</v>
      </c>
      <c r="F15" s="363"/>
      <c r="G15" s="367">
        <f t="shared" si="1"/>
        <v>24535.85</v>
      </c>
      <c r="I15" s="362"/>
      <c r="J15" s="362"/>
    </row>
    <row r="16" spans="1:10">
      <c r="A16" s="361">
        <f>EDATE(A17,-1)</f>
        <v>43069</v>
      </c>
      <c r="B16" s="361"/>
      <c r="C16" s="392">
        <v>5909.73</v>
      </c>
      <c r="D16" s="363"/>
      <c r="E16" s="392">
        <v>16217.86</v>
      </c>
      <c r="F16" s="363"/>
      <c r="G16" s="367">
        <f t="shared" si="1"/>
        <v>22127.59</v>
      </c>
      <c r="I16" s="362"/>
      <c r="J16" s="362"/>
    </row>
    <row r="17" spans="1:10">
      <c r="A17" s="361">
        <f>'Balance sheet'!A4:F4</f>
        <v>43100</v>
      </c>
      <c r="B17" s="361"/>
      <c r="C17" s="392">
        <v>5413.74</v>
      </c>
      <c r="D17" s="363"/>
      <c r="E17" s="392">
        <v>19155.84</v>
      </c>
      <c r="F17" s="363"/>
      <c r="G17" s="367">
        <f t="shared" si="1"/>
        <v>24569.58</v>
      </c>
      <c r="I17" s="362"/>
      <c r="J17" s="362"/>
    </row>
    <row r="18" spans="1:10">
      <c r="A18" s="364" t="s">
        <v>9</v>
      </c>
      <c r="B18" s="365"/>
      <c r="C18" s="368">
        <f>SUM(C6:C17)</f>
        <v>78645.099999999991</v>
      </c>
      <c r="D18" s="363"/>
      <c r="E18" s="368">
        <f>SUM(E6:E17)</f>
        <v>242742.47</v>
      </c>
      <c r="F18" s="363"/>
      <c r="G18" s="368">
        <f t="shared" si="1"/>
        <v>321387.57</v>
      </c>
      <c r="J18" s="366"/>
    </row>
    <row r="19" spans="1:10">
      <c r="C19" s="363"/>
      <c r="D19" s="363"/>
      <c r="E19" s="363"/>
      <c r="F19" s="363"/>
      <c r="G19" s="363"/>
    </row>
  </sheetData>
  <mergeCells count="2">
    <mergeCell ref="A1:G1"/>
    <mergeCell ref="A2:G2"/>
  </mergeCells>
  <printOptions horizontalCentered="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56"/>
  <sheetViews>
    <sheetView zoomScaleNormal="100" workbookViewId="0">
      <selection sqref="A1:D1"/>
    </sheetView>
  </sheetViews>
  <sheetFormatPr defaultColWidth="7.109375" defaultRowHeight="12.75"/>
  <cols>
    <col min="1" max="2" width="9.88671875" style="357" customWidth="1"/>
    <col min="3" max="3" width="12.5546875" style="357" customWidth="1"/>
    <col min="4" max="4" width="3.109375" style="357" customWidth="1"/>
    <col min="5" max="5" width="2.5546875" style="357" customWidth="1"/>
    <col min="6" max="6" width="7.109375" style="357"/>
    <col min="7" max="7" width="11.21875" style="357" customWidth="1"/>
    <col min="8" max="8" width="10.77734375" style="357" customWidth="1"/>
    <col min="9" max="16384" width="7.109375" style="357"/>
  </cols>
  <sheetData>
    <row r="1" spans="1:9">
      <c r="A1" s="519" t="s">
        <v>430</v>
      </c>
      <c r="B1" s="519"/>
      <c r="C1" s="519"/>
      <c r="D1" s="519"/>
      <c r="G1" s="369" t="s">
        <v>3197</v>
      </c>
    </row>
    <row r="2" spans="1:9">
      <c r="A2" s="519" t="str">
        <f>CONCATENATE(+'Trial Balance'!E1," JTS Monthly Peak Demands*")</f>
        <v>2017 JTS Monthly Peak Demands*</v>
      </c>
      <c r="B2" s="519"/>
      <c r="C2" s="519"/>
      <c r="D2" s="519"/>
      <c r="G2" s="370" t="s">
        <v>3106</v>
      </c>
      <c r="H2" s="371">
        <v>43186</v>
      </c>
    </row>
    <row r="3" spans="1:9">
      <c r="A3" s="520" t="s">
        <v>3105</v>
      </c>
      <c r="B3" s="520"/>
      <c r="C3" s="520"/>
      <c r="D3" s="520"/>
    </row>
    <row r="4" spans="1:9">
      <c r="A4" s="521" t="s">
        <v>3104</v>
      </c>
      <c r="B4" s="521"/>
      <c r="C4" s="521"/>
      <c r="D4" s="521"/>
    </row>
    <row r="5" spans="1:9">
      <c r="A5" s="376"/>
      <c r="B5" s="376"/>
      <c r="C5" s="376"/>
      <c r="D5" s="376"/>
      <c r="G5" s="365"/>
      <c r="H5" s="365"/>
    </row>
    <row r="6" spans="1:9">
      <c r="A6" s="376"/>
      <c r="B6" s="376"/>
      <c r="C6" s="377" t="s">
        <v>3100</v>
      </c>
      <c r="D6" s="377"/>
      <c r="F6" s="372"/>
      <c r="G6" s="373"/>
      <c r="H6" s="373"/>
    </row>
    <row r="7" spans="1:9">
      <c r="A7" s="378" t="s">
        <v>3099</v>
      </c>
      <c r="B7" s="378" t="s">
        <v>3098</v>
      </c>
      <c r="C7" s="378" t="s">
        <v>3097</v>
      </c>
      <c r="D7" s="378"/>
      <c r="F7" s="379"/>
      <c r="G7" s="380" t="s">
        <v>3103</v>
      </c>
      <c r="H7" s="380" t="s">
        <v>3102</v>
      </c>
    </row>
    <row r="8" spans="1:9">
      <c r="A8" s="381" t="s">
        <v>3096</v>
      </c>
      <c r="B8" s="487">
        <v>2017</v>
      </c>
      <c r="C8" s="382">
        <v>479.06400000000002</v>
      </c>
      <c r="D8" s="376"/>
      <c r="F8" s="372"/>
      <c r="G8" s="413">
        <v>42741</v>
      </c>
      <c r="H8" s="375">
        <v>900</v>
      </c>
      <c r="I8" s="374"/>
    </row>
    <row r="9" spans="1:9">
      <c r="A9" s="381" t="s">
        <v>3095</v>
      </c>
      <c r="B9" s="487">
        <v>2017</v>
      </c>
      <c r="C9" s="382">
        <v>436.50099999999998</v>
      </c>
      <c r="D9" s="376"/>
      <c r="F9" s="372"/>
      <c r="G9" s="413">
        <v>42775</v>
      </c>
      <c r="H9" s="375">
        <v>2100</v>
      </c>
      <c r="I9" s="374"/>
    </row>
    <row r="10" spans="1:9">
      <c r="A10" s="381" t="s">
        <v>3094</v>
      </c>
      <c r="B10" s="487">
        <v>2017</v>
      </c>
      <c r="C10" s="382">
        <v>438.36399999999998</v>
      </c>
      <c r="D10" s="376"/>
      <c r="F10" s="372"/>
      <c r="G10" s="413">
        <v>42809</v>
      </c>
      <c r="H10" s="375">
        <v>700</v>
      </c>
      <c r="I10" s="374"/>
    </row>
    <row r="11" spans="1:9">
      <c r="A11" s="381" t="s">
        <v>3093</v>
      </c>
      <c r="B11" s="487">
        <v>2017</v>
      </c>
      <c r="C11" s="382">
        <v>392.00400000000002</v>
      </c>
      <c r="D11" s="376"/>
      <c r="F11" s="372"/>
      <c r="G11" s="413">
        <v>42851</v>
      </c>
      <c r="H11" s="375">
        <v>1800</v>
      </c>
      <c r="I11" s="374"/>
    </row>
    <row r="12" spans="1:9">
      <c r="A12" s="381" t="s">
        <v>3092</v>
      </c>
      <c r="B12" s="487">
        <v>2017</v>
      </c>
      <c r="C12" s="382">
        <v>476.19</v>
      </c>
      <c r="D12" s="376"/>
      <c r="F12" s="372"/>
      <c r="G12" s="413">
        <v>42873</v>
      </c>
      <c r="H12" s="375">
        <v>1600</v>
      </c>
      <c r="I12" s="374"/>
    </row>
    <row r="13" spans="1:9">
      <c r="A13" s="381" t="s">
        <v>3091</v>
      </c>
      <c r="B13" s="487">
        <v>2017</v>
      </c>
      <c r="C13" s="382">
        <v>553.54899999999998</v>
      </c>
      <c r="D13" s="376"/>
      <c r="F13" s="372"/>
      <c r="G13" s="413">
        <v>42898</v>
      </c>
      <c r="H13" s="375">
        <v>1800</v>
      </c>
      <c r="I13" s="374"/>
    </row>
    <row r="14" spans="1:9">
      <c r="A14" s="381" t="s">
        <v>3090</v>
      </c>
      <c r="B14" s="487">
        <v>2017</v>
      </c>
      <c r="C14" s="382">
        <v>562.64200000000005</v>
      </c>
      <c r="D14" s="376"/>
      <c r="F14" s="372"/>
      <c r="G14" s="413">
        <v>42935</v>
      </c>
      <c r="H14" s="375">
        <v>1600</v>
      </c>
      <c r="I14" s="374"/>
    </row>
    <row r="15" spans="1:9">
      <c r="A15" s="381" t="s">
        <v>3089</v>
      </c>
      <c r="B15" s="487">
        <v>2017</v>
      </c>
      <c r="C15" s="382">
        <v>564.79300000000001</v>
      </c>
      <c r="D15" s="376"/>
      <c r="F15" s="372"/>
      <c r="G15" s="413">
        <v>42963</v>
      </c>
      <c r="H15" s="375">
        <v>1600</v>
      </c>
      <c r="I15" s="374"/>
    </row>
    <row r="16" spans="1:9">
      <c r="A16" s="381" t="s">
        <v>3088</v>
      </c>
      <c r="B16" s="487">
        <v>2017</v>
      </c>
      <c r="C16" s="382">
        <v>569.64499999999998</v>
      </c>
      <c r="D16" s="376"/>
      <c r="F16" s="372"/>
      <c r="G16" s="413">
        <v>42999</v>
      </c>
      <c r="H16" s="375">
        <v>1600</v>
      </c>
      <c r="I16" s="374"/>
    </row>
    <row r="17" spans="1:14">
      <c r="A17" s="381" t="s">
        <v>3087</v>
      </c>
      <c r="B17" s="487">
        <v>2017</v>
      </c>
      <c r="C17" s="382">
        <v>429.61200000000002</v>
      </c>
      <c r="D17" s="376"/>
      <c r="F17" s="372"/>
      <c r="G17" s="413">
        <v>43011</v>
      </c>
      <c r="H17" s="375">
        <v>1700</v>
      </c>
      <c r="I17" s="374"/>
    </row>
    <row r="18" spans="1:14">
      <c r="A18" s="381" t="s">
        <v>3086</v>
      </c>
      <c r="B18" s="487">
        <v>2017</v>
      </c>
      <c r="C18" s="382">
        <v>410.428</v>
      </c>
      <c r="D18" s="376"/>
      <c r="F18" s="372"/>
      <c r="G18" s="413">
        <v>43059</v>
      </c>
      <c r="H18" s="375">
        <v>800</v>
      </c>
      <c r="I18" s="374"/>
    </row>
    <row r="19" spans="1:14" ht="13.5" thickBot="1">
      <c r="A19" s="381" t="s">
        <v>3085</v>
      </c>
      <c r="B19" s="487">
        <v>2017</v>
      </c>
      <c r="C19" s="382">
        <v>461.928</v>
      </c>
      <c r="D19" s="376"/>
      <c r="F19" s="372"/>
      <c r="G19" s="414">
        <v>43096</v>
      </c>
      <c r="H19" s="383">
        <v>900</v>
      </c>
      <c r="I19" s="374"/>
    </row>
    <row r="20" spans="1:14">
      <c r="A20" s="384" t="s">
        <v>3084</v>
      </c>
      <c r="B20" s="384"/>
      <c r="C20" s="385">
        <f>AVERAGE(C8:C19)</f>
        <v>481.22666666666669</v>
      </c>
      <c r="D20" s="386"/>
      <c r="F20" s="372"/>
      <c r="G20" s="387"/>
      <c r="H20" s="375"/>
    </row>
    <row r="21" spans="1:14">
      <c r="A21" s="487"/>
      <c r="B21" s="487"/>
      <c r="C21" s="388"/>
      <c r="D21" s="376"/>
      <c r="F21" s="372"/>
      <c r="G21" s="372"/>
      <c r="H21" s="372"/>
    </row>
    <row r="22" spans="1:14">
      <c r="A22" s="376" t="s">
        <v>3101</v>
      </c>
      <c r="B22" s="376"/>
      <c r="C22" s="376"/>
      <c r="D22" s="376"/>
      <c r="F22" s="372"/>
      <c r="G22" s="372"/>
      <c r="H22" s="372"/>
    </row>
    <row r="23" spans="1:14">
      <c r="A23" s="376"/>
      <c r="B23" s="376"/>
      <c r="C23" s="487"/>
      <c r="D23" s="487"/>
      <c r="F23" s="372"/>
      <c r="G23" s="373"/>
      <c r="H23" s="373"/>
    </row>
    <row r="24" spans="1:14">
      <c r="A24" s="378" t="s">
        <v>3099</v>
      </c>
      <c r="B24" s="378" t="s">
        <v>3098</v>
      </c>
      <c r="C24" s="378" t="s">
        <v>3097</v>
      </c>
      <c r="D24" s="378"/>
      <c r="F24" s="379"/>
      <c r="G24" s="380" t="s">
        <v>3103</v>
      </c>
      <c r="H24" s="380" t="s">
        <v>3102</v>
      </c>
    </row>
    <row r="25" spans="1:14">
      <c r="A25" s="381" t="s">
        <v>3096</v>
      </c>
      <c r="B25" s="389" t="s">
        <v>428</v>
      </c>
      <c r="C25" s="382">
        <v>489.98899999999998</v>
      </c>
      <c r="D25" s="376"/>
      <c r="F25" s="372"/>
      <c r="G25" s="413">
        <v>42378</v>
      </c>
      <c r="H25" s="375">
        <v>800</v>
      </c>
      <c r="I25" s="374"/>
      <c r="M25" s="374"/>
      <c r="N25" s="374"/>
    </row>
    <row r="26" spans="1:14">
      <c r="A26" s="381" t="s">
        <v>3095</v>
      </c>
      <c r="B26" s="377" t="s">
        <v>428</v>
      </c>
      <c r="C26" s="382">
        <v>461.29</v>
      </c>
      <c r="D26" s="376"/>
      <c r="F26" s="372"/>
      <c r="G26" s="413">
        <v>42411</v>
      </c>
      <c r="H26" s="375">
        <v>800</v>
      </c>
      <c r="I26" s="374"/>
      <c r="M26" s="374"/>
      <c r="N26" s="374"/>
    </row>
    <row r="27" spans="1:14">
      <c r="A27" s="381" t="s">
        <v>3094</v>
      </c>
      <c r="B27" s="377" t="s">
        <v>428</v>
      </c>
      <c r="C27" s="382">
        <v>418.52699999999999</v>
      </c>
      <c r="D27" s="376"/>
      <c r="F27" s="372"/>
      <c r="G27" s="413">
        <v>42431</v>
      </c>
      <c r="H27" s="375">
        <v>800</v>
      </c>
      <c r="I27" s="374"/>
      <c r="M27" s="374"/>
      <c r="N27" s="374"/>
    </row>
    <row r="28" spans="1:14">
      <c r="A28" s="381" t="s">
        <v>3093</v>
      </c>
      <c r="B28" s="377" t="s">
        <v>428</v>
      </c>
      <c r="C28" s="382">
        <v>384.00200000000001</v>
      </c>
      <c r="D28" s="376"/>
      <c r="F28" s="372"/>
      <c r="G28" s="413">
        <v>42465</v>
      </c>
      <c r="H28" s="375">
        <v>700</v>
      </c>
      <c r="I28" s="374"/>
      <c r="M28" s="374"/>
      <c r="N28" s="374"/>
    </row>
    <row r="29" spans="1:14">
      <c r="A29" s="381" t="s">
        <v>3092</v>
      </c>
      <c r="B29" s="377" t="s">
        <v>428</v>
      </c>
      <c r="C29" s="382">
        <v>483.12099999999998</v>
      </c>
      <c r="D29" s="376"/>
      <c r="F29" s="372"/>
      <c r="G29" s="413">
        <v>42521</v>
      </c>
      <c r="H29" s="375">
        <v>1600</v>
      </c>
      <c r="I29" s="374"/>
      <c r="M29" s="374"/>
      <c r="N29" s="374"/>
    </row>
    <row r="30" spans="1:14">
      <c r="A30" s="381" t="s">
        <v>3091</v>
      </c>
      <c r="B30" s="377" t="s">
        <v>428</v>
      </c>
      <c r="C30" s="382">
        <v>555.41999999999996</v>
      </c>
      <c r="D30" s="376"/>
      <c r="F30" s="372"/>
      <c r="G30" s="413">
        <v>42541</v>
      </c>
      <c r="H30" s="375">
        <v>1500</v>
      </c>
      <c r="I30" s="374"/>
      <c r="M30" s="374"/>
      <c r="N30" s="374"/>
    </row>
    <row r="31" spans="1:14">
      <c r="A31" s="381" t="s">
        <v>3090</v>
      </c>
      <c r="B31" s="377" t="s">
        <v>428</v>
      </c>
      <c r="C31" s="382">
        <v>583.86800000000005</v>
      </c>
      <c r="D31" s="376"/>
      <c r="F31" s="372"/>
      <c r="G31" s="413">
        <v>42572</v>
      </c>
      <c r="H31" s="375">
        <v>1500</v>
      </c>
      <c r="I31" s="374"/>
      <c r="M31" s="374"/>
      <c r="N31" s="374"/>
    </row>
    <row r="32" spans="1:14">
      <c r="A32" s="381" t="s">
        <v>3089</v>
      </c>
      <c r="B32" s="377" t="s">
        <v>428</v>
      </c>
      <c r="C32" s="382">
        <v>598.053</v>
      </c>
      <c r="D32" s="376"/>
      <c r="F32" s="372"/>
      <c r="G32" s="413">
        <v>42593</v>
      </c>
      <c r="H32" s="375">
        <v>1600</v>
      </c>
      <c r="I32" s="374"/>
      <c r="M32" s="374"/>
      <c r="N32" s="374"/>
    </row>
    <row r="33" spans="1:14">
      <c r="A33" s="381" t="s">
        <v>3088</v>
      </c>
      <c r="B33" s="377" t="s">
        <v>428</v>
      </c>
      <c r="C33" s="382">
        <v>583.34799999999996</v>
      </c>
      <c r="D33" s="376"/>
      <c r="F33" s="372"/>
      <c r="G33" s="413">
        <v>42620</v>
      </c>
      <c r="H33" s="375">
        <v>1600</v>
      </c>
      <c r="I33" s="374"/>
      <c r="M33" s="374"/>
      <c r="N33" s="374"/>
    </row>
    <row r="34" spans="1:14">
      <c r="A34" s="381" t="s">
        <v>3087</v>
      </c>
      <c r="B34" s="377" t="s">
        <v>428</v>
      </c>
      <c r="C34" s="382">
        <v>440.50599999999997</v>
      </c>
      <c r="D34" s="376"/>
      <c r="F34" s="372"/>
      <c r="G34" s="413">
        <v>42649</v>
      </c>
      <c r="H34" s="375">
        <v>1700</v>
      </c>
      <c r="I34" s="374"/>
      <c r="M34" s="374"/>
      <c r="N34" s="374"/>
    </row>
    <row r="35" spans="1:14">
      <c r="A35" s="381" t="s">
        <v>3086</v>
      </c>
      <c r="B35" s="377" t="s">
        <v>428</v>
      </c>
      <c r="C35" s="382">
        <v>396.31</v>
      </c>
      <c r="D35" s="376"/>
      <c r="F35" s="372"/>
      <c r="G35" s="413">
        <v>42695</v>
      </c>
      <c r="H35" s="375">
        <v>800</v>
      </c>
      <c r="I35" s="374"/>
      <c r="M35" s="374"/>
      <c r="N35" s="374"/>
    </row>
    <row r="36" spans="1:14" ht="13.5" thickBot="1">
      <c r="A36" s="381" t="s">
        <v>3085</v>
      </c>
      <c r="B36" s="377" t="s">
        <v>428</v>
      </c>
      <c r="C36" s="382">
        <v>480.76600000000002</v>
      </c>
      <c r="D36" s="376"/>
      <c r="F36" s="372"/>
      <c r="G36" s="414">
        <v>42723</v>
      </c>
      <c r="H36" s="383">
        <v>800</v>
      </c>
      <c r="I36" s="374"/>
      <c r="M36" s="374"/>
      <c r="N36" s="374"/>
    </row>
    <row r="37" spans="1:14">
      <c r="A37" s="384" t="s">
        <v>3084</v>
      </c>
      <c r="B37" s="384"/>
      <c r="C37" s="385">
        <f>AVERAGE(C25:C36)</f>
        <v>489.60000000000008</v>
      </c>
      <c r="D37" s="386"/>
      <c r="F37" s="372"/>
      <c r="G37" s="387"/>
      <c r="H37" s="375"/>
    </row>
    <row r="38" spans="1:14">
      <c r="A38" s="377"/>
      <c r="B38" s="377"/>
      <c r="C38" s="388"/>
      <c r="D38" s="376"/>
      <c r="F38" s="372"/>
      <c r="G38" s="372"/>
      <c r="H38" s="372"/>
    </row>
    <row r="39" spans="1:14">
      <c r="A39" s="376" t="s">
        <v>3101</v>
      </c>
      <c r="B39" s="376"/>
      <c r="C39" s="376"/>
      <c r="D39" s="376"/>
      <c r="F39" s="372"/>
      <c r="G39" s="372"/>
      <c r="H39" s="372"/>
    </row>
    <row r="40" spans="1:14">
      <c r="A40" s="376"/>
      <c r="B40" s="376"/>
      <c r="C40" s="376"/>
      <c r="D40" s="376"/>
    </row>
    <row r="42" spans="1:14">
      <c r="A42" s="376"/>
      <c r="B42" s="376"/>
      <c r="C42" s="377" t="s">
        <v>3100</v>
      </c>
    </row>
    <row r="43" spans="1:14">
      <c r="A43" s="378" t="s">
        <v>3099</v>
      </c>
      <c r="B43" s="378" t="s">
        <v>3098</v>
      </c>
      <c r="C43" s="378" t="s">
        <v>3097</v>
      </c>
      <c r="G43" s="380" t="s">
        <v>3103</v>
      </c>
      <c r="H43" s="380" t="s">
        <v>3102</v>
      </c>
    </row>
    <row r="44" spans="1:14">
      <c r="A44" s="381" t="s">
        <v>3096</v>
      </c>
      <c r="B44" s="390">
        <v>2015</v>
      </c>
      <c r="C44" s="382">
        <v>508.68599999999998</v>
      </c>
      <c r="G44" s="413">
        <v>42011</v>
      </c>
      <c r="H44" s="375">
        <v>1900</v>
      </c>
    </row>
    <row r="45" spans="1:14">
      <c r="A45" s="381" t="s">
        <v>3095</v>
      </c>
      <c r="B45" s="390">
        <v>2015</v>
      </c>
      <c r="C45" s="382">
        <v>490.62200000000001</v>
      </c>
      <c r="G45" s="413">
        <v>42055</v>
      </c>
      <c r="H45" s="375">
        <v>800</v>
      </c>
    </row>
    <row r="46" spans="1:14">
      <c r="A46" s="381" t="s">
        <v>3094</v>
      </c>
      <c r="B46" s="390">
        <v>2015</v>
      </c>
      <c r="C46" s="382">
        <v>465.64600000000002</v>
      </c>
      <c r="G46" s="413">
        <v>42069</v>
      </c>
      <c r="H46" s="375">
        <v>800</v>
      </c>
    </row>
    <row r="47" spans="1:14">
      <c r="A47" s="381" t="s">
        <v>3093</v>
      </c>
      <c r="B47" s="390">
        <v>2015</v>
      </c>
      <c r="C47" s="382">
        <v>349.64600000000002</v>
      </c>
      <c r="G47" s="413">
        <v>42118</v>
      </c>
      <c r="H47" s="375">
        <v>700</v>
      </c>
    </row>
    <row r="48" spans="1:14">
      <c r="A48" s="381" t="s">
        <v>3092</v>
      </c>
      <c r="B48" s="390">
        <v>2015</v>
      </c>
      <c r="C48" s="382">
        <v>463.27800000000002</v>
      </c>
      <c r="G48" s="413">
        <v>42153</v>
      </c>
      <c r="H48" s="375">
        <v>1600</v>
      </c>
    </row>
    <row r="49" spans="1:8">
      <c r="A49" s="381" t="s">
        <v>3091</v>
      </c>
      <c r="B49" s="390">
        <v>2015</v>
      </c>
      <c r="C49" s="382">
        <v>531.20299999999997</v>
      </c>
      <c r="G49" s="413">
        <v>42170</v>
      </c>
      <c r="H49" s="375">
        <v>1600</v>
      </c>
    </row>
    <row r="50" spans="1:8">
      <c r="A50" s="381" t="s">
        <v>3090</v>
      </c>
      <c r="B50" s="390">
        <v>2015</v>
      </c>
      <c r="C50" s="382">
        <v>572.55799999999999</v>
      </c>
      <c r="G50" s="413">
        <v>42213</v>
      </c>
      <c r="H50" s="375">
        <v>1600</v>
      </c>
    </row>
    <row r="51" spans="1:8">
      <c r="A51" s="381" t="s">
        <v>3089</v>
      </c>
      <c r="B51" s="390">
        <v>2015</v>
      </c>
      <c r="C51" s="382">
        <v>535.97900000000004</v>
      </c>
      <c r="G51" s="413">
        <v>42219</v>
      </c>
      <c r="H51" s="375">
        <v>1500</v>
      </c>
    </row>
    <row r="52" spans="1:8">
      <c r="A52" s="381" t="s">
        <v>3088</v>
      </c>
      <c r="B52" s="390">
        <v>2015</v>
      </c>
      <c r="C52" s="382">
        <v>553.70100000000002</v>
      </c>
      <c r="G52" s="413">
        <v>42251</v>
      </c>
      <c r="H52" s="375">
        <v>1500</v>
      </c>
    </row>
    <row r="53" spans="1:8">
      <c r="A53" s="381" t="s">
        <v>3087</v>
      </c>
      <c r="B53" s="390">
        <v>2015</v>
      </c>
      <c r="C53" s="382">
        <v>380.58300000000003</v>
      </c>
      <c r="G53" s="413">
        <v>42285</v>
      </c>
      <c r="H53" s="375">
        <v>2000</v>
      </c>
    </row>
    <row r="54" spans="1:8">
      <c r="A54" s="381" t="s">
        <v>3086</v>
      </c>
      <c r="B54" s="390">
        <v>2015</v>
      </c>
      <c r="C54" s="382">
        <v>396.27600000000001</v>
      </c>
      <c r="G54" s="413">
        <v>42331</v>
      </c>
      <c r="H54" s="375">
        <v>800</v>
      </c>
    </row>
    <row r="55" spans="1:8" ht="13.5" thickBot="1">
      <c r="A55" s="381" t="s">
        <v>3085</v>
      </c>
      <c r="B55" s="390">
        <v>2015</v>
      </c>
      <c r="C55" s="382">
        <v>404.57600000000002</v>
      </c>
      <c r="G55" s="414">
        <v>42356</v>
      </c>
      <c r="H55" s="383">
        <v>1900</v>
      </c>
    </row>
    <row r="56" spans="1:8">
      <c r="A56" s="384" t="s">
        <v>3084</v>
      </c>
      <c r="B56" s="384"/>
      <c r="C56" s="385">
        <f>AVERAGE(C44:C55)</f>
        <v>471.06283333333323</v>
      </c>
    </row>
  </sheetData>
  <mergeCells count="4">
    <mergeCell ref="A1:D1"/>
    <mergeCell ref="A2:D2"/>
    <mergeCell ref="A3:D3"/>
    <mergeCell ref="A4:D4"/>
  </mergeCells>
  <printOptions horizontalCentered="1"/>
  <pageMargins left="0.7" right="0.7" top="0.75" bottom="0.75" header="0.3" footer="0.3"/>
  <pageSetup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12"/>
  <sheetViews>
    <sheetView workbookViewId="0">
      <selection sqref="A1:C1"/>
    </sheetView>
  </sheetViews>
  <sheetFormatPr defaultRowHeight="15"/>
  <cols>
    <col min="1" max="1" width="32.5546875" customWidth="1"/>
    <col min="2" max="2" width="2.77734375" customWidth="1"/>
    <col min="3" max="3" width="14.44140625" customWidth="1"/>
    <col min="4" max="4" width="2.33203125" customWidth="1"/>
  </cols>
  <sheetData>
    <row r="1" spans="1:3" ht="15.75">
      <c r="A1" s="522" t="s">
        <v>3431</v>
      </c>
      <c r="B1" s="522"/>
      <c r="C1" s="522"/>
    </row>
    <row r="4" spans="1:3">
      <c r="A4" t="s">
        <v>3425</v>
      </c>
      <c r="C4" s="502">
        <f>+'Electric Plant'!J17</f>
        <v>153169293</v>
      </c>
    </row>
    <row r="5" spans="1:3">
      <c r="A5" t="s">
        <v>3426</v>
      </c>
      <c r="C5" s="502"/>
    </row>
    <row r="6" spans="1:3">
      <c r="A6" s="503" t="s">
        <v>3427</v>
      </c>
      <c r="C6" s="502">
        <f>+'CELP Assets'!Z64</f>
        <v>1721972.02</v>
      </c>
    </row>
    <row r="7" spans="1:3">
      <c r="A7" s="503" t="s">
        <v>3428</v>
      </c>
      <c r="C7" s="502">
        <f>+'Peru Assets'!Z64</f>
        <v>6729462.8700000001</v>
      </c>
    </row>
    <row r="8" spans="1:3">
      <c r="C8" s="502"/>
    </row>
    <row r="9" spans="1:3">
      <c r="A9" t="s">
        <v>3430</v>
      </c>
      <c r="C9" s="504">
        <f>++C4+C6+C7</f>
        <v>161620727.89000002</v>
      </c>
    </row>
    <row r="12" spans="1:3">
      <c r="A12" t="s">
        <v>3429</v>
      </c>
    </row>
  </sheetData>
  <mergeCells count="1">
    <mergeCell ref="A1:C1"/>
  </mergeCells>
  <printOptions horizontalCentered="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68"/>
  <sheetViews>
    <sheetView zoomScaleNormal="100" workbookViewId="0">
      <pane xSplit="1" ySplit="6" topLeftCell="B7" activePane="bottomRight" state="frozen"/>
      <selection activeCell="D146" sqref="D146"/>
      <selection pane="topRight" activeCell="D146" sqref="D146"/>
      <selection pane="bottomLeft" activeCell="D146" sqref="D146"/>
      <selection pane="bottomRight" activeCell="B7" sqref="B7"/>
    </sheetView>
  </sheetViews>
  <sheetFormatPr defaultRowHeight="15"/>
  <cols>
    <col min="1" max="1" width="11.44140625" style="490" customWidth="1"/>
    <col min="2" max="2" width="10" style="490" bestFit="1" customWidth="1"/>
    <col min="3" max="3" width="10.44140625" style="490" bestFit="1" customWidth="1"/>
    <col min="4" max="4" width="16" style="490" customWidth="1"/>
    <col min="5" max="5" width="9.88671875" style="490" bestFit="1" customWidth="1"/>
    <col min="6" max="6" width="10.44140625" style="490" bestFit="1" customWidth="1"/>
    <col min="7" max="7" width="7.21875" style="490" bestFit="1" customWidth="1"/>
    <col min="8" max="8" width="11.109375" style="490" bestFit="1" customWidth="1"/>
    <col min="9" max="9" width="3" style="490" customWidth="1"/>
    <col min="10" max="10" width="11.44140625" style="490" customWidth="1"/>
    <col min="11" max="11" width="10.33203125" style="490" customWidth="1"/>
    <col min="12" max="12" width="11.33203125" style="490" bestFit="1" customWidth="1"/>
    <col min="13" max="13" width="16" style="490" customWidth="1"/>
    <col min="14" max="14" width="11.77734375" style="490" customWidth="1"/>
    <col min="15" max="15" width="9.5546875" style="490" bestFit="1" customWidth="1"/>
    <col min="16" max="16" width="8.88671875" style="490"/>
    <col min="17" max="17" width="11" style="490" bestFit="1" customWidth="1"/>
    <col min="18" max="18" width="3.44140625" style="490" customWidth="1"/>
    <col min="19" max="19" width="11.44140625" style="490" customWidth="1"/>
    <col min="20" max="20" width="9.88671875" style="490" bestFit="1" customWidth="1"/>
    <col min="21" max="21" width="10.33203125" style="490" bestFit="1" customWidth="1"/>
    <col min="22" max="22" width="16" style="490" customWidth="1"/>
    <col min="23" max="23" width="9.77734375" style="490" bestFit="1" customWidth="1"/>
    <col min="24" max="24" width="10.33203125" style="490" bestFit="1" customWidth="1"/>
    <col min="25" max="25" width="7.21875" style="490" bestFit="1" customWidth="1"/>
    <col min="26" max="26" width="11" style="490" bestFit="1" customWidth="1"/>
    <col min="27" max="16384" width="8.88671875" style="490"/>
  </cols>
  <sheetData>
    <row r="1" spans="1:26" s="269" customFormat="1" ht="20.25">
      <c r="A1" s="266" t="s">
        <v>3039</v>
      </c>
      <c r="B1" s="267"/>
      <c r="C1" s="268"/>
      <c r="D1" s="268"/>
      <c r="E1" s="268"/>
      <c r="F1" s="268"/>
      <c r="G1" s="268"/>
      <c r="H1" s="268"/>
      <c r="J1" s="270" t="str">
        <f>A1</f>
        <v>Crawfordsville Municipal's</v>
      </c>
      <c r="K1" s="271"/>
      <c r="L1" s="271"/>
      <c r="M1" s="271"/>
      <c r="N1" s="271"/>
      <c r="O1" s="271"/>
      <c r="P1" s="271"/>
      <c r="Q1" s="271"/>
      <c r="S1" s="266" t="str">
        <f>A1</f>
        <v>Crawfordsville Municipal's</v>
      </c>
      <c r="T1" s="267"/>
      <c r="U1" s="268"/>
      <c r="V1" s="268"/>
      <c r="W1" s="268"/>
      <c r="X1" s="268"/>
      <c r="Y1" s="268"/>
      <c r="Z1" s="268"/>
    </row>
    <row r="2" spans="1:26" s="269" customFormat="1">
      <c r="A2" s="272" t="s">
        <v>3030</v>
      </c>
      <c r="B2" s="267"/>
      <c r="C2" s="268"/>
      <c r="D2" s="268"/>
      <c r="E2" s="268"/>
      <c r="F2" s="268"/>
      <c r="G2" s="268"/>
      <c r="H2" s="268"/>
      <c r="J2" s="273" t="s">
        <v>3030</v>
      </c>
      <c r="K2" s="271"/>
      <c r="L2" s="271"/>
      <c r="M2" s="271"/>
      <c r="N2" s="271"/>
      <c r="O2" s="271"/>
      <c r="P2" s="271"/>
      <c r="Q2" s="271"/>
      <c r="S2" s="272" t="s">
        <v>3030</v>
      </c>
      <c r="T2" s="267"/>
      <c r="U2" s="268"/>
      <c r="V2" s="268"/>
      <c r="W2" s="268"/>
      <c r="X2" s="268"/>
      <c r="Y2" s="268"/>
      <c r="Z2" s="268"/>
    </row>
    <row r="3" spans="1:26" s="269" customFormat="1" ht="12.75">
      <c r="A3" s="274"/>
      <c r="B3" s="274"/>
      <c r="J3" s="275" t="s">
        <v>3031</v>
      </c>
      <c r="K3" s="276"/>
      <c r="L3" s="276"/>
      <c r="M3" s="276"/>
      <c r="N3" s="276"/>
      <c r="O3" s="276"/>
      <c r="P3" s="276"/>
      <c r="Q3" s="276"/>
      <c r="S3" s="274"/>
      <c r="T3" s="274"/>
    </row>
    <row r="4" spans="1:26" s="269" customFormat="1" ht="12.75">
      <c r="A4" s="274"/>
      <c r="B4" s="274"/>
      <c r="J4" s="276"/>
      <c r="K4" s="276"/>
      <c r="L4" s="276"/>
      <c r="M4" s="276"/>
      <c r="N4" s="276"/>
      <c r="O4" s="276"/>
      <c r="P4" s="276"/>
      <c r="Q4" s="276"/>
      <c r="S4" s="274"/>
      <c r="T4" s="274"/>
    </row>
    <row r="5" spans="1:26" s="269" customFormat="1" ht="13.5" thickBot="1">
      <c r="A5" s="277"/>
      <c r="B5" s="304" t="s">
        <v>3414</v>
      </c>
      <c r="C5" s="279"/>
      <c r="D5" s="279"/>
      <c r="E5" s="279"/>
      <c r="F5" s="279"/>
      <c r="G5" s="279"/>
      <c r="J5" s="280"/>
      <c r="K5" s="281" t="str">
        <f>CONCATENATE(LEFT(B5,4)," Additions and Deletions By FERC Account By Vintage Year")</f>
        <v>2017 Additions and Deletions By FERC Account By Vintage Year</v>
      </c>
      <c r="L5" s="281"/>
      <c r="M5" s="281"/>
      <c r="N5" s="281"/>
      <c r="O5" s="281"/>
      <c r="P5" s="281"/>
      <c r="Q5" s="276"/>
      <c r="S5" s="277"/>
      <c r="T5" s="279" t="str">
        <f>CONCATENATE(LEFT(B5,4)," Ending Balance By FERC Account By Vintage Year")</f>
        <v>2017 Ending Balance By FERC Account By Vintage Year</v>
      </c>
      <c r="U5" s="279"/>
      <c r="V5" s="279"/>
      <c r="W5" s="279"/>
      <c r="X5" s="279"/>
      <c r="Y5" s="279"/>
    </row>
    <row r="6" spans="1:26" s="269" customFormat="1">
      <c r="A6" s="282" t="s">
        <v>3032</v>
      </c>
      <c r="B6" s="283" t="s">
        <v>3033</v>
      </c>
      <c r="C6" s="283" t="s">
        <v>3034</v>
      </c>
      <c r="D6" s="283" t="s">
        <v>3035</v>
      </c>
      <c r="E6" s="283" t="s">
        <v>3036</v>
      </c>
      <c r="F6" s="283" t="s">
        <v>3037</v>
      </c>
      <c r="G6" s="283" t="s">
        <v>3038</v>
      </c>
      <c r="H6" s="282" t="s">
        <v>9</v>
      </c>
      <c r="J6" s="284" t="s">
        <v>3032</v>
      </c>
      <c r="K6" s="285" t="s">
        <v>3033</v>
      </c>
      <c r="L6" s="285" t="s">
        <v>3034</v>
      </c>
      <c r="M6" s="285" t="s">
        <v>3035</v>
      </c>
      <c r="N6" s="285" t="s">
        <v>3036</v>
      </c>
      <c r="O6" s="285" t="s">
        <v>3037</v>
      </c>
      <c r="P6" s="285" t="s">
        <v>3038</v>
      </c>
      <c r="Q6" s="284" t="s">
        <v>9</v>
      </c>
      <c r="S6" s="282" t="s">
        <v>3032</v>
      </c>
      <c r="T6" s="283" t="s">
        <v>3033</v>
      </c>
      <c r="U6" s="283" t="s">
        <v>3034</v>
      </c>
      <c r="V6" s="283" t="s">
        <v>3035</v>
      </c>
      <c r="W6" s="283" t="s">
        <v>3036</v>
      </c>
      <c r="X6" s="283" t="s">
        <v>3037</v>
      </c>
      <c r="Y6" s="283" t="s">
        <v>3038</v>
      </c>
      <c r="Z6" s="282" t="s">
        <v>9</v>
      </c>
    </row>
    <row r="7" spans="1:26" s="269" customFormat="1" ht="12.75">
      <c r="A7" s="286"/>
      <c r="B7" s="287"/>
      <c r="C7" s="287"/>
      <c r="D7" s="287"/>
      <c r="E7" s="287"/>
      <c r="F7" s="287"/>
      <c r="G7" s="287"/>
      <c r="H7" s="287"/>
      <c r="J7" s="288"/>
      <c r="K7" s="289"/>
      <c r="L7" s="289"/>
      <c r="M7" s="289"/>
      <c r="N7" s="289"/>
      <c r="O7" s="289"/>
      <c r="P7" s="289"/>
      <c r="Q7" s="289"/>
      <c r="S7" s="286"/>
      <c r="T7" s="287"/>
      <c r="U7" s="287"/>
      <c r="V7" s="287"/>
      <c r="W7" s="287"/>
      <c r="X7" s="287"/>
      <c r="Y7" s="287"/>
      <c r="Z7" s="287"/>
    </row>
    <row r="8" spans="1:26" s="269" customFormat="1" ht="12.75">
      <c r="A8" s="277">
        <v>1962</v>
      </c>
      <c r="B8" s="290">
        <v>0</v>
      </c>
      <c r="C8" s="290">
        <v>49423.82</v>
      </c>
      <c r="D8" s="290">
        <v>0</v>
      </c>
      <c r="E8" s="290">
        <v>0</v>
      </c>
      <c r="F8" s="290">
        <v>0</v>
      </c>
      <c r="G8" s="290">
        <v>0</v>
      </c>
      <c r="H8" s="290">
        <f>SUM(B8:G8)</f>
        <v>49423.82</v>
      </c>
      <c r="J8" s="288">
        <v>1962</v>
      </c>
      <c r="K8" s="305">
        <v>0</v>
      </c>
      <c r="L8" s="305">
        <v>0</v>
      </c>
      <c r="M8" s="305">
        <v>0</v>
      </c>
      <c r="N8" s="305">
        <v>0</v>
      </c>
      <c r="O8" s="305">
        <v>0</v>
      </c>
      <c r="P8" s="305">
        <v>0</v>
      </c>
      <c r="Q8" s="293">
        <f t="shared" ref="Q8:Q62" si="0">SUM(K8:P8)</f>
        <v>0</v>
      </c>
      <c r="S8" s="277">
        <v>1962</v>
      </c>
      <c r="T8" s="294">
        <f t="shared" ref="T8:Y23" si="1">B8+K8</f>
        <v>0</v>
      </c>
      <c r="U8" s="294">
        <f t="shared" si="1"/>
        <v>49423.82</v>
      </c>
      <c r="V8" s="294">
        <f t="shared" si="1"/>
        <v>0</v>
      </c>
      <c r="W8" s="294">
        <f t="shared" si="1"/>
        <v>0</v>
      </c>
      <c r="X8" s="294">
        <f t="shared" si="1"/>
        <v>0</v>
      </c>
      <c r="Y8" s="294">
        <f t="shared" si="1"/>
        <v>0</v>
      </c>
      <c r="Z8" s="294">
        <f>SUM(T8:Y8)</f>
        <v>49423.82</v>
      </c>
    </row>
    <row r="9" spans="1:26" s="269" customFormat="1" ht="12.75">
      <c r="A9" s="277">
        <v>1963</v>
      </c>
      <c r="B9" s="290">
        <v>0</v>
      </c>
      <c r="C9" s="290">
        <v>0</v>
      </c>
      <c r="D9" s="290">
        <v>0</v>
      </c>
      <c r="E9" s="290">
        <v>0</v>
      </c>
      <c r="F9" s="290">
        <v>0</v>
      </c>
      <c r="G9" s="290">
        <v>0</v>
      </c>
      <c r="H9" s="290">
        <f t="shared" ref="H9:H56" si="2">SUM(B9:G9)</f>
        <v>0</v>
      </c>
      <c r="J9" s="288">
        <v>1963</v>
      </c>
      <c r="K9" s="306">
        <v>0</v>
      </c>
      <c r="L9" s="306">
        <v>0</v>
      </c>
      <c r="M9" s="306">
        <v>0</v>
      </c>
      <c r="N9" s="306">
        <v>0</v>
      </c>
      <c r="O9" s="306">
        <v>0</v>
      </c>
      <c r="P9" s="306">
        <v>0</v>
      </c>
      <c r="Q9" s="299">
        <f t="shared" si="0"/>
        <v>0</v>
      </c>
      <c r="S9" s="277">
        <v>1963</v>
      </c>
      <c r="T9" s="294">
        <f t="shared" si="1"/>
        <v>0</v>
      </c>
      <c r="U9" s="294">
        <f t="shared" si="1"/>
        <v>0</v>
      </c>
      <c r="V9" s="294">
        <f t="shared" si="1"/>
        <v>0</v>
      </c>
      <c r="W9" s="294">
        <f t="shared" si="1"/>
        <v>0</v>
      </c>
      <c r="X9" s="294">
        <f t="shared" si="1"/>
        <v>0</v>
      </c>
      <c r="Y9" s="294">
        <f t="shared" si="1"/>
        <v>0</v>
      </c>
      <c r="Z9" s="294">
        <f t="shared" ref="Z9:Z63" si="3">SUM(T9:Y9)</f>
        <v>0</v>
      </c>
    </row>
    <row r="10" spans="1:26" s="269" customFormat="1" ht="12.75">
      <c r="A10" s="277">
        <v>1964</v>
      </c>
      <c r="B10" s="290">
        <v>0</v>
      </c>
      <c r="C10" s="290">
        <v>0</v>
      </c>
      <c r="D10" s="290">
        <v>0</v>
      </c>
      <c r="E10" s="290">
        <v>0</v>
      </c>
      <c r="F10" s="290">
        <v>0</v>
      </c>
      <c r="G10" s="290">
        <v>0</v>
      </c>
      <c r="H10" s="290">
        <f t="shared" si="2"/>
        <v>0</v>
      </c>
      <c r="J10" s="288">
        <v>1964</v>
      </c>
      <c r="K10" s="306">
        <v>0</v>
      </c>
      <c r="L10" s="306">
        <v>0</v>
      </c>
      <c r="M10" s="306">
        <v>0</v>
      </c>
      <c r="N10" s="306">
        <v>0</v>
      </c>
      <c r="O10" s="306">
        <v>0</v>
      </c>
      <c r="P10" s="306">
        <v>0</v>
      </c>
      <c r="Q10" s="299">
        <f t="shared" si="0"/>
        <v>0</v>
      </c>
      <c r="S10" s="277">
        <v>1964</v>
      </c>
      <c r="T10" s="294">
        <f t="shared" si="1"/>
        <v>0</v>
      </c>
      <c r="U10" s="294">
        <f t="shared" si="1"/>
        <v>0</v>
      </c>
      <c r="V10" s="294">
        <f t="shared" si="1"/>
        <v>0</v>
      </c>
      <c r="W10" s="294">
        <f t="shared" si="1"/>
        <v>0</v>
      </c>
      <c r="X10" s="294">
        <f t="shared" si="1"/>
        <v>0</v>
      </c>
      <c r="Y10" s="294">
        <f t="shared" si="1"/>
        <v>0</v>
      </c>
      <c r="Z10" s="294">
        <f t="shared" si="3"/>
        <v>0</v>
      </c>
    </row>
    <row r="11" spans="1:26" s="269" customFormat="1" ht="12.75">
      <c r="A11" s="277">
        <v>1965</v>
      </c>
      <c r="B11" s="290">
        <v>0</v>
      </c>
      <c r="C11" s="290">
        <v>2006.58</v>
      </c>
      <c r="D11" s="290">
        <v>0</v>
      </c>
      <c r="E11" s="290">
        <v>0</v>
      </c>
      <c r="F11" s="290">
        <v>0</v>
      </c>
      <c r="G11" s="290">
        <v>0</v>
      </c>
      <c r="H11" s="290">
        <f t="shared" si="2"/>
        <v>2006.58</v>
      </c>
      <c r="J11" s="288">
        <v>1965</v>
      </c>
      <c r="K11" s="306">
        <v>0</v>
      </c>
      <c r="L11" s="306">
        <v>0</v>
      </c>
      <c r="M11" s="306">
        <v>0</v>
      </c>
      <c r="N11" s="306">
        <v>0</v>
      </c>
      <c r="O11" s="306">
        <v>0</v>
      </c>
      <c r="P11" s="306">
        <v>0</v>
      </c>
      <c r="Q11" s="299">
        <f t="shared" si="0"/>
        <v>0</v>
      </c>
      <c r="S11" s="277">
        <v>1965</v>
      </c>
      <c r="T11" s="294">
        <f t="shared" si="1"/>
        <v>0</v>
      </c>
      <c r="U11" s="294">
        <f t="shared" si="1"/>
        <v>2006.58</v>
      </c>
      <c r="V11" s="294">
        <f t="shared" si="1"/>
        <v>0</v>
      </c>
      <c r="W11" s="294">
        <f t="shared" si="1"/>
        <v>0</v>
      </c>
      <c r="X11" s="294">
        <f t="shared" si="1"/>
        <v>0</v>
      </c>
      <c r="Y11" s="294">
        <f t="shared" si="1"/>
        <v>0</v>
      </c>
      <c r="Z11" s="294">
        <f t="shared" si="3"/>
        <v>2006.58</v>
      </c>
    </row>
    <row r="12" spans="1:26" s="269" customFormat="1" ht="12.75">
      <c r="A12" s="277">
        <v>1966</v>
      </c>
      <c r="B12" s="290">
        <v>0</v>
      </c>
      <c r="C12" s="290">
        <v>0</v>
      </c>
      <c r="D12" s="290">
        <v>0</v>
      </c>
      <c r="E12" s="290">
        <v>0</v>
      </c>
      <c r="F12" s="290">
        <v>0</v>
      </c>
      <c r="G12" s="290">
        <v>0</v>
      </c>
      <c r="H12" s="290">
        <f t="shared" si="2"/>
        <v>0</v>
      </c>
      <c r="J12" s="288">
        <v>1966</v>
      </c>
      <c r="K12" s="306">
        <v>0</v>
      </c>
      <c r="L12" s="306">
        <v>0</v>
      </c>
      <c r="M12" s="306">
        <v>0</v>
      </c>
      <c r="N12" s="306">
        <v>0</v>
      </c>
      <c r="O12" s="306">
        <v>0</v>
      </c>
      <c r="P12" s="306">
        <v>0</v>
      </c>
      <c r="Q12" s="299">
        <f t="shared" si="0"/>
        <v>0</v>
      </c>
      <c r="S12" s="277">
        <v>1966</v>
      </c>
      <c r="T12" s="294">
        <f t="shared" si="1"/>
        <v>0</v>
      </c>
      <c r="U12" s="294">
        <f t="shared" si="1"/>
        <v>0</v>
      </c>
      <c r="V12" s="294">
        <f t="shared" si="1"/>
        <v>0</v>
      </c>
      <c r="W12" s="294">
        <f t="shared" si="1"/>
        <v>0</v>
      </c>
      <c r="X12" s="294">
        <f t="shared" si="1"/>
        <v>0</v>
      </c>
      <c r="Y12" s="294">
        <f t="shared" si="1"/>
        <v>0</v>
      </c>
      <c r="Z12" s="294">
        <f t="shared" si="3"/>
        <v>0</v>
      </c>
    </row>
    <row r="13" spans="1:26" s="269" customFormat="1" ht="12.75">
      <c r="A13" s="277">
        <v>1967</v>
      </c>
      <c r="B13" s="290">
        <v>0</v>
      </c>
      <c r="C13" s="290">
        <v>0</v>
      </c>
      <c r="D13" s="290">
        <v>0</v>
      </c>
      <c r="E13" s="290">
        <v>0</v>
      </c>
      <c r="F13" s="290">
        <v>0</v>
      </c>
      <c r="G13" s="290">
        <v>0</v>
      </c>
      <c r="H13" s="290">
        <f t="shared" si="2"/>
        <v>0</v>
      </c>
      <c r="J13" s="288">
        <v>1967</v>
      </c>
      <c r="K13" s="306">
        <v>0</v>
      </c>
      <c r="L13" s="306">
        <v>0</v>
      </c>
      <c r="M13" s="306">
        <v>0</v>
      </c>
      <c r="N13" s="306">
        <v>0</v>
      </c>
      <c r="O13" s="306">
        <v>0</v>
      </c>
      <c r="P13" s="306">
        <v>0</v>
      </c>
      <c r="Q13" s="299">
        <f t="shared" si="0"/>
        <v>0</v>
      </c>
      <c r="S13" s="277">
        <v>1967</v>
      </c>
      <c r="T13" s="294">
        <f t="shared" si="1"/>
        <v>0</v>
      </c>
      <c r="U13" s="294">
        <f t="shared" si="1"/>
        <v>0</v>
      </c>
      <c r="V13" s="294">
        <f t="shared" si="1"/>
        <v>0</v>
      </c>
      <c r="W13" s="294">
        <f t="shared" si="1"/>
        <v>0</v>
      </c>
      <c r="X13" s="294">
        <f t="shared" si="1"/>
        <v>0</v>
      </c>
      <c r="Y13" s="294">
        <f t="shared" si="1"/>
        <v>0</v>
      </c>
      <c r="Z13" s="294">
        <f t="shared" si="3"/>
        <v>0</v>
      </c>
    </row>
    <row r="14" spans="1:26" s="269" customFormat="1" ht="12.75">
      <c r="A14" s="277">
        <v>1968</v>
      </c>
      <c r="B14" s="290">
        <v>0</v>
      </c>
      <c r="C14" s="290">
        <v>0</v>
      </c>
      <c r="D14" s="290">
        <v>0</v>
      </c>
      <c r="E14" s="290">
        <v>0</v>
      </c>
      <c r="F14" s="290">
        <v>0</v>
      </c>
      <c r="G14" s="290">
        <v>0</v>
      </c>
      <c r="H14" s="290">
        <f t="shared" si="2"/>
        <v>0</v>
      </c>
      <c r="J14" s="288">
        <v>1968</v>
      </c>
      <c r="K14" s="306">
        <v>0</v>
      </c>
      <c r="L14" s="306">
        <v>0</v>
      </c>
      <c r="M14" s="306">
        <v>0</v>
      </c>
      <c r="N14" s="306">
        <v>0</v>
      </c>
      <c r="O14" s="306">
        <v>0</v>
      </c>
      <c r="P14" s="306">
        <v>0</v>
      </c>
      <c r="Q14" s="299">
        <f t="shared" si="0"/>
        <v>0</v>
      </c>
      <c r="S14" s="277">
        <v>1968</v>
      </c>
      <c r="T14" s="294">
        <f t="shared" si="1"/>
        <v>0</v>
      </c>
      <c r="U14" s="294">
        <f t="shared" si="1"/>
        <v>0</v>
      </c>
      <c r="V14" s="294">
        <f t="shared" si="1"/>
        <v>0</v>
      </c>
      <c r="W14" s="294">
        <f t="shared" si="1"/>
        <v>0</v>
      </c>
      <c r="X14" s="294">
        <f t="shared" si="1"/>
        <v>0</v>
      </c>
      <c r="Y14" s="294">
        <f t="shared" si="1"/>
        <v>0</v>
      </c>
      <c r="Z14" s="294">
        <f t="shared" si="3"/>
        <v>0</v>
      </c>
    </row>
    <row r="15" spans="1:26" s="269" customFormat="1" ht="12.75">
      <c r="A15" s="277">
        <v>1969</v>
      </c>
      <c r="B15" s="290">
        <v>0</v>
      </c>
      <c r="C15" s="290">
        <v>0</v>
      </c>
      <c r="D15" s="290">
        <v>0</v>
      </c>
      <c r="E15" s="290">
        <v>0</v>
      </c>
      <c r="F15" s="290">
        <v>0</v>
      </c>
      <c r="G15" s="290">
        <v>0</v>
      </c>
      <c r="H15" s="290">
        <f t="shared" si="2"/>
        <v>0</v>
      </c>
      <c r="J15" s="288">
        <v>1969</v>
      </c>
      <c r="K15" s="306">
        <v>0</v>
      </c>
      <c r="L15" s="306">
        <v>0</v>
      </c>
      <c r="M15" s="306">
        <v>0</v>
      </c>
      <c r="N15" s="306">
        <v>0</v>
      </c>
      <c r="O15" s="306">
        <v>0</v>
      </c>
      <c r="P15" s="306">
        <v>0</v>
      </c>
      <c r="Q15" s="299">
        <f t="shared" si="0"/>
        <v>0</v>
      </c>
      <c r="S15" s="277">
        <v>1969</v>
      </c>
      <c r="T15" s="294">
        <f t="shared" si="1"/>
        <v>0</v>
      </c>
      <c r="U15" s="294">
        <f t="shared" si="1"/>
        <v>0</v>
      </c>
      <c r="V15" s="294">
        <f t="shared" si="1"/>
        <v>0</v>
      </c>
      <c r="W15" s="294">
        <f t="shared" si="1"/>
        <v>0</v>
      </c>
      <c r="X15" s="294">
        <f t="shared" si="1"/>
        <v>0</v>
      </c>
      <c r="Y15" s="294">
        <f t="shared" si="1"/>
        <v>0</v>
      </c>
      <c r="Z15" s="294">
        <f t="shared" si="3"/>
        <v>0</v>
      </c>
    </row>
    <row r="16" spans="1:26" s="269" customFormat="1" ht="12.75">
      <c r="A16" s="277">
        <v>1970</v>
      </c>
      <c r="B16" s="290">
        <v>0</v>
      </c>
      <c r="C16" s="290">
        <v>0</v>
      </c>
      <c r="D16" s="290">
        <v>0</v>
      </c>
      <c r="E16" s="290">
        <v>0</v>
      </c>
      <c r="F16" s="290">
        <v>0</v>
      </c>
      <c r="G16" s="290">
        <v>0</v>
      </c>
      <c r="H16" s="290">
        <f t="shared" si="2"/>
        <v>0</v>
      </c>
      <c r="J16" s="288">
        <v>1970</v>
      </c>
      <c r="K16" s="306">
        <v>0</v>
      </c>
      <c r="L16" s="306">
        <v>0</v>
      </c>
      <c r="M16" s="306">
        <v>0</v>
      </c>
      <c r="N16" s="306">
        <v>0</v>
      </c>
      <c r="O16" s="306">
        <v>0</v>
      </c>
      <c r="P16" s="306">
        <v>0</v>
      </c>
      <c r="Q16" s="299">
        <f t="shared" si="0"/>
        <v>0</v>
      </c>
      <c r="S16" s="277">
        <v>1970</v>
      </c>
      <c r="T16" s="294">
        <f t="shared" si="1"/>
        <v>0</v>
      </c>
      <c r="U16" s="294">
        <f t="shared" si="1"/>
        <v>0</v>
      </c>
      <c r="V16" s="294">
        <f t="shared" si="1"/>
        <v>0</v>
      </c>
      <c r="W16" s="294">
        <f t="shared" si="1"/>
        <v>0</v>
      </c>
      <c r="X16" s="294">
        <f t="shared" si="1"/>
        <v>0</v>
      </c>
      <c r="Y16" s="294">
        <f t="shared" si="1"/>
        <v>0</v>
      </c>
      <c r="Z16" s="294">
        <f t="shared" si="3"/>
        <v>0</v>
      </c>
    </row>
    <row r="17" spans="1:26" s="269" customFormat="1" ht="12.75">
      <c r="A17" s="277">
        <v>1971</v>
      </c>
      <c r="B17" s="290">
        <v>0</v>
      </c>
      <c r="C17" s="290">
        <v>0</v>
      </c>
      <c r="D17" s="290">
        <v>0</v>
      </c>
      <c r="E17" s="290">
        <v>0</v>
      </c>
      <c r="F17" s="290">
        <v>0</v>
      </c>
      <c r="G17" s="290">
        <v>0</v>
      </c>
      <c r="H17" s="290">
        <f t="shared" si="2"/>
        <v>0</v>
      </c>
      <c r="J17" s="288">
        <v>1971</v>
      </c>
      <c r="K17" s="306">
        <v>0</v>
      </c>
      <c r="L17" s="306">
        <v>0</v>
      </c>
      <c r="M17" s="306">
        <v>0</v>
      </c>
      <c r="N17" s="306">
        <v>0</v>
      </c>
      <c r="O17" s="306">
        <v>0</v>
      </c>
      <c r="P17" s="306">
        <v>0</v>
      </c>
      <c r="Q17" s="299">
        <f t="shared" si="0"/>
        <v>0</v>
      </c>
      <c r="S17" s="277">
        <v>1971</v>
      </c>
      <c r="T17" s="294">
        <f t="shared" si="1"/>
        <v>0</v>
      </c>
      <c r="U17" s="294">
        <f t="shared" si="1"/>
        <v>0</v>
      </c>
      <c r="V17" s="294">
        <f t="shared" si="1"/>
        <v>0</v>
      </c>
      <c r="W17" s="294">
        <f t="shared" si="1"/>
        <v>0</v>
      </c>
      <c r="X17" s="294">
        <f t="shared" si="1"/>
        <v>0</v>
      </c>
      <c r="Y17" s="294">
        <f t="shared" si="1"/>
        <v>0</v>
      </c>
      <c r="Z17" s="294">
        <f t="shared" si="3"/>
        <v>0</v>
      </c>
    </row>
    <row r="18" spans="1:26" s="269" customFormat="1" ht="12.75">
      <c r="A18" s="277">
        <v>1972</v>
      </c>
      <c r="B18" s="290">
        <v>0</v>
      </c>
      <c r="C18" s="290">
        <v>0</v>
      </c>
      <c r="D18" s="290">
        <v>0</v>
      </c>
      <c r="E18" s="290">
        <v>0</v>
      </c>
      <c r="F18" s="290">
        <v>0</v>
      </c>
      <c r="G18" s="290">
        <v>0</v>
      </c>
      <c r="H18" s="290">
        <f t="shared" si="2"/>
        <v>0</v>
      </c>
      <c r="J18" s="288">
        <v>1972</v>
      </c>
      <c r="K18" s="306">
        <v>0</v>
      </c>
      <c r="L18" s="306">
        <v>0</v>
      </c>
      <c r="M18" s="306">
        <v>0</v>
      </c>
      <c r="N18" s="306">
        <v>0</v>
      </c>
      <c r="O18" s="306">
        <v>0</v>
      </c>
      <c r="P18" s="306">
        <v>0</v>
      </c>
      <c r="Q18" s="299">
        <f t="shared" si="0"/>
        <v>0</v>
      </c>
      <c r="S18" s="277">
        <v>1972</v>
      </c>
      <c r="T18" s="294">
        <f t="shared" si="1"/>
        <v>0</v>
      </c>
      <c r="U18" s="294">
        <f t="shared" si="1"/>
        <v>0</v>
      </c>
      <c r="V18" s="294">
        <f t="shared" si="1"/>
        <v>0</v>
      </c>
      <c r="W18" s="294">
        <f t="shared" si="1"/>
        <v>0</v>
      </c>
      <c r="X18" s="294">
        <f t="shared" si="1"/>
        <v>0</v>
      </c>
      <c r="Y18" s="294">
        <f t="shared" si="1"/>
        <v>0</v>
      </c>
      <c r="Z18" s="294">
        <f t="shared" si="3"/>
        <v>0</v>
      </c>
    </row>
    <row r="19" spans="1:26" s="269" customFormat="1" ht="12.75">
      <c r="A19" s="277">
        <v>1973</v>
      </c>
      <c r="B19" s="290">
        <v>1203.7</v>
      </c>
      <c r="C19" s="290">
        <v>2661.46</v>
      </c>
      <c r="D19" s="290">
        <v>0</v>
      </c>
      <c r="E19" s="290">
        <v>0</v>
      </c>
      <c r="F19" s="290">
        <v>0</v>
      </c>
      <c r="G19" s="290">
        <v>0</v>
      </c>
      <c r="H19" s="290">
        <f t="shared" si="2"/>
        <v>3865.16</v>
      </c>
      <c r="J19" s="288">
        <v>1973</v>
      </c>
      <c r="K19" s="306">
        <v>0</v>
      </c>
      <c r="L19" s="306">
        <v>0</v>
      </c>
      <c r="M19" s="306">
        <v>0</v>
      </c>
      <c r="N19" s="306">
        <v>0</v>
      </c>
      <c r="O19" s="306">
        <v>0</v>
      </c>
      <c r="P19" s="306">
        <v>0</v>
      </c>
      <c r="Q19" s="299">
        <f t="shared" si="0"/>
        <v>0</v>
      </c>
      <c r="S19" s="277">
        <v>1973</v>
      </c>
      <c r="T19" s="294">
        <f t="shared" si="1"/>
        <v>1203.7</v>
      </c>
      <c r="U19" s="294">
        <f t="shared" si="1"/>
        <v>2661.46</v>
      </c>
      <c r="V19" s="294">
        <f t="shared" si="1"/>
        <v>0</v>
      </c>
      <c r="W19" s="294">
        <f t="shared" si="1"/>
        <v>0</v>
      </c>
      <c r="X19" s="294">
        <f t="shared" si="1"/>
        <v>0</v>
      </c>
      <c r="Y19" s="294">
        <f t="shared" si="1"/>
        <v>0</v>
      </c>
      <c r="Z19" s="294">
        <f t="shared" si="3"/>
        <v>3865.16</v>
      </c>
    </row>
    <row r="20" spans="1:26" s="269" customFormat="1" ht="12.75">
      <c r="A20" s="277">
        <v>1974</v>
      </c>
      <c r="B20" s="290">
        <v>0</v>
      </c>
      <c r="C20" s="290">
        <v>217.08</v>
      </c>
      <c r="D20" s="290">
        <v>0</v>
      </c>
      <c r="E20" s="290">
        <v>0</v>
      </c>
      <c r="F20" s="290">
        <v>0</v>
      </c>
      <c r="G20" s="290">
        <v>0</v>
      </c>
      <c r="H20" s="290">
        <f t="shared" si="2"/>
        <v>217.08</v>
      </c>
      <c r="J20" s="288">
        <v>1974</v>
      </c>
      <c r="K20" s="306">
        <v>0</v>
      </c>
      <c r="L20" s="306">
        <v>0</v>
      </c>
      <c r="M20" s="306">
        <v>0</v>
      </c>
      <c r="N20" s="306">
        <v>0</v>
      </c>
      <c r="O20" s="306">
        <v>0</v>
      </c>
      <c r="P20" s="306">
        <v>0</v>
      </c>
      <c r="Q20" s="299">
        <f t="shared" si="0"/>
        <v>0</v>
      </c>
      <c r="S20" s="277">
        <v>1974</v>
      </c>
      <c r="T20" s="294">
        <f t="shared" si="1"/>
        <v>0</v>
      </c>
      <c r="U20" s="294">
        <f t="shared" si="1"/>
        <v>217.08</v>
      </c>
      <c r="V20" s="294">
        <f t="shared" si="1"/>
        <v>0</v>
      </c>
      <c r="W20" s="294">
        <f t="shared" si="1"/>
        <v>0</v>
      </c>
      <c r="X20" s="294">
        <f t="shared" si="1"/>
        <v>0</v>
      </c>
      <c r="Y20" s="294">
        <f t="shared" si="1"/>
        <v>0</v>
      </c>
      <c r="Z20" s="294">
        <f t="shared" si="3"/>
        <v>217.08</v>
      </c>
    </row>
    <row r="21" spans="1:26" s="269" customFormat="1" ht="12.75">
      <c r="A21" s="277">
        <v>1975</v>
      </c>
      <c r="B21" s="290">
        <v>211.76</v>
      </c>
      <c r="C21" s="290">
        <v>0</v>
      </c>
      <c r="D21" s="290">
        <v>0</v>
      </c>
      <c r="E21" s="290">
        <v>97707.97</v>
      </c>
      <c r="F21" s="290">
        <v>96704.98</v>
      </c>
      <c r="G21" s="290">
        <v>0</v>
      </c>
      <c r="H21" s="290">
        <f t="shared" si="2"/>
        <v>194624.71</v>
      </c>
      <c r="J21" s="288">
        <v>1975</v>
      </c>
      <c r="K21" s="306">
        <v>0</v>
      </c>
      <c r="L21" s="306">
        <v>0</v>
      </c>
      <c r="M21" s="306">
        <v>0</v>
      </c>
      <c r="N21" s="306">
        <v>0</v>
      </c>
      <c r="O21" s="306">
        <v>0</v>
      </c>
      <c r="P21" s="306">
        <v>0</v>
      </c>
      <c r="Q21" s="299">
        <f t="shared" si="0"/>
        <v>0</v>
      </c>
      <c r="S21" s="277">
        <v>1975</v>
      </c>
      <c r="T21" s="294">
        <f t="shared" si="1"/>
        <v>211.76</v>
      </c>
      <c r="U21" s="294">
        <f t="shared" si="1"/>
        <v>0</v>
      </c>
      <c r="V21" s="294">
        <f t="shared" si="1"/>
        <v>0</v>
      </c>
      <c r="W21" s="294">
        <f t="shared" si="1"/>
        <v>97707.97</v>
      </c>
      <c r="X21" s="294">
        <f t="shared" si="1"/>
        <v>96704.98</v>
      </c>
      <c r="Y21" s="294">
        <f t="shared" si="1"/>
        <v>0</v>
      </c>
      <c r="Z21" s="294">
        <f t="shared" si="3"/>
        <v>194624.71</v>
      </c>
    </row>
    <row r="22" spans="1:26" s="269" customFormat="1" ht="12.75">
      <c r="A22" s="277">
        <v>1976</v>
      </c>
      <c r="B22" s="290">
        <v>0</v>
      </c>
      <c r="C22" s="290">
        <v>565.74</v>
      </c>
      <c r="D22" s="290">
        <v>0</v>
      </c>
      <c r="E22" s="290">
        <v>0</v>
      </c>
      <c r="F22" s="290">
        <v>0</v>
      </c>
      <c r="G22" s="290">
        <v>0</v>
      </c>
      <c r="H22" s="290">
        <f t="shared" si="2"/>
        <v>565.74</v>
      </c>
      <c r="J22" s="288">
        <v>1976</v>
      </c>
      <c r="K22" s="306">
        <v>0</v>
      </c>
      <c r="L22" s="306">
        <v>0</v>
      </c>
      <c r="M22" s="306">
        <v>0</v>
      </c>
      <c r="N22" s="306">
        <v>0</v>
      </c>
      <c r="O22" s="306">
        <v>0</v>
      </c>
      <c r="P22" s="306">
        <v>0</v>
      </c>
      <c r="Q22" s="299">
        <f t="shared" si="0"/>
        <v>0</v>
      </c>
      <c r="S22" s="277">
        <v>1976</v>
      </c>
      <c r="T22" s="294">
        <f t="shared" si="1"/>
        <v>0</v>
      </c>
      <c r="U22" s="294">
        <f t="shared" si="1"/>
        <v>565.74</v>
      </c>
      <c r="V22" s="294">
        <f t="shared" si="1"/>
        <v>0</v>
      </c>
      <c r="W22" s="294">
        <f t="shared" si="1"/>
        <v>0</v>
      </c>
      <c r="X22" s="294">
        <f t="shared" si="1"/>
        <v>0</v>
      </c>
      <c r="Y22" s="294">
        <f t="shared" si="1"/>
        <v>0</v>
      </c>
      <c r="Z22" s="294">
        <f t="shared" si="3"/>
        <v>565.74</v>
      </c>
    </row>
    <row r="23" spans="1:26" s="269" customFormat="1" ht="12.75">
      <c r="A23" s="277">
        <v>1977</v>
      </c>
      <c r="B23" s="290">
        <v>0</v>
      </c>
      <c r="C23" s="290">
        <v>0</v>
      </c>
      <c r="D23" s="290">
        <v>0</v>
      </c>
      <c r="E23" s="290">
        <v>0</v>
      </c>
      <c r="F23" s="290">
        <v>0</v>
      </c>
      <c r="G23" s="290">
        <v>0</v>
      </c>
      <c r="H23" s="290">
        <f t="shared" si="2"/>
        <v>0</v>
      </c>
      <c r="J23" s="288">
        <v>1977</v>
      </c>
      <c r="K23" s="306">
        <v>0</v>
      </c>
      <c r="L23" s="306">
        <v>0</v>
      </c>
      <c r="M23" s="306">
        <v>0</v>
      </c>
      <c r="N23" s="306">
        <v>0</v>
      </c>
      <c r="O23" s="306">
        <v>0</v>
      </c>
      <c r="P23" s="306">
        <v>0</v>
      </c>
      <c r="Q23" s="299">
        <f t="shared" si="0"/>
        <v>0</v>
      </c>
      <c r="S23" s="277">
        <v>1977</v>
      </c>
      <c r="T23" s="294">
        <f t="shared" si="1"/>
        <v>0</v>
      </c>
      <c r="U23" s="294">
        <f t="shared" si="1"/>
        <v>0</v>
      </c>
      <c r="V23" s="294">
        <f t="shared" si="1"/>
        <v>0</v>
      </c>
      <c r="W23" s="294">
        <f t="shared" si="1"/>
        <v>0</v>
      </c>
      <c r="X23" s="294">
        <f t="shared" si="1"/>
        <v>0</v>
      </c>
      <c r="Y23" s="294">
        <f t="shared" si="1"/>
        <v>0</v>
      </c>
      <c r="Z23" s="294">
        <f t="shared" si="3"/>
        <v>0</v>
      </c>
    </row>
    <row r="24" spans="1:26" s="269" customFormat="1" ht="12.75">
      <c r="A24" s="277">
        <v>1978</v>
      </c>
      <c r="B24" s="290">
        <v>0</v>
      </c>
      <c r="C24" s="290">
        <v>3200</v>
      </c>
      <c r="D24" s="290">
        <v>0</v>
      </c>
      <c r="E24" s="290">
        <v>0</v>
      </c>
      <c r="F24" s="290">
        <v>0</v>
      </c>
      <c r="G24" s="290">
        <v>0</v>
      </c>
      <c r="H24" s="290">
        <f t="shared" si="2"/>
        <v>3200</v>
      </c>
      <c r="J24" s="288">
        <v>1978</v>
      </c>
      <c r="K24" s="306">
        <v>0</v>
      </c>
      <c r="L24" s="306">
        <v>0</v>
      </c>
      <c r="M24" s="306">
        <v>0</v>
      </c>
      <c r="N24" s="306">
        <v>0</v>
      </c>
      <c r="O24" s="306">
        <v>0</v>
      </c>
      <c r="P24" s="306">
        <v>0</v>
      </c>
      <c r="Q24" s="299">
        <f t="shared" si="0"/>
        <v>0</v>
      </c>
      <c r="S24" s="277">
        <v>1978</v>
      </c>
      <c r="T24" s="294">
        <f t="shared" ref="T24:Y57" si="4">B24+K24</f>
        <v>0</v>
      </c>
      <c r="U24" s="294">
        <f t="shared" si="4"/>
        <v>3200</v>
      </c>
      <c r="V24" s="294">
        <f t="shared" si="4"/>
        <v>0</v>
      </c>
      <c r="W24" s="294">
        <f t="shared" si="4"/>
        <v>0</v>
      </c>
      <c r="X24" s="294">
        <f t="shared" si="4"/>
        <v>0</v>
      </c>
      <c r="Y24" s="294">
        <f t="shared" si="4"/>
        <v>0</v>
      </c>
      <c r="Z24" s="294">
        <f t="shared" si="3"/>
        <v>3200</v>
      </c>
    </row>
    <row r="25" spans="1:26" s="269" customFormat="1" ht="12.75">
      <c r="A25" s="277">
        <v>1979</v>
      </c>
      <c r="B25" s="290">
        <v>0</v>
      </c>
      <c r="C25" s="290">
        <v>0</v>
      </c>
      <c r="D25" s="290">
        <v>0</v>
      </c>
      <c r="E25" s="290">
        <v>0</v>
      </c>
      <c r="F25" s="290">
        <v>0</v>
      </c>
      <c r="G25" s="290">
        <v>0</v>
      </c>
      <c r="H25" s="290">
        <f t="shared" si="2"/>
        <v>0</v>
      </c>
      <c r="J25" s="288">
        <v>1979</v>
      </c>
      <c r="K25" s="306">
        <v>0</v>
      </c>
      <c r="L25" s="306">
        <v>0</v>
      </c>
      <c r="M25" s="306">
        <v>0</v>
      </c>
      <c r="N25" s="306">
        <v>0</v>
      </c>
      <c r="O25" s="306">
        <v>0</v>
      </c>
      <c r="P25" s="306">
        <v>0</v>
      </c>
      <c r="Q25" s="299">
        <f t="shared" si="0"/>
        <v>0</v>
      </c>
      <c r="S25" s="277">
        <v>1979</v>
      </c>
      <c r="T25" s="294">
        <f t="shared" si="4"/>
        <v>0</v>
      </c>
      <c r="U25" s="294">
        <f t="shared" si="4"/>
        <v>0</v>
      </c>
      <c r="V25" s="294">
        <f t="shared" si="4"/>
        <v>0</v>
      </c>
      <c r="W25" s="294">
        <f t="shared" si="4"/>
        <v>0</v>
      </c>
      <c r="X25" s="294">
        <f t="shared" si="4"/>
        <v>0</v>
      </c>
      <c r="Y25" s="294">
        <f t="shared" si="4"/>
        <v>0</v>
      </c>
      <c r="Z25" s="294">
        <f t="shared" si="3"/>
        <v>0</v>
      </c>
    </row>
    <row r="26" spans="1:26" s="269" customFormat="1" ht="12.75">
      <c r="A26" s="277">
        <v>1980</v>
      </c>
      <c r="B26" s="290">
        <v>0</v>
      </c>
      <c r="C26" s="290">
        <v>0</v>
      </c>
      <c r="D26" s="290">
        <v>0</v>
      </c>
      <c r="E26" s="290">
        <v>0</v>
      </c>
      <c r="F26" s="290">
        <v>0</v>
      </c>
      <c r="G26" s="290">
        <v>0</v>
      </c>
      <c r="H26" s="290">
        <f t="shared" si="2"/>
        <v>0</v>
      </c>
      <c r="J26" s="288">
        <v>1980</v>
      </c>
      <c r="K26" s="306">
        <v>0</v>
      </c>
      <c r="L26" s="306">
        <v>0</v>
      </c>
      <c r="M26" s="306">
        <v>0</v>
      </c>
      <c r="N26" s="306">
        <v>0</v>
      </c>
      <c r="O26" s="306">
        <v>0</v>
      </c>
      <c r="P26" s="306">
        <v>0</v>
      </c>
      <c r="Q26" s="299">
        <f t="shared" si="0"/>
        <v>0</v>
      </c>
      <c r="S26" s="277">
        <v>1980</v>
      </c>
      <c r="T26" s="294">
        <f t="shared" si="4"/>
        <v>0</v>
      </c>
      <c r="U26" s="294">
        <f t="shared" si="4"/>
        <v>0</v>
      </c>
      <c r="V26" s="294">
        <f t="shared" si="4"/>
        <v>0</v>
      </c>
      <c r="W26" s="294">
        <f t="shared" si="4"/>
        <v>0</v>
      </c>
      <c r="X26" s="294">
        <f t="shared" si="4"/>
        <v>0</v>
      </c>
      <c r="Y26" s="294">
        <f t="shared" si="4"/>
        <v>0</v>
      </c>
      <c r="Z26" s="294">
        <f t="shared" si="3"/>
        <v>0</v>
      </c>
    </row>
    <row r="27" spans="1:26" s="269" customFormat="1" ht="12.75">
      <c r="A27" s="277">
        <v>1981</v>
      </c>
      <c r="B27" s="290">
        <v>0</v>
      </c>
      <c r="C27" s="290">
        <v>0</v>
      </c>
      <c r="D27" s="290">
        <v>0</v>
      </c>
      <c r="E27" s="290">
        <v>0</v>
      </c>
      <c r="F27" s="290">
        <v>0</v>
      </c>
      <c r="G27" s="290">
        <v>0</v>
      </c>
      <c r="H27" s="290">
        <f t="shared" si="2"/>
        <v>0</v>
      </c>
      <c r="J27" s="288">
        <v>1981</v>
      </c>
      <c r="K27" s="306">
        <v>0</v>
      </c>
      <c r="L27" s="306">
        <v>0</v>
      </c>
      <c r="M27" s="306">
        <v>0</v>
      </c>
      <c r="N27" s="306">
        <v>0</v>
      </c>
      <c r="O27" s="306">
        <v>0</v>
      </c>
      <c r="P27" s="306">
        <v>0</v>
      </c>
      <c r="Q27" s="299">
        <f t="shared" si="0"/>
        <v>0</v>
      </c>
      <c r="S27" s="277">
        <v>1981</v>
      </c>
      <c r="T27" s="294">
        <f t="shared" si="4"/>
        <v>0</v>
      </c>
      <c r="U27" s="294">
        <f t="shared" si="4"/>
        <v>0</v>
      </c>
      <c r="V27" s="294">
        <f t="shared" si="4"/>
        <v>0</v>
      </c>
      <c r="W27" s="294">
        <f t="shared" si="4"/>
        <v>0</v>
      </c>
      <c r="X27" s="294">
        <f t="shared" si="4"/>
        <v>0</v>
      </c>
      <c r="Y27" s="294">
        <f t="shared" si="4"/>
        <v>0</v>
      </c>
      <c r="Z27" s="294">
        <f t="shared" si="3"/>
        <v>0</v>
      </c>
    </row>
    <row r="28" spans="1:26" s="269" customFormat="1" ht="12.75">
      <c r="A28" s="277">
        <v>1982</v>
      </c>
      <c r="B28" s="290">
        <v>189858.2</v>
      </c>
      <c r="C28" s="290">
        <v>0</v>
      </c>
      <c r="D28" s="290">
        <v>0</v>
      </c>
      <c r="E28" s="290">
        <v>0</v>
      </c>
      <c r="F28" s="290">
        <v>0</v>
      </c>
      <c r="G28" s="290">
        <v>0</v>
      </c>
      <c r="H28" s="290">
        <f t="shared" si="2"/>
        <v>189858.2</v>
      </c>
      <c r="J28" s="288">
        <v>1982</v>
      </c>
      <c r="K28" s="306">
        <v>0</v>
      </c>
      <c r="L28" s="306">
        <v>0</v>
      </c>
      <c r="M28" s="306">
        <v>0</v>
      </c>
      <c r="N28" s="306">
        <v>0</v>
      </c>
      <c r="O28" s="306">
        <v>0</v>
      </c>
      <c r="P28" s="306">
        <v>0</v>
      </c>
      <c r="Q28" s="299">
        <f t="shared" si="0"/>
        <v>0</v>
      </c>
      <c r="S28" s="277">
        <v>1982</v>
      </c>
      <c r="T28" s="294">
        <f t="shared" si="4"/>
        <v>189858.2</v>
      </c>
      <c r="U28" s="294">
        <f t="shared" si="4"/>
        <v>0</v>
      </c>
      <c r="V28" s="294">
        <f t="shared" si="4"/>
        <v>0</v>
      </c>
      <c r="W28" s="294">
        <f t="shared" si="4"/>
        <v>0</v>
      </c>
      <c r="X28" s="294">
        <f t="shared" si="4"/>
        <v>0</v>
      </c>
      <c r="Y28" s="294">
        <f t="shared" si="4"/>
        <v>0</v>
      </c>
      <c r="Z28" s="294">
        <f t="shared" si="3"/>
        <v>189858.2</v>
      </c>
    </row>
    <row r="29" spans="1:26" s="269" customFormat="1" ht="12.75">
      <c r="A29" s="277">
        <v>1983</v>
      </c>
      <c r="B29" s="290">
        <v>1018.25</v>
      </c>
      <c r="C29" s="290">
        <v>0</v>
      </c>
      <c r="D29" s="290">
        <v>2235</v>
      </c>
      <c r="E29" s="290">
        <v>356519.98</v>
      </c>
      <c r="F29" s="290">
        <v>328560.09000000003</v>
      </c>
      <c r="G29" s="290">
        <v>0</v>
      </c>
      <c r="H29" s="290">
        <f t="shared" si="2"/>
        <v>688333.32000000007</v>
      </c>
      <c r="J29" s="288">
        <v>1983</v>
      </c>
      <c r="K29" s="306">
        <v>0</v>
      </c>
      <c r="L29" s="306">
        <v>0</v>
      </c>
      <c r="M29" s="306">
        <v>0</v>
      </c>
      <c r="N29" s="306">
        <v>0</v>
      </c>
      <c r="O29" s="306">
        <v>0</v>
      </c>
      <c r="P29" s="306">
        <v>0</v>
      </c>
      <c r="Q29" s="299">
        <f t="shared" si="0"/>
        <v>0</v>
      </c>
      <c r="S29" s="277">
        <v>1983</v>
      </c>
      <c r="T29" s="294">
        <f t="shared" si="4"/>
        <v>1018.25</v>
      </c>
      <c r="U29" s="294">
        <f t="shared" si="4"/>
        <v>0</v>
      </c>
      <c r="V29" s="294">
        <f t="shared" si="4"/>
        <v>2235</v>
      </c>
      <c r="W29" s="294">
        <f t="shared" si="4"/>
        <v>356519.98</v>
      </c>
      <c r="X29" s="294">
        <f t="shared" si="4"/>
        <v>328560.09000000003</v>
      </c>
      <c r="Y29" s="294">
        <f t="shared" si="4"/>
        <v>0</v>
      </c>
      <c r="Z29" s="294">
        <f t="shared" si="3"/>
        <v>688333.32000000007</v>
      </c>
    </row>
    <row r="30" spans="1:26" s="269" customFormat="1" ht="12.75">
      <c r="A30" s="277">
        <v>1984</v>
      </c>
      <c r="B30" s="290">
        <v>15.74</v>
      </c>
      <c r="C30" s="290">
        <v>0</v>
      </c>
      <c r="D30" s="290">
        <v>0</v>
      </c>
      <c r="E30" s="290">
        <v>0</v>
      </c>
      <c r="F30" s="290">
        <v>65192.85</v>
      </c>
      <c r="G30" s="290">
        <v>0</v>
      </c>
      <c r="H30" s="290">
        <f t="shared" si="2"/>
        <v>65208.59</v>
      </c>
      <c r="J30" s="288">
        <v>1984</v>
      </c>
      <c r="K30" s="306">
        <v>0</v>
      </c>
      <c r="L30" s="306">
        <v>0</v>
      </c>
      <c r="M30" s="306">
        <v>0</v>
      </c>
      <c r="N30" s="306">
        <v>0</v>
      </c>
      <c r="O30" s="306">
        <v>0</v>
      </c>
      <c r="P30" s="306">
        <v>0</v>
      </c>
      <c r="Q30" s="299">
        <f t="shared" si="0"/>
        <v>0</v>
      </c>
      <c r="S30" s="277">
        <v>1984</v>
      </c>
      <c r="T30" s="294">
        <f t="shared" si="4"/>
        <v>15.74</v>
      </c>
      <c r="U30" s="294">
        <f t="shared" si="4"/>
        <v>0</v>
      </c>
      <c r="V30" s="294">
        <f t="shared" si="4"/>
        <v>0</v>
      </c>
      <c r="W30" s="294">
        <f t="shared" si="4"/>
        <v>0</v>
      </c>
      <c r="X30" s="294">
        <f t="shared" si="4"/>
        <v>65192.85</v>
      </c>
      <c r="Y30" s="294">
        <f t="shared" si="4"/>
        <v>0</v>
      </c>
      <c r="Z30" s="294">
        <f t="shared" si="3"/>
        <v>65208.59</v>
      </c>
    </row>
    <row r="31" spans="1:26" s="269" customFormat="1" ht="12.75">
      <c r="A31" s="277">
        <v>1985</v>
      </c>
      <c r="B31" s="290">
        <v>0</v>
      </c>
      <c r="C31" s="290">
        <v>0</v>
      </c>
      <c r="D31" s="290">
        <v>0</v>
      </c>
      <c r="E31" s="290">
        <v>0</v>
      </c>
      <c r="F31" s="290">
        <v>0</v>
      </c>
      <c r="G31" s="290">
        <v>0</v>
      </c>
      <c r="H31" s="290">
        <f t="shared" si="2"/>
        <v>0</v>
      </c>
      <c r="J31" s="288">
        <v>1985</v>
      </c>
      <c r="K31" s="306">
        <v>0</v>
      </c>
      <c r="L31" s="306">
        <v>0</v>
      </c>
      <c r="M31" s="306">
        <v>0</v>
      </c>
      <c r="N31" s="306">
        <v>0</v>
      </c>
      <c r="O31" s="306">
        <v>0</v>
      </c>
      <c r="P31" s="306">
        <v>0</v>
      </c>
      <c r="Q31" s="299">
        <f t="shared" si="0"/>
        <v>0</v>
      </c>
      <c r="S31" s="277">
        <v>1985</v>
      </c>
      <c r="T31" s="294">
        <f t="shared" si="4"/>
        <v>0</v>
      </c>
      <c r="U31" s="294">
        <f t="shared" si="4"/>
        <v>0</v>
      </c>
      <c r="V31" s="294">
        <f t="shared" si="4"/>
        <v>0</v>
      </c>
      <c r="W31" s="294">
        <f t="shared" si="4"/>
        <v>0</v>
      </c>
      <c r="X31" s="294">
        <f t="shared" si="4"/>
        <v>0</v>
      </c>
      <c r="Y31" s="294">
        <f t="shared" si="4"/>
        <v>0</v>
      </c>
      <c r="Z31" s="294">
        <f t="shared" si="3"/>
        <v>0</v>
      </c>
    </row>
    <row r="32" spans="1:26" s="269" customFormat="1" ht="12.75">
      <c r="A32" s="277">
        <v>1986</v>
      </c>
      <c r="B32" s="290">
        <v>0</v>
      </c>
      <c r="C32" s="290">
        <v>0</v>
      </c>
      <c r="D32" s="290">
        <v>0</v>
      </c>
      <c r="E32" s="290">
        <v>0</v>
      </c>
      <c r="F32" s="290">
        <v>0</v>
      </c>
      <c r="G32" s="290">
        <v>0</v>
      </c>
      <c r="H32" s="290">
        <f t="shared" si="2"/>
        <v>0</v>
      </c>
      <c r="J32" s="288">
        <v>1986</v>
      </c>
      <c r="K32" s="306">
        <v>0</v>
      </c>
      <c r="L32" s="306">
        <v>0</v>
      </c>
      <c r="M32" s="306">
        <v>0</v>
      </c>
      <c r="N32" s="306">
        <v>0</v>
      </c>
      <c r="O32" s="306">
        <v>0</v>
      </c>
      <c r="P32" s="306">
        <v>0</v>
      </c>
      <c r="Q32" s="299">
        <f t="shared" si="0"/>
        <v>0</v>
      </c>
      <c r="S32" s="277">
        <v>1986</v>
      </c>
      <c r="T32" s="294">
        <f t="shared" si="4"/>
        <v>0</v>
      </c>
      <c r="U32" s="294">
        <f t="shared" si="4"/>
        <v>0</v>
      </c>
      <c r="V32" s="294">
        <f t="shared" si="4"/>
        <v>0</v>
      </c>
      <c r="W32" s="294">
        <f t="shared" si="4"/>
        <v>0</v>
      </c>
      <c r="X32" s="294">
        <f t="shared" si="4"/>
        <v>0</v>
      </c>
      <c r="Y32" s="294">
        <f t="shared" si="4"/>
        <v>0</v>
      </c>
      <c r="Z32" s="294">
        <f t="shared" si="3"/>
        <v>0</v>
      </c>
    </row>
    <row r="33" spans="1:26" s="269" customFormat="1" ht="12.75">
      <c r="A33" s="277">
        <v>1987</v>
      </c>
      <c r="B33" s="290">
        <v>0</v>
      </c>
      <c r="C33" s="290">
        <v>0</v>
      </c>
      <c r="D33" s="290">
        <v>0</v>
      </c>
      <c r="E33" s="290">
        <v>0</v>
      </c>
      <c r="F33" s="290">
        <v>0</v>
      </c>
      <c r="G33" s="290">
        <v>0</v>
      </c>
      <c r="H33" s="290">
        <f t="shared" si="2"/>
        <v>0</v>
      </c>
      <c r="J33" s="288">
        <v>1987</v>
      </c>
      <c r="K33" s="306">
        <v>0</v>
      </c>
      <c r="L33" s="306">
        <v>0</v>
      </c>
      <c r="M33" s="306">
        <v>0</v>
      </c>
      <c r="N33" s="306">
        <v>0</v>
      </c>
      <c r="O33" s="306">
        <v>0</v>
      </c>
      <c r="P33" s="306">
        <v>0</v>
      </c>
      <c r="Q33" s="299">
        <f t="shared" si="0"/>
        <v>0</v>
      </c>
      <c r="S33" s="277">
        <v>1987</v>
      </c>
      <c r="T33" s="294">
        <f t="shared" si="4"/>
        <v>0</v>
      </c>
      <c r="U33" s="294">
        <f t="shared" si="4"/>
        <v>0</v>
      </c>
      <c r="V33" s="294">
        <f t="shared" si="4"/>
        <v>0</v>
      </c>
      <c r="W33" s="294">
        <f t="shared" si="4"/>
        <v>0</v>
      </c>
      <c r="X33" s="294">
        <f t="shared" si="4"/>
        <v>0</v>
      </c>
      <c r="Y33" s="294">
        <f t="shared" si="4"/>
        <v>0</v>
      </c>
      <c r="Z33" s="294">
        <f t="shared" si="3"/>
        <v>0</v>
      </c>
    </row>
    <row r="34" spans="1:26" s="269" customFormat="1" ht="12.75">
      <c r="A34" s="277">
        <v>1988</v>
      </c>
      <c r="B34" s="290">
        <v>0</v>
      </c>
      <c r="C34" s="290">
        <v>0</v>
      </c>
      <c r="D34" s="290">
        <v>0</v>
      </c>
      <c r="E34" s="290">
        <v>0</v>
      </c>
      <c r="F34" s="290">
        <v>0</v>
      </c>
      <c r="G34" s="290">
        <v>0</v>
      </c>
      <c r="H34" s="290">
        <f t="shared" si="2"/>
        <v>0</v>
      </c>
      <c r="J34" s="288">
        <v>1988</v>
      </c>
      <c r="K34" s="306">
        <v>0</v>
      </c>
      <c r="L34" s="306">
        <v>0</v>
      </c>
      <c r="M34" s="306">
        <v>0</v>
      </c>
      <c r="N34" s="306">
        <v>0</v>
      </c>
      <c r="O34" s="306">
        <v>0</v>
      </c>
      <c r="P34" s="306">
        <v>0</v>
      </c>
      <c r="Q34" s="299">
        <f t="shared" si="0"/>
        <v>0</v>
      </c>
      <c r="S34" s="277">
        <v>1988</v>
      </c>
      <c r="T34" s="294">
        <f t="shared" si="4"/>
        <v>0</v>
      </c>
      <c r="U34" s="294">
        <f t="shared" si="4"/>
        <v>0</v>
      </c>
      <c r="V34" s="294">
        <f t="shared" si="4"/>
        <v>0</v>
      </c>
      <c r="W34" s="294">
        <f t="shared" si="4"/>
        <v>0</v>
      </c>
      <c r="X34" s="294">
        <f t="shared" si="4"/>
        <v>0</v>
      </c>
      <c r="Y34" s="294">
        <f t="shared" si="4"/>
        <v>0</v>
      </c>
      <c r="Z34" s="294">
        <f t="shared" si="3"/>
        <v>0</v>
      </c>
    </row>
    <row r="35" spans="1:26" s="269" customFormat="1" ht="12.75">
      <c r="A35" s="277">
        <v>1989</v>
      </c>
      <c r="B35" s="290">
        <v>0</v>
      </c>
      <c r="C35" s="290">
        <v>0</v>
      </c>
      <c r="D35" s="290">
        <v>0</v>
      </c>
      <c r="E35" s="290">
        <v>0</v>
      </c>
      <c r="F35" s="290">
        <v>0</v>
      </c>
      <c r="G35" s="290">
        <v>0</v>
      </c>
      <c r="H35" s="290">
        <f t="shared" si="2"/>
        <v>0</v>
      </c>
      <c r="J35" s="288">
        <v>1989</v>
      </c>
      <c r="K35" s="306">
        <v>0</v>
      </c>
      <c r="L35" s="306">
        <v>0</v>
      </c>
      <c r="M35" s="306">
        <v>0</v>
      </c>
      <c r="N35" s="306">
        <v>0</v>
      </c>
      <c r="O35" s="306">
        <v>0</v>
      </c>
      <c r="P35" s="306">
        <v>0</v>
      </c>
      <c r="Q35" s="299">
        <f t="shared" si="0"/>
        <v>0</v>
      </c>
      <c r="S35" s="277">
        <v>1989</v>
      </c>
      <c r="T35" s="294">
        <f t="shared" si="4"/>
        <v>0</v>
      </c>
      <c r="U35" s="294">
        <f t="shared" si="4"/>
        <v>0</v>
      </c>
      <c r="V35" s="294">
        <f t="shared" si="4"/>
        <v>0</v>
      </c>
      <c r="W35" s="294">
        <f t="shared" si="4"/>
        <v>0</v>
      </c>
      <c r="X35" s="294">
        <f t="shared" si="4"/>
        <v>0</v>
      </c>
      <c r="Y35" s="294">
        <f t="shared" si="4"/>
        <v>0</v>
      </c>
      <c r="Z35" s="294">
        <f t="shared" si="3"/>
        <v>0</v>
      </c>
    </row>
    <row r="36" spans="1:26" s="269" customFormat="1" ht="12.75">
      <c r="A36" s="277">
        <v>1990</v>
      </c>
      <c r="B36" s="290">
        <v>0</v>
      </c>
      <c r="C36" s="290">
        <v>0</v>
      </c>
      <c r="D36" s="290">
        <v>0</v>
      </c>
      <c r="E36" s="290">
        <v>0</v>
      </c>
      <c r="F36" s="290">
        <v>0</v>
      </c>
      <c r="G36" s="290">
        <v>0</v>
      </c>
      <c r="H36" s="290">
        <f t="shared" si="2"/>
        <v>0</v>
      </c>
      <c r="J36" s="288">
        <v>1990</v>
      </c>
      <c r="K36" s="306">
        <v>0</v>
      </c>
      <c r="L36" s="306">
        <v>0</v>
      </c>
      <c r="M36" s="306">
        <v>0</v>
      </c>
      <c r="N36" s="306">
        <v>0</v>
      </c>
      <c r="O36" s="306">
        <v>0</v>
      </c>
      <c r="P36" s="306">
        <v>0</v>
      </c>
      <c r="Q36" s="299">
        <f t="shared" si="0"/>
        <v>0</v>
      </c>
      <c r="S36" s="277">
        <v>1990</v>
      </c>
      <c r="T36" s="294">
        <f t="shared" si="4"/>
        <v>0</v>
      </c>
      <c r="U36" s="294">
        <f t="shared" si="4"/>
        <v>0</v>
      </c>
      <c r="V36" s="294">
        <f t="shared" si="4"/>
        <v>0</v>
      </c>
      <c r="W36" s="294">
        <f t="shared" si="4"/>
        <v>0</v>
      </c>
      <c r="X36" s="294">
        <f t="shared" si="4"/>
        <v>0</v>
      </c>
      <c r="Y36" s="294">
        <f t="shared" si="4"/>
        <v>0</v>
      </c>
      <c r="Z36" s="294">
        <f t="shared" si="3"/>
        <v>0</v>
      </c>
    </row>
    <row r="37" spans="1:26" s="269" customFormat="1" ht="12.75">
      <c r="A37" s="277">
        <v>1991</v>
      </c>
      <c r="B37" s="290">
        <v>0</v>
      </c>
      <c r="C37" s="290">
        <v>0</v>
      </c>
      <c r="D37" s="290">
        <v>0</v>
      </c>
      <c r="E37" s="290">
        <v>0</v>
      </c>
      <c r="F37" s="290">
        <v>0</v>
      </c>
      <c r="G37" s="290">
        <v>0</v>
      </c>
      <c r="H37" s="290">
        <f t="shared" si="2"/>
        <v>0</v>
      </c>
      <c r="J37" s="288">
        <v>1991</v>
      </c>
      <c r="K37" s="306">
        <v>0</v>
      </c>
      <c r="L37" s="306">
        <v>0</v>
      </c>
      <c r="M37" s="306">
        <v>0</v>
      </c>
      <c r="N37" s="306">
        <v>0</v>
      </c>
      <c r="O37" s="306">
        <v>0</v>
      </c>
      <c r="P37" s="306">
        <v>0</v>
      </c>
      <c r="Q37" s="299">
        <f t="shared" si="0"/>
        <v>0</v>
      </c>
      <c r="S37" s="277">
        <v>1991</v>
      </c>
      <c r="T37" s="294">
        <f t="shared" si="4"/>
        <v>0</v>
      </c>
      <c r="U37" s="294">
        <f t="shared" si="4"/>
        <v>0</v>
      </c>
      <c r="V37" s="294">
        <f t="shared" si="4"/>
        <v>0</v>
      </c>
      <c r="W37" s="294">
        <f t="shared" si="4"/>
        <v>0</v>
      </c>
      <c r="X37" s="294">
        <f t="shared" si="4"/>
        <v>0</v>
      </c>
      <c r="Y37" s="294">
        <f t="shared" si="4"/>
        <v>0</v>
      </c>
      <c r="Z37" s="294">
        <f t="shared" si="3"/>
        <v>0</v>
      </c>
    </row>
    <row r="38" spans="1:26" s="269" customFormat="1" ht="12.75">
      <c r="A38" s="277">
        <v>1992</v>
      </c>
      <c r="B38" s="290">
        <v>0</v>
      </c>
      <c r="C38" s="290">
        <v>0</v>
      </c>
      <c r="D38" s="290">
        <v>0</v>
      </c>
      <c r="E38" s="290">
        <v>0</v>
      </c>
      <c r="F38" s="290">
        <v>0</v>
      </c>
      <c r="G38" s="290">
        <v>0</v>
      </c>
      <c r="H38" s="290">
        <f t="shared" si="2"/>
        <v>0</v>
      </c>
      <c r="J38" s="288">
        <v>1992</v>
      </c>
      <c r="K38" s="306">
        <v>0</v>
      </c>
      <c r="L38" s="306">
        <v>0</v>
      </c>
      <c r="M38" s="306">
        <v>0</v>
      </c>
      <c r="N38" s="306">
        <v>0</v>
      </c>
      <c r="O38" s="306">
        <v>0</v>
      </c>
      <c r="P38" s="306">
        <v>0</v>
      </c>
      <c r="Q38" s="299">
        <f t="shared" si="0"/>
        <v>0</v>
      </c>
      <c r="S38" s="277">
        <v>1992</v>
      </c>
      <c r="T38" s="294">
        <f t="shared" si="4"/>
        <v>0</v>
      </c>
      <c r="U38" s="294">
        <f t="shared" si="4"/>
        <v>0</v>
      </c>
      <c r="V38" s="294">
        <f t="shared" si="4"/>
        <v>0</v>
      </c>
      <c r="W38" s="294">
        <f t="shared" si="4"/>
        <v>0</v>
      </c>
      <c r="X38" s="294">
        <f t="shared" si="4"/>
        <v>0</v>
      </c>
      <c r="Y38" s="294">
        <f t="shared" si="4"/>
        <v>0</v>
      </c>
      <c r="Z38" s="294">
        <f t="shared" si="3"/>
        <v>0</v>
      </c>
    </row>
    <row r="39" spans="1:26" s="269" customFormat="1" ht="12.75">
      <c r="A39" s="277">
        <v>1993</v>
      </c>
      <c r="B39" s="290">
        <v>0</v>
      </c>
      <c r="C39" s="290">
        <v>0</v>
      </c>
      <c r="D39" s="290">
        <v>0</v>
      </c>
      <c r="E39" s="290">
        <v>0</v>
      </c>
      <c r="F39" s="290">
        <v>0</v>
      </c>
      <c r="G39" s="290">
        <v>0</v>
      </c>
      <c r="H39" s="290">
        <f t="shared" si="2"/>
        <v>0</v>
      </c>
      <c r="J39" s="288">
        <v>1993</v>
      </c>
      <c r="K39" s="306">
        <v>0</v>
      </c>
      <c r="L39" s="306">
        <v>0</v>
      </c>
      <c r="M39" s="306">
        <v>0</v>
      </c>
      <c r="N39" s="306">
        <v>0</v>
      </c>
      <c r="O39" s="306">
        <v>0</v>
      </c>
      <c r="P39" s="306">
        <v>0</v>
      </c>
      <c r="Q39" s="299">
        <f t="shared" si="0"/>
        <v>0</v>
      </c>
      <c r="S39" s="277">
        <v>1993</v>
      </c>
      <c r="T39" s="294">
        <f t="shared" si="4"/>
        <v>0</v>
      </c>
      <c r="U39" s="294">
        <f t="shared" si="4"/>
        <v>0</v>
      </c>
      <c r="V39" s="294">
        <f t="shared" si="4"/>
        <v>0</v>
      </c>
      <c r="W39" s="294">
        <f t="shared" si="4"/>
        <v>0</v>
      </c>
      <c r="X39" s="294">
        <f t="shared" si="4"/>
        <v>0</v>
      </c>
      <c r="Y39" s="294">
        <f t="shared" si="4"/>
        <v>0</v>
      </c>
      <c r="Z39" s="294">
        <f t="shared" si="3"/>
        <v>0</v>
      </c>
    </row>
    <row r="40" spans="1:26" s="269" customFormat="1" ht="12.75">
      <c r="A40" s="277">
        <v>1994</v>
      </c>
      <c r="B40" s="290">
        <v>0</v>
      </c>
      <c r="C40" s="290">
        <v>0</v>
      </c>
      <c r="D40" s="290">
        <v>0</v>
      </c>
      <c r="E40" s="290">
        <v>14227.83</v>
      </c>
      <c r="F40" s="290">
        <v>0</v>
      </c>
      <c r="G40" s="290">
        <v>0</v>
      </c>
      <c r="H40" s="290">
        <f t="shared" si="2"/>
        <v>14227.83</v>
      </c>
      <c r="J40" s="288">
        <v>1994</v>
      </c>
      <c r="K40" s="306">
        <v>0</v>
      </c>
      <c r="L40" s="306">
        <v>0</v>
      </c>
      <c r="M40" s="306">
        <v>0</v>
      </c>
      <c r="N40" s="306">
        <v>0</v>
      </c>
      <c r="O40" s="306">
        <v>0</v>
      </c>
      <c r="P40" s="306">
        <v>0</v>
      </c>
      <c r="Q40" s="299">
        <f t="shared" si="0"/>
        <v>0</v>
      </c>
      <c r="S40" s="277">
        <v>1994</v>
      </c>
      <c r="T40" s="294">
        <f t="shared" si="4"/>
        <v>0</v>
      </c>
      <c r="U40" s="294">
        <f t="shared" si="4"/>
        <v>0</v>
      </c>
      <c r="V40" s="294">
        <f t="shared" si="4"/>
        <v>0</v>
      </c>
      <c r="W40" s="294">
        <f t="shared" si="4"/>
        <v>14227.83</v>
      </c>
      <c r="X40" s="294">
        <f t="shared" si="4"/>
        <v>0</v>
      </c>
      <c r="Y40" s="294">
        <f t="shared" si="4"/>
        <v>0</v>
      </c>
      <c r="Z40" s="294">
        <f t="shared" si="3"/>
        <v>14227.83</v>
      </c>
    </row>
    <row r="41" spans="1:26" s="269" customFormat="1" ht="12.75">
      <c r="A41" s="277">
        <v>1995</v>
      </c>
      <c r="B41" s="290">
        <v>0</v>
      </c>
      <c r="C41" s="290">
        <v>0</v>
      </c>
      <c r="D41" s="290">
        <v>0</v>
      </c>
      <c r="E41" s="290">
        <v>0</v>
      </c>
      <c r="F41" s="290">
        <v>0</v>
      </c>
      <c r="G41" s="290">
        <v>0</v>
      </c>
      <c r="H41" s="290">
        <f t="shared" si="2"/>
        <v>0</v>
      </c>
      <c r="J41" s="288">
        <v>1995</v>
      </c>
      <c r="K41" s="306">
        <v>0</v>
      </c>
      <c r="L41" s="306">
        <v>0</v>
      </c>
      <c r="M41" s="306">
        <v>0</v>
      </c>
      <c r="N41" s="306">
        <v>0</v>
      </c>
      <c r="O41" s="306">
        <v>0</v>
      </c>
      <c r="P41" s="306">
        <v>0</v>
      </c>
      <c r="Q41" s="299">
        <f t="shared" si="0"/>
        <v>0</v>
      </c>
      <c r="S41" s="277">
        <v>1995</v>
      </c>
      <c r="T41" s="294">
        <f t="shared" si="4"/>
        <v>0</v>
      </c>
      <c r="U41" s="294">
        <f t="shared" si="4"/>
        <v>0</v>
      </c>
      <c r="V41" s="294">
        <f t="shared" si="4"/>
        <v>0</v>
      </c>
      <c r="W41" s="294">
        <f t="shared" si="4"/>
        <v>0</v>
      </c>
      <c r="X41" s="294">
        <f t="shared" si="4"/>
        <v>0</v>
      </c>
      <c r="Y41" s="294">
        <f t="shared" si="4"/>
        <v>0</v>
      </c>
      <c r="Z41" s="294">
        <f t="shared" si="3"/>
        <v>0</v>
      </c>
    </row>
    <row r="42" spans="1:26" s="269" customFormat="1" ht="12.75">
      <c r="A42" s="277">
        <v>1996</v>
      </c>
      <c r="B42" s="290">
        <v>0</v>
      </c>
      <c r="C42" s="290">
        <v>0</v>
      </c>
      <c r="D42" s="290">
        <v>0</v>
      </c>
      <c r="E42" s="290">
        <v>0</v>
      </c>
      <c r="F42" s="290">
        <v>0</v>
      </c>
      <c r="G42" s="290">
        <v>0</v>
      </c>
      <c r="H42" s="290">
        <f t="shared" si="2"/>
        <v>0</v>
      </c>
      <c r="J42" s="288">
        <v>1996</v>
      </c>
      <c r="K42" s="306">
        <v>0</v>
      </c>
      <c r="L42" s="306">
        <v>0</v>
      </c>
      <c r="M42" s="306">
        <v>0</v>
      </c>
      <c r="N42" s="306">
        <v>0</v>
      </c>
      <c r="O42" s="306">
        <v>0</v>
      </c>
      <c r="P42" s="306">
        <v>0</v>
      </c>
      <c r="Q42" s="299">
        <f t="shared" si="0"/>
        <v>0</v>
      </c>
      <c r="S42" s="277">
        <v>1996</v>
      </c>
      <c r="T42" s="294">
        <f t="shared" si="4"/>
        <v>0</v>
      </c>
      <c r="U42" s="294">
        <f t="shared" si="4"/>
        <v>0</v>
      </c>
      <c r="V42" s="294">
        <f t="shared" si="4"/>
        <v>0</v>
      </c>
      <c r="W42" s="294">
        <f t="shared" si="4"/>
        <v>0</v>
      </c>
      <c r="X42" s="294">
        <f t="shared" si="4"/>
        <v>0</v>
      </c>
      <c r="Y42" s="294">
        <f t="shared" si="4"/>
        <v>0</v>
      </c>
      <c r="Z42" s="294">
        <f t="shared" si="3"/>
        <v>0</v>
      </c>
    </row>
    <row r="43" spans="1:26" s="269" customFormat="1" ht="12.75">
      <c r="A43" s="277">
        <v>1997</v>
      </c>
      <c r="B43" s="290">
        <v>0</v>
      </c>
      <c r="C43" s="290">
        <v>0</v>
      </c>
      <c r="D43" s="290">
        <v>0</v>
      </c>
      <c r="E43" s="290">
        <v>0</v>
      </c>
      <c r="F43" s="290">
        <v>0</v>
      </c>
      <c r="G43" s="290">
        <v>0</v>
      </c>
      <c r="H43" s="290">
        <f t="shared" si="2"/>
        <v>0</v>
      </c>
      <c r="J43" s="288">
        <v>1997</v>
      </c>
      <c r="K43" s="306">
        <v>0</v>
      </c>
      <c r="L43" s="306">
        <v>0</v>
      </c>
      <c r="M43" s="306">
        <v>0</v>
      </c>
      <c r="N43" s="306">
        <v>0</v>
      </c>
      <c r="O43" s="306">
        <v>0</v>
      </c>
      <c r="P43" s="306">
        <v>0</v>
      </c>
      <c r="Q43" s="299">
        <f t="shared" si="0"/>
        <v>0</v>
      </c>
      <c r="S43" s="277">
        <v>1997</v>
      </c>
      <c r="T43" s="294">
        <f t="shared" si="4"/>
        <v>0</v>
      </c>
      <c r="U43" s="294">
        <f t="shared" si="4"/>
        <v>0</v>
      </c>
      <c r="V43" s="294">
        <f t="shared" si="4"/>
        <v>0</v>
      </c>
      <c r="W43" s="294">
        <f t="shared" si="4"/>
        <v>0</v>
      </c>
      <c r="X43" s="294">
        <f t="shared" si="4"/>
        <v>0</v>
      </c>
      <c r="Y43" s="294">
        <f t="shared" si="4"/>
        <v>0</v>
      </c>
      <c r="Z43" s="294">
        <f t="shared" si="3"/>
        <v>0</v>
      </c>
    </row>
    <row r="44" spans="1:26" s="269" customFormat="1" ht="12.75">
      <c r="A44" s="277">
        <v>1998</v>
      </c>
      <c r="B44" s="290">
        <v>0</v>
      </c>
      <c r="C44" s="290">
        <v>0</v>
      </c>
      <c r="D44" s="290">
        <v>0</v>
      </c>
      <c r="E44" s="290">
        <v>0</v>
      </c>
      <c r="F44" s="290">
        <v>0</v>
      </c>
      <c r="G44" s="290">
        <v>0</v>
      </c>
      <c r="H44" s="290">
        <f t="shared" si="2"/>
        <v>0</v>
      </c>
      <c r="J44" s="288">
        <v>1998</v>
      </c>
      <c r="K44" s="306">
        <v>0</v>
      </c>
      <c r="L44" s="306">
        <v>0</v>
      </c>
      <c r="M44" s="306">
        <v>0</v>
      </c>
      <c r="N44" s="306">
        <v>0</v>
      </c>
      <c r="O44" s="306">
        <v>0</v>
      </c>
      <c r="P44" s="306">
        <v>0</v>
      </c>
      <c r="Q44" s="299">
        <f t="shared" si="0"/>
        <v>0</v>
      </c>
      <c r="S44" s="277">
        <v>1998</v>
      </c>
      <c r="T44" s="294">
        <f t="shared" si="4"/>
        <v>0</v>
      </c>
      <c r="U44" s="294">
        <f t="shared" si="4"/>
        <v>0</v>
      </c>
      <c r="V44" s="294">
        <f t="shared" si="4"/>
        <v>0</v>
      </c>
      <c r="W44" s="294">
        <f t="shared" si="4"/>
        <v>0</v>
      </c>
      <c r="X44" s="294">
        <f t="shared" si="4"/>
        <v>0</v>
      </c>
      <c r="Y44" s="294">
        <f t="shared" si="4"/>
        <v>0</v>
      </c>
      <c r="Z44" s="294">
        <f t="shared" si="3"/>
        <v>0</v>
      </c>
    </row>
    <row r="45" spans="1:26" s="269" customFormat="1" ht="12.75">
      <c r="A45" s="277">
        <v>1999</v>
      </c>
      <c r="B45" s="290">
        <v>2474</v>
      </c>
      <c r="C45" s="290">
        <v>0</v>
      </c>
      <c r="D45" s="290">
        <v>0</v>
      </c>
      <c r="E45" s="290">
        <v>107582.87</v>
      </c>
      <c r="F45" s="290">
        <v>119258.28</v>
      </c>
      <c r="G45" s="290">
        <v>0</v>
      </c>
      <c r="H45" s="290">
        <f t="shared" si="2"/>
        <v>229315.15</v>
      </c>
      <c r="J45" s="288">
        <v>1999</v>
      </c>
      <c r="K45" s="306">
        <v>0</v>
      </c>
      <c r="L45" s="306">
        <v>0</v>
      </c>
      <c r="M45" s="306">
        <v>0</v>
      </c>
      <c r="N45" s="306">
        <v>0</v>
      </c>
      <c r="O45" s="306">
        <v>0</v>
      </c>
      <c r="P45" s="306">
        <v>0</v>
      </c>
      <c r="Q45" s="299">
        <f t="shared" si="0"/>
        <v>0</v>
      </c>
      <c r="S45" s="277">
        <v>1999</v>
      </c>
      <c r="T45" s="294">
        <f t="shared" si="4"/>
        <v>2474</v>
      </c>
      <c r="U45" s="294">
        <f t="shared" si="4"/>
        <v>0</v>
      </c>
      <c r="V45" s="294">
        <f t="shared" si="4"/>
        <v>0</v>
      </c>
      <c r="W45" s="294">
        <f t="shared" si="4"/>
        <v>107582.87</v>
      </c>
      <c r="X45" s="294">
        <f t="shared" si="4"/>
        <v>119258.28</v>
      </c>
      <c r="Y45" s="294">
        <f t="shared" si="4"/>
        <v>0</v>
      </c>
      <c r="Z45" s="294">
        <f t="shared" si="3"/>
        <v>229315.15</v>
      </c>
    </row>
    <row r="46" spans="1:26" s="269" customFormat="1" ht="12.75">
      <c r="A46" s="277">
        <v>2000</v>
      </c>
      <c r="B46" s="290">
        <v>0</v>
      </c>
      <c r="C46" s="290">
        <v>0</v>
      </c>
      <c r="D46" s="290">
        <v>0</v>
      </c>
      <c r="E46" s="290">
        <v>0</v>
      </c>
      <c r="F46" s="290">
        <v>0</v>
      </c>
      <c r="G46" s="290">
        <v>0</v>
      </c>
      <c r="H46" s="290">
        <f t="shared" si="2"/>
        <v>0</v>
      </c>
      <c r="J46" s="288">
        <v>2000</v>
      </c>
      <c r="K46" s="306">
        <v>0</v>
      </c>
      <c r="L46" s="306">
        <v>0</v>
      </c>
      <c r="M46" s="306">
        <v>0</v>
      </c>
      <c r="N46" s="306">
        <v>0</v>
      </c>
      <c r="O46" s="306">
        <v>0</v>
      </c>
      <c r="P46" s="306">
        <v>0</v>
      </c>
      <c r="Q46" s="299">
        <f t="shared" si="0"/>
        <v>0</v>
      </c>
      <c r="S46" s="277">
        <v>2000</v>
      </c>
      <c r="T46" s="294">
        <f t="shared" si="4"/>
        <v>0</v>
      </c>
      <c r="U46" s="294">
        <f t="shared" si="4"/>
        <v>0</v>
      </c>
      <c r="V46" s="294">
        <f t="shared" si="4"/>
        <v>0</v>
      </c>
      <c r="W46" s="294">
        <f t="shared" si="4"/>
        <v>0</v>
      </c>
      <c r="X46" s="294">
        <f t="shared" si="4"/>
        <v>0</v>
      </c>
      <c r="Y46" s="294">
        <f t="shared" si="4"/>
        <v>0</v>
      </c>
      <c r="Z46" s="294">
        <f t="shared" si="3"/>
        <v>0</v>
      </c>
    </row>
    <row r="47" spans="1:26" s="269" customFormat="1" ht="12.75">
      <c r="A47" s="277">
        <v>2001</v>
      </c>
      <c r="B47" s="290">
        <v>0</v>
      </c>
      <c r="C47" s="290">
        <v>0</v>
      </c>
      <c r="D47" s="290">
        <v>0</v>
      </c>
      <c r="E47" s="290">
        <v>0</v>
      </c>
      <c r="F47" s="290">
        <v>0</v>
      </c>
      <c r="G47" s="290">
        <v>0</v>
      </c>
      <c r="H47" s="290">
        <f t="shared" si="2"/>
        <v>0</v>
      </c>
      <c r="J47" s="288">
        <v>2001</v>
      </c>
      <c r="K47" s="306">
        <v>0</v>
      </c>
      <c r="L47" s="306">
        <v>0</v>
      </c>
      <c r="M47" s="306">
        <v>0</v>
      </c>
      <c r="N47" s="306">
        <v>0</v>
      </c>
      <c r="O47" s="306">
        <v>0</v>
      </c>
      <c r="P47" s="306">
        <v>0</v>
      </c>
      <c r="Q47" s="299">
        <f t="shared" si="0"/>
        <v>0</v>
      </c>
      <c r="S47" s="277">
        <v>2001</v>
      </c>
      <c r="T47" s="294">
        <f t="shared" si="4"/>
        <v>0</v>
      </c>
      <c r="U47" s="294">
        <f t="shared" si="4"/>
        <v>0</v>
      </c>
      <c r="V47" s="294">
        <f t="shared" si="4"/>
        <v>0</v>
      </c>
      <c r="W47" s="294">
        <f t="shared" si="4"/>
        <v>0</v>
      </c>
      <c r="X47" s="294">
        <f t="shared" si="4"/>
        <v>0</v>
      </c>
      <c r="Y47" s="294">
        <f t="shared" si="4"/>
        <v>0</v>
      </c>
      <c r="Z47" s="294">
        <f t="shared" si="3"/>
        <v>0</v>
      </c>
    </row>
    <row r="48" spans="1:26" s="269" customFormat="1" ht="12.75">
      <c r="A48" s="277">
        <v>2002</v>
      </c>
      <c r="B48" s="290">
        <v>0</v>
      </c>
      <c r="C48" s="290">
        <v>0</v>
      </c>
      <c r="D48" s="290">
        <v>0</v>
      </c>
      <c r="E48" s="290">
        <v>73057.919999999998</v>
      </c>
      <c r="F48" s="290">
        <v>97.51</v>
      </c>
      <c r="G48" s="290">
        <v>0</v>
      </c>
      <c r="H48" s="290">
        <f t="shared" si="2"/>
        <v>73155.429999999993</v>
      </c>
      <c r="J48" s="288">
        <v>2002</v>
      </c>
      <c r="K48" s="306">
        <v>0</v>
      </c>
      <c r="L48" s="306">
        <v>0</v>
      </c>
      <c r="M48" s="306">
        <v>0</v>
      </c>
      <c r="N48" s="306">
        <v>0</v>
      </c>
      <c r="O48" s="306">
        <v>0</v>
      </c>
      <c r="P48" s="306">
        <v>0</v>
      </c>
      <c r="Q48" s="299">
        <f t="shared" si="0"/>
        <v>0</v>
      </c>
      <c r="S48" s="277">
        <v>2002</v>
      </c>
      <c r="T48" s="294">
        <f t="shared" si="4"/>
        <v>0</v>
      </c>
      <c r="U48" s="294">
        <f t="shared" si="4"/>
        <v>0</v>
      </c>
      <c r="V48" s="294">
        <f t="shared" si="4"/>
        <v>0</v>
      </c>
      <c r="W48" s="294">
        <f t="shared" si="4"/>
        <v>73057.919999999998</v>
      </c>
      <c r="X48" s="294">
        <f t="shared" si="4"/>
        <v>97.51</v>
      </c>
      <c r="Y48" s="294">
        <f t="shared" si="4"/>
        <v>0</v>
      </c>
      <c r="Z48" s="294">
        <f t="shared" si="3"/>
        <v>73155.429999999993</v>
      </c>
    </row>
    <row r="49" spans="1:26" s="269" customFormat="1" ht="12.75">
      <c r="A49" s="277">
        <v>2003</v>
      </c>
      <c r="B49" s="290">
        <v>0</v>
      </c>
      <c r="C49" s="290">
        <v>0</v>
      </c>
      <c r="D49" s="290">
        <v>0</v>
      </c>
      <c r="E49" s="290">
        <v>0</v>
      </c>
      <c r="F49" s="290">
        <v>0</v>
      </c>
      <c r="G49" s="290">
        <v>0</v>
      </c>
      <c r="H49" s="290">
        <f t="shared" si="2"/>
        <v>0</v>
      </c>
      <c r="J49" s="288">
        <v>2003</v>
      </c>
      <c r="K49" s="306">
        <v>0</v>
      </c>
      <c r="L49" s="306">
        <v>0</v>
      </c>
      <c r="M49" s="306">
        <v>0</v>
      </c>
      <c r="N49" s="306">
        <v>0</v>
      </c>
      <c r="O49" s="306">
        <v>0</v>
      </c>
      <c r="P49" s="306">
        <v>0</v>
      </c>
      <c r="Q49" s="299">
        <f t="shared" si="0"/>
        <v>0</v>
      </c>
      <c r="S49" s="277">
        <v>2003</v>
      </c>
      <c r="T49" s="294">
        <f t="shared" si="4"/>
        <v>0</v>
      </c>
      <c r="U49" s="294">
        <f t="shared" si="4"/>
        <v>0</v>
      </c>
      <c r="V49" s="294">
        <f t="shared" si="4"/>
        <v>0</v>
      </c>
      <c r="W49" s="294">
        <f t="shared" si="4"/>
        <v>0</v>
      </c>
      <c r="X49" s="294">
        <f t="shared" si="4"/>
        <v>0</v>
      </c>
      <c r="Y49" s="294">
        <f t="shared" si="4"/>
        <v>0</v>
      </c>
      <c r="Z49" s="294">
        <f t="shared" si="3"/>
        <v>0</v>
      </c>
    </row>
    <row r="50" spans="1:26" s="269" customFormat="1" ht="12.75">
      <c r="A50" s="277">
        <v>2004</v>
      </c>
      <c r="B50" s="290">
        <v>0</v>
      </c>
      <c r="C50" s="290">
        <v>0</v>
      </c>
      <c r="D50" s="290">
        <v>0</v>
      </c>
      <c r="E50" s="290">
        <v>0</v>
      </c>
      <c r="F50" s="290">
        <v>0</v>
      </c>
      <c r="G50" s="290">
        <v>0</v>
      </c>
      <c r="H50" s="290">
        <f t="shared" si="2"/>
        <v>0</v>
      </c>
      <c r="J50" s="288">
        <v>2004</v>
      </c>
      <c r="K50" s="306">
        <v>0</v>
      </c>
      <c r="L50" s="306">
        <v>0</v>
      </c>
      <c r="M50" s="306">
        <v>0</v>
      </c>
      <c r="N50" s="306">
        <v>0</v>
      </c>
      <c r="O50" s="306">
        <v>0</v>
      </c>
      <c r="P50" s="306">
        <v>0</v>
      </c>
      <c r="Q50" s="299">
        <f t="shared" si="0"/>
        <v>0</v>
      </c>
      <c r="S50" s="277">
        <v>2004</v>
      </c>
      <c r="T50" s="294">
        <f t="shared" si="4"/>
        <v>0</v>
      </c>
      <c r="U50" s="294">
        <f t="shared" si="4"/>
        <v>0</v>
      </c>
      <c r="V50" s="294">
        <f t="shared" si="4"/>
        <v>0</v>
      </c>
      <c r="W50" s="294">
        <f t="shared" si="4"/>
        <v>0</v>
      </c>
      <c r="X50" s="294">
        <f t="shared" si="4"/>
        <v>0</v>
      </c>
      <c r="Y50" s="294">
        <f t="shared" si="4"/>
        <v>0</v>
      </c>
      <c r="Z50" s="294">
        <f t="shared" si="3"/>
        <v>0</v>
      </c>
    </row>
    <row r="51" spans="1:26" s="269" customFormat="1" ht="12.75">
      <c r="A51" s="277">
        <v>2005</v>
      </c>
      <c r="B51" s="290">
        <v>0</v>
      </c>
      <c r="C51" s="290">
        <v>0</v>
      </c>
      <c r="D51" s="290">
        <v>0</v>
      </c>
      <c r="E51" s="290">
        <v>23756.880000000001</v>
      </c>
      <c r="F51" s="290">
        <v>92126.07</v>
      </c>
      <c r="G51" s="290">
        <v>0</v>
      </c>
      <c r="H51" s="290">
        <f t="shared" si="2"/>
        <v>115882.95000000001</v>
      </c>
      <c r="I51" s="307"/>
      <c r="J51" s="288">
        <v>2005</v>
      </c>
      <c r="K51" s="306">
        <v>0</v>
      </c>
      <c r="L51" s="306">
        <v>0</v>
      </c>
      <c r="M51" s="306">
        <v>0</v>
      </c>
      <c r="N51" s="306">
        <v>0</v>
      </c>
      <c r="O51" s="306">
        <v>0</v>
      </c>
      <c r="P51" s="306">
        <v>0</v>
      </c>
      <c r="Q51" s="299">
        <f t="shared" si="0"/>
        <v>0</v>
      </c>
      <c r="R51" s="307"/>
      <c r="S51" s="277">
        <v>2005</v>
      </c>
      <c r="T51" s="294">
        <f t="shared" si="4"/>
        <v>0</v>
      </c>
      <c r="U51" s="294">
        <f t="shared" si="4"/>
        <v>0</v>
      </c>
      <c r="V51" s="294">
        <f t="shared" si="4"/>
        <v>0</v>
      </c>
      <c r="W51" s="294">
        <f t="shared" si="4"/>
        <v>23756.880000000001</v>
      </c>
      <c r="X51" s="294">
        <f t="shared" si="4"/>
        <v>92126.07</v>
      </c>
      <c r="Y51" s="294">
        <f t="shared" si="4"/>
        <v>0</v>
      </c>
      <c r="Z51" s="294">
        <f t="shared" si="3"/>
        <v>115882.95000000001</v>
      </c>
    </row>
    <row r="52" spans="1:26" s="269" customFormat="1" ht="12.75">
      <c r="A52" s="277">
        <v>2006</v>
      </c>
      <c r="B52" s="290">
        <v>0</v>
      </c>
      <c r="C52" s="290">
        <v>0</v>
      </c>
      <c r="D52" s="290">
        <v>0</v>
      </c>
      <c r="E52" s="290">
        <v>0</v>
      </c>
      <c r="F52" s="290">
        <v>0</v>
      </c>
      <c r="G52" s="290">
        <v>0</v>
      </c>
      <c r="H52" s="290">
        <f t="shared" si="2"/>
        <v>0</v>
      </c>
      <c r="I52" s="307"/>
      <c r="J52" s="288">
        <v>2006</v>
      </c>
      <c r="K52" s="306">
        <v>0</v>
      </c>
      <c r="L52" s="306">
        <v>0</v>
      </c>
      <c r="M52" s="306">
        <v>0</v>
      </c>
      <c r="N52" s="306">
        <v>0</v>
      </c>
      <c r="O52" s="306">
        <v>0</v>
      </c>
      <c r="P52" s="306">
        <v>0</v>
      </c>
      <c r="Q52" s="299">
        <f t="shared" si="0"/>
        <v>0</v>
      </c>
      <c r="R52" s="307"/>
      <c r="S52" s="277">
        <v>2006</v>
      </c>
      <c r="T52" s="294">
        <f t="shared" si="4"/>
        <v>0</v>
      </c>
      <c r="U52" s="294">
        <f t="shared" si="4"/>
        <v>0</v>
      </c>
      <c r="V52" s="294">
        <f t="shared" si="4"/>
        <v>0</v>
      </c>
      <c r="W52" s="294">
        <f t="shared" si="4"/>
        <v>0</v>
      </c>
      <c r="X52" s="294">
        <f t="shared" si="4"/>
        <v>0</v>
      </c>
      <c r="Y52" s="294">
        <f t="shared" si="4"/>
        <v>0</v>
      </c>
      <c r="Z52" s="294">
        <f t="shared" si="3"/>
        <v>0</v>
      </c>
    </row>
    <row r="53" spans="1:26" s="269" customFormat="1" ht="12.75">
      <c r="A53" s="277">
        <v>2007</v>
      </c>
      <c r="B53" s="290">
        <v>0</v>
      </c>
      <c r="C53" s="290">
        <v>0</v>
      </c>
      <c r="D53" s="290">
        <v>0</v>
      </c>
      <c r="E53" s="290">
        <v>0</v>
      </c>
      <c r="F53" s="290">
        <v>0</v>
      </c>
      <c r="G53" s="290">
        <v>0</v>
      </c>
      <c r="H53" s="290">
        <f t="shared" si="2"/>
        <v>0</v>
      </c>
      <c r="I53" s="307"/>
      <c r="J53" s="288">
        <v>2007</v>
      </c>
      <c r="K53" s="306">
        <v>0</v>
      </c>
      <c r="L53" s="306">
        <v>0</v>
      </c>
      <c r="M53" s="306">
        <v>0</v>
      </c>
      <c r="N53" s="306">
        <v>0</v>
      </c>
      <c r="O53" s="306">
        <v>0</v>
      </c>
      <c r="P53" s="306">
        <v>0</v>
      </c>
      <c r="Q53" s="299">
        <f t="shared" si="0"/>
        <v>0</v>
      </c>
      <c r="R53" s="307"/>
      <c r="S53" s="277">
        <v>2007</v>
      </c>
      <c r="T53" s="294">
        <f t="shared" si="4"/>
        <v>0</v>
      </c>
      <c r="U53" s="294">
        <f t="shared" si="4"/>
        <v>0</v>
      </c>
      <c r="V53" s="294">
        <f t="shared" si="4"/>
        <v>0</v>
      </c>
      <c r="W53" s="294">
        <f t="shared" si="4"/>
        <v>0</v>
      </c>
      <c r="X53" s="294">
        <f t="shared" si="4"/>
        <v>0</v>
      </c>
      <c r="Y53" s="294">
        <f t="shared" si="4"/>
        <v>0</v>
      </c>
      <c r="Z53" s="294">
        <f t="shared" si="3"/>
        <v>0</v>
      </c>
    </row>
    <row r="54" spans="1:26" s="269" customFormat="1" ht="12.75">
      <c r="A54" s="277">
        <v>2008</v>
      </c>
      <c r="B54" s="290">
        <v>0</v>
      </c>
      <c r="C54" s="290">
        <v>0</v>
      </c>
      <c r="D54" s="290">
        <v>0</v>
      </c>
      <c r="E54" s="290">
        <v>0</v>
      </c>
      <c r="F54" s="290">
        <v>0</v>
      </c>
      <c r="G54" s="290">
        <v>0</v>
      </c>
      <c r="H54" s="290">
        <f t="shared" si="2"/>
        <v>0</v>
      </c>
      <c r="I54" s="307"/>
      <c r="J54" s="288">
        <v>2008</v>
      </c>
      <c r="K54" s="306">
        <v>0</v>
      </c>
      <c r="L54" s="306">
        <v>0</v>
      </c>
      <c r="M54" s="306">
        <v>0</v>
      </c>
      <c r="N54" s="306">
        <v>0</v>
      </c>
      <c r="O54" s="306">
        <v>0</v>
      </c>
      <c r="P54" s="306">
        <v>0</v>
      </c>
      <c r="Q54" s="299">
        <f t="shared" si="0"/>
        <v>0</v>
      </c>
      <c r="R54" s="307"/>
      <c r="S54" s="277">
        <v>2008</v>
      </c>
      <c r="T54" s="294">
        <f t="shared" si="4"/>
        <v>0</v>
      </c>
      <c r="U54" s="294">
        <f t="shared" si="4"/>
        <v>0</v>
      </c>
      <c r="V54" s="294">
        <f t="shared" si="4"/>
        <v>0</v>
      </c>
      <c r="W54" s="294">
        <f t="shared" si="4"/>
        <v>0</v>
      </c>
      <c r="X54" s="294">
        <f t="shared" si="4"/>
        <v>0</v>
      </c>
      <c r="Y54" s="294">
        <f t="shared" si="4"/>
        <v>0</v>
      </c>
      <c r="Z54" s="294">
        <f t="shared" si="3"/>
        <v>0</v>
      </c>
    </row>
    <row r="55" spans="1:26" s="269" customFormat="1" ht="12.75">
      <c r="A55" s="277">
        <v>2009</v>
      </c>
      <c r="B55" s="290">
        <v>0</v>
      </c>
      <c r="C55" s="290">
        <v>0</v>
      </c>
      <c r="D55" s="290">
        <v>0</v>
      </c>
      <c r="E55" s="290">
        <v>0</v>
      </c>
      <c r="F55" s="290">
        <v>0</v>
      </c>
      <c r="G55" s="290">
        <v>0</v>
      </c>
      <c r="H55" s="290">
        <f t="shared" si="2"/>
        <v>0</v>
      </c>
      <c r="I55" s="307"/>
      <c r="J55" s="288">
        <v>2009</v>
      </c>
      <c r="K55" s="306">
        <v>0</v>
      </c>
      <c r="L55" s="306">
        <v>0</v>
      </c>
      <c r="M55" s="306">
        <v>0</v>
      </c>
      <c r="N55" s="306">
        <v>0</v>
      </c>
      <c r="O55" s="306">
        <v>0</v>
      </c>
      <c r="P55" s="306">
        <v>0</v>
      </c>
      <c r="Q55" s="299">
        <f t="shared" si="0"/>
        <v>0</v>
      </c>
      <c r="R55" s="307"/>
      <c r="S55" s="277">
        <v>2009</v>
      </c>
      <c r="T55" s="294">
        <f t="shared" si="4"/>
        <v>0</v>
      </c>
      <c r="U55" s="294">
        <f t="shared" si="4"/>
        <v>0</v>
      </c>
      <c r="V55" s="294">
        <f t="shared" si="4"/>
        <v>0</v>
      </c>
      <c r="W55" s="294">
        <f t="shared" si="4"/>
        <v>0</v>
      </c>
      <c r="X55" s="294">
        <f t="shared" si="4"/>
        <v>0</v>
      </c>
      <c r="Y55" s="294">
        <f t="shared" si="4"/>
        <v>0</v>
      </c>
      <c r="Z55" s="294">
        <f t="shared" si="3"/>
        <v>0</v>
      </c>
    </row>
    <row r="56" spans="1:26" s="269" customFormat="1" ht="12.75">
      <c r="A56" s="277">
        <v>2010</v>
      </c>
      <c r="B56" s="290">
        <v>0</v>
      </c>
      <c r="C56" s="290">
        <v>0</v>
      </c>
      <c r="D56" s="290">
        <v>0</v>
      </c>
      <c r="E56" s="290">
        <v>7089.96</v>
      </c>
      <c r="F56" s="290">
        <v>0</v>
      </c>
      <c r="G56" s="290">
        <v>0</v>
      </c>
      <c r="H56" s="290">
        <f t="shared" si="2"/>
        <v>7089.96</v>
      </c>
      <c r="I56" s="307"/>
      <c r="J56" s="288">
        <v>2010</v>
      </c>
      <c r="K56" s="306">
        <v>0</v>
      </c>
      <c r="L56" s="306">
        <v>0</v>
      </c>
      <c r="M56" s="306">
        <v>0</v>
      </c>
      <c r="N56" s="306">
        <v>0</v>
      </c>
      <c r="O56" s="306">
        <v>0</v>
      </c>
      <c r="P56" s="306">
        <v>0</v>
      </c>
      <c r="Q56" s="299">
        <f t="shared" si="0"/>
        <v>0</v>
      </c>
      <c r="R56" s="307"/>
      <c r="S56" s="277">
        <v>2010</v>
      </c>
      <c r="T56" s="294">
        <f t="shared" si="4"/>
        <v>0</v>
      </c>
      <c r="U56" s="294">
        <f t="shared" si="4"/>
        <v>0</v>
      </c>
      <c r="V56" s="294">
        <f t="shared" si="4"/>
        <v>0</v>
      </c>
      <c r="W56" s="294">
        <f t="shared" si="4"/>
        <v>7089.96</v>
      </c>
      <c r="X56" s="294">
        <f t="shared" si="4"/>
        <v>0</v>
      </c>
      <c r="Y56" s="294">
        <f t="shared" si="4"/>
        <v>0</v>
      </c>
      <c r="Z56" s="294">
        <f t="shared" si="3"/>
        <v>7089.96</v>
      </c>
    </row>
    <row r="57" spans="1:26" s="269" customFormat="1" ht="12.75">
      <c r="A57" s="277">
        <v>2011</v>
      </c>
      <c r="B57" s="290">
        <v>0</v>
      </c>
      <c r="C57" s="290">
        <v>0</v>
      </c>
      <c r="D57" s="290">
        <v>0</v>
      </c>
      <c r="E57" s="290">
        <v>3371.07</v>
      </c>
      <c r="F57" s="290">
        <v>0</v>
      </c>
      <c r="G57" s="290">
        <v>0</v>
      </c>
      <c r="H57" s="290">
        <f>SUM(B57:G57)</f>
        <v>3371.07</v>
      </c>
      <c r="I57" s="307"/>
      <c r="J57" s="288">
        <v>2011</v>
      </c>
      <c r="K57" s="306">
        <v>0</v>
      </c>
      <c r="L57" s="306">
        <v>0</v>
      </c>
      <c r="M57" s="306">
        <v>0</v>
      </c>
      <c r="N57" s="306">
        <v>0</v>
      </c>
      <c r="O57" s="306">
        <v>0</v>
      </c>
      <c r="P57" s="306">
        <v>0</v>
      </c>
      <c r="Q57" s="299">
        <f t="shared" si="0"/>
        <v>0</v>
      </c>
      <c r="R57" s="307"/>
      <c r="S57" s="277">
        <v>2011</v>
      </c>
      <c r="T57" s="294">
        <f t="shared" si="4"/>
        <v>0</v>
      </c>
      <c r="U57" s="294">
        <f t="shared" si="4"/>
        <v>0</v>
      </c>
      <c r="V57" s="294">
        <f t="shared" si="4"/>
        <v>0</v>
      </c>
      <c r="W57" s="294">
        <f t="shared" si="4"/>
        <v>3371.07</v>
      </c>
      <c r="X57" s="294">
        <f t="shared" si="4"/>
        <v>0</v>
      </c>
      <c r="Y57" s="294">
        <f t="shared" si="4"/>
        <v>0</v>
      </c>
      <c r="Z57" s="294">
        <f t="shared" si="3"/>
        <v>3371.07</v>
      </c>
    </row>
    <row r="58" spans="1:26" s="269" customFormat="1" ht="12.75">
      <c r="A58" s="277">
        <v>2012</v>
      </c>
      <c r="B58" s="290">
        <v>0</v>
      </c>
      <c r="C58" s="290">
        <v>0</v>
      </c>
      <c r="D58" s="290">
        <v>0</v>
      </c>
      <c r="E58" s="290">
        <v>0</v>
      </c>
      <c r="F58" s="290">
        <v>0</v>
      </c>
      <c r="G58" s="290">
        <v>0</v>
      </c>
      <c r="H58" s="290">
        <f t="shared" ref="H58:H62" si="5">SUM(B58:G58)</f>
        <v>0</v>
      </c>
      <c r="I58" s="307"/>
      <c r="J58" s="288">
        <v>2012</v>
      </c>
      <c r="K58" s="306">
        <v>0</v>
      </c>
      <c r="L58" s="306">
        <v>0</v>
      </c>
      <c r="M58" s="306">
        <v>0</v>
      </c>
      <c r="N58" s="306">
        <v>0</v>
      </c>
      <c r="O58" s="306">
        <v>0</v>
      </c>
      <c r="P58" s="306">
        <v>0</v>
      </c>
      <c r="Q58" s="299">
        <f t="shared" si="0"/>
        <v>0</v>
      </c>
      <c r="R58" s="307"/>
      <c r="S58" s="277">
        <v>2012</v>
      </c>
      <c r="T58" s="294">
        <f t="shared" ref="T58:Y63" si="6">B58+K58</f>
        <v>0</v>
      </c>
      <c r="U58" s="294">
        <f t="shared" si="6"/>
        <v>0</v>
      </c>
      <c r="V58" s="294">
        <f t="shared" si="6"/>
        <v>0</v>
      </c>
      <c r="W58" s="294">
        <f t="shared" si="6"/>
        <v>0</v>
      </c>
      <c r="X58" s="294">
        <f t="shared" si="6"/>
        <v>0</v>
      </c>
      <c r="Y58" s="294">
        <f t="shared" si="6"/>
        <v>0</v>
      </c>
      <c r="Z58" s="294">
        <f t="shared" si="3"/>
        <v>0</v>
      </c>
    </row>
    <row r="59" spans="1:26" s="269" customFormat="1" ht="12.75">
      <c r="A59" s="277">
        <v>2013</v>
      </c>
      <c r="B59" s="290">
        <v>49299</v>
      </c>
      <c r="C59" s="290">
        <v>0</v>
      </c>
      <c r="D59" s="290">
        <v>0</v>
      </c>
      <c r="E59" s="290">
        <v>0</v>
      </c>
      <c r="F59" s="290">
        <v>0</v>
      </c>
      <c r="G59" s="290">
        <v>0</v>
      </c>
      <c r="H59" s="290">
        <f t="shared" si="5"/>
        <v>49299</v>
      </c>
      <c r="I59" s="307"/>
      <c r="J59" s="288">
        <v>2013</v>
      </c>
      <c r="K59" s="306">
        <v>0</v>
      </c>
      <c r="L59" s="306">
        <v>0</v>
      </c>
      <c r="M59" s="306">
        <v>0</v>
      </c>
      <c r="N59" s="306">
        <v>0</v>
      </c>
      <c r="O59" s="306">
        <v>0</v>
      </c>
      <c r="P59" s="306">
        <v>0</v>
      </c>
      <c r="Q59" s="299">
        <f t="shared" si="0"/>
        <v>0</v>
      </c>
      <c r="R59" s="307"/>
      <c r="S59" s="277">
        <v>2013</v>
      </c>
      <c r="T59" s="294">
        <f t="shared" si="6"/>
        <v>49299</v>
      </c>
      <c r="U59" s="294">
        <f t="shared" si="6"/>
        <v>0</v>
      </c>
      <c r="V59" s="294">
        <f t="shared" si="6"/>
        <v>0</v>
      </c>
      <c r="W59" s="294">
        <f t="shared" si="6"/>
        <v>0</v>
      </c>
      <c r="X59" s="294">
        <f t="shared" si="6"/>
        <v>0</v>
      </c>
      <c r="Y59" s="294">
        <f t="shared" si="6"/>
        <v>0</v>
      </c>
      <c r="Z59" s="294">
        <f t="shared" si="3"/>
        <v>49299</v>
      </c>
    </row>
    <row r="60" spans="1:26" s="269" customFormat="1" ht="12.75">
      <c r="A60" s="277">
        <v>2014</v>
      </c>
      <c r="B60" s="290">
        <v>0</v>
      </c>
      <c r="C60" s="290">
        <v>0</v>
      </c>
      <c r="D60" s="290">
        <v>32327.43</v>
      </c>
      <c r="E60" s="290">
        <v>0</v>
      </c>
      <c r="F60" s="290">
        <v>0</v>
      </c>
      <c r="G60" s="290">
        <v>0</v>
      </c>
      <c r="H60" s="290">
        <f t="shared" si="5"/>
        <v>32327.43</v>
      </c>
      <c r="I60" s="307" t="s">
        <v>2</v>
      </c>
      <c r="J60" s="298">
        <v>2014</v>
      </c>
      <c r="K60" s="306">
        <v>0</v>
      </c>
      <c r="L60" s="306">
        <v>0</v>
      </c>
      <c r="M60" s="306">
        <v>0</v>
      </c>
      <c r="N60" s="306">
        <v>0</v>
      </c>
      <c r="O60" s="306">
        <v>0</v>
      </c>
      <c r="P60" s="306">
        <v>0</v>
      </c>
      <c r="Q60" s="299">
        <f t="shared" si="0"/>
        <v>0</v>
      </c>
      <c r="R60" s="307" t="s">
        <v>2</v>
      </c>
      <c r="S60" s="308">
        <v>2014</v>
      </c>
      <c r="T60" s="294">
        <f t="shared" si="6"/>
        <v>0</v>
      </c>
      <c r="U60" s="294">
        <f t="shared" si="6"/>
        <v>0</v>
      </c>
      <c r="V60" s="294">
        <f t="shared" si="6"/>
        <v>32327.43</v>
      </c>
      <c r="W60" s="294">
        <f t="shared" si="6"/>
        <v>0</v>
      </c>
      <c r="X60" s="294">
        <f t="shared" si="6"/>
        <v>0</v>
      </c>
      <c r="Y60" s="294">
        <f t="shared" si="6"/>
        <v>0</v>
      </c>
      <c r="Z60" s="294">
        <f t="shared" si="3"/>
        <v>32327.43</v>
      </c>
    </row>
    <row r="61" spans="1:26" s="269" customFormat="1">
      <c r="A61" s="277">
        <v>2015</v>
      </c>
      <c r="B61" s="290">
        <v>0</v>
      </c>
      <c r="C61" s="290">
        <v>0</v>
      </c>
      <c r="D61" s="290">
        <v>0</v>
      </c>
      <c r="E61" s="290">
        <v>0</v>
      </c>
      <c r="F61" s="290">
        <v>0</v>
      </c>
      <c r="G61" s="290">
        <v>0</v>
      </c>
      <c r="H61" s="290">
        <f t="shared" si="5"/>
        <v>0</v>
      </c>
      <c r="I61" s="269" t="s">
        <v>2</v>
      </c>
      <c r="J61" s="288">
        <v>2015</v>
      </c>
      <c r="K61" s="306">
        <v>0</v>
      </c>
      <c r="L61" s="306">
        <v>0</v>
      </c>
      <c r="M61" s="306">
        <v>0</v>
      </c>
      <c r="N61" s="306">
        <v>0</v>
      </c>
      <c r="O61" s="306">
        <v>0</v>
      </c>
      <c r="P61" s="306">
        <v>0</v>
      </c>
      <c r="Q61" s="309">
        <f t="shared" si="0"/>
        <v>0</v>
      </c>
      <c r="R61" s="269" t="s">
        <v>2</v>
      </c>
      <c r="S61" s="277">
        <v>2015</v>
      </c>
      <c r="T61" s="294">
        <f t="shared" si="6"/>
        <v>0</v>
      </c>
      <c r="U61" s="294">
        <f t="shared" si="6"/>
        <v>0</v>
      </c>
      <c r="V61" s="294">
        <f t="shared" si="6"/>
        <v>0</v>
      </c>
      <c r="W61" s="294">
        <f t="shared" si="6"/>
        <v>0</v>
      </c>
      <c r="X61" s="294">
        <f t="shared" si="6"/>
        <v>0</v>
      </c>
      <c r="Y61" s="294">
        <f t="shared" si="6"/>
        <v>0</v>
      </c>
      <c r="Z61" s="294">
        <f t="shared" si="3"/>
        <v>0</v>
      </c>
    </row>
    <row r="62" spans="1:26" s="269" customFormat="1">
      <c r="A62" s="277">
        <v>2016</v>
      </c>
      <c r="B62" s="290">
        <v>0</v>
      </c>
      <c r="C62" s="290">
        <v>0</v>
      </c>
      <c r="D62" s="290">
        <v>0</v>
      </c>
      <c r="E62" s="290">
        <v>0</v>
      </c>
      <c r="F62" s="290">
        <v>0</v>
      </c>
      <c r="G62" s="290">
        <v>0</v>
      </c>
      <c r="H62" s="290">
        <f t="shared" si="5"/>
        <v>0</v>
      </c>
      <c r="J62" s="288">
        <f>A62</f>
        <v>2016</v>
      </c>
      <c r="K62" s="306">
        <v>0</v>
      </c>
      <c r="L62" s="306">
        <v>0</v>
      </c>
      <c r="M62" s="306">
        <v>0</v>
      </c>
      <c r="N62" s="306">
        <v>0</v>
      </c>
      <c r="O62" s="306">
        <v>0</v>
      </c>
      <c r="P62" s="306">
        <v>0</v>
      </c>
      <c r="Q62" s="309">
        <f t="shared" si="0"/>
        <v>0</v>
      </c>
      <c r="S62" s="277">
        <f>A62</f>
        <v>2016</v>
      </c>
      <c r="T62" s="294">
        <f t="shared" si="6"/>
        <v>0</v>
      </c>
      <c r="U62" s="294">
        <f t="shared" si="6"/>
        <v>0</v>
      </c>
      <c r="V62" s="294">
        <f t="shared" si="6"/>
        <v>0</v>
      </c>
      <c r="W62" s="294">
        <f t="shared" si="6"/>
        <v>0</v>
      </c>
      <c r="X62" s="294">
        <f t="shared" si="6"/>
        <v>0</v>
      </c>
      <c r="Y62" s="294">
        <f t="shared" si="6"/>
        <v>0</v>
      </c>
      <c r="Z62" s="294">
        <f t="shared" si="3"/>
        <v>0</v>
      </c>
    </row>
    <row r="63" spans="1:26" s="269" customFormat="1">
      <c r="A63" s="277">
        <v>2017</v>
      </c>
      <c r="B63" s="310">
        <v>0</v>
      </c>
      <c r="C63" s="310">
        <v>0</v>
      </c>
      <c r="D63" s="310">
        <v>0</v>
      </c>
      <c r="E63" s="310">
        <v>0</v>
      </c>
      <c r="F63" s="310">
        <v>0</v>
      </c>
      <c r="G63" s="310">
        <v>0</v>
      </c>
      <c r="H63" s="310">
        <v>0</v>
      </c>
      <c r="J63" s="288">
        <v>2017</v>
      </c>
      <c r="K63" s="311"/>
      <c r="L63" s="311"/>
      <c r="M63" s="311"/>
      <c r="N63" s="311"/>
      <c r="O63" s="311"/>
      <c r="P63" s="311"/>
      <c r="Q63" s="309"/>
      <c r="S63" s="277">
        <f>A63</f>
        <v>2017</v>
      </c>
      <c r="T63" s="294">
        <f t="shared" si="6"/>
        <v>0</v>
      </c>
      <c r="U63" s="294">
        <f t="shared" si="6"/>
        <v>0</v>
      </c>
      <c r="V63" s="294">
        <f t="shared" si="6"/>
        <v>0</v>
      </c>
      <c r="W63" s="294">
        <f t="shared" si="6"/>
        <v>0</v>
      </c>
      <c r="X63" s="294">
        <f t="shared" si="6"/>
        <v>0</v>
      </c>
      <c r="Y63" s="294">
        <f t="shared" si="6"/>
        <v>0</v>
      </c>
      <c r="Z63" s="294">
        <f t="shared" si="3"/>
        <v>0</v>
      </c>
    </row>
    <row r="64" spans="1:26" s="269" customFormat="1">
      <c r="A64" s="277" t="s">
        <v>9</v>
      </c>
      <c r="B64" s="300">
        <f t="shared" ref="B64:H64" si="7">SUM(B8:B63)</f>
        <v>244080.65</v>
      </c>
      <c r="C64" s="300">
        <f t="shared" si="7"/>
        <v>58074.68</v>
      </c>
      <c r="D64" s="300">
        <f t="shared" si="7"/>
        <v>34562.43</v>
      </c>
      <c r="E64" s="300">
        <f t="shared" si="7"/>
        <v>683314.47999999986</v>
      </c>
      <c r="F64" s="300">
        <f t="shared" si="7"/>
        <v>701939.78</v>
      </c>
      <c r="G64" s="300">
        <f t="shared" si="7"/>
        <v>0</v>
      </c>
      <c r="H64" s="300">
        <f t="shared" si="7"/>
        <v>1721972.02</v>
      </c>
      <c r="J64" s="288" t="s">
        <v>9</v>
      </c>
      <c r="K64" s="301">
        <f t="shared" ref="K64:Q64" si="8">SUM(K8:K63)</f>
        <v>0</v>
      </c>
      <c r="L64" s="301">
        <f t="shared" si="8"/>
        <v>0</v>
      </c>
      <c r="M64" s="301">
        <f t="shared" si="8"/>
        <v>0</v>
      </c>
      <c r="N64" s="301">
        <f t="shared" si="8"/>
        <v>0</v>
      </c>
      <c r="O64" s="301">
        <f t="shared" si="8"/>
        <v>0</v>
      </c>
      <c r="P64" s="301">
        <f t="shared" si="8"/>
        <v>0</v>
      </c>
      <c r="Q64" s="301">
        <f t="shared" si="8"/>
        <v>0</v>
      </c>
      <c r="S64" s="277" t="s">
        <v>9</v>
      </c>
      <c r="T64" s="302">
        <f t="shared" ref="T64:Z64" si="9">SUM(T8:T63)</f>
        <v>244080.65</v>
      </c>
      <c r="U64" s="302">
        <f t="shared" si="9"/>
        <v>58074.68</v>
      </c>
      <c r="V64" s="302">
        <f t="shared" si="9"/>
        <v>34562.43</v>
      </c>
      <c r="W64" s="302">
        <f t="shared" si="9"/>
        <v>683314.47999999986</v>
      </c>
      <c r="X64" s="302">
        <f t="shared" si="9"/>
        <v>701939.78</v>
      </c>
      <c r="Y64" s="302">
        <f t="shared" si="9"/>
        <v>0</v>
      </c>
      <c r="Z64" s="302">
        <f t="shared" si="9"/>
        <v>1721972.02</v>
      </c>
    </row>
    <row r="65" spans="10:17">
      <c r="J65" s="491"/>
      <c r="K65" s="491"/>
      <c r="L65" s="491"/>
      <c r="M65" s="491"/>
      <c r="N65" s="491"/>
      <c r="O65" s="491"/>
      <c r="P65" s="491"/>
      <c r="Q65" s="491"/>
    </row>
    <row r="68" spans="10:17">
      <c r="J68" s="492"/>
      <c r="K68" s="489"/>
      <c r="L68" s="489"/>
      <c r="M68" s="489"/>
    </row>
  </sheetData>
  <printOptions horizontalCentered="1"/>
  <pageMargins left="0.7" right="0.7" top="0.75" bottom="0.75" header="0.3" footer="0.3"/>
  <pageSetup scale="80" orientation="portrait" r:id="rId1"/>
  <colBreaks count="2" manualBreakCount="2">
    <brk id="9" max="1048575" man="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65"/>
  <sheetViews>
    <sheetView zoomScaleNormal="100" workbookViewId="0">
      <pane xSplit="1" ySplit="6" topLeftCell="B7" activePane="bottomRight" state="frozen"/>
      <selection activeCell="D146" sqref="D146"/>
      <selection pane="topRight" activeCell="D146" sqref="D146"/>
      <selection pane="bottomLeft" activeCell="D146" sqref="D146"/>
      <selection pane="bottomRight" activeCell="B7" sqref="B7"/>
    </sheetView>
  </sheetViews>
  <sheetFormatPr defaultRowHeight="12.75"/>
  <cols>
    <col min="1" max="1" width="11.44140625" style="117" customWidth="1"/>
    <col min="2" max="2" width="10.77734375" style="117" customWidth="1"/>
    <col min="3" max="3" width="9.88671875" style="117" customWidth="1"/>
    <col min="4" max="4" width="11.21875" style="117" customWidth="1"/>
    <col min="5" max="5" width="12.109375" style="117" customWidth="1"/>
    <col min="6" max="6" width="10.33203125" style="117" customWidth="1"/>
    <col min="7" max="7" width="9.88671875" style="117" customWidth="1"/>
    <col min="8" max="8" width="11.33203125" style="117" customWidth="1"/>
    <col min="9" max="9" width="2.6640625" style="117" customWidth="1"/>
    <col min="10" max="10" width="11.44140625" style="117" customWidth="1"/>
    <col min="11" max="11" width="9.88671875" style="117" customWidth="1"/>
    <col min="12" max="12" width="10.6640625" style="117" customWidth="1"/>
    <col min="13" max="13" width="9.88671875" style="117" customWidth="1"/>
    <col min="14" max="14" width="10.44140625" style="117" customWidth="1"/>
    <col min="15" max="16" width="9.88671875" style="117" customWidth="1"/>
    <col min="17" max="17" width="11.21875" style="117" customWidth="1"/>
    <col min="18" max="18" width="3" style="117" customWidth="1"/>
    <col min="19" max="19" width="11.44140625" style="117" customWidth="1"/>
    <col min="20" max="20" width="10.5546875" style="117" customWidth="1"/>
    <col min="21" max="21" width="10.88671875" style="117" customWidth="1"/>
    <col min="22" max="22" width="11.5546875" style="117" customWidth="1"/>
    <col min="23" max="23" width="11.21875" style="117" customWidth="1"/>
    <col min="24" max="24" width="11" style="117" customWidth="1"/>
    <col min="25" max="25" width="9.88671875" style="117" customWidth="1"/>
    <col min="26" max="26" width="11.6640625" style="117" customWidth="1"/>
    <col min="27" max="16384" width="8.88671875" style="117"/>
  </cols>
  <sheetData>
    <row r="1" spans="1:26" s="269" customFormat="1" ht="20.25">
      <c r="A1" s="266" t="s">
        <v>3029</v>
      </c>
      <c r="B1" s="267"/>
      <c r="C1" s="268"/>
      <c r="D1" s="268"/>
      <c r="E1" s="268"/>
      <c r="F1" s="268"/>
      <c r="G1" s="268"/>
      <c r="H1" s="268"/>
      <c r="J1" s="270" t="str">
        <f>A1</f>
        <v>Peru Municipal's</v>
      </c>
      <c r="K1" s="271"/>
      <c r="L1" s="271"/>
      <c r="M1" s="271"/>
      <c r="N1" s="271"/>
      <c r="O1" s="271"/>
      <c r="P1" s="271"/>
      <c r="Q1" s="271"/>
      <c r="S1" s="266" t="str">
        <f>A1</f>
        <v>Peru Municipal's</v>
      </c>
      <c r="T1" s="267"/>
      <c r="U1" s="268"/>
      <c r="V1" s="268"/>
      <c r="W1" s="268"/>
      <c r="X1" s="268"/>
      <c r="Y1" s="268"/>
      <c r="Z1" s="268"/>
    </row>
    <row r="2" spans="1:26" s="269" customFormat="1" ht="15">
      <c r="A2" s="272" t="s">
        <v>3030</v>
      </c>
      <c r="B2" s="267"/>
      <c r="C2" s="268"/>
      <c r="D2" s="268"/>
      <c r="E2" s="268"/>
      <c r="F2" s="268"/>
      <c r="G2" s="268"/>
      <c r="H2" s="268"/>
      <c r="J2" s="273" t="s">
        <v>3030</v>
      </c>
      <c r="K2" s="271"/>
      <c r="L2" s="271"/>
      <c r="M2" s="271"/>
      <c r="N2" s="271"/>
      <c r="O2" s="271"/>
      <c r="P2" s="271"/>
      <c r="Q2" s="271"/>
      <c r="S2" s="272" t="s">
        <v>3030</v>
      </c>
      <c r="T2" s="267"/>
      <c r="U2" s="268"/>
      <c r="V2" s="268"/>
      <c r="W2" s="268"/>
      <c r="X2" s="268"/>
      <c r="Y2" s="268"/>
      <c r="Z2" s="268"/>
    </row>
    <row r="3" spans="1:26" s="269" customFormat="1">
      <c r="A3" s="274"/>
      <c r="B3" s="274"/>
      <c r="J3" s="275" t="s">
        <v>3031</v>
      </c>
      <c r="K3" s="276"/>
      <c r="L3" s="276"/>
      <c r="M3" s="276"/>
      <c r="N3" s="276"/>
      <c r="O3" s="276"/>
      <c r="P3" s="276"/>
      <c r="Q3" s="276"/>
      <c r="S3" s="274"/>
      <c r="T3" s="274"/>
    </row>
    <row r="4" spans="1:26" s="269" customFormat="1">
      <c r="A4" s="274"/>
      <c r="B4" s="274"/>
      <c r="J4" s="276"/>
      <c r="K4" s="276"/>
      <c r="L4" s="276"/>
      <c r="M4" s="276"/>
      <c r="N4" s="276"/>
      <c r="O4" s="276"/>
      <c r="P4" s="276"/>
      <c r="Q4" s="276"/>
      <c r="S4" s="274"/>
      <c r="T4" s="274"/>
    </row>
    <row r="5" spans="1:26" s="269" customFormat="1" ht="13.5" thickBot="1">
      <c r="A5" s="277"/>
      <c r="B5" s="278" t="s">
        <v>3414</v>
      </c>
      <c r="C5" s="279"/>
      <c r="D5" s="279"/>
      <c r="E5" s="279"/>
      <c r="F5" s="279"/>
      <c r="G5" s="279"/>
      <c r="J5" s="280"/>
      <c r="K5" s="281" t="str">
        <f>CONCATENATE(LEFT(B5,4)," Additions and Deletions By FERC Account By Vintage Year")</f>
        <v>2017 Additions and Deletions By FERC Account By Vintage Year</v>
      </c>
      <c r="L5" s="281"/>
      <c r="M5" s="281"/>
      <c r="N5" s="281"/>
      <c r="O5" s="281"/>
      <c r="P5" s="281"/>
      <c r="Q5" s="276"/>
      <c r="S5" s="277"/>
      <c r="T5" s="279" t="str">
        <f>CONCATENATE(LEFT(B5,4)," Ending Balance By FERC Account By Vintage Year")</f>
        <v>2017 Ending Balance By FERC Account By Vintage Year</v>
      </c>
      <c r="U5" s="279"/>
      <c r="V5" s="279"/>
      <c r="W5" s="279"/>
      <c r="X5" s="279"/>
      <c r="Y5" s="279"/>
    </row>
    <row r="6" spans="1:26" s="269" customFormat="1" ht="15">
      <c r="A6" s="282" t="s">
        <v>3032</v>
      </c>
      <c r="B6" s="283" t="s">
        <v>3033</v>
      </c>
      <c r="C6" s="283" t="s">
        <v>3034</v>
      </c>
      <c r="D6" s="283" t="s">
        <v>3035</v>
      </c>
      <c r="E6" s="283" t="s">
        <v>3036</v>
      </c>
      <c r="F6" s="283" t="s">
        <v>3037</v>
      </c>
      <c r="G6" s="283" t="s">
        <v>3038</v>
      </c>
      <c r="H6" s="282" t="s">
        <v>9</v>
      </c>
      <c r="J6" s="284" t="s">
        <v>3032</v>
      </c>
      <c r="K6" s="285" t="s">
        <v>3033</v>
      </c>
      <c r="L6" s="285" t="s">
        <v>3034</v>
      </c>
      <c r="M6" s="285" t="s">
        <v>3035</v>
      </c>
      <c r="N6" s="285" t="s">
        <v>3036</v>
      </c>
      <c r="O6" s="285" t="s">
        <v>3037</v>
      </c>
      <c r="P6" s="285" t="s">
        <v>3038</v>
      </c>
      <c r="Q6" s="284" t="s">
        <v>9</v>
      </c>
      <c r="S6" s="282" t="s">
        <v>3032</v>
      </c>
      <c r="T6" s="283" t="s">
        <v>3033</v>
      </c>
      <c r="U6" s="283" t="s">
        <v>3034</v>
      </c>
      <c r="V6" s="283" t="s">
        <v>3035</v>
      </c>
      <c r="W6" s="283" t="s">
        <v>3036</v>
      </c>
      <c r="X6" s="283" t="s">
        <v>3037</v>
      </c>
      <c r="Y6" s="283" t="s">
        <v>3038</v>
      </c>
      <c r="Z6" s="282" t="s">
        <v>9</v>
      </c>
    </row>
    <row r="7" spans="1:26" s="269" customFormat="1">
      <c r="A7" s="286"/>
      <c r="B7" s="287"/>
      <c r="C7" s="287"/>
      <c r="D7" s="287"/>
      <c r="E7" s="287"/>
      <c r="F7" s="287"/>
      <c r="G7" s="287"/>
      <c r="H7" s="287"/>
      <c r="J7" s="288"/>
      <c r="K7" s="289"/>
      <c r="L7" s="289"/>
      <c r="M7" s="289"/>
      <c r="N7" s="289"/>
      <c r="O7" s="289"/>
      <c r="P7" s="289"/>
      <c r="Q7" s="289"/>
      <c r="S7" s="286"/>
      <c r="T7" s="287"/>
      <c r="U7" s="287"/>
      <c r="V7" s="287"/>
      <c r="W7" s="287"/>
      <c r="X7" s="287"/>
      <c r="Y7" s="287"/>
      <c r="Z7" s="287"/>
    </row>
    <row r="8" spans="1:26" s="269" customFormat="1">
      <c r="A8" s="277">
        <v>1962</v>
      </c>
      <c r="B8" s="290">
        <v>0</v>
      </c>
      <c r="C8" s="290">
        <v>0</v>
      </c>
      <c r="D8" s="290">
        <v>0</v>
      </c>
      <c r="E8" s="290">
        <v>146422</v>
      </c>
      <c r="F8" s="290">
        <v>54760</v>
      </c>
      <c r="G8" s="290">
        <v>0</v>
      </c>
      <c r="H8" s="291">
        <f t="shared" ref="H8:H62" si="0">SUM(B8:G8)</f>
        <v>201182</v>
      </c>
      <c r="J8" s="288">
        <v>1962</v>
      </c>
      <c r="K8" s="292">
        <v>0</v>
      </c>
      <c r="L8" s="292">
        <v>0</v>
      </c>
      <c r="M8" s="292">
        <v>0</v>
      </c>
      <c r="N8" s="292">
        <v>0</v>
      </c>
      <c r="O8" s="292">
        <v>0</v>
      </c>
      <c r="P8" s="292">
        <v>0</v>
      </c>
      <c r="Q8" s="293">
        <f t="shared" ref="Q8:Q57" si="1">SUM(K8:P8)</f>
        <v>0</v>
      </c>
      <c r="S8" s="277">
        <v>1962</v>
      </c>
      <c r="T8" s="294">
        <f t="shared" ref="T8:Y23" si="2">B8+K8</f>
        <v>0</v>
      </c>
      <c r="U8" s="294">
        <f t="shared" si="2"/>
        <v>0</v>
      </c>
      <c r="V8" s="294">
        <f t="shared" si="2"/>
        <v>0</v>
      </c>
      <c r="W8" s="294">
        <f t="shared" si="2"/>
        <v>146422</v>
      </c>
      <c r="X8" s="294">
        <f t="shared" si="2"/>
        <v>54760</v>
      </c>
      <c r="Y8" s="294">
        <f t="shared" si="2"/>
        <v>0</v>
      </c>
      <c r="Z8" s="291">
        <f t="shared" ref="Z8:Z58" si="3">SUM(T8:Y8)</f>
        <v>201182</v>
      </c>
    </row>
    <row r="9" spans="1:26" s="269" customFormat="1">
      <c r="A9" s="277">
        <v>1963</v>
      </c>
      <c r="B9" s="290">
        <v>0</v>
      </c>
      <c r="C9" s="290">
        <v>0</v>
      </c>
      <c r="D9" s="290">
        <v>0</v>
      </c>
      <c r="E9" s="290">
        <v>11563</v>
      </c>
      <c r="F9" s="290">
        <v>11155</v>
      </c>
      <c r="G9" s="290">
        <v>0</v>
      </c>
      <c r="H9" s="291">
        <f t="shared" si="0"/>
        <v>22718</v>
      </c>
      <c r="J9" s="288">
        <v>1963</v>
      </c>
      <c r="K9" s="295">
        <v>0</v>
      </c>
      <c r="L9" s="295">
        <v>0</v>
      </c>
      <c r="M9" s="295">
        <v>0</v>
      </c>
      <c r="N9" s="295">
        <v>0</v>
      </c>
      <c r="O9" s="295">
        <v>0</v>
      </c>
      <c r="P9" s="295">
        <v>0</v>
      </c>
      <c r="Q9" s="293">
        <f t="shared" si="1"/>
        <v>0</v>
      </c>
      <c r="S9" s="277">
        <v>1963</v>
      </c>
      <c r="T9" s="294">
        <f t="shared" si="2"/>
        <v>0</v>
      </c>
      <c r="U9" s="294">
        <f t="shared" si="2"/>
        <v>0</v>
      </c>
      <c r="V9" s="294">
        <f t="shared" si="2"/>
        <v>0</v>
      </c>
      <c r="W9" s="294">
        <f t="shared" si="2"/>
        <v>11563</v>
      </c>
      <c r="X9" s="294">
        <f t="shared" si="2"/>
        <v>11155</v>
      </c>
      <c r="Y9" s="294">
        <f t="shared" si="2"/>
        <v>0</v>
      </c>
      <c r="Z9" s="291">
        <f t="shared" si="3"/>
        <v>22718</v>
      </c>
    </row>
    <row r="10" spans="1:26" s="269" customFormat="1">
      <c r="A10" s="277">
        <v>1964</v>
      </c>
      <c r="B10" s="290">
        <v>0</v>
      </c>
      <c r="C10" s="290">
        <v>0</v>
      </c>
      <c r="D10" s="290">
        <v>0</v>
      </c>
      <c r="E10" s="290">
        <v>2322</v>
      </c>
      <c r="F10" s="290">
        <v>3099</v>
      </c>
      <c r="G10" s="290">
        <v>0</v>
      </c>
      <c r="H10" s="291">
        <f t="shared" si="0"/>
        <v>5421</v>
      </c>
      <c r="J10" s="288">
        <v>1964</v>
      </c>
      <c r="K10" s="295">
        <v>0</v>
      </c>
      <c r="L10" s="295">
        <v>0</v>
      </c>
      <c r="M10" s="295">
        <v>0</v>
      </c>
      <c r="N10" s="295">
        <v>0</v>
      </c>
      <c r="O10" s="295">
        <v>0</v>
      </c>
      <c r="P10" s="295">
        <v>0</v>
      </c>
      <c r="Q10" s="293">
        <f t="shared" si="1"/>
        <v>0</v>
      </c>
      <c r="S10" s="277">
        <v>1964</v>
      </c>
      <c r="T10" s="294">
        <f t="shared" si="2"/>
        <v>0</v>
      </c>
      <c r="U10" s="294">
        <f t="shared" si="2"/>
        <v>0</v>
      </c>
      <c r="V10" s="294">
        <f t="shared" si="2"/>
        <v>0</v>
      </c>
      <c r="W10" s="294">
        <f t="shared" si="2"/>
        <v>2322</v>
      </c>
      <c r="X10" s="294">
        <f t="shared" si="2"/>
        <v>3099</v>
      </c>
      <c r="Y10" s="294">
        <f t="shared" si="2"/>
        <v>0</v>
      </c>
      <c r="Z10" s="291">
        <f t="shared" si="3"/>
        <v>5421</v>
      </c>
    </row>
    <row r="11" spans="1:26" s="269" customFormat="1">
      <c r="A11" s="277">
        <v>1965</v>
      </c>
      <c r="B11" s="290">
        <v>0</v>
      </c>
      <c r="C11" s="290">
        <v>0</v>
      </c>
      <c r="D11" s="290">
        <v>0</v>
      </c>
      <c r="E11" s="290">
        <v>2267</v>
      </c>
      <c r="F11" s="290">
        <v>3227</v>
      </c>
      <c r="G11" s="290">
        <v>0</v>
      </c>
      <c r="H11" s="291">
        <f t="shared" si="0"/>
        <v>5494</v>
      </c>
      <c r="J11" s="288">
        <v>1965</v>
      </c>
      <c r="K11" s="295">
        <v>0</v>
      </c>
      <c r="L11" s="295">
        <v>0</v>
      </c>
      <c r="M11" s="295">
        <v>0</v>
      </c>
      <c r="N11" s="295">
        <v>0</v>
      </c>
      <c r="O11" s="295">
        <v>0</v>
      </c>
      <c r="P11" s="295">
        <v>0</v>
      </c>
      <c r="Q11" s="293">
        <f t="shared" si="1"/>
        <v>0</v>
      </c>
      <c r="S11" s="277">
        <v>1965</v>
      </c>
      <c r="T11" s="294">
        <f t="shared" si="2"/>
        <v>0</v>
      </c>
      <c r="U11" s="294">
        <f t="shared" si="2"/>
        <v>0</v>
      </c>
      <c r="V11" s="294">
        <f t="shared" si="2"/>
        <v>0</v>
      </c>
      <c r="W11" s="294">
        <f t="shared" si="2"/>
        <v>2267</v>
      </c>
      <c r="X11" s="294">
        <f t="shared" si="2"/>
        <v>3227</v>
      </c>
      <c r="Y11" s="294">
        <f t="shared" si="2"/>
        <v>0</v>
      </c>
      <c r="Z11" s="291">
        <f t="shared" si="3"/>
        <v>5494</v>
      </c>
    </row>
    <row r="12" spans="1:26" s="269" customFormat="1">
      <c r="A12" s="277">
        <v>1966</v>
      </c>
      <c r="B12" s="290">
        <v>0</v>
      </c>
      <c r="C12" s="290">
        <v>0</v>
      </c>
      <c r="D12" s="290">
        <v>0</v>
      </c>
      <c r="E12" s="290">
        <v>3821</v>
      </c>
      <c r="F12" s="290">
        <v>9239</v>
      </c>
      <c r="G12" s="290">
        <v>0</v>
      </c>
      <c r="H12" s="291">
        <f t="shared" si="0"/>
        <v>13060</v>
      </c>
      <c r="J12" s="288">
        <v>1966</v>
      </c>
      <c r="K12" s="295">
        <v>0</v>
      </c>
      <c r="L12" s="295">
        <v>0</v>
      </c>
      <c r="M12" s="295">
        <v>0</v>
      </c>
      <c r="N12" s="295">
        <v>0</v>
      </c>
      <c r="O12" s="295">
        <v>0</v>
      </c>
      <c r="P12" s="295">
        <v>0</v>
      </c>
      <c r="Q12" s="293">
        <f t="shared" si="1"/>
        <v>0</v>
      </c>
      <c r="S12" s="277">
        <v>1966</v>
      </c>
      <c r="T12" s="294">
        <f t="shared" si="2"/>
        <v>0</v>
      </c>
      <c r="U12" s="294">
        <f t="shared" si="2"/>
        <v>0</v>
      </c>
      <c r="V12" s="294">
        <f t="shared" si="2"/>
        <v>0</v>
      </c>
      <c r="W12" s="294">
        <f t="shared" si="2"/>
        <v>3821</v>
      </c>
      <c r="X12" s="294">
        <f t="shared" si="2"/>
        <v>9239</v>
      </c>
      <c r="Y12" s="294">
        <f t="shared" si="2"/>
        <v>0</v>
      </c>
      <c r="Z12" s="291">
        <f t="shared" si="3"/>
        <v>13060</v>
      </c>
    </row>
    <row r="13" spans="1:26" s="269" customFormat="1">
      <c r="A13" s="277">
        <v>1967</v>
      </c>
      <c r="B13" s="290">
        <v>0</v>
      </c>
      <c r="C13" s="290">
        <v>0</v>
      </c>
      <c r="D13" s="290">
        <v>0</v>
      </c>
      <c r="E13" s="290">
        <v>9769</v>
      </c>
      <c r="F13" s="290">
        <v>13360</v>
      </c>
      <c r="G13" s="290">
        <v>0</v>
      </c>
      <c r="H13" s="291">
        <f t="shared" si="0"/>
        <v>23129</v>
      </c>
      <c r="J13" s="288">
        <v>1967</v>
      </c>
      <c r="K13" s="295">
        <v>0</v>
      </c>
      <c r="L13" s="295">
        <v>0</v>
      </c>
      <c r="M13" s="295">
        <v>0</v>
      </c>
      <c r="N13" s="295">
        <v>0</v>
      </c>
      <c r="O13" s="295">
        <v>0</v>
      </c>
      <c r="P13" s="295">
        <v>0</v>
      </c>
      <c r="Q13" s="293">
        <f t="shared" si="1"/>
        <v>0</v>
      </c>
      <c r="S13" s="277">
        <v>1967</v>
      </c>
      <c r="T13" s="294">
        <f t="shared" si="2"/>
        <v>0</v>
      </c>
      <c r="U13" s="294">
        <f t="shared" si="2"/>
        <v>0</v>
      </c>
      <c r="V13" s="294">
        <f t="shared" si="2"/>
        <v>0</v>
      </c>
      <c r="W13" s="294">
        <f t="shared" si="2"/>
        <v>9769</v>
      </c>
      <c r="X13" s="294">
        <f t="shared" si="2"/>
        <v>13360</v>
      </c>
      <c r="Y13" s="294">
        <f t="shared" si="2"/>
        <v>0</v>
      </c>
      <c r="Z13" s="291">
        <f t="shared" si="3"/>
        <v>23129</v>
      </c>
    </row>
    <row r="14" spans="1:26" s="269" customFormat="1">
      <c r="A14" s="277">
        <v>1968</v>
      </c>
      <c r="B14" s="290">
        <v>0</v>
      </c>
      <c r="C14" s="290">
        <v>0</v>
      </c>
      <c r="D14" s="290">
        <v>262451</v>
      </c>
      <c r="E14" s="290">
        <v>34192.81</v>
      </c>
      <c r="F14" s="290">
        <v>1667</v>
      </c>
      <c r="G14" s="290">
        <v>0</v>
      </c>
      <c r="H14" s="291">
        <f t="shared" si="0"/>
        <v>298310.81</v>
      </c>
      <c r="J14" s="288">
        <v>1968</v>
      </c>
      <c r="K14" s="295">
        <v>0</v>
      </c>
      <c r="L14" s="295">
        <v>0</v>
      </c>
      <c r="M14" s="295">
        <v>0</v>
      </c>
      <c r="N14" s="295">
        <v>0</v>
      </c>
      <c r="O14" s="295">
        <v>0</v>
      </c>
      <c r="P14" s="295">
        <v>0</v>
      </c>
      <c r="Q14" s="293">
        <f t="shared" si="1"/>
        <v>0</v>
      </c>
      <c r="S14" s="277">
        <v>1968</v>
      </c>
      <c r="T14" s="294">
        <f t="shared" si="2"/>
        <v>0</v>
      </c>
      <c r="U14" s="294">
        <f t="shared" si="2"/>
        <v>0</v>
      </c>
      <c r="V14" s="294">
        <f t="shared" si="2"/>
        <v>262451</v>
      </c>
      <c r="W14" s="294">
        <f t="shared" si="2"/>
        <v>34192.81</v>
      </c>
      <c r="X14" s="294">
        <f t="shared" si="2"/>
        <v>1667</v>
      </c>
      <c r="Y14" s="294">
        <f t="shared" si="2"/>
        <v>0</v>
      </c>
      <c r="Z14" s="291">
        <f t="shared" si="3"/>
        <v>298310.81</v>
      </c>
    </row>
    <row r="15" spans="1:26" s="269" customFormat="1">
      <c r="A15" s="277">
        <v>1969</v>
      </c>
      <c r="B15" s="290">
        <v>0</v>
      </c>
      <c r="C15" s="290">
        <v>0</v>
      </c>
      <c r="D15" s="290">
        <v>0</v>
      </c>
      <c r="E15" s="290">
        <v>1836</v>
      </c>
      <c r="F15" s="290">
        <v>1877</v>
      </c>
      <c r="G15" s="290">
        <v>0</v>
      </c>
      <c r="H15" s="291">
        <f t="shared" si="0"/>
        <v>3713</v>
      </c>
      <c r="J15" s="288">
        <v>1969</v>
      </c>
      <c r="K15" s="295">
        <v>0</v>
      </c>
      <c r="L15" s="295">
        <v>0</v>
      </c>
      <c r="M15" s="295">
        <v>0</v>
      </c>
      <c r="N15" s="295">
        <v>0</v>
      </c>
      <c r="O15" s="295">
        <v>0</v>
      </c>
      <c r="P15" s="295">
        <v>0</v>
      </c>
      <c r="Q15" s="293">
        <f t="shared" si="1"/>
        <v>0</v>
      </c>
      <c r="S15" s="277">
        <v>1969</v>
      </c>
      <c r="T15" s="294">
        <f t="shared" si="2"/>
        <v>0</v>
      </c>
      <c r="U15" s="294">
        <f t="shared" si="2"/>
        <v>0</v>
      </c>
      <c r="V15" s="294">
        <f t="shared" si="2"/>
        <v>0</v>
      </c>
      <c r="W15" s="294">
        <f t="shared" si="2"/>
        <v>1836</v>
      </c>
      <c r="X15" s="294">
        <f t="shared" si="2"/>
        <v>1877</v>
      </c>
      <c r="Y15" s="294">
        <f t="shared" si="2"/>
        <v>0</v>
      </c>
      <c r="Z15" s="291">
        <f t="shared" si="3"/>
        <v>3713</v>
      </c>
    </row>
    <row r="16" spans="1:26" s="269" customFormat="1">
      <c r="A16" s="277">
        <v>1970</v>
      </c>
      <c r="B16" s="290">
        <v>0</v>
      </c>
      <c r="C16" s="290">
        <v>0</v>
      </c>
      <c r="D16" s="290">
        <v>0</v>
      </c>
      <c r="E16" s="290">
        <v>830</v>
      </c>
      <c r="F16" s="290">
        <v>11100</v>
      </c>
      <c r="G16" s="290">
        <v>0</v>
      </c>
      <c r="H16" s="291">
        <f t="shared" si="0"/>
        <v>11930</v>
      </c>
      <c r="J16" s="288">
        <v>1970</v>
      </c>
      <c r="K16" s="295">
        <v>0</v>
      </c>
      <c r="L16" s="295">
        <v>0</v>
      </c>
      <c r="M16" s="295">
        <v>0</v>
      </c>
      <c r="N16" s="295">
        <v>0</v>
      </c>
      <c r="O16" s="295">
        <v>0</v>
      </c>
      <c r="P16" s="295">
        <v>0</v>
      </c>
      <c r="Q16" s="293">
        <f t="shared" si="1"/>
        <v>0</v>
      </c>
      <c r="S16" s="277">
        <v>1970</v>
      </c>
      <c r="T16" s="294">
        <f t="shared" si="2"/>
        <v>0</v>
      </c>
      <c r="U16" s="294">
        <f t="shared" si="2"/>
        <v>0</v>
      </c>
      <c r="V16" s="294">
        <f t="shared" si="2"/>
        <v>0</v>
      </c>
      <c r="W16" s="294">
        <f t="shared" si="2"/>
        <v>830</v>
      </c>
      <c r="X16" s="294">
        <f t="shared" si="2"/>
        <v>11100</v>
      </c>
      <c r="Y16" s="294">
        <f t="shared" si="2"/>
        <v>0</v>
      </c>
      <c r="Z16" s="291">
        <f t="shared" si="3"/>
        <v>11930</v>
      </c>
    </row>
    <row r="17" spans="1:26" s="269" customFormat="1">
      <c r="A17" s="277">
        <v>1971</v>
      </c>
      <c r="B17" s="290">
        <v>0</v>
      </c>
      <c r="C17" s="290">
        <v>0</v>
      </c>
      <c r="D17" s="290">
        <v>0</v>
      </c>
      <c r="E17" s="290">
        <v>148</v>
      </c>
      <c r="F17" s="290">
        <v>7044</v>
      </c>
      <c r="G17" s="290">
        <v>0</v>
      </c>
      <c r="H17" s="291">
        <f t="shared" si="0"/>
        <v>7192</v>
      </c>
      <c r="J17" s="288">
        <v>1971</v>
      </c>
      <c r="K17" s="295">
        <v>0</v>
      </c>
      <c r="L17" s="295">
        <v>0</v>
      </c>
      <c r="M17" s="295">
        <v>0</v>
      </c>
      <c r="N17" s="295">
        <v>0</v>
      </c>
      <c r="O17" s="295">
        <v>0</v>
      </c>
      <c r="P17" s="295">
        <v>0</v>
      </c>
      <c r="Q17" s="293">
        <f t="shared" si="1"/>
        <v>0</v>
      </c>
      <c r="S17" s="277">
        <v>1971</v>
      </c>
      <c r="T17" s="294">
        <f t="shared" si="2"/>
        <v>0</v>
      </c>
      <c r="U17" s="294">
        <f t="shared" si="2"/>
        <v>0</v>
      </c>
      <c r="V17" s="294">
        <f t="shared" si="2"/>
        <v>0</v>
      </c>
      <c r="W17" s="294">
        <f t="shared" si="2"/>
        <v>148</v>
      </c>
      <c r="X17" s="294">
        <f t="shared" si="2"/>
        <v>7044</v>
      </c>
      <c r="Y17" s="294">
        <f t="shared" si="2"/>
        <v>0</v>
      </c>
      <c r="Z17" s="291">
        <f t="shared" si="3"/>
        <v>7192</v>
      </c>
    </row>
    <row r="18" spans="1:26" s="269" customFormat="1">
      <c r="A18" s="277">
        <v>1972</v>
      </c>
      <c r="B18" s="290">
        <v>0</v>
      </c>
      <c r="C18" s="290">
        <v>0</v>
      </c>
      <c r="D18" s="290">
        <v>37788</v>
      </c>
      <c r="E18" s="290">
        <v>0</v>
      </c>
      <c r="F18" s="290">
        <v>166</v>
      </c>
      <c r="G18" s="290">
        <v>0</v>
      </c>
      <c r="H18" s="291">
        <f t="shared" si="0"/>
        <v>37954</v>
      </c>
      <c r="J18" s="288">
        <v>1972</v>
      </c>
      <c r="K18" s="295">
        <v>0</v>
      </c>
      <c r="L18" s="295">
        <v>0</v>
      </c>
      <c r="M18" s="295">
        <v>0</v>
      </c>
      <c r="N18" s="295">
        <v>0</v>
      </c>
      <c r="O18" s="295">
        <v>0</v>
      </c>
      <c r="P18" s="295">
        <v>0</v>
      </c>
      <c r="Q18" s="293">
        <f t="shared" si="1"/>
        <v>0</v>
      </c>
      <c r="S18" s="277">
        <v>1972</v>
      </c>
      <c r="T18" s="294">
        <f t="shared" si="2"/>
        <v>0</v>
      </c>
      <c r="U18" s="294">
        <f t="shared" si="2"/>
        <v>0</v>
      </c>
      <c r="V18" s="294">
        <f t="shared" si="2"/>
        <v>37788</v>
      </c>
      <c r="W18" s="294">
        <f t="shared" si="2"/>
        <v>0</v>
      </c>
      <c r="X18" s="294">
        <f t="shared" si="2"/>
        <v>166</v>
      </c>
      <c r="Y18" s="294">
        <f t="shared" si="2"/>
        <v>0</v>
      </c>
      <c r="Z18" s="291">
        <f t="shared" si="3"/>
        <v>37954</v>
      </c>
    </row>
    <row r="19" spans="1:26" s="269" customFormat="1">
      <c r="A19" s="277">
        <v>1973</v>
      </c>
      <c r="B19" s="290">
        <v>0</v>
      </c>
      <c r="C19" s="290">
        <v>0</v>
      </c>
      <c r="D19" s="290">
        <v>0</v>
      </c>
      <c r="E19" s="290">
        <v>515</v>
      </c>
      <c r="F19" s="290">
        <v>5060</v>
      </c>
      <c r="G19" s="290">
        <v>0</v>
      </c>
      <c r="H19" s="291">
        <f t="shared" si="0"/>
        <v>5575</v>
      </c>
      <c r="J19" s="288">
        <v>1973</v>
      </c>
      <c r="K19" s="295">
        <v>0</v>
      </c>
      <c r="L19" s="295">
        <v>0</v>
      </c>
      <c r="M19" s="295">
        <v>0</v>
      </c>
      <c r="N19" s="295">
        <v>0</v>
      </c>
      <c r="O19" s="295">
        <v>0</v>
      </c>
      <c r="P19" s="295">
        <v>0</v>
      </c>
      <c r="Q19" s="293">
        <f t="shared" si="1"/>
        <v>0</v>
      </c>
      <c r="S19" s="277">
        <v>1973</v>
      </c>
      <c r="T19" s="294">
        <f t="shared" si="2"/>
        <v>0</v>
      </c>
      <c r="U19" s="294">
        <f t="shared" si="2"/>
        <v>0</v>
      </c>
      <c r="V19" s="294">
        <f t="shared" si="2"/>
        <v>0</v>
      </c>
      <c r="W19" s="294">
        <f t="shared" si="2"/>
        <v>515</v>
      </c>
      <c r="X19" s="294">
        <f t="shared" si="2"/>
        <v>5060</v>
      </c>
      <c r="Y19" s="294">
        <f t="shared" si="2"/>
        <v>0</v>
      </c>
      <c r="Z19" s="291">
        <f t="shared" si="3"/>
        <v>5575</v>
      </c>
    </row>
    <row r="20" spans="1:26" s="269" customFormat="1">
      <c r="A20" s="277">
        <v>1974</v>
      </c>
      <c r="B20" s="290">
        <v>83</v>
      </c>
      <c r="C20" s="290">
        <v>0</v>
      </c>
      <c r="D20" s="290">
        <v>0</v>
      </c>
      <c r="E20" s="290">
        <v>1032</v>
      </c>
      <c r="F20" s="290">
        <v>8357</v>
      </c>
      <c r="G20" s="290">
        <v>0</v>
      </c>
      <c r="H20" s="291">
        <f t="shared" si="0"/>
        <v>9472</v>
      </c>
      <c r="J20" s="288">
        <v>1974</v>
      </c>
      <c r="K20" s="295">
        <v>0</v>
      </c>
      <c r="L20" s="295">
        <v>0</v>
      </c>
      <c r="M20" s="295">
        <v>0</v>
      </c>
      <c r="N20" s="295">
        <v>0</v>
      </c>
      <c r="O20" s="295">
        <v>0</v>
      </c>
      <c r="P20" s="295">
        <v>0</v>
      </c>
      <c r="Q20" s="293">
        <f t="shared" si="1"/>
        <v>0</v>
      </c>
      <c r="S20" s="277">
        <v>1974</v>
      </c>
      <c r="T20" s="294">
        <f t="shared" si="2"/>
        <v>83</v>
      </c>
      <c r="U20" s="294">
        <f t="shared" si="2"/>
        <v>0</v>
      </c>
      <c r="V20" s="294">
        <f t="shared" si="2"/>
        <v>0</v>
      </c>
      <c r="W20" s="294">
        <f t="shared" si="2"/>
        <v>1032</v>
      </c>
      <c r="X20" s="294">
        <f t="shared" si="2"/>
        <v>8357</v>
      </c>
      <c r="Y20" s="294">
        <f t="shared" si="2"/>
        <v>0</v>
      </c>
      <c r="Z20" s="291">
        <f t="shared" si="3"/>
        <v>9472</v>
      </c>
    </row>
    <row r="21" spans="1:26" s="269" customFormat="1">
      <c r="A21" s="277">
        <v>1975</v>
      </c>
      <c r="B21" s="290">
        <v>450</v>
      </c>
      <c r="C21" s="290">
        <v>0</v>
      </c>
      <c r="D21" s="290">
        <v>0</v>
      </c>
      <c r="E21" s="290">
        <v>100252</v>
      </c>
      <c r="F21" s="290">
        <v>1275</v>
      </c>
      <c r="G21" s="290">
        <v>0</v>
      </c>
      <c r="H21" s="291">
        <f t="shared" si="0"/>
        <v>101977</v>
      </c>
      <c r="J21" s="288">
        <v>1975</v>
      </c>
      <c r="K21" s="295">
        <v>0</v>
      </c>
      <c r="L21" s="295">
        <v>0</v>
      </c>
      <c r="M21" s="295">
        <v>0</v>
      </c>
      <c r="N21" s="295">
        <v>0</v>
      </c>
      <c r="O21" s="295">
        <v>0</v>
      </c>
      <c r="P21" s="295">
        <v>0</v>
      </c>
      <c r="Q21" s="293">
        <f t="shared" si="1"/>
        <v>0</v>
      </c>
      <c r="S21" s="277">
        <v>1975</v>
      </c>
      <c r="T21" s="294">
        <f t="shared" si="2"/>
        <v>450</v>
      </c>
      <c r="U21" s="294">
        <f t="shared" si="2"/>
        <v>0</v>
      </c>
      <c r="V21" s="294">
        <f t="shared" si="2"/>
        <v>0</v>
      </c>
      <c r="W21" s="294">
        <f t="shared" si="2"/>
        <v>100252</v>
      </c>
      <c r="X21" s="294">
        <f t="shared" si="2"/>
        <v>1275</v>
      </c>
      <c r="Y21" s="294">
        <f t="shared" si="2"/>
        <v>0</v>
      </c>
      <c r="Z21" s="291">
        <f t="shared" si="3"/>
        <v>101977</v>
      </c>
    </row>
    <row r="22" spans="1:26" s="269" customFormat="1">
      <c r="A22" s="277">
        <v>1976</v>
      </c>
      <c r="B22" s="290">
        <v>0</v>
      </c>
      <c r="C22" s="290">
        <v>0</v>
      </c>
      <c r="D22" s="290">
        <v>807847</v>
      </c>
      <c r="E22" s="290">
        <v>12023</v>
      </c>
      <c r="F22" s="290">
        <v>1683</v>
      </c>
      <c r="G22" s="290">
        <v>0</v>
      </c>
      <c r="H22" s="291">
        <f t="shared" si="0"/>
        <v>821553</v>
      </c>
      <c r="J22" s="288">
        <v>1976</v>
      </c>
      <c r="K22" s="295">
        <v>0</v>
      </c>
      <c r="L22" s="295">
        <v>0</v>
      </c>
      <c r="M22" s="295">
        <v>0</v>
      </c>
      <c r="N22" s="295">
        <v>0</v>
      </c>
      <c r="O22" s="295">
        <v>0</v>
      </c>
      <c r="P22" s="295">
        <v>0</v>
      </c>
      <c r="Q22" s="293">
        <f t="shared" si="1"/>
        <v>0</v>
      </c>
      <c r="S22" s="277">
        <v>1976</v>
      </c>
      <c r="T22" s="294">
        <f t="shared" si="2"/>
        <v>0</v>
      </c>
      <c r="U22" s="294">
        <f t="shared" si="2"/>
        <v>0</v>
      </c>
      <c r="V22" s="294">
        <f t="shared" si="2"/>
        <v>807847</v>
      </c>
      <c r="W22" s="294">
        <f t="shared" si="2"/>
        <v>12023</v>
      </c>
      <c r="X22" s="294">
        <f t="shared" si="2"/>
        <v>1683</v>
      </c>
      <c r="Y22" s="294">
        <f t="shared" si="2"/>
        <v>0</v>
      </c>
      <c r="Z22" s="291">
        <f t="shared" si="3"/>
        <v>821553</v>
      </c>
    </row>
    <row r="23" spans="1:26" s="269" customFormat="1">
      <c r="A23" s="277">
        <v>1977</v>
      </c>
      <c r="B23" s="290">
        <v>0</v>
      </c>
      <c r="C23" s="290">
        <v>0</v>
      </c>
      <c r="D23" s="290">
        <v>0</v>
      </c>
      <c r="E23" s="290">
        <v>3516</v>
      </c>
      <c r="F23" s="290">
        <v>1085</v>
      </c>
      <c r="G23" s="290">
        <v>0</v>
      </c>
      <c r="H23" s="291">
        <f t="shared" si="0"/>
        <v>4601</v>
      </c>
      <c r="J23" s="288">
        <v>1977</v>
      </c>
      <c r="K23" s="295">
        <v>0</v>
      </c>
      <c r="L23" s="295">
        <v>0</v>
      </c>
      <c r="M23" s="295">
        <v>0</v>
      </c>
      <c r="N23" s="295">
        <v>0</v>
      </c>
      <c r="O23" s="295">
        <v>0</v>
      </c>
      <c r="P23" s="295">
        <v>0</v>
      </c>
      <c r="Q23" s="293">
        <f t="shared" si="1"/>
        <v>0</v>
      </c>
      <c r="S23" s="277">
        <v>1977</v>
      </c>
      <c r="T23" s="294">
        <f t="shared" si="2"/>
        <v>0</v>
      </c>
      <c r="U23" s="294">
        <f t="shared" si="2"/>
        <v>0</v>
      </c>
      <c r="V23" s="294">
        <f t="shared" si="2"/>
        <v>0</v>
      </c>
      <c r="W23" s="294">
        <f t="shared" si="2"/>
        <v>3516</v>
      </c>
      <c r="X23" s="294">
        <f t="shared" si="2"/>
        <v>1085</v>
      </c>
      <c r="Y23" s="294">
        <f t="shared" si="2"/>
        <v>0</v>
      </c>
      <c r="Z23" s="291">
        <f t="shared" si="3"/>
        <v>4601</v>
      </c>
    </row>
    <row r="24" spans="1:26" s="269" customFormat="1">
      <c r="A24" s="277">
        <v>1978</v>
      </c>
      <c r="B24" s="290">
        <v>5546</v>
      </c>
      <c r="C24" s="290">
        <v>0</v>
      </c>
      <c r="D24" s="290">
        <v>0</v>
      </c>
      <c r="E24" s="290">
        <v>150744</v>
      </c>
      <c r="F24" s="290">
        <v>1328</v>
      </c>
      <c r="G24" s="290">
        <v>0</v>
      </c>
      <c r="H24" s="291">
        <f t="shared" si="0"/>
        <v>157618</v>
      </c>
      <c r="J24" s="288">
        <v>1978</v>
      </c>
      <c r="K24" s="295">
        <v>0</v>
      </c>
      <c r="L24" s="295">
        <v>0</v>
      </c>
      <c r="M24" s="295">
        <v>0</v>
      </c>
      <c r="N24" s="295">
        <v>0</v>
      </c>
      <c r="O24" s="295">
        <v>0</v>
      </c>
      <c r="P24" s="295">
        <v>0</v>
      </c>
      <c r="Q24" s="293">
        <f t="shared" si="1"/>
        <v>0</v>
      </c>
      <c r="S24" s="277">
        <v>1978</v>
      </c>
      <c r="T24" s="294">
        <f t="shared" ref="T24:Y57" si="4">B24+K24</f>
        <v>5546</v>
      </c>
      <c r="U24" s="294">
        <f t="shared" si="4"/>
        <v>0</v>
      </c>
      <c r="V24" s="294">
        <f t="shared" si="4"/>
        <v>0</v>
      </c>
      <c r="W24" s="294">
        <f t="shared" si="4"/>
        <v>150744</v>
      </c>
      <c r="X24" s="294">
        <f t="shared" si="4"/>
        <v>1328</v>
      </c>
      <c r="Y24" s="294">
        <f t="shared" si="4"/>
        <v>0</v>
      </c>
      <c r="Z24" s="291">
        <f t="shared" si="3"/>
        <v>157618</v>
      </c>
    </row>
    <row r="25" spans="1:26" s="269" customFormat="1">
      <c r="A25" s="277">
        <v>1979</v>
      </c>
      <c r="B25" s="290">
        <v>4950</v>
      </c>
      <c r="C25" s="290">
        <v>0</v>
      </c>
      <c r="D25" s="290">
        <v>0</v>
      </c>
      <c r="E25" s="290">
        <v>31078</v>
      </c>
      <c r="F25" s="290">
        <v>4144</v>
      </c>
      <c r="G25" s="290">
        <v>0</v>
      </c>
      <c r="H25" s="291">
        <f t="shared" si="0"/>
        <v>40172</v>
      </c>
      <c r="J25" s="288">
        <v>1979</v>
      </c>
      <c r="K25" s="295">
        <v>0</v>
      </c>
      <c r="L25" s="295">
        <v>0</v>
      </c>
      <c r="M25" s="295">
        <v>0</v>
      </c>
      <c r="N25" s="295">
        <v>0</v>
      </c>
      <c r="O25" s="295">
        <v>0</v>
      </c>
      <c r="P25" s="295">
        <v>0</v>
      </c>
      <c r="Q25" s="293">
        <f t="shared" si="1"/>
        <v>0</v>
      </c>
      <c r="S25" s="277">
        <v>1979</v>
      </c>
      <c r="T25" s="294">
        <f t="shared" si="4"/>
        <v>4950</v>
      </c>
      <c r="U25" s="294">
        <f t="shared" si="4"/>
        <v>0</v>
      </c>
      <c r="V25" s="294">
        <f t="shared" si="4"/>
        <v>0</v>
      </c>
      <c r="W25" s="294">
        <f t="shared" si="4"/>
        <v>31078</v>
      </c>
      <c r="X25" s="294">
        <f t="shared" si="4"/>
        <v>4144</v>
      </c>
      <c r="Y25" s="294">
        <f t="shared" si="4"/>
        <v>0</v>
      </c>
      <c r="Z25" s="291">
        <f t="shared" si="3"/>
        <v>40172</v>
      </c>
    </row>
    <row r="26" spans="1:26" s="269" customFormat="1">
      <c r="A26" s="277">
        <v>1980</v>
      </c>
      <c r="B26" s="290">
        <v>0</v>
      </c>
      <c r="C26" s="290">
        <v>0</v>
      </c>
      <c r="D26" s="290">
        <v>0</v>
      </c>
      <c r="E26" s="290">
        <v>3474</v>
      </c>
      <c r="F26" s="290">
        <v>284</v>
      </c>
      <c r="G26" s="290">
        <v>0</v>
      </c>
      <c r="H26" s="291">
        <f t="shared" si="0"/>
        <v>3758</v>
      </c>
      <c r="J26" s="288">
        <v>1980</v>
      </c>
      <c r="K26" s="295">
        <v>0</v>
      </c>
      <c r="L26" s="295">
        <v>0</v>
      </c>
      <c r="M26" s="295">
        <v>0</v>
      </c>
      <c r="N26" s="295">
        <v>0</v>
      </c>
      <c r="O26" s="295">
        <v>0</v>
      </c>
      <c r="P26" s="295">
        <v>0</v>
      </c>
      <c r="Q26" s="293">
        <f t="shared" si="1"/>
        <v>0</v>
      </c>
      <c r="S26" s="277">
        <v>1980</v>
      </c>
      <c r="T26" s="294">
        <f t="shared" si="4"/>
        <v>0</v>
      </c>
      <c r="U26" s="294">
        <f t="shared" si="4"/>
        <v>0</v>
      </c>
      <c r="V26" s="294">
        <f t="shared" si="4"/>
        <v>0</v>
      </c>
      <c r="W26" s="294">
        <f t="shared" si="4"/>
        <v>3474</v>
      </c>
      <c r="X26" s="294">
        <f t="shared" si="4"/>
        <v>284</v>
      </c>
      <c r="Y26" s="294">
        <f t="shared" si="4"/>
        <v>0</v>
      </c>
      <c r="Z26" s="291">
        <f t="shared" si="3"/>
        <v>3758</v>
      </c>
    </row>
    <row r="27" spans="1:26" s="269" customFormat="1">
      <c r="A27" s="277">
        <v>1981</v>
      </c>
      <c r="B27" s="290">
        <v>0</v>
      </c>
      <c r="C27" s="290">
        <v>0</v>
      </c>
      <c r="D27" s="290">
        <v>0</v>
      </c>
      <c r="E27" s="290">
        <v>2936</v>
      </c>
      <c r="F27" s="290">
        <v>391</v>
      </c>
      <c r="G27" s="290">
        <v>0</v>
      </c>
      <c r="H27" s="291">
        <f t="shared" si="0"/>
        <v>3327</v>
      </c>
      <c r="J27" s="288">
        <v>1981</v>
      </c>
      <c r="K27" s="295">
        <v>0</v>
      </c>
      <c r="L27" s="295">
        <v>0</v>
      </c>
      <c r="M27" s="295">
        <v>0</v>
      </c>
      <c r="N27" s="295">
        <v>0</v>
      </c>
      <c r="O27" s="295">
        <v>0</v>
      </c>
      <c r="P27" s="295">
        <v>0</v>
      </c>
      <c r="Q27" s="293">
        <f t="shared" si="1"/>
        <v>0</v>
      </c>
      <c r="S27" s="277">
        <v>1981</v>
      </c>
      <c r="T27" s="294">
        <f t="shared" si="4"/>
        <v>0</v>
      </c>
      <c r="U27" s="294">
        <f t="shared" si="4"/>
        <v>0</v>
      </c>
      <c r="V27" s="294">
        <f t="shared" si="4"/>
        <v>0</v>
      </c>
      <c r="W27" s="294">
        <f t="shared" si="4"/>
        <v>2936</v>
      </c>
      <c r="X27" s="294">
        <f t="shared" si="4"/>
        <v>391</v>
      </c>
      <c r="Y27" s="294">
        <f t="shared" si="4"/>
        <v>0</v>
      </c>
      <c r="Z27" s="291">
        <f t="shared" si="3"/>
        <v>3327</v>
      </c>
    </row>
    <row r="28" spans="1:26" s="269" customFormat="1">
      <c r="A28" s="277">
        <v>1982</v>
      </c>
      <c r="B28" s="290">
        <v>4981</v>
      </c>
      <c r="C28" s="290">
        <v>0</v>
      </c>
      <c r="D28" s="290">
        <v>0</v>
      </c>
      <c r="E28" s="290">
        <v>188158</v>
      </c>
      <c r="F28" s="290">
        <v>172132</v>
      </c>
      <c r="G28" s="290">
        <v>0</v>
      </c>
      <c r="H28" s="291">
        <f t="shared" si="0"/>
        <v>365271</v>
      </c>
      <c r="J28" s="288">
        <v>1982</v>
      </c>
      <c r="K28" s="295">
        <v>0</v>
      </c>
      <c r="L28" s="295">
        <v>0</v>
      </c>
      <c r="M28" s="295">
        <v>0</v>
      </c>
      <c r="N28" s="295">
        <v>0</v>
      </c>
      <c r="O28" s="295">
        <v>0</v>
      </c>
      <c r="P28" s="295">
        <v>0</v>
      </c>
      <c r="Q28" s="293">
        <f t="shared" si="1"/>
        <v>0</v>
      </c>
      <c r="S28" s="277">
        <v>1982</v>
      </c>
      <c r="T28" s="294">
        <f t="shared" si="4"/>
        <v>4981</v>
      </c>
      <c r="U28" s="294">
        <f t="shared" si="4"/>
        <v>0</v>
      </c>
      <c r="V28" s="294">
        <f t="shared" si="4"/>
        <v>0</v>
      </c>
      <c r="W28" s="294">
        <f t="shared" si="4"/>
        <v>188158</v>
      </c>
      <c r="X28" s="294">
        <f t="shared" si="4"/>
        <v>172132</v>
      </c>
      <c r="Y28" s="294">
        <f t="shared" si="4"/>
        <v>0</v>
      </c>
      <c r="Z28" s="291">
        <f t="shared" si="3"/>
        <v>365271</v>
      </c>
    </row>
    <row r="29" spans="1:26" s="269" customFormat="1">
      <c r="A29" s="277">
        <v>1983</v>
      </c>
      <c r="B29" s="290">
        <v>4438</v>
      </c>
      <c r="C29" s="290">
        <v>0</v>
      </c>
      <c r="D29" s="290">
        <v>11839</v>
      </c>
      <c r="E29" s="290">
        <v>70771</v>
      </c>
      <c r="F29" s="290">
        <v>67922</v>
      </c>
      <c r="G29" s="290">
        <v>0</v>
      </c>
      <c r="H29" s="291">
        <f t="shared" si="0"/>
        <v>154970</v>
      </c>
      <c r="J29" s="288">
        <v>1983</v>
      </c>
      <c r="K29" s="295">
        <v>0</v>
      </c>
      <c r="L29" s="295">
        <v>0</v>
      </c>
      <c r="M29" s="295">
        <v>0</v>
      </c>
      <c r="N29" s="295">
        <v>0</v>
      </c>
      <c r="O29" s="295">
        <v>0</v>
      </c>
      <c r="P29" s="295">
        <v>0</v>
      </c>
      <c r="Q29" s="293">
        <f t="shared" si="1"/>
        <v>0</v>
      </c>
      <c r="S29" s="277">
        <v>1983</v>
      </c>
      <c r="T29" s="294">
        <f t="shared" si="4"/>
        <v>4438</v>
      </c>
      <c r="U29" s="294">
        <f t="shared" si="4"/>
        <v>0</v>
      </c>
      <c r="V29" s="294">
        <f t="shared" si="4"/>
        <v>11839</v>
      </c>
      <c r="W29" s="294">
        <f t="shared" si="4"/>
        <v>70771</v>
      </c>
      <c r="X29" s="294">
        <f t="shared" si="4"/>
        <v>67922</v>
      </c>
      <c r="Y29" s="294">
        <f t="shared" si="4"/>
        <v>0</v>
      </c>
      <c r="Z29" s="291">
        <f t="shared" si="3"/>
        <v>154970</v>
      </c>
    </row>
    <row r="30" spans="1:26" s="269" customFormat="1">
      <c r="A30" s="277">
        <v>1984</v>
      </c>
      <c r="B30" s="290">
        <v>0</v>
      </c>
      <c r="C30" s="290">
        <v>0</v>
      </c>
      <c r="D30" s="290">
        <v>0</v>
      </c>
      <c r="E30" s="290">
        <v>42</v>
      </c>
      <c r="F30" s="290">
        <v>22</v>
      </c>
      <c r="G30" s="290">
        <v>0</v>
      </c>
      <c r="H30" s="291">
        <f t="shared" si="0"/>
        <v>64</v>
      </c>
      <c r="J30" s="288">
        <v>1984</v>
      </c>
      <c r="K30" s="295">
        <v>0</v>
      </c>
      <c r="L30" s="295">
        <v>0</v>
      </c>
      <c r="M30" s="295">
        <v>0</v>
      </c>
      <c r="N30" s="295">
        <v>0</v>
      </c>
      <c r="O30" s="295">
        <v>0</v>
      </c>
      <c r="P30" s="295">
        <v>0</v>
      </c>
      <c r="Q30" s="293">
        <f t="shared" si="1"/>
        <v>0</v>
      </c>
      <c r="S30" s="277">
        <v>1984</v>
      </c>
      <c r="T30" s="294">
        <f t="shared" si="4"/>
        <v>0</v>
      </c>
      <c r="U30" s="294">
        <f t="shared" si="4"/>
        <v>0</v>
      </c>
      <c r="V30" s="294">
        <f t="shared" si="4"/>
        <v>0</v>
      </c>
      <c r="W30" s="294">
        <f t="shared" si="4"/>
        <v>42</v>
      </c>
      <c r="X30" s="294">
        <f t="shared" si="4"/>
        <v>22</v>
      </c>
      <c r="Y30" s="294">
        <f t="shared" si="4"/>
        <v>0</v>
      </c>
      <c r="Z30" s="291">
        <f t="shared" si="3"/>
        <v>64</v>
      </c>
    </row>
    <row r="31" spans="1:26" s="269" customFormat="1">
      <c r="A31" s="277">
        <v>1985</v>
      </c>
      <c r="B31" s="290">
        <v>50</v>
      </c>
      <c r="C31" s="290">
        <v>0</v>
      </c>
      <c r="D31" s="290">
        <v>0</v>
      </c>
      <c r="E31" s="290">
        <v>175</v>
      </c>
      <c r="F31" s="290">
        <v>41210</v>
      </c>
      <c r="G31" s="290">
        <v>0</v>
      </c>
      <c r="H31" s="291">
        <f t="shared" si="0"/>
        <v>41435</v>
      </c>
      <c r="J31" s="288">
        <v>1985</v>
      </c>
      <c r="K31" s="295">
        <v>0</v>
      </c>
      <c r="L31" s="295">
        <v>0</v>
      </c>
      <c r="M31" s="295">
        <v>0</v>
      </c>
      <c r="N31" s="295">
        <v>0</v>
      </c>
      <c r="O31" s="295">
        <v>0</v>
      </c>
      <c r="P31" s="295">
        <v>0</v>
      </c>
      <c r="Q31" s="293">
        <f t="shared" si="1"/>
        <v>0</v>
      </c>
      <c r="S31" s="277">
        <v>1985</v>
      </c>
      <c r="T31" s="294">
        <f t="shared" si="4"/>
        <v>50</v>
      </c>
      <c r="U31" s="294">
        <f t="shared" si="4"/>
        <v>0</v>
      </c>
      <c r="V31" s="294">
        <f t="shared" si="4"/>
        <v>0</v>
      </c>
      <c r="W31" s="294">
        <f t="shared" si="4"/>
        <v>175</v>
      </c>
      <c r="X31" s="294">
        <f t="shared" si="4"/>
        <v>41210</v>
      </c>
      <c r="Y31" s="294">
        <f t="shared" si="4"/>
        <v>0</v>
      </c>
      <c r="Z31" s="291">
        <f t="shared" si="3"/>
        <v>41435</v>
      </c>
    </row>
    <row r="32" spans="1:26" s="269" customFormat="1">
      <c r="A32" s="277">
        <v>1986</v>
      </c>
      <c r="B32" s="290">
        <v>0</v>
      </c>
      <c r="C32" s="290">
        <v>0</v>
      </c>
      <c r="D32" s="290">
        <v>0</v>
      </c>
      <c r="E32" s="290">
        <v>0</v>
      </c>
      <c r="F32" s="290">
        <v>0</v>
      </c>
      <c r="G32" s="290">
        <v>0</v>
      </c>
      <c r="H32" s="291">
        <f t="shared" si="0"/>
        <v>0</v>
      </c>
      <c r="J32" s="288">
        <v>1986</v>
      </c>
      <c r="K32" s="295">
        <v>0</v>
      </c>
      <c r="L32" s="295">
        <v>0</v>
      </c>
      <c r="M32" s="295">
        <v>0</v>
      </c>
      <c r="N32" s="295">
        <v>0</v>
      </c>
      <c r="O32" s="295">
        <v>0</v>
      </c>
      <c r="P32" s="295">
        <v>0</v>
      </c>
      <c r="Q32" s="293">
        <f t="shared" si="1"/>
        <v>0</v>
      </c>
      <c r="S32" s="277">
        <v>1986</v>
      </c>
      <c r="T32" s="294">
        <f t="shared" si="4"/>
        <v>0</v>
      </c>
      <c r="U32" s="294">
        <f t="shared" si="4"/>
        <v>0</v>
      </c>
      <c r="V32" s="294">
        <f t="shared" si="4"/>
        <v>0</v>
      </c>
      <c r="W32" s="294">
        <f t="shared" si="4"/>
        <v>0</v>
      </c>
      <c r="X32" s="294">
        <f t="shared" si="4"/>
        <v>0</v>
      </c>
      <c r="Y32" s="294">
        <f t="shared" si="4"/>
        <v>0</v>
      </c>
      <c r="Z32" s="291">
        <f t="shared" si="3"/>
        <v>0</v>
      </c>
    </row>
    <row r="33" spans="1:26" s="269" customFormat="1">
      <c r="A33" s="277">
        <v>1987</v>
      </c>
      <c r="B33" s="290">
        <v>0</v>
      </c>
      <c r="C33" s="290">
        <v>0</v>
      </c>
      <c r="D33" s="290">
        <v>0</v>
      </c>
      <c r="E33" s="290">
        <v>0</v>
      </c>
      <c r="F33" s="290">
        <v>0</v>
      </c>
      <c r="G33" s="290">
        <v>0</v>
      </c>
      <c r="H33" s="291">
        <f t="shared" si="0"/>
        <v>0</v>
      </c>
      <c r="J33" s="288">
        <v>1987</v>
      </c>
      <c r="K33" s="295">
        <v>0</v>
      </c>
      <c r="L33" s="295">
        <v>0</v>
      </c>
      <c r="M33" s="295">
        <v>0</v>
      </c>
      <c r="N33" s="295">
        <v>0</v>
      </c>
      <c r="O33" s="295">
        <v>0</v>
      </c>
      <c r="P33" s="295">
        <v>0</v>
      </c>
      <c r="Q33" s="293">
        <f t="shared" si="1"/>
        <v>0</v>
      </c>
      <c r="S33" s="277">
        <v>1987</v>
      </c>
      <c r="T33" s="294">
        <f t="shared" si="4"/>
        <v>0</v>
      </c>
      <c r="U33" s="294">
        <f t="shared" si="4"/>
        <v>0</v>
      </c>
      <c r="V33" s="294">
        <f t="shared" si="4"/>
        <v>0</v>
      </c>
      <c r="W33" s="294">
        <f t="shared" si="4"/>
        <v>0</v>
      </c>
      <c r="X33" s="294">
        <f t="shared" si="4"/>
        <v>0</v>
      </c>
      <c r="Y33" s="294">
        <f t="shared" si="4"/>
        <v>0</v>
      </c>
      <c r="Z33" s="291">
        <f t="shared" si="3"/>
        <v>0</v>
      </c>
    </row>
    <row r="34" spans="1:26" s="269" customFormat="1">
      <c r="A34" s="277">
        <v>1988</v>
      </c>
      <c r="B34" s="290">
        <v>0</v>
      </c>
      <c r="C34" s="290">
        <v>0</v>
      </c>
      <c r="D34" s="290">
        <v>635420</v>
      </c>
      <c r="E34" s="290">
        <v>0</v>
      </c>
      <c r="F34" s="290">
        <v>0</v>
      </c>
      <c r="G34" s="290">
        <v>0</v>
      </c>
      <c r="H34" s="291">
        <f t="shared" si="0"/>
        <v>635420</v>
      </c>
      <c r="J34" s="288">
        <v>1988</v>
      </c>
      <c r="K34" s="295">
        <v>0</v>
      </c>
      <c r="L34" s="295">
        <v>0</v>
      </c>
      <c r="M34" s="295">
        <v>0</v>
      </c>
      <c r="N34" s="295">
        <v>0</v>
      </c>
      <c r="O34" s="295">
        <v>0</v>
      </c>
      <c r="P34" s="295">
        <v>0</v>
      </c>
      <c r="Q34" s="293">
        <f t="shared" si="1"/>
        <v>0</v>
      </c>
      <c r="S34" s="277">
        <v>1988</v>
      </c>
      <c r="T34" s="294">
        <f t="shared" si="4"/>
        <v>0</v>
      </c>
      <c r="U34" s="294">
        <f t="shared" si="4"/>
        <v>0</v>
      </c>
      <c r="V34" s="294">
        <f t="shared" si="4"/>
        <v>635420</v>
      </c>
      <c r="W34" s="294">
        <f t="shared" si="4"/>
        <v>0</v>
      </c>
      <c r="X34" s="294">
        <f t="shared" si="4"/>
        <v>0</v>
      </c>
      <c r="Y34" s="294">
        <f t="shared" si="4"/>
        <v>0</v>
      </c>
      <c r="Z34" s="291">
        <f t="shared" si="3"/>
        <v>635420</v>
      </c>
    </row>
    <row r="35" spans="1:26" s="269" customFormat="1">
      <c r="A35" s="277">
        <v>1989</v>
      </c>
      <c r="B35" s="290">
        <v>0</v>
      </c>
      <c r="C35" s="290">
        <v>0</v>
      </c>
      <c r="D35" s="290">
        <v>0</v>
      </c>
      <c r="E35" s="290">
        <v>57877</v>
      </c>
      <c r="F35" s="290">
        <v>0</v>
      </c>
      <c r="G35" s="290">
        <v>0</v>
      </c>
      <c r="H35" s="291">
        <f t="shared" si="0"/>
        <v>57877</v>
      </c>
      <c r="J35" s="288">
        <v>1989</v>
      </c>
      <c r="K35" s="295">
        <v>0</v>
      </c>
      <c r="L35" s="295">
        <v>0</v>
      </c>
      <c r="M35" s="295">
        <v>0</v>
      </c>
      <c r="N35" s="295">
        <v>0</v>
      </c>
      <c r="O35" s="295">
        <v>0</v>
      </c>
      <c r="P35" s="295">
        <v>0</v>
      </c>
      <c r="Q35" s="293">
        <f t="shared" si="1"/>
        <v>0</v>
      </c>
      <c r="S35" s="277">
        <v>1989</v>
      </c>
      <c r="T35" s="294">
        <f t="shared" si="4"/>
        <v>0</v>
      </c>
      <c r="U35" s="294">
        <f t="shared" si="4"/>
        <v>0</v>
      </c>
      <c r="V35" s="294">
        <f t="shared" si="4"/>
        <v>0</v>
      </c>
      <c r="W35" s="294">
        <f t="shared" si="4"/>
        <v>57877</v>
      </c>
      <c r="X35" s="294">
        <f t="shared" si="4"/>
        <v>0</v>
      </c>
      <c r="Y35" s="294">
        <f t="shared" si="4"/>
        <v>0</v>
      </c>
      <c r="Z35" s="291">
        <f t="shared" si="3"/>
        <v>57877</v>
      </c>
    </row>
    <row r="36" spans="1:26" s="269" customFormat="1">
      <c r="A36" s="277">
        <v>1990</v>
      </c>
      <c r="B36" s="290">
        <v>0</v>
      </c>
      <c r="C36" s="290">
        <v>0</v>
      </c>
      <c r="D36" s="290">
        <v>0</v>
      </c>
      <c r="E36" s="290">
        <v>0</v>
      </c>
      <c r="F36" s="290">
        <v>0</v>
      </c>
      <c r="G36" s="290">
        <v>0</v>
      </c>
      <c r="H36" s="291">
        <f t="shared" si="0"/>
        <v>0</v>
      </c>
      <c r="J36" s="288">
        <v>1990</v>
      </c>
      <c r="K36" s="295">
        <v>0</v>
      </c>
      <c r="L36" s="295">
        <v>0</v>
      </c>
      <c r="M36" s="295">
        <v>0</v>
      </c>
      <c r="N36" s="295">
        <v>0</v>
      </c>
      <c r="O36" s="295">
        <v>0</v>
      </c>
      <c r="P36" s="295">
        <v>0</v>
      </c>
      <c r="Q36" s="293">
        <f t="shared" si="1"/>
        <v>0</v>
      </c>
      <c r="S36" s="277">
        <v>1990</v>
      </c>
      <c r="T36" s="294">
        <f t="shared" si="4"/>
        <v>0</v>
      </c>
      <c r="U36" s="294">
        <f t="shared" si="4"/>
        <v>0</v>
      </c>
      <c r="V36" s="294">
        <f t="shared" si="4"/>
        <v>0</v>
      </c>
      <c r="W36" s="294">
        <f t="shared" si="4"/>
        <v>0</v>
      </c>
      <c r="X36" s="294">
        <f t="shared" si="4"/>
        <v>0</v>
      </c>
      <c r="Y36" s="294">
        <f t="shared" si="4"/>
        <v>0</v>
      </c>
      <c r="Z36" s="291">
        <f t="shared" si="3"/>
        <v>0</v>
      </c>
    </row>
    <row r="37" spans="1:26" s="269" customFormat="1">
      <c r="A37" s="277">
        <v>1991</v>
      </c>
      <c r="B37" s="290">
        <v>0</v>
      </c>
      <c r="C37" s="290">
        <v>0</v>
      </c>
      <c r="D37" s="290">
        <v>0</v>
      </c>
      <c r="E37" s="290">
        <v>0</v>
      </c>
      <c r="F37" s="290">
        <v>3631</v>
      </c>
      <c r="G37" s="290">
        <v>0</v>
      </c>
      <c r="H37" s="291">
        <f t="shared" si="0"/>
        <v>3631</v>
      </c>
      <c r="J37" s="288">
        <v>1991</v>
      </c>
      <c r="K37" s="295">
        <v>0</v>
      </c>
      <c r="L37" s="295">
        <v>0</v>
      </c>
      <c r="M37" s="295">
        <v>0</v>
      </c>
      <c r="N37" s="295">
        <v>0</v>
      </c>
      <c r="O37" s="295">
        <v>0</v>
      </c>
      <c r="P37" s="295">
        <v>0</v>
      </c>
      <c r="Q37" s="293">
        <f t="shared" si="1"/>
        <v>0</v>
      </c>
      <c r="S37" s="277">
        <v>1991</v>
      </c>
      <c r="T37" s="294">
        <f t="shared" si="4"/>
        <v>0</v>
      </c>
      <c r="U37" s="294">
        <f t="shared" si="4"/>
        <v>0</v>
      </c>
      <c r="V37" s="294">
        <f t="shared" si="4"/>
        <v>0</v>
      </c>
      <c r="W37" s="294">
        <f t="shared" si="4"/>
        <v>0</v>
      </c>
      <c r="X37" s="294">
        <f t="shared" si="4"/>
        <v>3631</v>
      </c>
      <c r="Y37" s="294">
        <f t="shared" si="4"/>
        <v>0</v>
      </c>
      <c r="Z37" s="291">
        <f t="shared" si="3"/>
        <v>3631</v>
      </c>
    </row>
    <row r="38" spans="1:26" s="269" customFormat="1">
      <c r="A38" s="277">
        <v>1992</v>
      </c>
      <c r="B38" s="290">
        <v>0</v>
      </c>
      <c r="C38" s="290">
        <v>0</v>
      </c>
      <c r="D38" s="290">
        <v>0</v>
      </c>
      <c r="E38" s="290">
        <v>0</v>
      </c>
      <c r="F38" s="290">
        <v>0</v>
      </c>
      <c r="G38" s="290">
        <v>0</v>
      </c>
      <c r="H38" s="291">
        <f t="shared" si="0"/>
        <v>0</v>
      </c>
      <c r="J38" s="288">
        <v>1992</v>
      </c>
      <c r="K38" s="295">
        <v>0</v>
      </c>
      <c r="L38" s="295">
        <v>0</v>
      </c>
      <c r="M38" s="295">
        <v>0</v>
      </c>
      <c r="N38" s="295">
        <v>0</v>
      </c>
      <c r="O38" s="295">
        <v>0</v>
      </c>
      <c r="P38" s="295">
        <v>0</v>
      </c>
      <c r="Q38" s="293">
        <f t="shared" si="1"/>
        <v>0</v>
      </c>
      <c r="S38" s="277">
        <v>1992</v>
      </c>
      <c r="T38" s="294">
        <f t="shared" si="4"/>
        <v>0</v>
      </c>
      <c r="U38" s="294">
        <f t="shared" si="4"/>
        <v>0</v>
      </c>
      <c r="V38" s="294">
        <f t="shared" si="4"/>
        <v>0</v>
      </c>
      <c r="W38" s="294">
        <f t="shared" si="4"/>
        <v>0</v>
      </c>
      <c r="X38" s="294">
        <f t="shared" si="4"/>
        <v>0</v>
      </c>
      <c r="Y38" s="294">
        <f t="shared" si="4"/>
        <v>0</v>
      </c>
      <c r="Z38" s="291">
        <f t="shared" si="3"/>
        <v>0</v>
      </c>
    </row>
    <row r="39" spans="1:26" s="269" customFormat="1">
      <c r="A39" s="277">
        <v>1993</v>
      </c>
      <c r="B39" s="290">
        <v>0</v>
      </c>
      <c r="C39" s="290">
        <v>0</v>
      </c>
      <c r="D39" s="290">
        <v>0</v>
      </c>
      <c r="E39" s="290">
        <v>0</v>
      </c>
      <c r="F39" s="290">
        <v>0</v>
      </c>
      <c r="G39" s="290">
        <v>0</v>
      </c>
      <c r="H39" s="291">
        <f t="shared" si="0"/>
        <v>0</v>
      </c>
      <c r="J39" s="288">
        <v>1993</v>
      </c>
      <c r="K39" s="295">
        <v>0</v>
      </c>
      <c r="L39" s="295">
        <v>0</v>
      </c>
      <c r="M39" s="295">
        <v>0</v>
      </c>
      <c r="N39" s="295">
        <v>0</v>
      </c>
      <c r="O39" s="295">
        <v>0</v>
      </c>
      <c r="P39" s="295">
        <v>0</v>
      </c>
      <c r="Q39" s="293">
        <f t="shared" si="1"/>
        <v>0</v>
      </c>
      <c r="S39" s="277">
        <v>1993</v>
      </c>
      <c r="T39" s="294">
        <f t="shared" si="4"/>
        <v>0</v>
      </c>
      <c r="U39" s="294">
        <f t="shared" si="4"/>
        <v>0</v>
      </c>
      <c r="V39" s="294">
        <f t="shared" si="4"/>
        <v>0</v>
      </c>
      <c r="W39" s="294">
        <f t="shared" si="4"/>
        <v>0</v>
      </c>
      <c r="X39" s="294">
        <f t="shared" si="4"/>
        <v>0</v>
      </c>
      <c r="Y39" s="294">
        <f t="shared" si="4"/>
        <v>0</v>
      </c>
      <c r="Z39" s="291">
        <f t="shared" si="3"/>
        <v>0</v>
      </c>
    </row>
    <row r="40" spans="1:26" s="269" customFormat="1">
      <c r="A40" s="277">
        <v>1994</v>
      </c>
      <c r="B40" s="290">
        <v>0</v>
      </c>
      <c r="C40" s="290">
        <v>0</v>
      </c>
      <c r="D40" s="290">
        <v>0</v>
      </c>
      <c r="E40" s="290">
        <v>0</v>
      </c>
      <c r="F40" s="290">
        <v>0</v>
      </c>
      <c r="G40" s="290">
        <v>0</v>
      </c>
      <c r="H40" s="291">
        <f t="shared" si="0"/>
        <v>0</v>
      </c>
      <c r="J40" s="288">
        <v>1994</v>
      </c>
      <c r="K40" s="295">
        <v>0</v>
      </c>
      <c r="L40" s="295">
        <v>0</v>
      </c>
      <c r="M40" s="295">
        <v>0</v>
      </c>
      <c r="N40" s="295">
        <v>0</v>
      </c>
      <c r="O40" s="295">
        <v>0</v>
      </c>
      <c r="P40" s="295">
        <v>0</v>
      </c>
      <c r="Q40" s="293">
        <f t="shared" si="1"/>
        <v>0</v>
      </c>
      <c r="S40" s="277">
        <v>1994</v>
      </c>
      <c r="T40" s="294">
        <f t="shared" si="4"/>
        <v>0</v>
      </c>
      <c r="U40" s="294">
        <f t="shared" si="4"/>
        <v>0</v>
      </c>
      <c r="V40" s="294">
        <f t="shared" si="4"/>
        <v>0</v>
      </c>
      <c r="W40" s="294">
        <f t="shared" si="4"/>
        <v>0</v>
      </c>
      <c r="X40" s="294">
        <f t="shared" si="4"/>
        <v>0</v>
      </c>
      <c r="Y40" s="294">
        <f t="shared" si="4"/>
        <v>0</v>
      </c>
      <c r="Z40" s="291">
        <f t="shared" si="3"/>
        <v>0</v>
      </c>
    </row>
    <row r="41" spans="1:26" s="269" customFormat="1">
      <c r="A41" s="277">
        <v>1995</v>
      </c>
      <c r="B41" s="290">
        <v>0</v>
      </c>
      <c r="C41" s="290">
        <v>0</v>
      </c>
      <c r="D41" s="290">
        <v>0</v>
      </c>
      <c r="E41" s="290">
        <v>0</v>
      </c>
      <c r="F41" s="290">
        <v>0</v>
      </c>
      <c r="G41" s="290">
        <v>0</v>
      </c>
      <c r="H41" s="291">
        <f t="shared" si="0"/>
        <v>0</v>
      </c>
      <c r="J41" s="288">
        <v>1995</v>
      </c>
      <c r="K41" s="295">
        <v>0</v>
      </c>
      <c r="L41" s="295">
        <v>0</v>
      </c>
      <c r="M41" s="295">
        <v>0</v>
      </c>
      <c r="N41" s="295">
        <v>0</v>
      </c>
      <c r="O41" s="295">
        <v>0</v>
      </c>
      <c r="P41" s="295">
        <v>0</v>
      </c>
      <c r="Q41" s="293">
        <f t="shared" si="1"/>
        <v>0</v>
      </c>
      <c r="S41" s="277">
        <v>1995</v>
      </c>
      <c r="T41" s="294">
        <f t="shared" si="4"/>
        <v>0</v>
      </c>
      <c r="U41" s="294">
        <f t="shared" si="4"/>
        <v>0</v>
      </c>
      <c r="V41" s="294">
        <f t="shared" si="4"/>
        <v>0</v>
      </c>
      <c r="W41" s="294">
        <f t="shared" si="4"/>
        <v>0</v>
      </c>
      <c r="X41" s="294">
        <f t="shared" si="4"/>
        <v>0</v>
      </c>
      <c r="Y41" s="294">
        <f t="shared" si="4"/>
        <v>0</v>
      </c>
      <c r="Z41" s="291">
        <f t="shared" si="3"/>
        <v>0</v>
      </c>
    </row>
    <row r="42" spans="1:26" s="269" customFormat="1">
      <c r="A42" s="277">
        <v>1996</v>
      </c>
      <c r="B42" s="290">
        <v>0</v>
      </c>
      <c r="C42" s="290">
        <v>0</v>
      </c>
      <c r="D42" s="290">
        <v>0</v>
      </c>
      <c r="E42" s="290">
        <v>0</v>
      </c>
      <c r="F42" s="290">
        <v>0</v>
      </c>
      <c r="G42" s="290">
        <v>0</v>
      </c>
      <c r="H42" s="291">
        <f t="shared" si="0"/>
        <v>0</v>
      </c>
      <c r="J42" s="288">
        <v>1996</v>
      </c>
      <c r="K42" s="295">
        <v>0</v>
      </c>
      <c r="L42" s="295">
        <v>0</v>
      </c>
      <c r="M42" s="295">
        <v>0</v>
      </c>
      <c r="N42" s="295">
        <v>0</v>
      </c>
      <c r="O42" s="295">
        <v>0</v>
      </c>
      <c r="P42" s="295">
        <v>0</v>
      </c>
      <c r="Q42" s="293">
        <f t="shared" si="1"/>
        <v>0</v>
      </c>
      <c r="S42" s="277">
        <v>1996</v>
      </c>
      <c r="T42" s="294">
        <f t="shared" si="4"/>
        <v>0</v>
      </c>
      <c r="U42" s="294">
        <f t="shared" si="4"/>
        <v>0</v>
      </c>
      <c r="V42" s="294">
        <f t="shared" si="4"/>
        <v>0</v>
      </c>
      <c r="W42" s="294">
        <f t="shared" si="4"/>
        <v>0</v>
      </c>
      <c r="X42" s="294">
        <f t="shared" si="4"/>
        <v>0</v>
      </c>
      <c r="Y42" s="294">
        <f t="shared" si="4"/>
        <v>0</v>
      </c>
      <c r="Z42" s="291">
        <f t="shared" si="3"/>
        <v>0</v>
      </c>
    </row>
    <row r="43" spans="1:26" s="269" customFormat="1">
      <c r="A43" s="277">
        <v>1997</v>
      </c>
      <c r="B43" s="290">
        <v>0</v>
      </c>
      <c r="C43" s="290">
        <v>0</v>
      </c>
      <c r="D43" s="290">
        <v>0</v>
      </c>
      <c r="E43" s="290">
        <v>0</v>
      </c>
      <c r="F43" s="290">
        <v>0</v>
      </c>
      <c r="G43" s="290">
        <v>0</v>
      </c>
      <c r="H43" s="291">
        <f t="shared" si="0"/>
        <v>0</v>
      </c>
      <c r="J43" s="288">
        <v>1997</v>
      </c>
      <c r="K43" s="295">
        <v>0</v>
      </c>
      <c r="L43" s="295">
        <v>0</v>
      </c>
      <c r="M43" s="295">
        <v>0</v>
      </c>
      <c r="N43" s="295">
        <v>0</v>
      </c>
      <c r="O43" s="295">
        <v>0</v>
      </c>
      <c r="P43" s="295">
        <v>0</v>
      </c>
      <c r="Q43" s="293">
        <f t="shared" si="1"/>
        <v>0</v>
      </c>
      <c r="S43" s="277">
        <v>1997</v>
      </c>
      <c r="T43" s="294">
        <f t="shared" si="4"/>
        <v>0</v>
      </c>
      <c r="U43" s="294">
        <f t="shared" si="4"/>
        <v>0</v>
      </c>
      <c r="V43" s="294">
        <f t="shared" si="4"/>
        <v>0</v>
      </c>
      <c r="W43" s="294">
        <f t="shared" si="4"/>
        <v>0</v>
      </c>
      <c r="X43" s="294">
        <f t="shared" si="4"/>
        <v>0</v>
      </c>
      <c r="Y43" s="294">
        <f t="shared" si="4"/>
        <v>0</v>
      </c>
      <c r="Z43" s="291">
        <f t="shared" si="3"/>
        <v>0</v>
      </c>
    </row>
    <row r="44" spans="1:26" s="269" customFormat="1">
      <c r="A44" s="277">
        <v>1998</v>
      </c>
      <c r="B44" s="290">
        <v>0</v>
      </c>
      <c r="C44" s="290">
        <v>0</v>
      </c>
      <c r="D44" s="290">
        <v>0</v>
      </c>
      <c r="E44" s="290">
        <v>0</v>
      </c>
      <c r="F44" s="290">
        <v>0</v>
      </c>
      <c r="G44" s="290">
        <v>0</v>
      </c>
      <c r="H44" s="291">
        <f t="shared" si="0"/>
        <v>0</v>
      </c>
      <c r="J44" s="288">
        <v>1998</v>
      </c>
      <c r="K44" s="295">
        <v>0</v>
      </c>
      <c r="L44" s="295">
        <v>0</v>
      </c>
      <c r="M44" s="295">
        <v>0</v>
      </c>
      <c r="N44" s="295">
        <v>0</v>
      </c>
      <c r="O44" s="295">
        <v>0</v>
      </c>
      <c r="P44" s="295">
        <v>0</v>
      </c>
      <c r="Q44" s="293">
        <f t="shared" si="1"/>
        <v>0</v>
      </c>
      <c r="S44" s="277">
        <v>1998</v>
      </c>
      <c r="T44" s="294">
        <f t="shared" si="4"/>
        <v>0</v>
      </c>
      <c r="U44" s="294">
        <f t="shared" si="4"/>
        <v>0</v>
      </c>
      <c r="V44" s="294">
        <f t="shared" si="4"/>
        <v>0</v>
      </c>
      <c r="W44" s="294">
        <f t="shared" si="4"/>
        <v>0</v>
      </c>
      <c r="X44" s="294">
        <f t="shared" si="4"/>
        <v>0</v>
      </c>
      <c r="Y44" s="294">
        <f t="shared" si="4"/>
        <v>0</v>
      </c>
      <c r="Z44" s="291">
        <f t="shared" si="3"/>
        <v>0</v>
      </c>
    </row>
    <row r="45" spans="1:26" s="269" customFormat="1">
      <c r="A45" s="277">
        <v>1999</v>
      </c>
      <c r="B45" s="290">
        <v>0</v>
      </c>
      <c r="C45" s="290">
        <v>178.45</v>
      </c>
      <c r="D45" s="290">
        <v>0</v>
      </c>
      <c r="E45" s="290">
        <v>429</v>
      </c>
      <c r="F45" s="290">
        <v>0</v>
      </c>
      <c r="G45" s="290">
        <v>0</v>
      </c>
      <c r="H45" s="291">
        <f t="shared" si="0"/>
        <v>607.45000000000005</v>
      </c>
      <c r="J45" s="288">
        <v>1999</v>
      </c>
      <c r="K45" s="295">
        <v>0</v>
      </c>
      <c r="L45" s="295">
        <v>0</v>
      </c>
      <c r="M45" s="295">
        <v>0</v>
      </c>
      <c r="N45" s="295">
        <v>0</v>
      </c>
      <c r="O45" s="295">
        <v>0</v>
      </c>
      <c r="P45" s="295">
        <v>0</v>
      </c>
      <c r="Q45" s="293">
        <f t="shared" si="1"/>
        <v>0</v>
      </c>
      <c r="S45" s="277">
        <v>1999</v>
      </c>
      <c r="T45" s="294">
        <f t="shared" si="4"/>
        <v>0</v>
      </c>
      <c r="U45" s="294">
        <f t="shared" si="4"/>
        <v>178.45</v>
      </c>
      <c r="V45" s="294">
        <f t="shared" si="4"/>
        <v>0</v>
      </c>
      <c r="W45" s="294">
        <f t="shared" si="4"/>
        <v>429</v>
      </c>
      <c r="X45" s="294">
        <f t="shared" si="4"/>
        <v>0</v>
      </c>
      <c r="Y45" s="294">
        <f t="shared" si="4"/>
        <v>0</v>
      </c>
      <c r="Z45" s="291">
        <f t="shared" si="3"/>
        <v>607.45000000000005</v>
      </c>
    </row>
    <row r="46" spans="1:26" s="269" customFormat="1">
      <c r="A46" s="277">
        <v>2000</v>
      </c>
      <c r="B46" s="290">
        <v>0</v>
      </c>
      <c r="C46" s="290">
        <v>0</v>
      </c>
      <c r="D46" s="290">
        <v>0</v>
      </c>
      <c r="E46" s="290">
        <v>42832</v>
      </c>
      <c r="F46" s="290">
        <v>0</v>
      </c>
      <c r="G46" s="290">
        <v>0</v>
      </c>
      <c r="H46" s="291">
        <f t="shared" si="0"/>
        <v>42832</v>
      </c>
      <c r="J46" s="288">
        <v>2000</v>
      </c>
      <c r="K46" s="295">
        <v>0</v>
      </c>
      <c r="L46" s="295">
        <v>0</v>
      </c>
      <c r="M46" s="295">
        <v>0</v>
      </c>
      <c r="N46" s="295">
        <v>0</v>
      </c>
      <c r="O46" s="295">
        <v>0</v>
      </c>
      <c r="P46" s="295">
        <v>0</v>
      </c>
      <c r="Q46" s="293">
        <f t="shared" si="1"/>
        <v>0</v>
      </c>
      <c r="S46" s="277">
        <v>2000</v>
      </c>
      <c r="T46" s="294">
        <f t="shared" si="4"/>
        <v>0</v>
      </c>
      <c r="U46" s="294">
        <f t="shared" si="4"/>
        <v>0</v>
      </c>
      <c r="V46" s="294">
        <f t="shared" si="4"/>
        <v>0</v>
      </c>
      <c r="W46" s="294">
        <f t="shared" si="4"/>
        <v>42832</v>
      </c>
      <c r="X46" s="294">
        <f t="shared" si="4"/>
        <v>0</v>
      </c>
      <c r="Y46" s="294">
        <f t="shared" si="4"/>
        <v>0</v>
      </c>
      <c r="Z46" s="291">
        <f t="shared" si="3"/>
        <v>42832</v>
      </c>
    </row>
    <row r="47" spans="1:26" s="269" customFormat="1">
      <c r="A47" s="277">
        <v>2001</v>
      </c>
      <c r="B47" s="290">
        <v>0</v>
      </c>
      <c r="C47" s="290">
        <v>0</v>
      </c>
      <c r="D47" s="290">
        <v>0</v>
      </c>
      <c r="E47" s="290">
        <v>0</v>
      </c>
      <c r="F47" s="290">
        <v>514</v>
      </c>
      <c r="G47" s="290">
        <v>0</v>
      </c>
      <c r="H47" s="291">
        <f t="shared" si="0"/>
        <v>514</v>
      </c>
      <c r="J47" s="288">
        <v>2001</v>
      </c>
      <c r="K47" s="295">
        <v>0</v>
      </c>
      <c r="L47" s="295">
        <v>0</v>
      </c>
      <c r="M47" s="295">
        <v>0</v>
      </c>
      <c r="N47" s="295">
        <v>0</v>
      </c>
      <c r="O47" s="295">
        <v>0</v>
      </c>
      <c r="P47" s="295">
        <v>0</v>
      </c>
      <c r="Q47" s="293">
        <f t="shared" si="1"/>
        <v>0</v>
      </c>
      <c r="S47" s="277">
        <v>2001</v>
      </c>
      <c r="T47" s="294">
        <f t="shared" si="4"/>
        <v>0</v>
      </c>
      <c r="U47" s="294">
        <f t="shared" si="4"/>
        <v>0</v>
      </c>
      <c r="V47" s="294">
        <f t="shared" si="4"/>
        <v>0</v>
      </c>
      <c r="W47" s="294">
        <f t="shared" si="4"/>
        <v>0</v>
      </c>
      <c r="X47" s="294">
        <f t="shared" si="4"/>
        <v>514</v>
      </c>
      <c r="Y47" s="294">
        <f t="shared" si="4"/>
        <v>0</v>
      </c>
      <c r="Z47" s="291">
        <f t="shared" si="3"/>
        <v>514</v>
      </c>
    </row>
    <row r="48" spans="1:26" s="269" customFormat="1">
      <c r="A48" s="277">
        <v>2002</v>
      </c>
      <c r="B48" s="290">
        <v>0</v>
      </c>
      <c r="C48" s="290">
        <v>4101</v>
      </c>
      <c r="D48" s="290">
        <v>0</v>
      </c>
      <c r="E48" s="290">
        <v>0</v>
      </c>
      <c r="F48" s="290">
        <v>2636</v>
      </c>
      <c r="G48" s="290">
        <v>0</v>
      </c>
      <c r="H48" s="291">
        <f t="shared" si="0"/>
        <v>6737</v>
      </c>
      <c r="J48" s="288">
        <v>2002</v>
      </c>
      <c r="K48" s="295">
        <v>0</v>
      </c>
      <c r="L48" s="295">
        <v>0</v>
      </c>
      <c r="M48" s="295">
        <v>0</v>
      </c>
      <c r="N48" s="295">
        <v>0</v>
      </c>
      <c r="O48" s="295">
        <v>0</v>
      </c>
      <c r="P48" s="295">
        <v>0</v>
      </c>
      <c r="Q48" s="293">
        <f t="shared" si="1"/>
        <v>0</v>
      </c>
      <c r="S48" s="277">
        <v>2002</v>
      </c>
      <c r="T48" s="294">
        <f t="shared" si="4"/>
        <v>0</v>
      </c>
      <c r="U48" s="294">
        <f t="shared" si="4"/>
        <v>4101</v>
      </c>
      <c r="V48" s="294">
        <f t="shared" si="4"/>
        <v>0</v>
      </c>
      <c r="W48" s="294">
        <f t="shared" si="4"/>
        <v>0</v>
      </c>
      <c r="X48" s="294">
        <f t="shared" si="4"/>
        <v>2636</v>
      </c>
      <c r="Y48" s="294">
        <f t="shared" si="4"/>
        <v>0</v>
      </c>
      <c r="Z48" s="291">
        <f t="shared" si="3"/>
        <v>6737</v>
      </c>
    </row>
    <row r="49" spans="1:26" s="269" customFormat="1">
      <c r="A49" s="277">
        <v>2003</v>
      </c>
      <c r="B49" s="290">
        <v>0</v>
      </c>
      <c r="C49" s="290">
        <v>0</v>
      </c>
      <c r="D49" s="290">
        <v>0</v>
      </c>
      <c r="E49" s="290">
        <v>0</v>
      </c>
      <c r="F49" s="290">
        <v>0</v>
      </c>
      <c r="G49" s="290">
        <v>0</v>
      </c>
      <c r="H49" s="291">
        <f t="shared" si="0"/>
        <v>0</v>
      </c>
      <c r="J49" s="288">
        <v>2003</v>
      </c>
      <c r="K49" s="295">
        <v>0</v>
      </c>
      <c r="L49" s="295">
        <v>0</v>
      </c>
      <c r="M49" s="295">
        <v>0</v>
      </c>
      <c r="N49" s="295">
        <v>0</v>
      </c>
      <c r="O49" s="295">
        <v>0</v>
      </c>
      <c r="P49" s="295">
        <v>0</v>
      </c>
      <c r="Q49" s="293">
        <f t="shared" si="1"/>
        <v>0</v>
      </c>
      <c r="S49" s="277">
        <v>2003</v>
      </c>
      <c r="T49" s="294">
        <f t="shared" si="4"/>
        <v>0</v>
      </c>
      <c r="U49" s="294">
        <f t="shared" si="4"/>
        <v>0</v>
      </c>
      <c r="V49" s="294">
        <f t="shared" si="4"/>
        <v>0</v>
      </c>
      <c r="W49" s="294">
        <f t="shared" si="4"/>
        <v>0</v>
      </c>
      <c r="X49" s="294">
        <f t="shared" si="4"/>
        <v>0</v>
      </c>
      <c r="Y49" s="294">
        <f t="shared" si="4"/>
        <v>0</v>
      </c>
      <c r="Z49" s="291">
        <f t="shared" si="3"/>
        <v>0</v>
      </c>
    </row>
    <row r="50" spans="1:26" s="269" customFormat="1">
      <c r="A50" s="277">
        <v>2004</v>
      </c>
      <c r="B50" s="290">
        <v>0</v>
      </c>
      <c r="C50" s="290">
        <v>0</v>
      </c>
      <c r="D50" s="290">
        <v>0</v>
      </c>
      <c r="E50" s="290">
        <v>0</v>
      </c>
      <c r="F50" s="290">
        <v>0</v>
      </c>
      <c r="G50" s="290">
        <v>0</v>
      </c>
      <c r="H50" s="291">
        <f t="shared" si="0"/>
        <v>0</v>
      </c>
      <c r="J50" s="288">
        <v>2004</v>
      </c>
      <c r="K50" s="295">
        <v>0</v>
      </c>
      <c r="L50" s="295">
        <v>0</v>
      </c>
      <c r="M50" s="295">
        <v>0</v>
      </c>
      <c r="N50" s="295">
        <v>0</v>
      </c>
      <c r="O50" s="295">
        <v>0</v>
      </c>
      <c r="P50" s="295">
        <v>0</v>
      </c>
      <c r="Q50" s="293">
        <f t="shared" si="1"/>
        <v>0</v>
      </c>
      <c r="S50" s="277">
        <v>2004</v>
      </c>
      <c r="T50" s="294">
        <f t="shared" si="4"/>
        <v>0</v>
      </c>
      <c r="U50" s="294">
        <f t="shared" si="4"/>
        <v>0</v>
      </c>
      <c r="V50" s="294">
        <f t="shared" si="4"/>
        <v>0</v>
      </c>
      <c r="W50" s="294">
        <f t="shared" si="4"/>
        <v>0</v>
      </c>
      <c r="X50" s="294">
        <f t="shared" si="4"/>
        <v>0</v>
      </c>
      <c r="Y50" s="294">
        <f t="shared" si="4"/>
        <v>0</v>
      </c>
      <c r="Z50" s="291">
        <f t="shared" si="3"/>
        <v>0</v>
      </c>
    </row>
    <row r="51" spans="1:26" s="269" customFormat="1">
      <c r="A51" s="277">
        <v>2005</v>
      </c>
      <c r="B51" s="290">
        <v>0</v>
      </c>
      <c r="C51" s="290">
        <v>0</v>
      </c>
      <c r="D51" s="290">
        <v>369</v>
      </c>
      <c r="E51" s="290">
        <v>0</v>
      </c>
      <c r="F51" s="290">
        <v>0</v>
      </c>
      <c r="G51" s="290">
        <v>0</v>
      </c>
      <c r="H51" s="291">
        <f t="shared" si="0"/>
        <v>369</v>
      </c>
      <c r="J51" s="288">
        <v>2005</v>
      </c>
      <c r="K51" s="295">
        <v>0</v>
      </c>
      <c r="L51" s="295">
        <v>0</v>
      </c>
      <c r="M51" s="295">
        <v>0</v>
      </c>
      <c r="N51" s="295">
        <v>0</v>
      </c>
      <c r="O51" s="295">
        <v>0</v>
      </c>
      <c r="P51" s="295">
        <v>0</v>
      </c>
      <c r="Q51" s="293">
        <f t="shared" si="1"/>
        <v>0</v>
      </c>
      <c r="S51" s="277">
        <v>2005</v>
      </c>
      <c r="T51" s="294">
        <f t="shared" si="4"/>
        <v>0</v>
      </c>
      <c r="U51" s="294">
        <f t="shared" si="4"/>
        <v>0</v>
      </c>
      <c r="V51" s="294">
        <f t="shared" si="4"/>
        <v>369</v>
      </c>
      <c r="W51" s="294">
        <f t="shared" si="4"/>
        <v>0</v>
      </c>
      <c r="X51" s="294">
        <f t="shared" si="4"/>
        <v>0</v>
      </c>
      <c r="Y51" s="294">
        <f t="shared" si="4"/>
        <v>0</v>
      </c>
      <c r="Z51" s="291">
        <f t="shared" si="3"/>
        <v>369</v>
      </c>
    </row>
    <row r="52" spans="1:26" s="269" customFormat="1">
      <c r="A52" s="277">
        <v>2006</v>
      </c>
      <c r="B52" s="290">
        <v>2300</v>
      </c>
      <c r="C52" s="290">
        <v>0</v>
      </c>
      <c r="D52" s="290">
        <v>37028.61</v>
      </c>
      <c r="E52" s="290">
        <v>42422.77</v>
      </c>
      <c r="F52" s="290">
        <v>9205.17</v>
      </c>
      <c r="G52" s="290">
        <v>0</v>
      </c>
      <c r="H52" s="291">
        <f t="shared" si="0"/>
        <v>90956.55</v>
      </c>
      <c r="J52" s="288">
        <v>2006</v>
      </c>
      <c r="K52" s="295">
        <v>0</v>
      </c>
      <c r="L52" s="295">
        <v>0</v>
      </c>
      <c r="M52" s="295">
        <v>0</v>
      </c>
      <c r="N52" s="295">
        <v>0</v>
      </c>
      <c r="O52" s="295">
        <v>0</v>
      </c>
      <c r="P52" s="295">
        <v>0</v>
      </c>
      <c r="Q52" s="293">
        <f t="shared" si="1"/>
        <v>0</v>
      </c>
      <c r="S52" s="277">
        <v>2006</v>
      </c>
      <c r="T52" s="294">
        <f t="shared" si="4"/>
        <v>2300</v>
      </c>
      <c r="U52" s="294">
        <f t="shared" si="4"/>
        <v>0</v>
      </c>
      <c r="V52" s="294">
        <f t="shared" si="4"/>
        <v>37028.61</v>
      </c>
      <c r="W52" s="294">
        <f t="shared" si="4"/>
        <v>42422.77</v>
      </c>
      <c r="X52" s="294">
        <f t="shared" si="4"/>
        <v>9205.17</v>
      </c>
      <c r="Y52" s="294">
        <f t="shared" si="4"/>
        <v>0</v>
      </c>
      <c r="Z52" s="291">
        <f t="shared" si="3"/>
        <v>90956.55</v>
      </c>
    </row>
    <row r="53" spans="1:26" s="269" customFormat="1">
      <c r="A53" s="277">
        <v>2007</v>
      </c>
      <c r="B53" s="290">
        <v>0</v>
      </c>
      <c r="C53" s="290">
        <v>0</v>
      </c>
      <c r="D53" s="290">
        <v>113568.55999999997</v>
      </c>
      <c r="E53" s="290">
        <v>15793.78</v>
      </c>
      <c r="F53" s="290">
        <v>-1069.68</v>
      </c>
      <c r="G53" s="290">
        <v>0</v>
      </c>
      <c r="H53" s="291">
        <f t="shared" si="0"/>
        <v>128292.65999999997</v>
      </c>
      <c r="J53" s="288">
        <v>2007</v>
      </c>
      <c r="K53" s="295">
        <v>0</v>
      </c>
      <c r="L53" s="295">
        <v>0</v>
      </c>
      <c r="M53" s="295">
        <v>0</v>
      </c>
      <c r="N53" s="295">
        <v>0</v>
      </c>
      <c r="O53" s="295">
        <v>0</v>
      </c>
      <c r="P53" s="295">
        <v>0</v>
      </c>
      <c r="Q53" s="293">
        <f t="shared" si="1"/>
        <v>0</v>
      </c>
      <c r="S53" s="277">
        <v>2007</v>
      </c>
      <c r="T53" s="294">
        <f t="shared" si="4"/>
        <v>0</v>
      </c>
      <c r="U53" s="294">
        <f t="shared" si="4"/>
        <v>0</v>
      </c>
      <c r="V53" s="294">
        <f t="shared" si="4"/>
        <v>113568.55999999997</v>
      </c>
      <c r="W53" s="294">
        <f t="shared" si="4"/>
        <v>15793.78</v>
      </c>
      <c r="X53" s="294">
        <f t="shared" si="4"/>
        <v>-1069.68</v>
      </c>
      <c r="Y53" s="294">
        <f t="shared" si="4"/>
        <v>0</v>
      </c>
      <c r="Z53" s="291">
        <f t="shared" si="3"/>
        <v>128292.65999999997</v>
      </c>
    </row>
    <row r="54" spans="1:26" s="269" customFormat="1">
      <c r="A54" s="277">
        <v>2008</v>
      </c>
      <c r="B54" s="290">
        <v>0</v>
      </c>
      <c r="C54" s="290">
        <v>0</v>
      </c>
      <c r="D54" s="290">
        <v>0</v>
      </c>
      <c r="E54" s="290">
        <v>0</v>
      </c>
      <c r="F54" s="290">
        <v>0</v>
      </c>
      <c r="G54" s="290">
        <v>0</v>
      </c>
      <c r="H54" s="291">
        <f t="shared" si="0"/>
        <v>0</v>
      </c>
      <c r="J54" s="288">
        <v>2008</v>
      </c>
      <c r="K54" s="295">
        <v>0</v>
      </c>
      <c r="L54" s="295">
        <v>0</v>
      </c>
      <c r="M54" s="295">
        <v>0</v>
      </c>
      <c r="N54" s="295">
        <v>0</v>
      </c>
      <c r="O54" s="295">
        <v>0</v>
      </c>
      <c r="P54" s="295">
        <v>0</v>
      </c>
      <c r="Q54" s="293">
        <f t="shared" si="1"/>
        <v>0</v>
      </c>
      <c r="S54" s="277">
        <v>2008</v>
      </c>
      <c r="T54" s="294">
        <f t="shared" si="4"/>
        <v>0</v>
      </c>
      <c r="U54" s="294">
        <f t="shared" si="4"/>
        <v>0</v>
      </c>
      <c r="V54" s="294">
        <f t="shared" si="4"/>
        <v>0</v>
      </c>
      <c r="W54" s="294">
        <f t="shared" si="4"/>
        <v>0</v>
      </c>
      <c r="X54" s="294">
        <f t="shared" si="4"/>
        <v>0</v>
      </c>
      <c r="Y54" s="294">
        <f t="shared" si="4"/>
        <v>0</v>
      </c>
      <c r="Z54" s="291">
        <f t="shared" si="3"/>
        <v>0</v>
      </c>
    </row>
    <row r="55" spans="1:26" s="269" customFormat="1">
      <c r="A55" s="277">
        <v>2009</v>
      </c>
      <c r="B55" s="290">
        <v>36164</v>
      </c>
      <c r="C55" s="290">
        <v>0</v>
      </c>
      <c r="D55" s="290">
        <v>0</v>
      </c>
      <c r="E55" s="290">
        <v>65304.6</v>
      </c>
      <c r="F55" s="290">
        <v>0</v>
      </c>
      <c r="G55" s="290">
        <v>0</v>
      </c>
      <c r="H55" s="291">
        <f t="shared" si="0"/>
        <v>101468.6</v>
      </c>
      <c r="J55" s="288">
        <v>2009</v>
      </c>
      <c r="K55" s="295">
        <v>0</v>
      </c>
      <c r="L55" s="295">
        <v>0</v>
      </c>
      <c r="M55" s="295">
        <v>0</v>
      </c>
      <c r="N55" s="295">
        <v>0</v>
      </c>
      <c r="O55" s="295">
        <v>0</v>
      </c>
      <c r="P55" s="295">
        <v>0</v>
      </c>
      <c r="Q55" s="293">
        <f t="shared" si="1"/>
        <v>0</v>
      </c>
      <c r="S55" s="277">
        <v>2009</v>
      </c>
      <c r="T55" s="294">
        <f t="shared" si="4"/>
        <v>36164</v>
      </c>
      <c r="U55" s="294">
        <f t="shared" si="4"/>
        <v>0</v>
      </c>
      <c r="V55" s="294">
        <f t="shared" si="4"/>
        <v>0</v>
      </c>
      <c r="W55" s="294">
        <f t="shared" si="4"/>
        <v>65304.6</v>
      </c>
      <c r="X55" s="294">
        <f t="shared" si="4"/>
        <v>0</v>
      </c>
      <c r="Y55" s="294">
        <f t="shared" si="4"/>
        <v>0</v>
      </c>
      <c r="Z55" s="291">
        <f t="shared" si="3"/>
        <v>101468.6</v>
      </c>
    </row>
    <row r="56" spans="1:26" s="269" customFormat="1">
      <c r="A56" s="277">
        <v>2010</v>
      </c>
      <c r="B56" s="290">
        <v>74334.789999999994</v>
      </c>
      <c r="C56" s="290">
        <v>0</v>
      </c>
      <c r="D56" s="290">
        <v>46750</v>
      </c>
      <c r="E56" s="290">
        <v>0</v>
      </c>
      <c r="F56" s="290">
        <v>0</v>
      </c>
      <c r="G56" s="290">
        <v>0</v>
      </c>
      <c r="H56" s="291">
        <f t="shared" si="0"/>
        <v>121084.79</v>
      </c>
      <c r="J56" s="288">
        <v>2010</v>
      </c>
      <c r="K56" s="295">
        <v>0</v>
      </c>
      <c r="L56" s="295">
        <v>0</v>
      </c>
      <c r="M56" s="295">
        <v>0</v>
      </c>
      <c r="N56" s="295">
        <v>0</v>
      </c>
      <c r="O56" s="295">
        <v>0</v>
      </c>
      <c r="P56" s="295">
        <v>0</v>
      </c>
      <c r="Q56" s="293">
        <f t="shared" si="1"/>
        <v>0</v>
      </c>
      <c r="S56" s="277">
        <v>2010</v>
      </c>
      <c r="T56" s="294">
        <f t="shared" si="4"/>
        <v>74334.789999999994</v>
      </c>
      <c r="U56" s="294">
        <f t="shared" si="4"/>
        <v>0</v>
      </c>
      <c r="V56" s="294">
        <f t="shared" si="4"/>
        <v>46750</v>
      </c>
      <c r="W56" s="294">
        <f t="shared" si="4"/>
        <v>0</v>
      </c>
      <c r="X56" s="294">
        <f t="shared" si="4"/>
        <v>0</v>
      </c>
      <c r="Y56" s="294">
        <f t="shared" si="4"/>
        <v>0</v>
      </c>
      <c r="Z56" s="291">
        <f t="shared" si="3"/>
        <v>121084.79</v>
      </c>
    </row>
    <row r="57" spans="1:26" s="269" customFormat="1" ht="15">
      <c r="A57" s="277">
        <v>2011</v>
      </c>
      <c r="B57" s="290">
        <v>0</v>
      </c>
      <c r="C57" s="290">
        <v>0</v>
      </c>
      <c r="D57" s="290">
        <v>115899.15</v>
      </c>
      <c r="E57" s="290">
        <v>9250</v>
      </c>
      <c r="F57" s="290">
        <v>0</v>
      </c>
      <c r="G57" s="290">
        <v>0</v>
      </c>
      <c r="H57" s="291">
        <f t="shared" si="0"/>
        <v>125149.15</v>
      </c>
      <c r="I57" s="296"/>
      <c r="J57" s="288">
        <v>2011</v>
      </c>
      <c r="K57" s="295">
        <v>0</v>
      </c>
      <c r="L57" s="295">
        <v>0</v>
      </c>
      <c r="M57" s="295">
        <v>0</v>
      </c>
      <c r="N57" s="295">
        <v>0</v>
      </c>
      <c r="O57" s="295">
        <v>0</v>
      </c>
      <c r="P57" s="295">
        <v>0</v>
      </c>
      <c r="Q57" s="293">
        <f t="shared" si="1"/>
        <v>0</v>
      </c>
      <c r="R57" s="296"/>
      <c r="S57" s="277">
        <v>2011</v>
      </c>
      <c r="T57" s="294">
        <f t="shared" si="4"/>
        <v>0</v>
      </c>
      <c r="U57" s="294">
        <f t="shared" si="4"/>
        <v>0</v>
      </c>
      <c r="V57" s="294">
        <f t="shared" si="4"/>
        <v>115899.15</v>
      </c>
      <c r="W57" s="294">
        <f t="shared" si="4"/>
        <v>9250</v>
      </c>
      <c r="X57" s="294">
        <f t="shared" si="4"/>
        <v>0</v>
      </c>
      <c r="Y57" s="294">
        <f t="shared" si="4"/>
        <v>0</v>
      </c>
      <c r="Z57" s="291">
        <f t="shared" si="3"/>
        <v>125149.15</v>
      </c>
    </row>
    <row r="58" spans="1:26" s="269" customFormat="1" ht="15">
      <c r="A58" s="277">
        <v>2012</v>
      </c>
      <c r="B58" s="290">
        <v>0</v>
      </c>
      <c r="C58" s="290">
        <v>0</v>
      </c>
      <c r="D58" s="290">
        <v>0</v>
      </c>
      <c r="E58" s="290">
        <v>236756.67</v>
      </c>
      <c r="F58" s="290">
        <v>0</v>
      </c>
      <c r="G58" s="290">
        <v>0</v>
      </c>
      <c r="H58" s="291">
        <f t="shared" si="0"/>
        <v>236756.67</v>
      </c>
      <c r="I58" s="296"/>
      <c r="J58" s="288">
        <v>2012</v>
      </c>
      <c r="K58" s="295">
        <v>0</v>
      </c>
      <c r="L58" s="295">
        <v>0</v>
      </c>
      <c r="M58" s="295">
        <v>0</v>
      </c>
      <c r="N58" s="295">
        <v>0</v>
      </c>
      <c r="O58" s="295">
        <v>0</v>
      </c>
      <c r="P58" s="295">
        <v>0</v>
      </c>
      <c r="Q58" s="293">
        <f t="shared" ref="Q58:Q63" si="5">SUM(K58:P58)</f>
        <v>0</v>
      </c>
      <c r="R58" s="296"/>
      <c r="S58" s="277">
        <v>2012</v>
      </c>
      <c r="T58" s="294">
        <f t="shared" ref="T58:Y62" si="6">B58+K58</f>
        <v>0</v>
      </c>
      <c r="U58" s="294">
        <f t="shared" si="6"/>
        <v>0</v>
      </c>
      <c r="V58" s="294">
        <f t="shared" si="6"/>
        <v>0</v>
      </c>
      <c r="W58" s="294">
        <f t="shared" si="6"/>
        <v>236756.67</v>
      </c>
      <c r="X58" s="294">
        <f t="shared" si="6"/>
        <v>0</v>
      </c>
      <c r="Y58" s="294">
        <f t="shared" si="6"/>
        <v>0</v>
      </c>
      <c r="Z58" s="291">
        <f t="shared" si="3"/>
        <v>236756.67</v>
      </c>
    </row>
    <row r="59" spans="1:26" s="269" customFormat="1" ht="15">
      <c r="A59" s="277">
        <v>2013</v>
      </c>
      <c r="B59" s="290">
        <v>0</v>
      </c>
      <c r="C59" s="290">
        <v>0</v>
      </c>
      <c r="D59" s="290">
        <v>0</v>
      </c>
      <c r="E59" s="290">
        <v>0</v>
      </c>
      <c r="F59" s="290">
        <v>0</v>
      </c>
      <c r="G59" s="290">
        <v>0</v>
      </c>
      <c r="H59" s="291">
        <f t="shared" si="0"/>
        <v>0</v>
      </c>
      <c r="I59" s="296"/>
      <c r="J59" s="288">
        <v>2013</v>
      </c>
      <c r="K59" s="295">
        <v>0</v>
      </c>
      <c r="L59" s="295">
        <v>0</v>
      </c>
      <c r="M59" s="295">
        <v>0</v>
      </c>
      <c r="N59" s="295">
        <v>0</v>
      </c>
      <c r="O59" s="295">
        <v>0</v>
      </c>
      <c r="P59" s="295">
        <v>0</v>
      </c>
      <c r="Q59" s="293">
        <f t="shared" si="5"/>
        <v>0</v>
      </c>
      <c r="R59" s="296"/>
      <c r="S59" s="277">
        <v>2013</v>
      </c>
      <c r="T59" s="294">
        <f t="shared" si="6"/>
        <v>0</v>
      </c>
      <c r="U59" s="294">
        <f t="shared" si="6"/>
        <v>0</v>
      </c>
      <c r="V59" s="294">
        <f t="shared" si="6"/>
        <v>0</v>
      </c>
      <c r="W59" s="294">
        <f t="shared" si="6"/>
        <v>0</v>
      </c>
      <c r="X59" s="294">
        <f t="shared" si="6"/>
        <v>0</v>
      </c>
      <c r="Y59" s="294">
        <f t="shared" si="6"/>
        <v>0</v>
      </c>
      <c r="Z59" s="291">
        <f>SUM(T59:Y59)</f>
        <v>0</v>
      </c>
    </row>
    <row r="60" spans="1:26" s="269" customFormat="1" ht="15">
      <c r="A60" s="277">
        <v>2014</v>
      </c>
      <c r="B60" s="290">
        <v>0</v>
      </c>
      <c r="C60" s="290">
        <v>0</v>
      </c>
      <c r="D60" s="290">
        <v>0</v>
      </c>
      <c r="E60" s="290">
        <v>0</v>
      </c>
      <c r="F60" s="290">
        <v>0</v>
      </c>
      <c r="G60" s="290">
        <v>0</v>
      </c>
      <c r="H60" s="291">
        <f t="shared" si="0"/>
        <v>0</v>
      </c>
      <c r="I60" s="296"/>
      <c r="J60" s="288">
        <v>2014</v>
      </c>
      <c r="K60" s="295">
        <v>0</v>
      </c>
      <c r="L60" s="295">
        <v>0</v>
      </c>
      <c r="M60" s="295">
        <v>0</v>
      </c>
      <c r="N60" s="295">
        <v>0</v>
      </c>
      <c r="O60" s="295">
        <v>0</v>
      </c>
      <c r="P60" s="295">
        <v>0</v>
      </c>
      <c r="Q60" s="293">
        <f t="shared" si="5"/>
        <v>0</v>
      </c>
      <c r="R60" s="296"/>
      <c r="S60" s="277">
        <v>2014</v>
      </c>
      <c r="T60" s="294">
        <f t="shared" si="6"/>
        <v>0</v>
      </c>
      <c r="U60" s="294">
        <f t="shared" si="6"/>
        <v>0</v>
      </c>
      <c r="V60" s="294">
        <f t="shared" si="6"/>
        <v>0</v>
      </c>
      <c r="W60" s="294">
        <f t="shared" si="6"/>
        <v>0</v>
      </c>
      <c r="X60" s="294">
        <f t="shared" si="6"/>
        <v>0</v>
      </c>
      <c r="Y60" s="294">
        <f t="shared" si="6"/>
        <v>0</v>
      </c>
      <c r="Z60" s="291">
        <f>SUM(T60:Y60)</f>
        <v>0</v>
      </c>
    </row>
    <row r="61" spans="1:26" s="269" customFormat="1" ht="15">
      <c r="A61" s="277">
        <v>2015</v>
      </c>
      <c r="B61" s="290">
        <v>0</v>
      </c>
      <c r="C61" s="290">
        <v>0</v>
      </c>
      <c r="D61" s="290">
        <v>0</v>
      </c>
      <c r="E61" s="290">
        <v>208148.75</v>
      </c>
      <c r="F61" s="290">
        <v>0</v>
      </c>
      <c r="G61" s="290">
        <v>0</v>
      </c>
      <c r="H61" s="291">
        <f t="shared" si="0"/>
        <v>208148.75</v>
      </c>
      <c r="I61" s="296"/>
      <c r="J61" s="288">
        <v>2015</v>
      </c>
      <c r="K61" s="295">
        <v>0</v>
      </c>
      <c r="L61" s="295">
        <v>0</v>
      </c>
      <c r="M61" s="295">
        <v>0</v>
      </c>
      <c r="N61" s="295">
        <v>0</v>
      </c>
      <c r="O61" s="295">
        <v>0</v>
      </c>
      <c r="P61" s="295">
        <v>0</v>
      </c>
      <c r="Q61" s="293">
        <f t="shared" si="5"/>
        <v>0</v>
      </c>
      <c r="R61" s="296"/>
      <c r="S61" s="277">
        <v>2015</v>
      </c>
      <c r="T61" s="294">
        <f t="shared" si="6"/>
        <v>0</v>
      </c>
      <c r="U61" s="294">
        <f t="shared" si="6"/>
        <v>0</v>
      </c>
      <c r="V61" s="294">
        <f t="shared" si="6"/>
        <v>0</v>
      </c>
      <c r="W61" s="294">
        <f t="shared" si="6"/>
        <v>208148.75</v>
      </c>
      <c r="X61" s="294">
        <f t="shared" si="6"/>
        <v>0</v>
      </c>
      <c r="Y61" s="294">
        <f t="shared" si="6"/>
        <v>0</v>
      </c>
      <c r="Z61" s="291">
        <f>SUM(T61:Y61)</f>
        <v>208148.75</v>
      </c>
    </row>
    <row r="62" spans="1:26" s="269" customFormat="1" ht="15">
      <c r="A62" s="277">
        <v>2016</v>
      </c>
      <c r="B62" s="291">
        <v>0</v>
      </c>
      <c r="C62" s="291">
        <v>179261.36</v>
      </c>
      <c r="D62" s="291">
        <v>14400</v>
      </c>
      <c r="E62" s="291">
        <v>930716.19</v>
      </c>
      <c r="F62" s="291">
        <v>0</v>
      </c>
      <c r="G62" s="291">
        <v>0</v>
      </c>
      <c r="H62" s="291">
        <f t="shared" si="0"/>
        <v>1124377.5499999998</v>
      </c>
      <c r="I62" s="296"/>
      <c r="J62" s="298">
        <f>A62</f>
        <v>2016</v>
      </c>
      <c r="K62" s="295">
        <v>0</v>
      </c>
      <c r="L62" s="295">
        <v>0</v>
      </c>
      <c r="M62" s="295">
        <v>0</v>
      </c>
      <c r="N62" s="295">
        <v>0</v>
      </c>
      <c r="O62" s="295">
        <v>0</v>
      </c>
      <c r="P62" s="295">
        <v>0</v>
      </c>
      <c r="Q62" s="293">
        <f t="shared" si="5"/>
        <v>0</v>
      </c>
      <c r="R62" s="296"/>
      <c r="S62" s="277">
        <v>2016</v>
      </c>
      <c r="T62" s="294">
        <f t="shared" si="6"/>
        <v>0</v>
      </c>
      <c r="U62" s="294">
        <f t="shared" si="6"/>
        <v>179261.36</v>
      </c>
      <c r="V62" s="294">
        <f t="shared" si="6"/>
        <v>14400</v>
      </c>
      <c r="W62" s="294">
        <f t="shared" si="6"/>
        <v>930716.19</v>
      </c>
      <c r="X62" s="294">
        <f t="shared" si="6"/>
        <v>0</v>
      </c>
      <c r="Y62" s="294">
        <f t="shared" si="6"/>
        <v>0</v>
      </c>
      <c r="Z62" s="294">
        <f>SUM(T62:Y62)</f>
        <v>1124377.5499999998</v>
      </c>
    </row>
    <row r="63" spans="1:26" s="269" customFormat="1" ht="15">
      <c r="A63" s="277">
        <v>2017</v>
      </c>
      <c r="B63" s="297">
        <v>0</v>
      </c>
      <c r="C63" s="297">
        <v>0</v>
      </c>
      <c r="D63" s="297">
        <v>0</v>
      </c>
      <c r="E63" s="297">
        <v>0</v>
      </c>
      <c r="F63" s="297">
        <v>0</v>
      </c>
      <c r="G63" s="297">
        <f t="shared" ref="G63" si="7">+Y62</f>
        <v>0</v>
      </c>
      <c r="H63" s="297">
        <f>SUM(B63:G63)</f>
        <v>0</v>
      </c>
      <c r="I63" s="296"/>
      <c r="J63" s="288">
        <v>2017</v>
      </c>
      <c r="K63" s="295">
        <v>0.34</v>
      </c>
      <c r="L63" s="295">
        <v>-4279.45</v>
      </c>
      <c r="M63" s="295">
        <v>1709234</v>
      </c>
      <c r="N63" s="295">
        <v>-105395</v>
      </c>
      <c r="O63" s="295">
        <v>-94216</v>
      </c>
      <c r="P63" s="295">
        <v>0</v>
      </c>
      <c r="Q63" s="293">
        <f t="shared" si="5"/>
        <v>1505343.89</v>
      </c>
      <c r="R63" s="296"/>
      <c r="S63" s="493">
        <v>2017</v>
      </c>
      <c r="T63" s="494">
        <f t="shared" ref="T63" si="8">B63+K63</f>
        <v>0.34</v>
      </c>
      <c r="U63" s="494">
        <f t="shared" ref="U63" si="9">C63+L63</f>
        <v>-4279.45</v>
      </c>
      <c r="V63" s="494">
        <f t="shared" ref="V63" si="10">D63+M63</f>
        <v>1709234</v>
      </c>
      <c r="W63" s="494">
        <f t="shared" ref="W63" si="11">E63+N63</f>
        <v>-105395</v>
      </c>
      <c r="X63" s="494">
        <f t="shared" ref="X63" si="12">F63+O63</f>
        <v>-94216</v>
      </c>
      <c r="Y63" s="494">
        <f t="shared" ref="Y63" si="13">G63+P63</f>
        <v>0</v>
      </c>
      <c r="Z63" s="494">
        <f>SUM(T63:Y63)</f>
        <v>1505343.89</v>
      </c>
    </row>
    <row r="64" spans="1:26" s="269" customFormat="1" ht="15">
      <c r="A64" s="277" t="s">
        <v>9</v>
      </c>
      <c r="B64" s="300">
        <f t="shared" ref="B64:H64" si="14">SUM(B8:B63)</f>
        <v>133296.78999999998</v>
      </c>
      <c r="C64" s="300">
        <f t="shared" si="14"/>
        <v>183540.81</v>
      </c>
      <c r="D64" s="300">
        <f t="shared" si="14"/>
        <v>2083360.32</v>
      </c>
      <c r="E64" s="300">
        <f t="shared" si="14"/>
        <v>2387417.5700000003</v>
      </c>
      <c r="F64" s="300">
        <f t="shared" si="14"/>
        <v>436503.49</v>
      </c>
      <c r="G64" s="300">
        <f t="shared" si="14"/>
        <v>0</v>
      </c>
      <c r="H64" s="300">
        <f t="shared" si="14"/>
        <v>5224118.9800000004</v>
      </c>
      <c r="J64" s="288" t="s">
        <v>9</v>
      </c>
      <c r="K64" s="301">
        <f t="shared" ref="K64:Q64" si="15">SUM(K8:K63)</f>
        <v>0.34</v>
      </c>
      <c r="L64" s="301">
        <f t="shared" si="15"/>
        <v>-4279.45</v>
      </c>
      <c r="M64" s="301">
        <f t="shared" si="15"/>
        <v>1709234</v>
      </c>
      <c r="N64" s="301">
        <f t="shared" si="15"/>
        <v>-105395</v>
      </c>
      <c r="O64" s="301">
        <f t="shared" si="15"/>
        <v>-94216</v>
      </c>
      <c r="P64" s="301">
        <f t="shared" si="15"/>
        <v>0</v>
      </c>
      <c r="Q64" s="301">
        <f t="shared" si="15"/>
        <v>1505343.89</v>
      </c>
      <c r="S64" s="277" t="s">
        <v>9</v>
      </c>
      <c r="T64" s="302">
        <f t="shared" ref="T64:Z64" si="16">SUM(T8:T63)</f>
        <v>133297.12999999998</v>
      </c>
      <c r="U64" s="302">
        <f t="shared" si="16"/>
        <v>179261.36</v>
      </c>
      <c r="V64" s="302">
        <f t="shared" si="16"/>
        <v>3792594.3200000003</v>
      </c>
      <c r="W64" s="302">
        <f t="shared" si="16"/>
        <v>2282022.5700000003</v>
      </c>
      <c r="X64" s="302">
        <f t="shared" si="16"/>
        <v>342287.49</v>
      </c>
      <c r="Y64" s="302">
        <f t="shared" si="16"/>
        <v>0</v>
      </c>
      <c r="Z64" s="302">
        <f t="shared" si="16"/>
        <v>6729462.8700000001</v>
      </c>
    </row>
    <row r="65" spans="10:17">
      <c r="J65" s="303"/>
      <c r="K65" s="303"/>
      <c r="L65" s="303"/>
      <c r="M65" s="303"/>
      <c r="N65" s="303"/>
      <c r="O65" s="303"/>
      <c r="P65" s="303"/>
      <c r="Q65" s="303"/>
    </row>
  </sheetData>
  <printOptions horizontalCentered="1"/>
  <pageMargins left="0.7" right="0.7" top="0.75" bottom="0.75" header="0.3" footer="0.3"/>
  <pageSetup scale="80" orientation="portrait" r:id="rId1"/>
  <colBreaks count="2" manualBreakCount="2">
    <brk id="9" max="1048575" man="1"/>
    <brk id="18" max="1048575" man="1"/>
  </col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9"/>
  <sheetViews>
    <sheetView zoomScaleNormal="100" workbookViewId="0">
      <selection activeCell="J31" sqref="J31"/>
    </sheetView>
  </sheetViews>
  <sheetFormatPr defaultRowHeight="12.75"/>
  <cols>
    <col min="1" max="1" width="20.88671875" style="416" customWidth="1"/>
    <col min="2" max="2" width="12.33203125" style="426" bestFit="1" customWidth="1"/>
    <col min="3" max="3" width="13.6640625" style="426" bestFit="1" customWidth="1"/>
    <col min="4" max="4" width="12.33203125" style="426" bestFit="1" customWidth="1"/>
    <col min="5" max="5" width="13.5546875" style="416" customWidth="1"/>
    <col min="6" max="6" width="12.33203125" style="416" bestFit="1" customWidth="1"/>
    <col min="7" max="16384" width="8.88671875" style="416"/>
  </cols>
  <sheetData>
    <row r="1" spans="1:6">
      <c r="A1" s="418" t="s">
        <v>3114</v>
      </c>
    </row>
    <row r="2" spans="1:6">
      <c r="A2" s="418" t="s">
        <v>3113</v>
      </c>
    </row>
    <row r="3" spans="1:6">
      <c r="A3" s="418" t="s">
        <v>3115</v>
      </c>
    </row>
    <row r="4" spans="1:6">
      <c r="A4" s="418" t="str">
        <f>'Cash Flow - EIA 412'!K4</f>
        <v>For the 12 months ended 12/31/17</v>
      </c>
    </row>
    <row r="7" spans="1:6">
      <c r="A7" s="425" t="s">
        <v>3122</v>
      </c>
      <c r="B7" s="427"/>
      <c r="C7" s="427"/>
      <c r="D7" s="427"/>
      <c r="E7" s="427"/>
      <c r="F7" s="427"/>
    </row>
    <row r="8" spans="1:6">
      <c r="B8" s="417" t="s">
        <v>3113</v>
      </c>
      <c r="C8" s="468" t="s">
        <v>3175</v>
      </c>
      <c r="D8" s="468" t="s">
        <v>3117</v>
      </c>
      <c r="F8" s="417" t="s">
        <v>3118</v>
      </c>
    </row>
    <row r="9" spans="1:6">
      <c r="A9" s="416" t="s">
        <v>3116</v>
      </c>
      <c r="B9" s="426">
        <f>'Cash Flow - EIA 412'!D150</f>
        <v>1648960469.8900001</v>
      </c>
      <c r="C9" s="469">
        <f>-'CELP Assets'!Z64-'Peru Assets'!Z64</f>
        <v>-8451434.8900000006</v>
      </c>
      <c r="D9" s="469">
        <f>'Electric Plant'!J20</f>
        <v>1640509035</v>
      </c>
      <c r="F9" s="473">
        <f>B9+C9-D9</f>
        <v>0</v>
      </c>
    </row>
    <row r="10" spans="1:6">
      <c r="C10" s="469"/>
      <c r="D10" s="469"/>
    </row>
    <row r="11" spans="1:6" ht="25.5">
      <c r="B11" s="417" t="s">
        <v>3113</v>
      </c>
      <c r="C11" s="470" t="s">
        <v>3177</v>
      </c>
      <c r="D11" s="470" t="s">
        <v>3185</v>
      </c>
      <c r="E11" s="417" t="s">
        <v>3176</v>
      </c>
      <c r="F11" s="417" t="s">
        <v>3118</v>
      </c>
    </row>
    <row r="12" spans="1:6">
      <c r="A12" s="416" t="s">
        <v>3116</v>
      </c>
      <c r="B12" s="426">
        <f>'Cash Flow - EIA 412'!D150</f>
        <v>1648960469.8900001</v>
      </c>
      <c r="C12" s="469">
        <f>-'CELP Assets'!Z64-'Peru Assets'!Z64</f>
        <v>-8451434.8900000006</v>
      </c>
      <c r="D12" s="471">
        <f>'Electric Plant'!I11</f>
        <v>12718911</v>
      </c>
      <c r="E12" s="426">
        <f>'Balance sheet'!C11</f>
        <v>1653227947.1099999</v>
      </c>
      <c r="F12" s="473">
        <f>B12+C12+D12-E12</f>
        <v>-1.1099998950958252</v>
      </c>
    </row>
    <row r="16" spans="1:6">
      <c r="A16" s="425" t="s">
        <v>3123</v>
      </c>
      <c r="B16" s="427"/>
      <c r="C16" s="427"/>
      <c r="D16" s="427"/>
      <c r="E16" s="427"/>
      <c r="F16" s="427"/>
    </row>
    <row r="17" spans="1:6">
      <c r="B17" s="417" t="s">
        <v>3113</v>
      </c>
      <c r="C17" s="417" t="s">
        <v>3111</v>
      </c>
      <c r="D17" s="416"/>
      <c r="F17" s="417" t="s">
        <v>3118</v>
      </c>
    </row>
    <row r="18" spans="1:6">
      <c r="A18" s="416" t="s">
        <v>3124</v>
      </c>
      <c r="B18" s="426">
        <f>'Cash Flow - EIA 412'!D101</f>
        <v>3153616.0900000003</v>
      </c>
      <c r="C18" s="426">
        <f>Taxes!C8</f>
        <v>3153616.0900000003</v>
      </c>
      <c r="D18" s="416"/>
      <c r="F18" s="473">
        <f>B18-C18</f>
        <v>0</v>
      </c>
    </row>
    <row r="20" spans="1:6">
      <c r="B20" s="417" t="s">
        <v>3113</v>
      </c>
      <c r="C20" s="417" t="s">
        <v>3144</v>
      </c>
      <c r="D20" s="416"/>
      <c r="F20" s="417" t="s">
        <v>3118</v>
      </c>
    </row>
    <row r="21" spans="1:6">
      <c r="A21" s="416" t="s">
        <v>3143</v>
      </c>
      <c r="B21" s="426">
        <f>'Cash Flow - EIA 412'!I204</f>
        <v>243000</v>
      </c>
      <c r="C21" s="426">
        <f>'Revenue Credits'!E40</f>
        <v>243000</v>
      </c>
      <c r="D21" s="416"/>
      <c r="F21" s="473">
        <f>B21-C21</f>
        <v>0</v>
      </c>
    </row>
    <row r="23" spans="1:6">
      <c r="B23" s="417" t="s">
        <v>3113</v>
      </c>
      <c r="C23" s="417" t="s">
        <v>3145</v>
      </c>
      <c r="F23" s="417" t="s">
        <v>3118</v>
      </c>
    </row>
    <row r="24" spans="1:6">
      <c r="A24" s="416" t="s">
        <v>3178</v>
      </c>
      <c r="B24" s="426">
        <f>'Cash Flow - EIA 412'!D77</f>
        <v>42355487.239999995</v>
      </c>
      <c r="C24" s="426">
        <f>'Op &amp; Maint'!F21</f>
        <v>42355487.239999995</v>
      </c>
      <c r="F24" s="473">
        <f>B24-C24</f>
        <v>0</v>
      </c>
    </row>
    <row r="26" spans="1:6">
      <c r="B26" s="417" t="s">
        <v>3113</v>
      </c>
      <c r="C26" s="417" t="s">
        <v>3145</v>
      </c>
      <c r="F26" s="417" t="s">
        <v>3118</v>
      </c>
    </row>
    <row r="27" spans="1:6">
      <c r="A27" s="416" t="s">
        <v>3179</v>
      </c>
      <c r="B27" s="426">
        <f>'Cash Flow - EIA 412'!D80</f>
        <v>9340535.4499999974</v>
      </c>
      <c r="C27" s="426">
        <f>'Op &amp; Maint'!F29</f>
        <v>9340535.4499999974</v>
      </c>
      <c r="F27" s="473">
        <f>B27-C27</f>
        <v>0</v>
      </c>
    </row>
    <row r="30" spans="1:6">
      <c r="A30" s="425" t="s">
        <v>3125</v>
      </c>
      <c r="B30" s="427"/>
      <c r="C30" s="427"/>
      <c r="D30" s="427"/>
      <c r="E30" s="427"/>
      <c r="F30" s="427"/>
    </row>
    <row r="31" spans="1:6">
      <c r="B31" s="417" t="s">
        <v>3110</v>
      </c>
      <c r="C31" s="417" t="s">
        <v>3109</v>
      </c>
      <c r="D31" s="416"/>
      <c r="F31" s="417" t="s">
        <v>3118</v>
      </c>
    </row>
    <row r="32" spans="1:6">
      <c r="A32" s="416" t="s">
        <v>432</v>
      </c>
      <c r="B32" s="426">
        <f>ROUND('Income Statement'!C31,2)</f>
        <v>23157660.370000001</v>
      </c>
      <c r="C32" s="426">
        <f>ROUND('Trial Balance'!E1517,2)</f>
        <v>23157660.370000001</v>
      </c>
      <c r="D32" s="416"/>
      <c r="F32" s="473">
        <f>B32-C32</f>
        <v>0</v>
      </c>
    </row>
    <row r="33" spans="1:6">
      <c r="F33" s="426"/>
    </row>
    <row r="34" spans="1:6">
      <c r="B34" s="417" t="s">
        <v>3110</v>
      </c>
      <c r="C34" s="417" t="s">
        <v>3145</v>
      </c>
      <c r="D34" s="416"/>
      <c r="F34" s="417" t="s">
        <v>3118</v>
      </c>
    </row>
    <row r="35" spans="1:6">
      <c r="A35" s="416" t="s">
        <v>3146</v>
      </c>
      <c r="B35" s="426">
        <f>'Income Statement'!C10+'Income Statement'!C11</f>
        <v>309464969.13999993</v>
      </c>
      <c r="C35" s="426">
        <f>'Op &amp; Maint'!C19+'Op &amp; Maint'!D31+'Op &amp; Maint'!E31</f>
        <v>309464969.13999993</v>
      </c>
      <c r="D35" s="416"/>
      <c r="F35" s="473">
        <f t="shared" ref="F35" si="0">B35-C35</f>
        <v>0</v>
      </c>
    </row>
    <row r="36" spans="1:6">
      <c r="D36" s="416"/>
      <c r="F36" s="426"/>
    </row>
    <row r="37" spans="1:6">
      <c r="B37" s="417" t="s">
        <v>3131</v>
      </c>
      <c r="C37" s="417" t="s">
        <v>3117</v>
      </c>
      <c r="D37" s="416"/>
      <c r="F37" s="417" t="s">
        <v>3118</v>
      </c>
    </row>
    <row r="38" spans="1:6">
      <c r="A38" s="416" t="s">
        <v>3148</v>
      </c>
      <c r="B38" s="457">
        <f>'Balance sheet'!C11</f>
        <v>1653227947.1099999</v>
      </c>
      <c r="C38" s="457">
        <f>'Electric Plant'!H20</f>
        <v>1653227946</v>
      </c>
      <c r="D38" s="458"/>
      <c r="E38" s="458"/>
      <c r="F38" s="473">
        <f t="shared" ref="F38:F40" si="1">B38-C38</f>
        <v>1.1099998950958252</v>
      </c>
    </row>
    <row r="39" spans="1:6">
      <c r="A39" s="416" t="s">
        <v>3147</v>
      </c>
      <c r="B39" s="457">
        <f>'Balance sheet'!C12</f>
        <v>62136249.229999982</v>
      </c>
      <c r="C39" s="457">
        <f>'Electric Plant'!H27</f>
        <v>62136250</v>
      </c>
      <c r="D39" s="458"/>
      <c r="E39" s="458"/>
      <c r="F39" s="473">
        <f t="shared" si="1"/>
        <v>-0.77000001817941666</v>
      </c>
    </row>
    <row r="40" spans="1:6">
      <c r="A40" s="416" t="s">
        <v>3130</v>
      </c>
      <c r="B40" s="457">
        <f>'Balance sheet'!C11+'Balance sheet'!C12</f>
        <v>1715364196.3399999</v>
      </c>
      <c r="C40" s="457">
        <f>'Electric Plant'!H28</f>
        <v>1715364196</v>
      </c>
      <c r="D40" s="458"/>
      <c r="E40" s="458"/>
      <c r="F40" s="473">
        <f t="shared" si="1"/>
        <v>0.33999991416931152</v>
      </c>
    </row>
    <row r="41" spans="1:6">
      <c r="D41" s="416"/>
      <c r="F41" s="426"/>
    </row>
    <row r="42" spans="1:6">
      <c r="B42" s="417" t="s">
        <v>3131</v>
      </c>
      <c r="C42" s="417" t="s">
        <v>3131</v>
      </c>
      <c r="D42" s="416"/>
      <c r="F42" s="417" t="s">
        <v>3118</v>
      </c>
    </row>
    <row r="43" spans="1:6">
      <c r="A43" s="416" t="s">
        <v>3192</v>
      </c>
      <c r="B43" s="457">
        <f>'Balance sheet'!C56</f>
        <v>1883025281.3199997</v>
      </c>
      <c r="C43" s="457">
        <f>'Balance sheet'!F56</f>
        <v>1883025281.3200002</v>
      </c>
      <c r="D43" s="458"/>
      <c r="E43" s="458"/>
      <c r="F43" s="473">
        <f t="shared" ref="F43" si="2">B43-C43</f>
        <v>0</v>
      </c>
    </row>
    <row r="44" spans="1:6">
      <c r="F44" s="426"/>
    </row>
    <row r="45" spans="1:6" ht="25.5">
      <c r="B45" s="430" t="s">
        <v>3133</v>
      </c>
      <c r="C45" s="430" t="s">
        <v>3113</v>
      </c>
      <c r="D45" s="416"/>
      <c r="F45" s="417" t="s">
        <v>3118</v>
      </c>
    </row>
    <row r="46" spans="1:6">
      <c r="A46" s="416" t="s">
        <v>3132</v>
      </c>
      <c r="B46" s="426">
        <f>'Electric Plant'!J17+'CELP Assets'!Z64+'Peru Assets'!Z64</f>
        <v>161620727.89000002</v>
      </c>
      <c r="C46" s="426">
        <f>'Cash Flow - EIA 412'!D146</f>
        <v>161620727.89000002</v>
      </c>
      <c r="D46" s="416"/>
      <c r="F46" s="473">
        <f t="shared" ref="F46:F47" si="3">B46-C46</f>
        <v>0</v>
      </c>
    </row>
    <row r="47" spans="1:6">
      <c r="A47" s="416" t="s">
        <v>3134</v>
      </c>
      <c r="B47" s="426">
        <f>'Electric Plant'!J20+'CELP Assets'!Z64+'Peru Assets'!Z64</f>
        <v>1648960469.8899999</v>
      </c>
      <c r="C47" s="426">
        <f>'Cash Flow - EIA 412'!D150</f>
        <v>1648960469.8900001</v>
      </c>
      <c r="D47" s="416"/>
      <c r="F47" s="473">
        <f t="shared" si="3"/>
        <v>0</v>
      </c>
    </row>
    <row r="49" spans="1:6">
      <c r="B49" s="417" t="s">
        <v>3181</v>
      </c>
      <c r="C49" s="417" t="s">
        <v>3182</v>
      </c>
      <c r="D49" s="417" t="s">
        <v>3183</v>
      </c>
      <c r="E49" s="417" t="s">
        <v>3184</v>
      </c>
      <c r="F49" s="417" t="s">
        <v>3118</v>
      </c>
    </row>
    <row r="50" spans="1:6">
      <c r="A50" s="416" t="s">
        <v>3180</v>
      </c>
      <c r="B50" s="456">
        <f>ROUND('Cash Flow - EIA 412'!G150,5)</f>
        <v>9.3060000000000004E-2</v>
      </c>
      <c r="C50" s="456">
        <f>ROUND('Cash Flow - EIA 412'!I175,5)</f>
        <v>9.3060000000000004E-2</v>
      </c>
      <c r="D50" s="456">
        <f>ROUND('Cash Flow - EIA 412'!I179,5)</f>
        <v>9.3060000000000004E-2</v>
      </c>
      <c r="E50" s="456">
        <f>ROUND('Cash Flow - EIA 412'!K179,5)</f>
        <v>9.3060000000000004E-2</v>
      </c>
      <c r="F50" s="472" t="str">
        <f>IF(B50=C50,IF(C50=D50,IF(D50=E50,"Good","Not Matched"),"Not Matched"),"Not Matched")</f>
        <v>Good</v>
      </c>
    </row>
    <row r="52" spans="1:6">
      <c r="B52" s="417" t="s">
        <v>3109</v>
      </c>
      <c r="C52" s="417" t="s">
        <v>3110</v>
      </c>
      <c r="D52" s="417" t="s">
        <v>3145</v>
      </c>
      <c r="F52" s="417" t="s">
        <v>3118</v>
      </c>
    </row>
    <row r="53" spans="1:6">
      <c r="A53" s="416" t="s">
        <v>3193</v>
      </c>
      <c r="B53" s="406">
        <f>'Trial Balance'!E1252</f>
        <v>27219444.210000001</v>
      </c>
      <c r="C53" s="237">
        <f>'Income Statement'!C11</f>
        <v>27219444.210000001</v>
      </c>
      <c r="D53" s="237">
        <f>'Op &amp; Maint'!E31</f>
        <v>27219444.210000001</v>
      </c>
      <c r="F53" s="472" t="str">
        <f>IF(B53=C53,IF(C53=D53,"Good","Not Matched"),"Not Matched")</f>
        <v>Good</v>
      </c>
    </row>
    <row r="55" spans="1:6">
      <c r="B55" s="417" t="s">
        <v>3109</v>
      </c>
      <c r="C55" s="417" t="s">
        <v>3195</v>
      </c>
      <c r="D55" s="417" t="s">
        <v>3110</v>
      </c>
      <c r="F55" s="417" t="s">
        <v>3118</v>
      </c>
    </row>
    <row r="56" spans="1:6">
      <c r="A56" s="416" t="s">
        <v>3194</v>
      </c>
      <c r="B56" s="406">
        <f>'Trial Balance'!E720+'Trial Balance'!E756+'Trial Balance'!E904+'Trial Balance'!E998+'Trial Balance'!E1182</f>
        <v>294451992.56999993</v>
      </c>
      <c r="C56" s="426">
        <f>-SUM('Trial Balance'!H1313:H1326)</f>
        <v>-9052851.5500000007</v>
      </c>
      <c r="D56" s="426">
        <f>'Income Statement'!C10+'Income Statement'!C14</f>
        <v>285399141.01999992</v>
      </c>
      <c r="F56" s="473">
        <f>B56+C56-D56</f>
        <v>0</v>
      </c>
    </row>
    <row r="58" spans="1:6">
      <c r="B58" s="417" t="s">
        <v>3196</v>
      </c>
      <c r="C58" s="417" t="s">
        <v>3145</v>
      </c>
      <c r="D58" s="416"/>
      <c r="F58" s="417" t="s">
        <v>3118</v>
      </c>
    </row>
    <row r="59" spans="1:6">
      <c r="A59" s="416" t="s">
        <v>3194</v>
      </c>
      <c r="B59" s="426">
        <f>'Income Statement'!C10</f>
        <v>282245524.92999995</v>
      </c>
      <c r="C59" s="426">
        <f>'Op &amp; Maint'!C19+'Op &amp; Maint'!D31</f>
        <v>282245524.92999995</v>
      </c>
      <c r="F59" s="473">
        <f>B59-C59</f>
        <v>0</v>
      </c>
    </row>
  </sheetData>
  <conditionalFormatting sqref="F50">
    <cfRule type="cellIs" dxfId="14" priority="19" operator="equal">
      <formula>"Not Matched"</formula>
    </cfRule>
  </conditionalFormatting>
  <conditionalFormatting sqref="F9">
    <cfRule type="cellIs" dxfId="13" priority="18" operator="notBetween">
      <formula>-1</formula>
      <formula>1</formula>
    </cfRule>
  </conditionalFormatting>
  <conditionalFormatting sqref="F12">
    <cfRule type="cellIs" dxfId="12" priority="17" operator="notBetween">
      <formula>-1</formula>
      <formula>1</formula>
    </cfRule>
  </conditionalFormatting>
  <conditionalFormatting sqref="F18">
    <cfRule type="cellIs" dxfId="11" priority="16" operator="notBetween">
      <formula>-1</formula>
      <formula>1</formula>
    </cfRule>
  </conditionalFormatting>
  <conditionalFormatting sqref="F21">
    <cfRule type="cellIs" dxfId="10" priority="15" operator="notBetween">
      <formula>-1</formula>
      <formula>1</formula>
    </cfRule>
  </conditionalFormatting>
  <conditionalFormatting sqref="F24">
    <cfRule type="cellIs" dxfId="9" priority="14" operator="notBetween">
      <formula>-1</formula>
      <formula>1</formula>
    </cfRule>
  </conditionalFormatting>
  <conditionalFormatting sqref="F27">
    <cfRule type="cellIs" dxfId="8" priority="13" operator="notBetween">
      <formula>-1</formula>
      <formula>1</formula>
    </cfRule>
  </conditionalFormatting>
  <conditionalFormatting sqref="F32">
    <cfRule type="cellIs" dxfId="7" priority="12" operator="notBetween">
      <formula>-1</formula>
      <formula>1</formula>
    </cfRule>
  </conditionalFormatting>
  <conditionalFormatting sqref="F38:F40">
    <cfRule type="cellIs" dxfId="6" priority="11" operator="notBetween">
      <formula>-1</formula>
      <formula>1</formula>
    </cfRule>
  </conditionalFormatting>
  <conditionalFormatting sqref="F46:F47">
    <cfRule type="cellIs" dxfId="5" priority="10" operator="notBetween">
      <formula>-1</formula>
      <formula>1</formula>
    </cfRule>
  </conditionalFormatting>
  <conditionalFormatting sqref="F35">
    <cfRule type="cellIs" dxfId="4" priority="9" operator="notBetween">
      <formula>-1</formula>
      <formula>1</formula>
    </cfRule>
  </conditionalFormatting>
  <conditionalFormatting sqref="F43">
    <cfRule type="cellIs" dxfId="3" priority="7" operator="notBetween">
      <formula>-1</formula>
      <formula>1</formula>
    </cfRule>
  </conditionalFormatting>
  <conditionalFormatting sqref="F53">
    <cfRule type="cellIs" dxfId="2" priority="5" operator="equal">
      <formula>"Not Matched"</formula>
    </cfRule>
  </conditionalFormatting>
  <conditionalFormatting sqref="F56">
    <cfRule type="cellIs" dxfId="1" priority="4" operator="notBetween">
      <formula>-1</formula>
      <formula>1</formula>
    </cfRule>
  </conditionalFormatting>
  <conditionalFormatting sqref="F59">
    <cfRule type="cellIs" dxfId="0" priority="1" operator="notBetween">
      <formula>-1</formula>
      <formula>1</formula>
    </cfRule>
  </conditionalFormatting>
  <pageMargins left="0.7" right="0.7" top="0.75" bottom="0.75" header="0.3" footer="0.3"/>
  <pageSetup scale="89" orientation="portrait" r:id="rId1"/>
  <headerFooter>
    <oddFooter>&amp;L&amp;"Calibri,Regular"&amp;8&amp;Z&amp;F
&amp;A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74"/>
  <sheetViews>
    <sheetView tabSelected="1" zoomScaleNormal="100" workbookViewId="0">
      <pane ySplit="5" topLeftCell="A6" activePane="bottomLeft" state="frozen"/>
      <selection activeCell="D146" sqref="D146"/>
      <selection pane="bottomLeft" activeCell="A6" sqref="A6"/>
    </sheetView>
  </sheetViews>
  <sheetFormatPr defaultRowHeight="12.75"/>
  <cols>
    <col min="1" max="1" width="8.88671875" style="451"/>
    <col min="2" max="2" width="8.88671875" style="448"/>
    <col min="3" max="3" width="46.6640625" style="453" customWidth="1"/>
    <col min="4" max="5" width="12.33203125" style="454" bestFit="1" customWidth="1"/>
    <col min="6" max="6" width="10.44140625" style="454" customWidth="1"/>
    <col min="7" max="7" width="8.88671875" style="452"/>
    <col min="8" max="8" width="6.109375" style="482" bestFit="1" customWidth="1"/>
    <col min="9" max="9" width="8.88671875" style="446" customWidth="1"/>
    <col min="10" max="16384" width="8.88671875" style="446"/>
  </cols>
  <sheetData>
    <row r="1" spans="1:8">
      <c r="A1" s="449" t="s">
        <v>3114</v>
      </c>
      <c r="B1" s="449"/>
      <c r="H1" s="481"/>
    </row>
    <row r="2" spans="1:8">
      <c r="A2" s="449" t="s">
        <v>3163</v>
      </c>
      <c r="B2" s="449"/>
      <c r="H2" s="481"/>
    </row>
    <row r="3" spans="1:8">
      <c r="A3" s="449" t="str">
        <f>'Cash Flow - EIA 412'!K4</f>
        <v>For the 12 months ended 12/31/17</v>
      </c>
      <c r="H3" s="481"/>
    </row>
    <row r="4" spans="1:8">
      <c r="A4" s="450"/>
      <c r="B4" s="450"/>
      <c r="H4" s="481"/>
    </row>
    <row r="5" spans="1:8">
      <c r="A5" s="484" t="s">
        <v>3165</v>
      </c>
      <c r="B5" s="484" t="s">
        <v>3164</v>
      </c>
      <c r="C5" s="484" t="s">
        <v>3169</v>
      </c>
      <c r="D5" s="485" t="str">
        <f>'Trial Balance'!E1</f>
        <v>2017</v>
      </c>
      <c r="E5" s="485" t="str">
        <f>'Trial Balance'!F1</f>
        <v>2016</v>
      </c>
      <c r="F5" s="485" t="s">
        <v>3189</v>
      </c>
      <c r="G5" s="486" t="s">
        <v>3190</v>
      </c>
      <c r="H5" s="486" t="s">
        <v>3174</v>
      </c>
    </row>
    <row r="6" spans="1:8">
      <c r="A6" s="451" t="s">
        <v>3166</v>
      </c>
      <c r="B6" s="448">
        <v>4</v>
      </c>
      <c r="C6" s="453" t="str">
        <f>'Cash Flow - EIA 412'!B16</f>
        <v xml:space="preserve">  Revenues from Grandfathered Interzonal Transactions</v>
      </c>
      <c r="D6" s="454">
        <f>'Cash Flow - EIA 412'!D16</f>
        <v>0</v>
      </c>
      <c r="E6" s="455">
        <v>0</v>
      </c>
      <c r="F6" s="454">
        <f>D6-E6</f>
        <v>0</v>
      </c>
      <c r="G6" s="452">
        <f>IFERROR(F6/E6,0)</f>
        <v>0</v>
      </c>
    </row>
    <row r="7" spans="1:8">
      <c r="A7" s="451" t="s">
        <v>3166</v>
      </c>
      <c r="B7" s="448">
        <v>5</v>
      </c>
      <c r="C7" s="453" t="str">
        <f>'Cash Flow - EIA 412'!B17</f>
        <v xml:space="preserve">  Revenues from service provided by the ISO at a discount</v>
      </c>
      <c r="D7" s="454">
        <f>'Cash Flow - EIA 412'!D17</f>
        <v>0</v>
      </c>
      <c r="E7" s="455">
        <v>0</v>
      </c>
      <c r="F7" s="454">
        <f t="shared" ref="F7:F68" si="0">D7-E7</f>
        <v>0</v>
      </c>
      <c r="G7" s="452">
        <f t="shared" ref="G7:G68" si="1">IFERROR(F7/E7,0)</f>
        <v>0</v>
      </c>
    </row>
    <row r="8" spans="1:8">
      <c r="A8" s="451" t="s">
        <v>3166</v>
      </c>
      <c r="B8" s="448" t="s">
        <v>236</v>
      </c>
      <c r="C8" s="453" t="str">
        <f>'Cash Flow - EIA 412'!B20</f>
        <v>Adjustments to Net Revenue Requirement (Note Z)</v>
      </c>
      <c r="D8" s="454">
        <f>'Cash Flow - EIA 412'!I20</f>
        <v>0</v>
      </c>
      <c r="E8" s="455">
        <v>0</v>
      </c>
      <c r="F8" s="454">
        <f t="shared" si="0"/>
        <v>0</v>
      </c>
      <c r="G8" s="452">
        <f t="shared" si="1"/>
        <v>0</v>
      </c>
    </row>
    <row r="9" spans="1:8">
      <c r="A9" s="451" t="s">
        <v>3166</v>
      </c>
      <c r="B9" s="448" t="s">
        <v>237</v>
      </c>
      <c r="C9" s="453" t="str">
        <f>'Cash Flow - EIA 412'!B21</f>
        <v>Interest on Adjustments (Note AA)</v>
      </c>
      <c r="D9" s="454">
        <f>'Cash Flow - EIA 412'!I21</f>
        <v>0</v>
      </c>
      <c r="E9" s="455">
        <v>0</v>
      </c>
      <c r="F9" s="454">
        <f t="shared" si="0"/>
        <v>0</v>
      </c>
      <c r="G9" s="452">
        <f t="shared" si="1"/>
        <v>0</v>
      </c>
    </row>
    <row r="10" spans="1:8">
      <c r="A10" s="451" t="s">
        <v>3166</v>
      </c>
      <c r="B10" s="448">
        <v>8</v>
      </c>
      <c r="C10" s="453" t="str">
        <f>'Cash Flow - EIA 412'!B27</f>
        <v xml:space="preserve">  Average of 12 coincident system peaks for requirements (RQ) service       </v>
      </c>
      <c r="D10" s="454">
        <f>'Cash Flow - EIA 412'!I27</f>
        <v>481226.66666666669</v>
      </c>
      <c r="E10" s="455">
        <v>489600.00000000006</v>
      </c>
      <c r="F10" s="454">
        <f t="shared" si="0"/>
        <v>-8373.3333333333721</v>
      </c>
      <c r="G10" s="452">
        <f t="shared" si="1"/>
        <v>-1.7102396514161296E-2</v>
      </c>
    </row>
    <row r="11" spans="1:8">
      <c r="A11" s="451" t="s">
        <v>3166</v>
      </c>
      <c r="B11" s="448">
        <v>9</v>
      </c>
      <c r="C11" s="453" t="str">
        <f>'Cash Flow - EIA 412'!B28</f>
        <v xml:space="preserve">  Plus 12 CP of firm bundled sales over one year not in line 8</v>
      </c>
      <c r="D11" s="454">
        <f>'Cash Flow - EIA 412'!I28</f>
        <v>0</v>
      </c>
      <c r="E11" s="455">
        <v>0</v>
      </c>
      <c r="F11" s="454">
        <f t="shared" si="0"/>
        <v>0</v>
      </c>
      <c r="G11" s="452">
        <f t="shared" si="1"/>
        <v>0</v>
      </c>
    </row>
    <row r="12" spans="1:8">
      <c r="A12" s="451" t="s">
        <v>3166</v>
      </c>
      <c r="B12" s="448">
        <v>10</v>
      </c>
      <c r="C12" s="453" t="str">
        <f>'Cash Flow - EIA 412'!B29</f>
        <v xml:space="preserve">  Plus 12 CP of Network Load not in line 8</v>
      </c>
      <c r="D12" s="454">
        <f>'Cash Flow - EIA 412'!I29</f>
        <v>0</v>
      </c>
      <c r="E12" s="455">
        <v>0</v>
      </c>
      <c r="F12" s="454">
        <f t="shared" si="0"/>
        <v>0</v>
      </c>
      <c r="G12" s="452">
        <f t="shared" si="1"/>
        <v>0</v>
      </c>
    </row>
    <row r="13" spans="1:8">
      <c r="A13" s="451" t="s">
        <v>3166</v>
      </c>
      <c r="B13" s="448">
        <v>11</v>
      </c>
      <c r="C13" s="453" t="str">
        <f>'Cash Flow - EIA 412'!B30</f>
        <v xml:space="preserve">  Less 12 CP of firm P-T-P over one year (enter negative)</v>
      </c>
      <c r="D13" s="454">
        <f>'Cash Flow - EIA 412'!I30</f>
        <v>0</v>
      </c>
      <c r="E13" s="455">
        <v>0</v>
      </c>
      <c r="F13" s="454">
        <f t="shared" si="0"/>
        <v>0</v>
      </c>
      <c r="G13" s="452">
        <f t="shared" si="1"/>
        <v>0</v>
      </c>
    </row>
    <row r="14" spans="1:8">
      <c r="A14" s="451" t="s">
        <v>3166</v>
      </c>
      <c r="B14" s="448">
        <v>12</v>
      </c>
      <c r="C14" s="453" t="str">
        <f>'Cash Flow - EIA 412'!B31</f>
        <v xml:space="preserve">  Plus Contract Demand of firm P-T-P over one year</v>
      </c>
      <c r="D14" s="454">
        <f>'Cash Flow - EIA 412'!I31</f>
        <v>0</v>
      </c>
      <c r="E14" s="455">
        <v>0</v>
      </c>
      <c r="F14" s="454">
        <f t="shared" si="0"/>
        <v>0</v>
      </c>
      <c r="G14" s="452">
        <f t="shared" si="1"/>
        <v>0</v>
      </c>
    </row>
    <row r="15" spans="1:8" ht="25.5">
      <c r="A15" s="451" t="s">
        <v>3166</v>
      </c>
      <c r="B15" s="448">
        <v>13</v>
      </c>
      <c r="C15" s="453" t="str">
        <f>'Cash Flow - EIA 412'!B32</f>
        <v xml:space="preserve">  Less Contract Demand from Grandfathered Interzonal transactions over one year (enter negative)  (Note P)</v>
      </c>
      <c r="D15" s="454">
        <f>'Cash Flow - EIA 412'!I32</f>
        <v>0</v>
      </c>
      <c r="E15" s="455">
        <v>0</v>
      </c>
      <c r="F15" s="454">
        <f t="shared" si="0"/>
        <v>0</v>
      </c>
      <c r="G15" s="452">
        <f t="shared" si="1"/>
        <v>0</v>
      </c>
    </row>
    <row r="16" spans="1:8" ht="25.5">
      <c r="A16" s="451" t="s">
        <v>3166</v>
      </c>
      <c r="B16" s="448">
        <v>14</v>
      </c>
      <c r="C16" s="453" t="str">
        <f>'Cash Flow - EIA 412'!B33</f>
        <v xml:space="preserve">  Less 12 CP or Contract Demands from service over one year provided by ISO at a discount (enter negative)</v>
      </c>
      <c r="D16" s="454">
        <f>'Cash Flow - EIA 412'!I33</f>
        <v>0</v>
      </c>
      <c r="E16" s="455">
        <v>0</v>
      </c>
      <c r="F16" s="454">
        <f t="shared" si="0"/>
        <v>0</v>
      </c>
      <c r="G16" s="452">
        <f t="shared" si="1"/>
        <v>0</v>
      </c>
    </row>
    <row r="17" spans="1:7">
      <c r="A17" s="451" t="s">
        <v>3166</v>
      </c>
      <c r="B17" s="448">
        <v>21</v>
      </c>
      <c r="C17" s="453" t="str">
        <f>'Cash Flow - EIA 412'!B45</f>
        <v>FERC Annual Charge ($/MWh)</v>
      </c>
      <c r="D17" s="454">
        <f>'Cash Flow - EIA 412'!D45</f>
        <v>321387.57</v>
      </c>
      <c r="E17" s="455">
        <v>273279.90000000002</v>
      </c>
      <c r="F17" s="454">
        <f t="shared" si="0"/>
        <v>48107.669999999984</v>
      </c>
      <c r="G17" s="452">
        <f t="shared" si="1"/>
        <v>0.17603808403032928</v>
      </c>
    </row>
    <row r="18" spans="1:7">
      <c r="A18" s="451" t="s">
        <v>3166</v>
      </c>
      <c r="B18" s="448">
        <v>22</v>
      </c>
      <c r="C18" s="453" t="str">
        <f>C17</f>
        <v>FERC Annual Charge ($/MWh)</v>
      </c>
      <c r="D18" s="454">
        <f>'Cash Flow - EIA 412'!D46</f>
        <v>0</v>
      </c>
      <c r="E18" s="455">
        <v>0</v>
      </c>
      <c r="F18" s="454">
        <f t="shared" si="0"/>
        <v>0</v>
      </c>
      <c r="G18" s="452">
        <f t="shared" si="1"/>
        <v>0</v>
      </c>
    </row>
    <row r="19" spans="1:7">
      <c r="E19" s="455"/>
      <c r="F19" s="454">
        <f t="shared" si="0"/>
        <v>0</v>
      </c>
      <c r="G19" s="452">
        <f t="shared" si="1"/>
        <v>0</v>
      </c>
    </row>
    <row r="20" spans="1:7">
      <c r="A20" s="451" t="s">
        <v>3167</v>
      </c>
      <c r="B20" s="448">
        <v>1</v>
      </c>
      <c r="C20" s="453" t="str">
        <f>'Cash Flow - EIA 412'!B77</f>
        <v xml:space="preserve">  Transmission </v>
      </c>
      <c r="D20" s="454">
        <f>'Cash Flow - EIA 412'!D77</f>
        <v>42355487.239999995</v>
      </c>
      <c r="E20" s="455">
        <v>36505649.43</v>
      </c>
      <c r="F20" s="454">
        <f t="shared" si="0"/>
        <v>5849837.8099999949</v>
      </c>
      <c r="G20" s="452">
        <f t="shared" si="1"/>
        <v>0.16024472653793287</v>
      </c>
    </row>
    <row r="21" spans="1:7">
      <c r="A21" s="451" t="s">
        <v>3167</v>
      </c>
      <c r="B21" s="448" t="s">
        <v>141</v>
      </c>
      <c r="C21" s="453" t="str">
        <f>'Cash Flow - EIA 412'!B78</f>
        <v>Less LSE Expenses included in Transmission O&amp;M accounts  (Note S)</v>
      </c>
      <c r="D21" s="454">
        <f>'Cash Flow - EIA 412'!D78</f>
        <v>0</v>
      </c>
      <c r="E21" s="455">
        <v>0</v>
      </c>
      <c r="F21" s="454">
        <f t="shared" si="0"/>
        <v>0</v>
      </c>
      <c r="G21" s="452">
        <f t="shared" si="1"/>
        <v>0</v>
      </c>
    </row>
    <row r="22" spans="1:7">
      <c r="A22" s="451" t="s">
        <v>3167</v>
      </c>
      <c r="B22" s="448">
        <v>2</v>
      </c>
      <c r="C22" s="453" t="str">
        <f>'Cash Flow - EIA 412'!B79</f>
        <v xml:space="preserve">     Less Account 565</v>
      </c>
      <c r="D22" s="454">
        <f>'Cash Flow - EIA 412'!D79</f>
        <v>37380882.149999999</v>
      </c>
      <c r="E22" s="455">
        <v>32766620.350000001</v>
      </c>
      <c r="F22" s="454">
        <f t="shared" si="0"/>
        <v>4614261.799999997</v>
      </c>
      <c r="G22" s="452">
        <f t="shared" si="1"/>
        <v>0.14082202408158939</v>
      </c>
    </row>
    <row r="23" spans="1:7">
      <c r="A23" s="451" t="s">
        <v>3167</v>
      </c>
      <c r="B23" s="448">
        <v>3</v>
      </c>
      <c r="C23" s="453" t="str">
        <f>'Cash Flow - EIA 412'!B80</f>
        <v xml:space="preserve">  A&amp;G</v>
      </c>
      <c r="D23" s="454">
        <f>'Cash Flow - EIA 412'!D80</f>
        <v>9340535.4499999974</v>
      </c>
      <c r="E23" s="455">
        <v>8999745.5</v>
      </c>
      <c r="F23" s="454">
        <f t="shared" si="0"/>
        <v>340789.94999999739</v>
      </c>
      <c r="G23" s="452">
        <f t="shared" si="1"/>
        <v>3.7866620783887431E-2</v>
      </c>
    </row>
    <row r="24" spans="1:7">
      <c r="A24" s="451" t="s">
        <v>3167</v>
      </c>
      <c r="B24" s="448">
        <v>4</v>
      </c>
      <c r="C24" s="453" t="str">
        <f>'Cash Flow - EIA 412'!B81</f>
        <v xml:space="preserve">     Less FERC Annual Fees</v>
      </c>
      <c r="D24" s="454">
        <f>'Cash Flow - EIA 412'!D81</f>
        <v>0</v>
      </c>
      <c r="E24" s="455">
        <v>0</v>
      </c>
      <c r="F24" s="454">
        <f t="shared" si="0"/>
        <v>0</v>
      </c>
      <c r="G24" s="452">
        <f t="shared" si="1"/>
        <v>0</v>
      </c>
    </row>
    <row r="25" spans="1:7">
      <c r="A25" s="451" t="s">
        <v>3167</v>
      </c>
      <c r="B25" s="448">
        <v>5</v>
      </c>
      <c r="C25" s="453" t="str">
        <f>'Cash Flow - EIA 412'!B82</f>
        <v xml:space="preserve">     Less EPRI &amp; Reg. Comm. Exp.  &amp; Non safety Ad.  (Note F)</v>
      </c>
      <c r="D25" s="454">
        <f>'Cash Flow - EIA 412'!D82</f>
        <v>0</v>
      </c>
      <c r="E25" s="455">
        <v>0</v>
      </c>
      <c r="F25" s="454">
        <f t="shared" si="0"/>
        <v>0</v>
      </c>
      <c r="G25" s="452">
        <f t="shared" si="1"/>
        <v>0</v>
      </c>
    </row>
    <row r="26" spans="1:7">
      <c r="A26" s="451" t="s">
        <v>3167</v>
      </c>
      <c r="B26" s="448" t="s">
        <v>131</v>
      </c>
      <c r="C26" s="453" t="str">
        <f>'Cash Flow - EIA 412'!B83</f>
        <v>Plus Transmission Related Reg. Comm. Exp.  (Note F)</v>
      </c>
      <c r="D26" s="454">
        <f>'Cash Flow - EIA 412'!D83</f>
        <v>0</v>
      </c>
      <c r="E26" s="455">
        <v>0</v>
      </c>
      <c r="F26" s="454">
        <f t="shared" si="0"/>
        <v>0</v>
      </c>
      <c r="G26" s="452">
        <f t="shared" si="1"/>
        <v>0</v>
      </c>
    </row>
    <row r="27" spans="1:7">
      <c r="A27" s="451" t="s">
        <v>3167</v>
      </c>
      <c r="B27" s="448">
        <v>6</v>
      </c>
      <c r="C27" s="453" t="str">
        <f>'Cash Flow - EIA 412'!B84</f>
        <v xml:space="preserve">  Common</v>
      </c>
      <c r="D27" s="454">
        <f>'Cash Flow - EIA 412'!D84</f>
        <v>0</v>
      </c>
      <c r="E27" s="455">
        <v>0</v>
      </c>
      <c r="F27" s="454">
        <f t="shared" si="0"/>
        <v>0</v>
      </c>
      <c r="G27" s="452">
        <f t="shared" si="1"/>
        <v>0</v>
      </c>
    </row>
    <row r="28" spans="1:7">
      <c r="A28" s="451" t="s">
        <v>3167</v>
      </c>
      <c r="B28" s="448">
        <v>7</v>
      </c>
      <c r="C28" s="453" t="str">
        <f>'Cash Flow - EIA 412'!B85</f>
        <v xml:space="preserve">  Transmission Lease Payments</v>
      </c>
      <c r="D28" s="454">
        <f>'Cash Flow - EIA 412'!D85</f>
        <v>0</v>
      </c>
      <c r="E28" s="455">
        <v>0</v>
      </c>
      <c r="F28" s="454">
        <f t="shared" si="0"/>
        <v>0</v>
      </c>
      <c r="G28" s="452">
        <f t="shared" si="1"/>
        <v>0</v>
      </c>
    </row>
    <row r="29" spans="1:7">
      <c r="A29" s="451" t="s">
        <v>3167</v>
      </c>
      <c r="B29" s="448">
        <v>9</v>
      </c>
      <c r="C29" s="453" t="str">
        <f>'Cash Flow - EIA 412'!B89</f>
        <v xml:space="preserve">   Debt Service</v>
      </c>
      <c r="D29" s="454">
        <f>'Cash Flow - EIA 412'!D89</f>
        <v>82450695.629999995</v>
      </c>
      <c r="E29" s="455">
        <v>82439379.479999989</v>
      </c>
      <c r="F29" s="454">
        <f t="shared" si="0"/>
        <v>11316.15000000596</v>
      </c>
      <c r="G29" s="452">
        <f t="shared" si="1"/>
        <v>1.3726631703664494E-4</v>
      </c>
    </row>
    <row r="30" spans="1:7">
      <c r="A30" s="451" t="s">
        <v>3167</v>
      </c>
      <c r="B30" s="448">
        <v>10</v>
      </c>
      <c r="C30" s="453" t="str">
        <f>'Cash Flow - EIA 412'!B90</f>
        <v xml:space="preserve">   Amortization of premium or discount  (Note X)</v>
      </c>
      <c r="D30" s="454">
        <f>'Cash Flow - EIA 412'!D90</f>
        <v>-8629053.2799999993</v>
      </c>
      <c r="E30" s="455">
        <v>-8887488</v>
      </c>
      <c r="F30" s="454">
        <f t="shared" si="0"/>
        <v>258434.72000000067</v>
      </c>
      <c r="G30" s="452">
        <f t="shared" si="1"/>
        <v>-2.9078488769830199E-2</v>
      </c>
    </row>
    <row r="31" spans="1:7">
      <c r="A31" s="451" t="s">
        <v>3167</v>
      </c>
      <c r="B31" s="448">
        <v>12</v>
      </c>
      <c r="C31" s="453" t="str">
        <f>'Cash Flow - EIA 412'!$B$94&amp;'Cash Flow - EIA 412'!B95</f>
        <v xml:space="preserve">  LABOR RELATED          Payroll</v>
      </c>
      <c r="D31" s="454">
        <f>'Cash Flow - EIA 412'!D95</f>
        <v>0</v>
      </c>
      <c r="E31" s="455">
        <v>0</v>
      </c>
      <c r="F31" s="454">
        <f t="shared" si="0"/>
        <v>0</v>
      </c>
      <c r="G31" s="452">
        <f t="shared" si="1"/>
        <v>0</v>
      </c>
    </row>
    <row r="32" spans="1:7">
      <c r="A32" s="451" t="s">
        <v>3167</v>
      </c>
      <c r="B32" s="448">
        <v>13</v>
      </c>
      <c r="C32" s="453" t="str">
        <f>'Cash Flow - EIA 412'!$B$94&amp;'Cash Flow - EIA 412'!B96</f>
        <v xml:space="preserve">  LABOR RELATED          Highway and vehicle</v>
      </c>
      <c r="D32" s="454">
        <f>'Cash Flow - EIA 412'!D96</f>
        <v>0</v>
      </c>
      <c r="E32" s="455">
        <v>0</v>
      </c>
      <c r="F32" s="454">
        <f t="shared" si="0"/>
        <v>0</v>
      </c>
      <c r="G32" s="452">
        <f t="shared" si="1"/>
        <v>0</v>
      </c>
    </row>
    <row r="33" spans="1:8">
      <c r="A33" s="451" t="s">
        <v>3167</v>
      </c>
      <c r="B33" s="448">
        <v>15</v>
      </c>
      <c r="C33" s="453" t="str">
        <f>'Cash Flow - EIA 412'!$B$97&amp;'Cash Flow - EIA 412'!B98</f>
        <v xml:space="preserve">  PLANT RELATED         Property</v>
      </c>
      <c r="D33" s="454">
        <f>'Cash Flow - EIA 412'!D98</f>
        <v>0</v>
      </c>
      <c r="E33" s="455">
        <v>0</v>
      </c>
      <c r="F33" s="454">
        <f t="shared" si="0"/>
        <v>0</v>
      </c>
      <c r="G33" s="452">
        <f t="shared" si="1"/>
        <v>0</v>
      </c>
    </row>
    <row r="34" spans="1:8">
      <c r="A34" s="451" t="s">
        <v>3167</v>
      </c>
      <c r="B34" s="448">
        <v>16</v>
      </c>
      <c r="C34" s="453" t="str">
        <f>'Cash Flow - EIA 412'!$B$97&amp;'Cash Flow - EIA 412'!B99</f>
        <v xml:space="preserve">  PLANT RELATED         Gross Receipts</v>
      </c>
      <c r="D34" s="454">
        <f>'Cash Flow - EIA 412'!D99</f>
        <v>0</v>
      </c>
      <c r="E34" s="455">
        <v>0</v>
      </c>
      <c r="F34" s="454">
        <f t="shared" si="0"/>
        <v>0</v>
      </c>
      <c r="G34" s="452">
        <f t="shared" si="1"/>
        <v>0</v>
      </c>
    </row>
    <row r="35" spans="1:8">
      <c r="A35" s="451" t="s">
        <v>3167</v>
      </c>
      <c r="B35" s="448">
        <v>17</v>
      </c>
      <c r="C35" s="453" t="str">
        <f>'Cash Flow - EIA 412'!$B$97&amp;'Cash Flow - EIA 412'!B100</f>
        <v xml:space="preserve">  PLANT RELATED         Other</v>
      </c>
      <c r="D35" s="454">
        <f>'Cash Flow - EIA 412'!D100</f>
        <v>0</v>
      </c>
      <c r="E35" s="455">
        <v>0</v>
      </c>
      <c r="F35" s="454">
        <f t="shared" si="0"/>
        <v>0</v>
      </c>
      <c r="G35" s="452">
        <f t="shared" si="1"/>
        <v>0</v>
      </c>
    </row>
    <row r="36" spans="1:8">
      <c r="A36" s="451" t="s">
        <v>3167</v>
      </c>
      <c r="B36" s="448">
        <v>18</v>
      </c>
      <c r="C36" s="453" t="str">
        <f>'Cash Flow - EIA 412'!$B$97&amp;'Cash Flow - EIA 412'!B101</f>
        <v xml:space="preserve">  PLANT RELATED         Payments in lieu of taxes</v>
      </c>
      <c r="D36" s="454">
        <f>'Cash Flow - EIA 412'!D101</f>
        <v>3153616.0900000003</v>
      </c>
      <c r="E36" s="455">
        <v>2895614.8900000006</v>
      </c>
      <c r="F36" s="454">
        <f t="shared" si="0"/>
        <v>258001.19999999972</v>
      </c>
      <c r="G36" s="452">
        <f t="shared" si="1"/>
        <v>8.9100660758102287E-2</v>
      </c>
    </row>
    <row r="37" spans="1:8">
      <c r="A37" s="451" t="s">
        <v>3167</v>
      </c>
      <c r="B37" s="448">
        <v>21</v>
      </c>
      <c r="C37" s="453" t="str">
        <f>'Cash Flow - EIA 412'!B106</f>
        <v>MARGIN REQUIREMENT  (Note H)</v>
      </c>
      <c r="D37" s="454">
        <f>'Cash Flow - EIA 412'!D106</f>
        <v>23157660.370000064</v>
      </c>
      <c r="E37" s="455">
        <v>28305863.920000084</v>
      </c>
      <c r="F37" s="454">
        <f t="shared" si="0"/>
        <v>-5148203.5500000194</v>
      </c>
      <c r="G37" s="452">
        <f t="shared" si="1"/>
        <v>-0.18187763371399704</v>
      </c>
    </row>
    <row r="38" spans="1:8">
      <c r="A38" s="451" t="s">
        <v>3167</v>
      </c>
      <c r="B38" s="448">
        <v>23</v>
      </c>
      <c r="C38" s="453" t="s">
        <v>3170</v>
      </c>
      <c r="D38" s="454">
        <f>'Cash Flow - EIA 412'!D112</f>
        <v>0</v>
      </c>
      <c r="E38" s="455">
        <v>0</v>
      </c>
      <c r="F38" s="454">
        <f t="shared" si="0"/>
        <v>0</v>
      </c>
      <c r="G38" s="452">
        <f t="shared" si="1"/>
        <v>0</v>
      </c>
    </row>
    <row r="39" spans="1:8">
      <c r="A39" s="451" t="s">
        <v>3167</v>
      </c>
      <c r="B39" s="448">
        <v>23</v>
      </c>
      <c r="C39" s="453" t="s">
        <v>3171</v>
      </c>
      <c r="D39" s="454">
        <f>'Cash Flow - EIA 412'!I112</f>
        <v>0</v>
      </c>
      <c r="E39" s="455">
        <v>0</v>
      </c>
      <c r="F39" s="454">
        <f t="shared" si="0"/>
        <v>0</v>
      </c>
      <c r="G39" s="452">
        <f t="shared" si="1"/>
        <v>0</v>
      </c>
    </row>
    <row r="40" spans="1:8">
      <c r="A40" s="451" t="s">
        <v>3167</v>
      </c>
      <c r="B40" s="448" t="s">
        <v>213</v>
      </c>
      <c r="C40" s="453" t="s">
        <v>3172</v>
      </c>
      <c r="D40" s="454">
        <f>'Cash Flow - EIA 412'!D116</f>
        <v>0</v>
      </c>
      <c r="E40" s="455">
        <v>0</v>
      </c>
      <c r="F40" s="454">
        <f t="shared" si="0"/>
        <v>0</v>
      </c>
      <c r="G40" s="452">
        <f t="shared" si="1"/>
        <v>0</v>
      </c>
    </row>
    <row r="41" spans="1:8">
      <c r="A41" s="451" t="s">
        <v>3167</v>
      </c>
      <c r="B41" s="448" t="s">
        <v>213</v>
      </c>
      <c r="C41" s="453" t="s">
        <v>3173</v>
      </c>
      <c r="D41" s="454">
        <f>'Cash Flow - EIA 412'!I116</f>
        <v>0</v>
      </c>
      <c r="E41" s="455">
        <v>0</v>
      </c>
      <c r="F41" s="454">
        <f t="shared" si="0"/>
        <v>0</v>
      </c>
      <c r="G41" s="452">
        <f t="shared" si="1"/>
        <v>0</v>
      </c>
    </row>
    <row r="42" spans="1:8">
      <c r="E42" s="455"/>
      <c r="F42" s="454">
        <f t="shared" si="0"/>
        <v>0</v>
      </c>
      <c r="G42" s="452">
        <f t="shared" si="1"/>
        <v>0</v>
      </c>
    </row>
    <row r="43" spans="1:8">
      <c r="A43" s="451" t="s">
        <v>3168</v>
      </c>
      <c r="B43" s="448">
        <v>1</v>
      </c>
      <c r="C43" s="453" t="str">
        <f>'Cash Flow - EIA 412'!$B$144&amp;" "&amp;'Cash Flow - EIA 412'!B145</f>
        <v>GROSS PLANT IN SERVICE   Production</v>
      </c>
      <c r="D43" s="454">
        <f>'Cash Flow - EIA 412'!D145</f>
        <v>1456337527</v>
      </c>
      <c r="E43" s="455">
        <v>1433722791</v>
      </c>
      <c r="F43" s="454">
        <f t="shared" si="0"/>
        <v>22614736</v>
      </c>
      <c r="G43" s="452">
        <f t="shared" si="1"/>
        <v>1.5773436916788192E-2</v>
      </c>
    </row>
    <row r="44" spans="1:8">
      <c r="A44" s="451" t="s">
        <v>3168</v>
      </c>
      <c r="B44" s="448">
        <v>2</v>
      </c>
      <c r="C44" s="453" t="str">
        <f>'Cash Flow - EIA 412'!$B$144&amp;" "&amp;'Cash Flow - EIA 412'!B146</f>
        <v>GROSS PLANT IN SERVICE   Transmission</v>
      </c>
      <c r="D44" s="454">
        <f>'Cash Flow - EIA 412'!D146</f>
        <v>161620727.89000002</v>
      </c>
      <c r="E44" s="455">
        <v>129159086</v>
      </c>
      <c r="F44" s="454">
        <f t="shared" si="0"/>
        <v>32461641.890000015</v>
      </c>
      <c r="G44" s="452">
        <f t="shared" si="1"/>
        <v>0.25133068756773347</v>
      </c>
      <c r="H44" s="482" t="s">
        <v>108</v>
      </c>
    </row>
    <row r="45" spans="1:8">
      <c r="A45" s="451" t="s">
        <v>3168</v>
      </c>
      <c r="B45" s="448">
        <v>3</v>
      </c>
      <c r="C45" s="453" t="str">
        <f>'Cash Flow - EIA 412'!$B$144&amp;" "&amp;'Cash Flow - EIA 412'!B147</f>
        <v>GROSS PLANT IN SERVICE   Distribution</v>
      </c>
      <c r="D45" s="454">
        <f>'Cash Flow - EIA 412'!D147</f>
        <v>13237474</v>
      </c>
      <c r="E45" s="455">
        <v>12109944</v>
      </c>
      <c r="F45" s="454">
        <f t="shared" si="0"/>
        <v>1127530</v>
      </c>
      <c r="G45" s="452">
        <f t="shared" si="1"/>
        <v>9.3107779854308167E-2</v>
      </c>
    </row>
    <row r="46" spans="1:8">
      <c r="A46" s="451" t="s">
        <v>3168</v>
      </c>
      <c r="B46" s="448">
        <v>4</v>
      </c>
      <c r="C46" s="453" t="str">
        <f>'Cash Flow - EIA 412'!$B$144&amp;" "&amp;'Cash Flow - EIA 412'!B148</f>
        <v>GROSS PLANT IN SERVICE   General &amp; Intangible</v>
      </c>
      <c r="D46" s="454">
        <f>'Cash Flow - EIA 412'!D148</f>
        <v>17764741</v>
      </c>
      <c r="E46" s="455">
        <v>17108563</v>
      </c>
      <c r="F46" s="454">
        <f t="shared" si="0"/>
        <v>656178</v>
      </c>
      <c r="G46" s="452">
        <f t="shared" si="1"/>
        <v>3.835377641009359E-2</v>
      </c>
    </row>
    <row r="47" spans="1:8">
      <c r="A47" s="451" t="s">
        <v>3168</v>
      </c>
      <c r="B47" s="448">
        <v>5</v>
      </c>
      <c r="C47" s="453" t="str">
        <f>'Cash Flow - EIA 412'!$B$144&amp;" "&amp;'Cash Flow - EIA 412'!B149</f>
        <v>GROSS PLANT IN SERVICE   Common</v>
      </c>
      <c r="D47" s="454">
        <f>'Cash Flow - EIA 412'!D149</f>
        <v>0</v>
      </c>
      <c r="E47" s="455">
        <v>0</v>
      </c>
      <c r="F47" s="454">
        <f t="shared" si="0"/>
        <v>0</v>
      </c>
      <c r="G47" s="452">
        <f t="shared" si="1"/>
        <v>0</v>
      </c>
    </row>
    <row r="48" spans="1:8">
      <c r="A48" s="451" t="s">
        <v>3168</v>
      </c>
      <c r="B48" s="448">
        <v>8</v>
      </c>
      <c r="C48" s="453" t="str">
        <f>'Cash Flow - EIA 412'!B155</f>
        <v>Less transmission plant excluded from ISO rates  (Note J)</v>
      </c>
      <c r="D48" s="454">
        <f>'Cash Flow - EIA 412'!I155</f>
        <v>9199420.3200000003</v>
      </c>
      <c r="E48" s="455">
        <v>9199420.3200000003</v>
      </c>
      <c r="F48" s="454">
        <f t="shared" si="0"/>
        <v>0</v>
      </c>
      <c r="G48" s="452">
        <f t="shared" si="1"/>
        <v>0</v>
      </c>
    </row>
    <row r="49" spans="1:8">
      <c r="A49" s="451" t="s">
        <v>3168</v>
      </c>
      <c r="B49" s="448">
        <v>9</v>
      </c>
      <c r="C49" s="453" t="str">
        <f>'Cash Flow - EIA 412'!B156</f>
        <v>Less transmission plant included in OATT Ancillary Services  (Note K )</v>
      </c>
      <c r="D49" s="454">
        <f>'Cash Flow - EIA 412'!I156</f>
        <v>629364</v>
      </c>
      <c r="E49" s="455">
        <v>629364</v>
      </c>
      <c r="F49" s="454">
        <f t="shared" si="0"/>
        <v>0</v>
      </c>
      <c r="G49" s="452">
        <f t="shared" si="1"/>
        <v>0</v>
      </c>
    </row>
    <row r="50" spans="1:8">
      <c r="A50" s="451" t="s">
        <v>3168</v>
      </c>
      <c r="B50" s="448">
        <v>13</v>
      </c>
      <c r="C50" s="453" t="str">
        <f>'Cash Flow - EIA 412'!B163</f>
        <v>Less transmission expenses included in OATT Ancillary Services  (Note I)</v>
      </c>
      <c r="D50" s="454">
        <f>'Cash Flow - EIA 412'!I163</f>
        <v>972000</v>
      </c>
      <c r="E50" s="455">
        <v>174000</v>
      </c>
      <c r="F50" s="454">
        <f t="shared" si="0"/>
        <v>798000</v>
      </c>
      <c r="G50" s="452">
        <f t="shared" si="1"/>
        <v>4.5862068965517242</v>
      </c>
      <c r="H50" s="482" t="s">
        <v>109</v>
      </c>
    </row>
    <row r="51" spans="1:8">
      <c r="A51" s="451" t="s">
        <v>3168</v>
      </c>
      <c r="B51" s="448">
        <v>18</v>
      </c>
      <c r="C51" s="453" t="str">
        <f>'Cash Flow - EIA 412'!$B$170&amp;" "&amp;'Cash Flow - EIA 412'!B171</f>
        <v>WAGES &amp; SALARY ALLOCATOR  (W&amp;S)  (Note L)   Production</v>
      </c>
      <c r="D51" s="454">
        <f>'Cash Flow - EIA 412'!D171</f>
        <v>0</v>
      </c>
      <c r="E51" s="455">
        <v>0</v>
      </c>
      <c r="F51" s="454">
        <f t="shared" si="0"/>
        <v>0</v>
      </c>
      <c r="G51" s="452">
        <f t="shared" si="1"/>
        <v>0</v>
      </c>
    </row>
    <row r="52" spans="1:8">
      <c r="A52" s="451" t="s">
        <v>3168</v>
      </c>
      <c r="B52" s="448">
        <v>19</v>
      </c>
      <c r="C52" s="453" t="str">
        <f>'Cash Flow - EIA 412'!$B$170&amp;" "&amp;'Cash Flow - EIA 412'!B172</f>
        <v>WAGES &amp; SALARY ALLOCATOR  (W&amp;S)  (Note L)   Transmission</v>
      </c>
      <c r="D52" s="454">
        <f>'Cash Flow - EIA 412'!D172</f>
        <v>0</v>
      </c>
      <c r="E52" s="455">
        <v>0</v>
      </c>
      <c r="F52" s="454">
        <f t="shared" si="0"/>
        <v>0</v>
      </c>
      <c r="G52" s="452">
        <f t="shared" si="1"/>
        <v>0</v>
      </c>
    </row>
    <row r="53" spans="1:8">
      <c r="A53" s="451" t="s">
        <v>3168</v>
      </c>
      <c r="B53" s="448">
        <v>20</v>
      </c>
      <c r="C53" s="453" t="str">
        <f>'Cash Flow - EIA 412'!$B$170&amp;" "&amp;'Cash Flow - EIA 412'!B173</f>
        <v>WAGES &amp; SALARY ALLOCATOR  (W&amp;S)  (Note L)   Distribution</v>
      </c>
      <c r="D53" s="454">
        <f>'Cash Flow - EIA 412'!D173</f>
        <v>0</v>
      </c>
      <c r="E53" s="455">
        <v>0</v>
      </c>
      <c r="F53" s="454">
        <f t="shared" si="0"/>
        <v>0</v>
      </c>
      <c r="G53" s="452">
        <f t="shared" si="1"/>
        <v>0</v>
      </c>
    </row>
    <row r="54" spans="1:8">
      <c r="A54" s="451" t="s">
        <v>3168</v>
      </c>
      <c r="B54" s="448">
        <v>21</v>
      </c>
      <c r="C54" s="453" t="str">
        <f>'Cash Flow - EIA 412'!$B$170&amp;" "&amp;'Cash Flow - EIA 412'!B174</f>
        <v>WAGES &amp; SALARY ALLOCATOR  (W&amp;S)  (Note L)   Other</v>
      </c>
      <c r="D54" s="454">
        <f>'Cash Flow - EIA 412'!D174</f>
        <v>0</v>
      </c>
      <c r="E54" s="455">
        <v>0</v>
      </c>
      <c r="F54" s="454">
        <f t="shared" si="0"/>
        <v>0</v>
      </c>
      <c r="G54" s="452">
        <f t="shared" si="1"/>
        <v>0</v>
      </c>
    </row>
    <row r="55" spans="1:8">
      <c r="A55" s="451" t="s">
        <v>3168</v>
      </c>
      <c r="B55" s="448">
        <v>22</v>
      </c>
      <c r="C55" s="453" t="str">
        <f>'Cash Flow - EIA 412'!$B$170&amp;" "&amp;'Cash Flow - EIA 412'!B175</f>
        <v>WAGES &amp; SALARY ALLOCATOR  (W&amp;S)  (Note L)   Total  (sum lines 18-21)</v>
      </c>
      <c r="D55" s="454">
        <f>'Cash Flow - EIA 412'!I175</f>
        <v>9.3060000000000004E-2</v>
      </c>
      <c r="E55" s="455">
        <v>7.5770000000000004E-2</v>
      </c>
      <c r="F55" s="454">
        <f t="shared" si="0"/>
        <v>1.729E-2</v>
      </c>
      <c r="G55" s="452">
        <f t="shared" si="1"/>
        <v>0.22819057674541374</v>
      </c>
    </row>
    <row r="56" spans="1:8">
      <c r="A56" s="451" t="s">
        <v>3168</v>
      </c>
      <c r="B56" s="448">
        <v>23</v>
      </c>
      <c r="C56" s="453" t="str">
        <f>'Cash Flow - EIA 412'!$B$177&amp;" "&amp;'Cash Flow - EIA 412'!B178</f>
        <v>COMMON PLANT ALLOCATOR  (CE)  (Note M)   Electric</v>
      </c>
      <c r="D56" s="454">
        <f>'Cash Flow - EIA 412'!D178</f>
        <v>1648960469.8900001</v>
      </c>
      <c r="E56" s="455">
        <v>1592100384</v>
      </c>
      <c r="F56" s="454">
        <f t="shared" si="0"/>
        <v>56860085.890000105</v>
      </c>
      <c r="G56" s="452">
        <f t="shared" si="1"/>
        <v>3.5713882404289465E-2</v>
      </c>
    </row>
    <row r="57" spans="1:8">
      <c r="A57" s="451" t="s">
        <v>3168</v>
      </c>
      <c r="B57" s="448">
        <v>24</v>
      </c>
      <c r="C57" s="453" t="str">
        <f>'Cash Flow - EIA 412'!$B$177&amp;" "&amp;'Cash Flow - EIA 412'!B179</f>
        <v>COMMON PLANT ALLOCATOR  (CE)  (Note M)   Gas</v>
      </c>
      <c r="D57" s="454">
        <f>'Cash Flow - EIA 412'!D179</f>
        <v>0</v>
      </c>
      <c r="E57" s="455">
        <v>0</v>
      </c>
      <c r="F57" s="454">
        <f t="shared" si="0"/>
        <v>0</v>
      </c>
      <c r="G57" s="452">
        <f t="shared" si="1"/>
        <v>0</v>
      </c>
    </row>
    <row r="58" spans="1:8">
      <c r="A58" s="451" t="s">
        <v>3168</v>
      </c>
      <c r="B58" s="448">
        <v>25</v>
      </c>
      <c r="C58" s="453" t="str">
        <f>'Cash Flow - EIA 412'!$B$177&amp;" "&amp;'Cash Flow - EIA 412'!B180</f>
        <v>COMMON PLANT ALLOCATOR  (CE)  (Note M)   Water</v>
      </c>
      <c r="D58" s="454">
        <f>'Cash Flow - EIA 412'!D180</f>
        <v>0</v>
      </c>
      <c r="E58" s="455">
        <v>0</v>
      </c>
      <c r="F58" s="454">
        <f t="shared" si="0"/>
        <v>0</v>
      </c>
      <c r="G58" s="452">
        <f t="shared" si="1"/>
        <v>0</v>
      </c>
    </row>
    <row r="59" spans="1:8">
      <c r="A59" s="451" t="s">
        <v>3168</v>
      </c>
      <c r="B59" s="448">
        <v>27</v>
      </c>
      <c r="C59" s="453" t="str">
        <f>'Cash Flow - EIA 412'!B184</f>
        <v xml:space="preserve">         Long Term Debt</v>
      </c>
      <c r="D59" s="454">
        <f>'Cash Flow - EIA 412'!D184</f>
        <v>1249485000</v>
      </c>
      <c r="E59" s="455">
        <v>1191575000</v>
      </c>
      <c r="F59" s="454">
        <f t="shared" si="0"/>
        <v>57910000</v>
      </c>
      <c r="G59" s="452">
        <f t="shared" si="1"/>
        <v>4.859954262215975E-2</v>
      </c>
    </row>
    <row r="60" spans="1:8">
      <c r="A60" s="451" t="s">
        <v>3168</v>
      </c>
      <c r="B60" s="448">
        <v>28</v>
      </c>
      <c r="C60" s="453" t="str">
        <f>'Cash Flow - EIA 412'!B186</f>
        <v xml:space="preserve">         Debt Service</v>
      </c>
      <c r="D60" s="454">
        <f>'Cash Flow - EIA 412'!D186</f>
        <v>82450695.629999995</v>
      </c>
      <c r="E60" s="455">
        <v>82439379.479999989</v>
      </c>
      <c r="F60" s="454">
        <f t="shared" si="0"/>
        <v>11316.15000000596</v>
      </c>
      <c r="G60" s="452">
        <f t="shared" si="1"/>
        <v>1.3726631703664494E-4</v>
      </c>
    </row>
    <row r="61" spans="1:8">
      <c r="A61" s="451" t="s">
        <v>3168</v>
      </c>
      <c r="B61" s="448">
        <v>29</v>
      </c>
      <c r="C61" s="453" t="str">
        <f>'Cash Flow - EIA 412'!B187</f>
        <v xml:space="preserve">         Interest on Long Term Debt</v>
      </c>
      <c r="D61" s="454">
        <f>'Cash Flow - EIA 412'!D187</f>
        <v>56390695.630000003</v>
      </c>
      <c r="E61" s="455">
        <v>56854379.479999997</v>
      </c>
      <c r="F61" s="454">
        <f t="shared" si="0"/>
        <v>-463683.84999999404</v>
      </c>
      <c r="G61" s="452">
        <f t="shared" si="1"/>
        <v>-8.1556399742803778E-3</v>
      </c>
    </row>
    <row r="62" spans="1:8">
      <c r="A62" s="451" t="s">
        <v>3168</v>
      </c>
      <c r="B62" s="448">
        <v>31</v>
      </c>
      <c r="C62" s="453" t="str">
        <f>'Cash Flow - EIA 412'!B193</f>
        <v xml:space="preserve">  a. Bundled Non-RQ Sales for Resale  (Note N)</v>
      </c>
      <c r="D62" s="454">
        <f>'Cash Flow - EIA 412'!I193</f>
        <v>0</v>
      </c>
      <c r="E62" s="455">
        <v>0</v>
      </c>
      <c r="F62" s="454">
        <f t="shared" si="0"/>
        <v>0</v>
      </c>
      <c r="G62" s="452">
        <f t="shared" si="1"/>
        <v>0</v>
      </c>
    </row>
    <row r="63" spans="1:8">
      <c r="A63" s="451" t="s">
        <v>3168</v>
      </c>
      <c r="B63" s="448">
        <v>32</v>
      </c>
      <c r="C63" s="453" t="str">
        <f>'Cash Flow - EIA 412'!B194</f>
        <v xml:space="preserve">  b. Bundled Sales for Resale included in Divisor on page 1</v>
      </c>
      <c r="D63" s="454">
        <f>'Cash Flow - EIA 412'!I194</f>
        <v>0</v>
      </c>
      <c r="E63" s="455">
        <v>0</v>
      </c>
      <c r="F63" s="454">
        <f t="shared" si="0"/>
        <v>0</v>
      </c>
      <c r="G63" s="452">
        <f t="shared" si="1"/>
        <v>0</v>
      </c>
    </row>
    <row r="64" spans="1:8">
      <c r="A64" s="451" t="s">
        <v>3168</v>
      </c>
      <c r="B64" s="448">
        <v>34</v>
      </c>
      <c r="C64" s="453" t="str">
        <f>'Cash Flow - EIA 412'!B197</f>
        <v>ACCOUNT 454 (RENT FROM ELECTRIC PROPERTY)  (Note O)</v>
      </c>
      <c r="D64" s="454">
        <f>'Cash Flow - EIA 412'!I197</f>
        <v>20000</v>
      </c>
      <c r="E64" s="455">
        <v>8022</v>
      </c>
      <c r="F64" s="454">
        <f t="shared" si="0"/>
        <v>11978</v>
      </c>
      <c r="G64" s="452">
        <f t="shared" si="1"/>
        <v>1.493143854400399</v>
      </c>
      <c r="H64" s="482" t="s">
        <v>109</v>
      </c>
    </row>
    <row r="65" spans="1:8">
      <c r="A65" s="451" t="s">
        <v>3168</v>
      </c>
      <c r="B65" s="448">
        <v>35</v>
      </c>
      <c r="C65" s="453" t="str">
        <f>'Cash Flow - EIA 412'!B200</f>
        <v xml:space="preserve">  a. Transmission charges for all transmission transactions </v>
      </c>
      <c r="D65" s="454">
        <f>'Cash Flow - EIA 412'!I200</f>
        <v>1775000</v>
      </c>
      <c r="E65" s="455">
        <v>995978</v>
      </c>
      <c r="F65" s="454">
        <f t="shared" si="0"/>
        <v>779022</v>
      </c>
      <c r="G65" s="452">
        <f t="shared" si="1"/>
        <v>0.78216787921018338</v>
      </c>
      <c r="H65" s="482" t="s">
        <v>109</v>
      </c>
    </row>
    <row r="66" spans="1:8" ht="25.5">
      <c r="A66" s="451" t="s">
        <v>3168</v>
      </c>
      <c r="B66" s="448">
        <v>36</v>
      </c>
      <c r="C66" s="453" t="str">
        <f>'Cash Flow - EIA 412'!B201</f>
        <v xml:space="preserve">  b. Transmission charges for all transmission transactions included in Divisor on page 1</v>
      </c>
      <c r="D66" s="454">
        <f>'Cash Flow - EIA 412'!I201</f>
        <v>1532000</v>
      </c>
      <c r="E66" s="455">
        <v>859602</v>
      </c>
      <c r="F66" s="454">
        <f t="shared" si="0"/>
        <v>672398</v>
      </c>
      <c r="G66" s="452">
        <f t="shared" si="1"/>
        <v>0.78222014374094062</v>
      </c>
      <c r="H66" s="482" t="s">
        <v>109</v>
      </c>
    </row>
    <row r="67" spans="1:8" ht="25.5">
      <c r="A67" s="451" t="s">
        <v>3168</v>
      </c>
      <c r="B67" s="448" t="s">
        <v>146</v>
      </c>
      <c r="C67" s="453" t="str">
        <f>'Cash Flow - EIA 412'!B202</f>
        <v xml:space="preserve">  c. Transmission charges from Schedules associated with Attachment GG  (Note U)</v>
      </c>
      <c r="D67" s="454">
        <f>'Cash Flow - EIA 412'!I202</f>
        <v>0</v>
      </c>
      <c r="E67" s="455">
        <v>0</v>
      </c>
      <c r="F67" s="454">
        <f t="shared" si="0"/>
        <v>0</v>
      </c>
      <c r="G67" s="452">
        <f t="shared" si="1"/>
        <v>0</v>
      </c>
    </row>
    <row r="68" spans="1:8" ht="25.5">
      <c r="A68" s="451" t="s">
        <v>3168</v>
      </c>
      <c r="B68" s="448" t="s">
        <v>211</v>
      </c>
      <c r="C68" s="453" t="str">
        <f>'Cash Flow - EIA 412'!B203</f>
        <v xml:space="preserve">  d. Transmission charges from Schedules associated with Attachment MM  (Note W)</v>
      </c>
      <c r="D68" s="454">
        <f>'Cash Flow - EIA 412'!I203</f>
        <v>0</v>
      </c>
      <c r="E68" s="455">
        <v>0</v>
      </c>
      <c r="F68" s="454">
        <f t="shared" si="0"/>
        <v>0</v>
      </c>
      <c r="G68" s="452">
        <f t="shared" si="1"/>
        <v>0</v>
      </c>
    </row>
    <row r="71" spans="1:8">
      <c r="B71" s="447" t="s">
        <v>3174</v>
      </c>
      <c r="C71" s="483" t="s">
        <v>3191</v>
      </c>
    </row>
    <row r="72" spans="1:8">
      <c r="B72" s="482" t="s">
        <v>108</v>
      </c>
      <c r="C72" s="446" t="s">
        <v>3423</v>
      </c>
    </row>
    <row r="73" spans="1:8">
      <c r="B73" s="482" t="s">
        <v>109</v>
      </c>
      <c r="C73" s="446" t="s">
        <v>3424</v>
      </c>
    </row>
    <row r="74" spans="1:8">
      <c r="C74" s="446" t="s">
        <v>3416</v>
      </c>
    </row>
  </sheetData>
  <conditionalFormatting sqref="G6:G68">
    <cfRule type="cellIs" dxfId="15" priority="1" operator="notBetween">
      <formula>-0.2</formula>
      <formula>0.2</formula>
    </cfRule>
  </conditionalFormatting>
  <pageMargins left="0.5" right="0.5" top="0.75" bottom="0.75" header="0.3" footer="0.3"/>
  <pageSetup scale="69" orientation="portrait" r:id="rId1"/>
  <headerFooter>
    <oddFooter>&amp;L&amp;8&amp;Z&amp;F
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520"/>
  <sheetViews>
    <sheetView zoomScaleNormal="100" workbookViewId="0">
      <pane ySplit="1" topLeftCell="A2" activePane="bottomLeft" state="frozen"/>
      <selection activeCell="D146" sqref="D146"/>
      <selection pane="bottomLeft" activeCell="A2" sqref="A2"/>
    </sheetView>
  </sheetViews>
  <sheetFormatPr defaultRowHeight="12.75" outlineLevelRow="2"/>
  <cols>
    <col min="1" max="1" width="4.6640625" style="395" customWidth="1"/>
    <col min="2" max="2" width="28.6640625" style="395" customWidth="1"/>
    <col min="3" max="3" width="15.6640625" style="395" bestFit="1" customWidth="1"/>
    <col min="4" max="4" width="6.109375" style="396" customWidth="1"/>
    <col min="5" max="6" width="14.44140625" style="397" bestFit="1" customWidth="1"/>
    <col min="7" max="7" width="12.33203125" style="240" customWidth="1"/>
    <col min="8" max="8" width="10.44140625" style="240" bestFit="1" customWidth="1"/>
    <col min="9" max="9" width="11.21875" style="240" bestFit="1" customWidth="1"/>
    <col min="10" max="10" width="10.44140625" style="240" bestFit="1" customWidth="1"/>
    <col min="11" max="16384" width="8.88671875" style="240"/>
  </cols>
  <sheetData>
    <row r="1" spans="1:6" s="239" customFormat="1">
      <c r="A1" s="400" t="s">
        <v>4</v>
      </c>
      <c r="B1" s="400" t="s">
        <v>3010</v>
      </c>
      <c r="C1" s="400" t="s">
        <v>3009</v>
      </c>
      <c r="D1" s="400" t="s">
        <v>429</v>
      </c>
      <c r="E1" s="401" t="s">
        <v>3413</v>
      </c>
      <c r="F1" s="401" t="s">
        <v>428</v>
      </c>
    </row>
    <row r="2" spans="1:6" outlineLevel="1">
      <c r="A2" s="395" t="s">
        <v>3008</v>
      </c>
    </row>
    <row r="3" spans="1:6" outlineLevel="1">
      <c r="B3" s="395" t="s">
        <v>3007</v>
      </c>
    </row>
    <row r="4" spans="1:6" outlineLevel="2">
      <c r="B4" s="395" t="s">
        <v>3006</v>
      </c>
      <c r="C4" s="395" t="s">
        <v>3005</v>
      </c>
      <c r="D4" s="396" t="str">
        <f t="shared" ref="D4:D67" si="0">RIGHT(C4,3)</f>
        <v>101</v>
      </c>
      <c r="E4" s="397">
        <v>322556</v>
      </c>
      <c r="F4" s="397">
        <v>322556</v>
      </c>
    </row>
    <row r="5" spans="1:6" outlineLevel="2">
      <c r="B5" s="395" t="s">
        <v>3004</v>
      </c>
      <c r="C5" s="395" t="s">
        <v>3003</v>
      </c>
      <c r="D5" s="396" t="str">
        <f t="shared" si="0"/>
        <v>105</v>
      </c>
      <c r="E5" s="397">
        <v>132349.99</v>
      </c>
      <c r="F5" s="397">
        <v>132349.99</v>
      </c>
    </row>
    <row r="6" spans="1:6" outlineLevel="2">
      <c r="B6" s="395" t="s">
        <v>3002</v>
      </c>
      <c r="C6" s="395" t="s">
        <v>3001</v>
      </c>
      <c r="D6" s="396" t="str">
        <f t="shared" si="0"/>
        <v>101</v>
      </c>
      <c r="E6" s="397">
        <v>324220.65000000002</v>
      </c>
      <c r="F6" s="397">
        <v>324220.65000000002</v>
      </c>
    </row>
    <row r="7" spans="1:6" outlineLevel="2">
      <c r="B7" s="395" t="s">
        <v>3000</v>
      </c>
      <c r="C7" s="395" t="s">
        <v>2999</v>
      </c>
      <c r="D7" s="396" t="str">
        <f t="shared" si="0"/>
        <v>101</v>
      </c>
      <c r="E7" s="397">
        <v>12247949.49</v>
      </c>
      <c r="F7" s="397">
        <v>11880907.689999999</v>
      </c>
    </row>
    <row r="8" spans="1:6" outlineLevel="2">
      <c r="B8" s="395" t="s">
        <v>2998</v>
      </c>
      <c r="C8" s="395" t="s">
        <v>2997</v>
      </c>
      <c r="D8" s="396" t="str">
        <f t="shared" si="0"/>
        <v>101</v>
      </c>
      <c r="E8" s="397">
        <v>1200720.82</v>
      </c>
      <c r="F8" s="397">
        <v>1200720.82</v>
      </c>
    </row>
    <row r="9" spans="1:6" outlineLevel="2">
      <c r="B9" s="395" t="s">
        <v>2996</v>
      </c>
      <c r="C9" s="395" t="s">
        <v>2995</v>
      </c>
      <c r="D9" s="396" t="str">
        <f t="shared" si="0"/>
        <v>101</v>
      </c>
      <c r="E9" s="397">
        <v>485971.47</v>
      </c>
      <c r="F9" s="397">
        <v>497002.22</v>
      </c>
    </row>
    <row r="10" spans="1:6" outlineLevel="2">
      <c r="B10" s="395" t="s">
        <v>2994</v>
      </c>
      <c r="C10" s="395" t="s">
        <v>2993</v>
      </c>
      <c r="D10" s="396" t="str">
        <f t="shared" si="0"/>
        <v>101</v>
      </c>
      <c r="E10" s="397">
        <v>15907</v>
      </c>
      <c r="F10" s="397">
        <v>15907</v>
      </c>
    </row>
    <row r="11" spans="1:6" outlineLevel="2">
      <c r="B11" s="395" t="s">
        <v>2992</v>
      </c>
      <c r="C11" s="395" t="s">
        <v>2991</v>
      </c>
      <c r="D11" s="396" t="str">
        <f t="shared" si="0"/>
        <v>101</v>
      </c>
      <c r="E11" s="397">
        <v>0</v>
      </c>
      <c r="F11" s="397">
        <v>0</v>
      </c>
    </row>
    <row r="12" spans="1:6" outlineLevel="2">
      <c r="B12" s="395" t="s">
        <v>2990</v>
      </c>
      <c r="C12" s="395" t="s">
        <v>2989</v>
      </c>
      <c r="D12" s="396" t="str">
        <f t="shared" si="0"/>
        <v>101</v>
      </c>
      <c r="E12" s="397">
        <v>1159655.5</v>
      </c>
      <c r="F12" s="397">
        <v>921365.5</v>
      </c>
    </row>
    <row r="13" spans="1:6" outlineLevel="2">
      <c r="B13" s="395" t="s">
        <v>2988</v>
      </c>
      <c r="C13" s="395" t="s">
        <v>2987</v>
      </c>
      <c r="D13" s="396" t="str">
        <f t="shared" si="0"/>
        <v>101</v>
      </c>
      <c r="E13" s="397">
        <v>48391.9</v>
      </c>
      <c r="F13" s="397">
        <v>48391.9</v>
      </c>
    </row>
    <row r="14" spans="1:6" outlineLevel="2">
      <c r="B14" s="395" t="s">
        <v>2986</v>
      </c>
      <c r="C14" s="395" t="s">
        <v>2985</v>
      </c>
      <c r="D14" s="396" t="str">
        <f t="shared" si="0"/>
        <v>101</v>
      </c>
      <c r="E14" s="397">
        <v>311986.40999999997</v>
      </c>
      <c r="F14" s="397">
        <v>257110.66</v>
      </c>
    </row>
    <row r="15" spans="1:6" outlineLevel="2">
      <c r="B15" s="395" t="s">
        <v>3199</v>
      </c>
      <c r="C15" s="395" t="s">
        <v>3200</v>
      </c>
      <c r="D15" s="396" t="str">
        <f t="shared" si="0"/>
        <v>101</v>
      </c>
      <c r="E15" s="397">
        <v>707220.15</v>
      </c>
      <c r="F15" s="397">
        <v>0</v>
      </c>
    </row>
    <row r="16" spans="1:6" outlineLevel="2">
      <c r="B16" s="395" t="s">
        <v>2984</v>
      </c>
      <c r="C16" s="395" t="s">
        <v>2983</v>
      </c>
      <c r="D16" s="396" t="str">
        <f t="shared" si="0"/>
        <v>101</v>
      </c>
      <c r="E16" s="397">
        <v>681957.26</v>
      </c>
      <c r="F16" s="397">
        <v>674954.99</v>
      </c>
    </row>
    <row r="17" spans="2:11" outlineLevel="2">
      <c r="B17" s="395" t="s">
        <v>2982</v>
      </c>
      <c r="C17" s="395" t="s">
        <v>2981</v>
      </c>
      <c r="D17" s="396" t="str">
        <f t="shared" si="0"/>
        <v>101</v>
      </c>
      <c r="E17" s="397">
        <v>17420.080000000002</v>
      </c>
      <c r="F17" s="397">
        <v>17420.080000000002</v>
      </c>
    </row>
    <row r="18" spans="2:11" outlineLevel="2">
      <c r="B18" s="395" t="s">
        <v>2980</v>
      </c>
      <c r="C18" s="395" t="s">
        <v>2979</v>
      </c>
      <c r="D18" s="396" t="str">
        <f t="shared" si="0"/>
        <v>101</v>
      </c>
      <c r="E18" s="397">
        <v>400914.39</v>
      </c>
      <c r="F18" s="397">
        <v>400914.39</v>
      </c>
    </row>
    <row r="19" spans="2:11" outlineLevel="2">
      <c r="B19" s="395" t="s">
        <v>2978</v>
      </c>
      <c r="C19" s="395" t="s">
        <v>2977</v>
      </c>
      <c r="D19" s="396" t="str">
        <f t="shared" si="0"/>
        <v>101</v>
      </c>
      <c r="E19" s="397">
        <v>356983.81</v>
      </c>
      <c r="F19" s="397">
        <v>356983.81</v>
      </c>
      <c r="G19" s="415" t="s">
        <v>3135</v>
      </c>
      <c r="H19" s="423"/>
      <c r="I19" s="423"/>
      <c r="J19" s="423"/>
    </row>
    <row r="20" spans="2:11" outlineLevel="2">
      <c r="B20" s="395" t="s">
        <v>2976</v>
      </c>
      <c r="C20" s="395" t="s">
        <v>2975</v>
      </c>
      <c r="D20" s="396" t="str">
        <f t="shared" si="0"/>
        <v>101</v>
      </c>
      <c r="E20" s="397">
        <v>0</v>
      </c>
      <c r="F20" s="397">
        <v>0</v>
      </c>
      <c r="G20" s="259"/>
      <c r="H20" s="259"/>
      <c r="I20" s="431">
        <v>2017</v>
      </c>
      <c r="J20" s="431">
        <v>2016</v>
      </c>
    </row>
    <row r="21" spans="2:11" outlineLevel="2">
      <c r="B21" s="395" t="s">
        <v>2974</v>
      </c>
      <c r="C21" s="395" t="s">
        <v>2973</v>
      </c>
      <c r="D21" s="396" t="str">
        <f t="shared" si="0"/>
        <v>101</v>
      </c>
      <c r="E21" s="397">
        <v>7064282.3399999999</v>
      </c>
      <c r="F21" s="397">
        <v>7064282.3399999999</v>
      </c>
      <c r="G21" s="259"/>
      <c r="H21" s="432" t="s">
        <v>2973</v>
      </c>
      <c r="I21" s="260">
        <f>VLOOKUP($H21,$C:$F,3,FALSE)</f>
        <v>7064282.3399999999</v>
      </c>
      <c r="J21" s="260">
        <f>VLOOKUP($H21,$C:$F,4,FALSE)</f>
        <v>7064282.3399999999</v>
      </c>
      <c r="K21" s="240" t="s">
        <v>3139</v>
      </c>
    </row>
    <row r="22" spans="2:11" outlineLevel="2">
      <c r="B22" s="395" t="s">
        <v>2972</v>
      </c>
      <c r="C22" s="395" t="s">
        <v>2971</v>
      </c>
      <c r="D22" s="396" t="str">
        <f t="shared" si="0"/>
        <v>101</v>
      </c>
      <c r="E22" s="397">
        <v>1298592.5900000001</v>
      </c>
      <c r="F22" s="397">
        <v>1298592.5900000001</v>
      </c>
      <c r="G22" s="259"/>
      <c r="H22" s="432" t="s">
        <v>2969</v>
      </c>
      <c r="I22" s="260">
        <f>VLOOKUP($H22,$C:$F,3,FALSE)</f>
        <v>624974.23</v>
      </c>
      <c r="J22" s="260">
        <f>VLOOKUP($H22,$C:$F,4,FALSE)</f>
        <v>624974.23</v>
      </c>
      <c r="K22" s="240" t="s">
        <v>3137</v>
      </c>
    </row>
    <row r="23" spans="2:11" outlineLevel="2">
      <c r="B23" s="395" t="s">
        <v>2970</v>
      </c>
      <c r="C23" s="395" t="s">
        <v>2969</v>
      </c>
      <c r="D23" s="396" t="str">
        <f t="shared" si="0"/>
        <v>101</v>
      </c>
      <c r="E23" s="397">
        <v>624974.23</v>
      </c>
      <c r="F23" s="397">
        <v>624974.23</v>
      </c>
      <c r="G23" s="259"/>
      <c r="H23" s="432" t="s">
        <v>2965</v>
      </c>
      <c r="I23" s="260">
        <f>VLOOKUP($H23,$C:$F,3,FALSE)</f>
        <v>211571.16</v>
      </c>
      <c r="J23" s="260">
        <f>VLOOKUP($H23,$C:$F,4,FALSE)</f>
        <v>211571.16</v>
      </c>
    </row>
    <row r="24" spans="2:11" outlineLevel="2">
      <c r="B24" s="395" t="s">
        <v>2968</v>
      </c>
      <c r="C24" s="395" t="s">
        <v>2967</v>
      </c>
      <c r="D24" s="396" t="str">
        <f t="shared" si="0"/>
        <v>101</v>
      </c>
      <c r="E24" s="397">
        <v>0</v>
      </c>
      <c r="F24" s="397">
        <v>0</v>
      </c>
      <c r="G24" s="259"/>
      <c r="H24" s="432" t="s">
        <v>2971</v>
      </c>
      <c r="I24" s="260">
        <f>VLOOKUP($H24,$C:$F,3,FALSE)</f>
        <v>1298592.5900000001</v>
      </c>
      <c r="J24" s="260">
        <f>VLOOKUP($H24,$C:$F,4,FALSE)</f>
        <v>1298592.5900000001</v>
      </c>
    </row>
    <row r="25" spans="2:11" outlineLevel="2">
      <c r="B25" s="395" t="s">
        <v>2966</v>
      </c>
      <c r="C25" s="395" t="s">
        <v>2965</v>
      </c>
      <c r="D25" s="396" t="str">
        <f t="shared" si="0"/>
        <v>101</v>
      </c>
      <c r="E25" s="397">
        <v>211571.16</v>
      </c>
      <c r="F25" s="397">
        <v>211571.16</v>
      </c>
      <c r="G25" s="259"/>
      <c r="H25" s="432" t="s">
        <v>2975</v>
      </c>
      <c r="I25" s="260">
        <f>VLOOKUP($H25,$C:$F,3,FALSE)</f>
        <v>0</v>
      </c>
      <c r="J25" s="260">
        <f>VLOOKUP($H25,$C:$F,4,FALSE)</f>
        <v>0</v>
      </c>
    </row>
    <row r="26" spans="2:11" outlineLevel="2">
      <c r="B26" s="395" t="s">
        <v>2964</v>
      </c>
      <c r="C26" s="395" t="s">
        <v>2963</v>
      </c>
      <c r="D26" s="396" t="str">
        <f t="shared" si="0"/>
        <v>101</v>
      </c>
      <c r="E26" s="397">
        <v>0</v>
      </c>
      <c r="F26" s="397">
        <v>0</v>
      </c>
      <c r="G26" s="259"/>
      <c r="H26" s="433" t="s">
        <v>9</v>
      </c>
      <c r="I26" s="424">
        <f>SUBTOTAL(9,I21:I25)</f>
        <v>9199420.3200000003</v>
      </c>
      <c r="J26" s="424">
        <f>SUBTOTAL(9,J21:J25)</f>
        <v>9199420.3200000003</v>
      </c>
    </row>
    <row r="27" spans="2:11" outlineLevel="2">
      <c r="B27" s="395" t="s">
        <v>2962</v>
      </c>
      <c r="C27" s="395" t="s">
        <v>2961</v>
      </c>
      <c r="D27" s="396" t="str">
        <f t="shared" si="0"/>
        <v>101</v>
      </c>
      <c r="E27" s="397">
        <v>167264422.83000001</v>
      </c>
      <c r="F27" s="397">
        <v>155203130.24000001</v>
      </c>
    </row>
    <row r="28" spans="2:11" outlineLevel="2">
      <c r="B28" s="395" t="s">
        <v>2960</v>
      </c>
      <c r="C28" s="395" t="s">
        <v>2959</v>
      </c>
      <c r="D28" s="396" t="str">
        <f t="shared" si="0"/>
        <v>101</v>
      </c>
      <c r="E28" s="397">
        <v>686213.97</v>
      </c>
      <c r="F28" s="397">
        <v>686213.97</v>
      </c>
    </row>
    <row r="29" spans="2:11" outlineLevel="2">
      <c r="B29" s="395" t="s">
        <v>2958</v>
      </c>
      <c r="C29" s="395" t="s">
        <v>2957</v>
      </c>
      <c r="D29" s="396" t="str">
        <f t="shared" si="0"/>
        <v>106</v>
      </c>
      <c r="E29" s="397">
        <v>22028400.190000001</v>
      </c>
      <c r="F29" s="397">
        <v>29735620.649999999</v>
      </c>
    </row>
    <row r="30" spans="2:11" outlineLevel="2">
      <c r="B30" s="395" t="s">
        <v>2956</v>
      </c>
      <c r="C30" s="395" t="s">
        <v>2955</v>
      </c>
      <c r="D30" s="396" t="str">
        <f t="shared" si="0"/>
        <v>101</v>
      </c>
      <c r="E30" s="397">
        <v>1627233.62</v>
      </c>
      <c r="F30" s="397">
        <v>2092137.42</v>
      </c>
    </row>
    <row r="31" spans="2:11" outlineLevel="2">
      <c r="B31" s="395" t="s">
        <v>2954</v>
      </c>
      <c r="C31" s="395" t="s">
        <v>2953</v>
      </c>
      <c r="D31" s="396" t="str">
        <f t="shared" si="0"/>
        <v>101</v>
      </c>
      <c r="E31" s="397">
        <v>254615</v>
      </c>
      <c r="F31" s="397">
        <v>254615</v>
      </c>
    </row>
    <row r="32" spans="2:11" outlineLevel="2">
      <c r="B32" s="395" t="s">
        <v>2952</v>
      </c>
      <c r="C32" s="395" t="s">
        <v>2951</v>
      </c>
      <c r="D32" s="396" t="str">
        <f t="shared" si="0"/>
        <v>101</v>
      </c>
      <c r="E32" s="397">
        <v>2531637.7200000002</v>
      </c>
      <c r="F32" s="397">
        <v>2531637.7200000002</v>
      </c>
    </row>
    <row r="33" spans="2:10" outlineLevel="2">
      <c r="B33" s="395" t="s">
        <v>2950</v>
      </c>
      <c r="C33" s="395" t="s">
        <v>2949</v>
      </c>
      <c r="D33" s="396" t="str">
        <f t="shared" si="0"/>
        <v>101</v>
      </c>
      <c r="E33" s="397">
        <v>127060907.18000001</v>
      </c>
      <c r="F33" s="397">
        <v>110938513.54000001</v>
      </c>
    </row>
    <row r="34" spans="2:10" outlineLevel="2">
      <c r="B34" s="395" t="s">
        <v>2948</v>
      </c>
      <c r="C34" s="395" t="s">
        <v>2947</v>
      </c>
      <c r="D34" s="396" t="str">
        <f t="shared" si="0"/>
        <v>101</v>
      </c>
      <c r="E34" s="397">
        <v>1038634.21</v>
      </c>
      <c r="F34" s="397">
        <v>1038634.21</v>
      </c>
      <c r="G34" s="415" t="s">
        <v>3150</v>
      </c>
      <c r="H34" s="259"/>
      <c r="I34" s="259" t="s">
        <v>3152</v>
      </c>
      <c r="J34" s="259"/>
    </row>
    <row r="35" spans="2:10" outlineLevel="2">
      <c r="B35" s="395" t="s">
        <v>2946</v>
      </c>
      <c r="C35" s="395" t="s">
        <v>2945</v>
      </c>
      <c r="D35" s="396" t="str">
        <f t="shared" si="0"/>
        <v>101</v>
      </c>
      <c r="E35" s="397">
        <v>8125041.6900000004</v>
      </c>
      <c r="F35" s="397">
        <v>8051047.5599999996</v>
      </c>
      <c r="G35" s="440">
        <v>2017</v>
      </c>
      <c r="H35" s="440">
        <v>2016</v>
      </c>
      <c r="I35" s="441" t="s">
        <v>3149</v>
      </c>
      <c r="J35" s="259"/>
    </row>
    <row r="36" spans="2:10" outlineLevel="2">
      <c r="B36" s="395" t="s">
        <v>2944</v>
      </c>
      <c r="C36" s="395" t="s">
        <v>2943</v>
      </c>
      <c r="D36" s="396" t="str">
        <f t="shared" si="0"/>
        <v>101</v>
      </c>
      <c r="E36" s="397">
        <v>94953.72</v>
      </c>
      <c r="F36" s="397">
        <v>94953.72</v>
      </c>
      <c r="G36" s="260">
        <f>VLOOKUP($I36,$C:$F,3,FALSE)</f>
        <v>1627233.62</v>
      </c>
      <c r="H36" s="260">
        <f>VLOOKUP($I36,$C:$F,4,FALSE)</f>
        <v>2092137.42</v>
      </c>
      <c r="I36" s="259" t="s">
        <v>2955</v>
      </c>
      <c r="J36" s="259"/>
    </row>
    <row r="37" spans="2:10" outlineLevel="2">
      <c r="B37" s="395" t="s">
        <v>2942</v>
      </c>
      <c r="C37" s="395" t="s">
        <v>2941</v>
      </c>
      <c r="D37" s="396" t="str">
        <f t="shared" si="0"/>
        <v>101</v>
      </c>
      <c r="E37" s="397">
        <v>0</v>
      </c>
      <c r="F37" s="397">
        <v>0</v>
      </c>
      <c r="G37" s="260">
        <f>VLOOKUP($I37,$C:$F,3,FALSE)</f>
        <v>8125041.6900000004</v>
      </c>
      <c r="H37" s="260">
        <f>VLOOKUP($I37,$C:$F,4,FALSE)</f>
        <v>8051047.5599999996</v>
      </c>
      <c r="I37" s="259" t="s">
        <v>2945</v>
      </c>
      <c r="J37" s="259"/>
    </row>
    <row r="38" spans="2:10" outlineLevel="2">
      <c r="B38" s="395" t="s">
        <v>2940</v>
      </c>
      <c r="C38" s="395" t="s">
        <v>2939</v>
      </c>
      <c r="D38" s="396" t="str">
        <f t="shared" si="0"/>
        <v>101</v>
      </c>
      <c r="E38" s="397">
        <v>0</v>
      </c>
      <c r="F38" s="397">
        <v>0</v>
      </c>
      <c r="G38" s="260">
        <f>VLOOKUP($I38,$C:$F,3,FALSE)</f>
        <v>0</v>
      </c>
      <c r="H38" s="260">
        <f>VLOOKUP($I38,$C:$F,4,FALSE)</f>
        <v>0</v>
      </c>
      <c r="I38" s="259" t="s">
        <v>2933</v>
      </c>
      <c r="J38" s="259"/>
    </row>
    <row r="39" spans="2:10" outlineLevel="2">
      <c r="B39" s="395" t="s">
        <v>2938</v>
      </c>
      <c r="C39" s="395" t="s">
        <v>2937</v>
      </c>
      <c r="D39" s="396" t="str">
        <f t="shared" si="0"/>
        <v>106</v>
      </c>
      <c r="E39" s="397">
        <v>162274728.33000001</v>
      </c>
      <c r="F39" s="397">
        <v>161544075.97</v>
      </c>
      <c r="G39" s="260">
        <f>VLOOKUP($I39,$C:$F,3,FALSE)</f>
        <v>2966636.05</v>
      </c>
      <c r="H39" s="260">
        <f>VLOOKUP($I39,$C:$F,4,FALSE)</f>
        <v>2903707.43</v>
      </c>
      <c r="I39" s="259" t="s">
        <v>2903</v>
      </c>
      <c r="J39" s="259"/>
    </row>
    <row r="40" spans="2:10" outlineLevel="2">
      <c r="B40" s="395" t="s">
        <v>2936</v>
      </c>
      <c r="C40" s="395" t="s">
        <v>2935</v>
      </c>
      <c r="D40" s="396" t="str">
        <f t="shared" si="0"/>
        <v>106</v>
      </c>
      <c r="E40" s="397">
        <v>22993155.600000001</v>
      </c>
      <c r="F40" s="397">
        <v>22993155.600000001</v>
      </c>
      <c r="G40" s="260">
        <f>VLOOKUP($I40,$C:$F,3,FALSE)</f>
        <v>0</v>
      </c>
      <c r="H40" s="260">
        <f>VLOOKUP($I40,$C:$F,4,FALSE)</f>
        <v>0</v>
      </c>
      <c r="I40" s="259" t="s">
        <v>2897</v>
      </c>
      <c r="J40" s="259"/>
    </row>
    <row r="41" spans="2:10" outlineLevel="2">
      <c r="B41" s="395" t="s">
        <v>2934</v>
      </c>
      <c r="C41" s="395" t="s">
        <v>2933</v>
      </c>
      <c r="D41" s="396" t="str">
        <f t="shared" si="0"/>
        <v>101</v>
      </c>
      <c r="E41" s="397">
        <v>0</v>
      </c>
      <c r="F41" s="397">
        <v>0</v>
      </c>
      <c r="G41" s="424">
        <f>SUM(G36:G40)</f>
        <v>12718911.359999999</v>
      </c>
      <c r="H41" s="424">
        <f>SUM(H36:H40)</f>
        <v>13046892.41</v>
      </c>
      <c r="I41" s="442" t="s">
        <v>3151</v>
      </c>
      <c r="J41" s="259"/>
    </row>
    <row r="42" spans="2:10" outlineLevel="2">
      <c r="B42" s="395" t="s">
        <v>2932</v>
      </c>
      <c r="C42" s="395" t="s">
        <v>2931</v>
      </c>
      <c r="D42" s="396" t="str">
        <f t="shared" si="0"/>
        <v>106</v>
      </c>
      <c r="E42" s="397">
        <v>1835800.54</v>
      </c>
      <c r="F42" s="397">
        <v>1835800.54</v>
      </c>
    </row>
    <row r="43" spans="2:10" outlineLevel="2">
      <c r="B43" s="395" t="s">
        <v>2930</v>
      </c>
      <c r="C43" s="395" t="s">
        <v>2929</v>
      </c>
      <c r="D43" s="396" t="str">
        <f t="shared" si="0"/>
        <v>106</v>
      </c>
      <c r="E43" s="397">
        <v>1120399.97</v>
      </c>
      <c r="F43" s="397">
        <v>1120399.97</v>
      </c>
    </row>
    <row r="44" spans="2:10" outlineLevel="2">
      <c r="B44" s="395" t="s">
        <v>2928</v>
      </c>
      <c r="C44" s="395" t="s">
        <v>2927</v>
      </c>
      <c r="D44" s="396" t="str">
        <f t="shared" si="0"/>
        <v>101</v>
      </c>
      <c r="E44" s="397">
        <v>43917720.770000003</v>
      </c>
      <c r="F44" s="397">
        <v>43217720.770000003</v>
      </c>
    </row>
    <row r="45" spans="2:10" outlineLevel="2">
      <c r="B45" s="395" t="s">
        <v>2926</v>
      </c>
      <c r="C45" s="395" t="s">
        <v>2925</v>
      </c>
      <c r="D45" s="396" t="str">
        <f t="shared" si="0"/>
        <v>101</v>
      </c>
      <c r="E45" s="397">
        <v>3037211.97</v>
      </c>
      <c r="F45" s="397">
        <v>3037211.97</v>
      </c>
    </row>
    <row r="46" spans="2:10" outlineLevel="2">
      <c r="B46" s="395" t="s">
        <v>2924</v>
      </c>
      <c r="C46" s="395" t="s">
        <v>2923</v>
      </c>
      <c r="D46" s="396" t="str">
        <f t="shared" si="0"/>
        <v>101</v>
      </c>
      <c r="E46" s="397">
        <v>3071492.69</v>
      </c>
      <c r="F46" s="397">
        <v>3071492.69</v>
      </c>
    </row>
    <row r="47" spans="2:10" outlineLevel="2">
      <c r="B47" s="395" t="s">
        <v>2922</v>
      </c>
      <c r="C47" s="395" t="s">
        <v>2921</v>
      </c>
      <c r="D47" s="396" t="str">
        <f t="shared" si="0"/>
        <v>101</v>
      </c>
      <c r="E47" s="397">
        <v>61895505.740000002</v>
      </c>
      <c r="F47" s="397">
        <v>61895505.740000002</v>
      </c>
    </row>
    <row r="48" spans="2:10" outlineLevel="2">
      <c r="B48" s="395" t="s">
        <v>2920</v>
      </c>
      <c r="C48" s="395" t="s">
        <v>2919</v>
      </c>
      <c r="D48" s="396" t="str">
        <f t="shared" si="0"/>
        <v>101</v>
      </c>
      <c r="E48" s="397">
        <v>309746.5</v>
      </c>
      <c r="F48" s="397">
        <v>309746.5</v>
      </c>
    </row>
    <row r="49" spans="2:11" outlineLevel="2">
      <c r="B49" s="395" t="s">
        <v>2918</v>
      </c>
      <c r="C49" s="395" t="s">
        <v>2917</v>
      </c>
      <c r="D49" s="396" t="str">
        <f t="shared" si="0"/>
        <v>101</v>
      </c>
      <c r="E49" s="397">
        <v>26782.37</v>
      </c>
      <c r="F49" s="397">
        <v>26782.37</v>
      </c>
    </row>
    <row r="50" spans="2:11" outlineLevel="2">
      <c r="B50" s="395" t="s">
        <v>2916</v>
      </c>
      <c r="C50" s="395" t="s">
        <v>2915</v>
      </c>
      <c r="D50" s="396" t="str">
        <f t="shared" si="0"/>
        <v>101</v>
      </c>
      <c r="E50" s="397">
        <v>2909010.4</v>
      </c>
      <c r="F50" s="397">
        <v>2909010.4</v>
      </c>
    </row>
    <row r="51" spans="2:11" outlineLevel="2">
      <c r="B51" s="395" t="s">
        <v>2914</v>
      </c>
      <c r="C51" s="395" t="s">
        <v>2913</v>
      </c>
      <c r="D51" s="396" t="str">
        <f t="shared" si="0"/>
        <v>101</v>
      </c>
      <c r="E51" s="397">
        <v>31448003.48</v>
      </c>
      <c r="F51" s="397">
        <v>31458203.48</v>
      </c>
    </row>
    <row r="52" spans="2:11" outlineLevel="2">
      <c r="B52" s="395" t="s">
        <v>2912</v>
      </c>
      <c r="C52" s="395" t="s">
        <v>2911</v>
      </c>
      <c r="D52" s="396" t="str">
        <f t="shared" si="0"/>
        <v>101</v>
      </c>
      <c r="E52" s="397">
        <v>252109</v>
      </c>
      <c r="F52" s="397">
        <v>252109</v>
      </c>
    </row>
    <row r="53" spans="2:11" outlineLevel="2">
      <c r="B53" s="395" t="s">
        <v>2910</v>
      </c>
      <c r="C53" s="395" t="s">
        <v>2909</v>
      </c>
      <c r="D53" s="396" t="str">
        <f t="shared" si="0"/>
        <v>101</v>
      </c>
      <c r="E53" s="397">
        <v>30974.14</v>
      </c>
      <c r="F53" s="397">
        <v>30974.14</v>
      </c>
    </row>
    <row r="54" spans="2:11" outlineLevel="2">
      <c r="B54" s="395" t="s">
        <v>2908</v>
      </c>
      <c r="C54" s="395" t="s">
        <v>2907</v>
      </c>
      <c r="D54" s="396" t="str">
        <f t="shared" si="0"/>
        <v>101</v>
      </c>
      <c r="E54" s="397">
        <v>248282923.05000001</v>
      </c>
      <c r="F54" s="397">
        <v>246549559.25</v>
      </c>
    </row>
    <row r="55" spans="2:11" outlineLevel="2">
      <c r="B55" s="395" t="s">
        <v>2906</v>
      </c>
      <c r="C55" s="395" t="s">
        <v>2905</v>
      </c>
      <c r="D55" s="396" t="str">
        <f t="shared" si="0"/>
        <v>101</v>
      </c>
      <c r="E55" s="397">
        <v>61948349.189999998</v>
      </c>
      <c r="F55" s="397">
        <v>61948349.189999998</v>
      </c>
    </row>
    <row r="56" spans="2:11" outlineLevel="2">
      <c r="B56" s="395" t="s">
        <v>2904</v>
      </c>
      <c r="C56" s="395" t="s">
        <v>2903</v>
      </c>
      <c r="D56" s="396" t="str">
        <f t="shared" si="0"/>
        <v>101</v>
      </c>
      <c r="E56" s="397">
        <v>2966636.05</v>
      </c>
      <c r="F56" s="397">
        <v>2903707.43</v>
      </c>
      <c r="G56" s="438"/>
      <c r="H56" s="438"/>
      <c r="I56" s="439"/>
    </row>
    <row r="57" spans="2:11" outlineLevel="2">
      <c r="B57" s="395" t="s">
        <v>2902</v>
      </c>
      <c r="C57" s="395" t="s">
        <v>2901</v>
      </c>
      <c r="D57" s="396" t="str">
        <f t="shared" si="0"/>
        <v>101</v>
      </c>
      <c r="E57" s="397">
        <v>222825448.91999999</v>
      </c>
      <c r="F57" s="397">
        <v>221060266.13</v>
      </c>
    </row>
    <row r="58" spans="2:11" outlineLevel="2">
      <c r="B58" s="395" t="s">
        <v>2900</v>
      </c>
      <c r="C58" s="395" t="s">
        <v>2899</v>
      </c>
      <c r="D58" s="396" t="str">
        <f t="shared" si="0"/>
        <v>101</v>
      </c>
      <c r="E58" s="397">
        <v>69492685.959999993</v>
      </c>
      <c r="F58" s="397">
        <v>69492685.959999993</v>
      </c>
    </row>
    <row r="59" spans="2:11" outlineLevel="2">
      <c r="B59" s="395" t="s">
        <v>2898</v>
      </c>
      <c r="C59" s="395" t="s">
        <v>2897</v>
      </c>
      <c r="D59" s="396" t="str">
        <f t="shared" si="0"/>
        <v>101</v>
      </c>
      <c r="E59" s="397">
        <v>0</v>
      </c>
      <c r="F59" s="397">
        <v>0</v>
      </c>
      <c r="G59" s="438"/>
      <c r="H59" s="438"/>
      <c r="I59" s="439"/>
    </row>
    <row r="60" spans="2:11" outlineLevel="2">
      <c r="B60" s="395" t="s">
        <v>2896</v>
      </c>
      <c r="C60" s="395" t="s">
        <v>2895</v>
      </c>
      <c r="D60" s="396" t="str">
        <f t="shared" si="0"/>
        <v>101</v>
      </c>
      <c r="E60" s="397">
        <v>0</v>
      </c>
      <c r="F60" s="397">
        <v>0</v>
      </c>
    </row>
    <row r="61" spans="2:11" outlineLevel="2">
      <c r="B61" s="395" t="s">
        <v>2894</v>
      </c>
      <c r="C61" s="395" t="s">
        <v>2893</v>
      </c>
      <c r="D61" s="396" t="str">
        <f t="shared" si="0"/>
        <v>101</v>
      </c>
      <c r="E61" s="397">
        <v>244456.8</v>
      </c>
      <c r="F61" s="397">
        <v>244456.8</v>
      </c>
    </row>
    <row r="62" spans="2:11" outlineLevel="2">
      <c r="B62" s="395" t="s">
        <v>2892</v>
      </c>
      <c r="C62" s="395" t="s">
        <v>2891</v>
      </c>
      <c r="D62" s="396" t="str">
        <f t="shared" si="0"/>
        <v>101</v>
      </c>
      <c r="E62" s="397">
        <v>772582</v>
      </c>
      <c r="F62" s="397">
        <v>772582</v>
      </c>
    </row>
    <row r="63" spans="2:11" outlineLevel="2">
      <c r="B63" s="395" t="s">
        <v>2890</v>
      </c>
      <c r="C63" s="395" t="s">
        <v>2889</v>
      </c>
      <c r="D63" s="396" t="str">
        <f t="shared" si="0"/>
        <v>101</v>
      </c>
      <c r="E63" s="397">
        <v>29898329.940000001</v>
      </c>
      <c r="F63" s="397">
        <v>29898329.940000001</v>
      </c>
      <c r="G63" s="415" t="s">
        <v>3136</v>
      </c>
      <c r="H63" s="259"/>
      <c r="I63" s="259"/>
      <c r="J63" s="259"/>
    </row>
    <row r="64" spans="2:11" outlineLevel="2">
      <c r="B64" s="395" t="s">
        <v>2888</v>
      </c>
      <c r="C64" s="395" t="s">
        <v>2887</v>
      </c>
      <c r="D64" s="396" t="str">
        <f t="shared" si="0"/>
        <v>101</v>
      </c>
      <c r="E64" s="397">
        <v>996173.09</v>
      </c>
      <c r="F64" s="397">
        <v>996173.09</v>
      </c>
      <c r="G64" s="259"/>
      <c r="H64" s="259"/>
      <c r="I64" s="431">
        <v>2017</v>
      </c>
      <c r="J64" s="431">
        <v>2016</v>
      </c>
      <c r="K64" s="240" t="s">
        <v>3186</v>
      </c>
    </row>
    <row r="65" spans="2:11" outlineLevel="2">
      <c r="B65" s="395" t="s">
        <v>2886</v>
      </c>
      <c r="C65" s="395" t="s">
        <v>2885</v>
      </c>
      <c r="D65" s="396" t="str">
        <f t="shared" si="0"/>
        <v>101</v>
      </c>
      <c r="E65" s="397">
        <v>629364</v>
      </c>
      <c r="F65" s="397">
        <v>629364</v>
      </c>
      <c r="G65" s="259"/>
      <c r="H65" s="432" t="s">
        <v>2885</v>
      </c>
      <c r="I65" s="260">
        <f>VLOOKUP($H65,$C:$F,3,FALSE)</f>
        <v>629364</v>
      </c>
      <c r="J65" s="260">
        <f>VLOOKUP($H65,$C:$F,4,FALSE)</f>
        <v>629364</v>
      </c>
      <c r="K65" s="240" t="s">
        <v>3138</v>
      </c>
    </row>
    <row r="66" spans="2:11" outlineLevel="2">
      <c r="B66" s="395" t="s">
        <v>2884</v>
      </c>
      <c r="C66" s="395" t="s">
        <v>2883</v>
      </c>
      <c r="D66" s="396" t="str">
        <f t="shared" si="0"/>
        <v>106</v>
      </c>
      <c r="E66" s="397">
        <v>108472767.78</v>
      </c>
      <c r="F66" s="397">
        <v>77516468.930000007</v>
      </c>
      <c r="G66" s="259"/>
      <c r="H66" s="432"/>
      <c r="I66" s="260"/>
      <c r="J66" s="260"/>
      <c r="K66" s="240" t="s">
        <v>3140</v>
      </c>
    </row>
    <row r="67" spans="2:11" outlineLevel="2">
      <c r="B67" s="395" t="s">
        <v>2882</v>
      </c>
      <c r="C67" s="395" t="s">
        <v>2881</v>
      </c>
      <c r="D67" s="396" t="str">
        <f t="shared" si="0"/>
        <v>101</v>
      </c>
      <c r="E67" s="397">
        <v>3561286.19</v>
      </c>
      <c r="F67" s="397">
        <v>3561286.19</v>
      </c>
      <c r="G67" s="259"/>
      <c r="H67" s="433" t="s">
        <v>9</v>
      </c>
      <c r="I67" s="424">
        <f>SUM(I65:I66)</f>
        <v>629364</v>
      </c>
      <c r="J67" s="424">
        <f>SUM(J65:J66)</f>
        <v>629364</v>
      </c>
    </row>
    <row r="68" spans="2:11" outlineLevel="2">
      <c r="B68" s="395" t="s">
        <v>2880</v>
      </c>
      <c r="C68" s="395" t="s">
        <v>2879</v>
      </c>
      <c r="D68" s="396" t="str">
        <f t="shared" ref="D68:D81" si="1">RIGHT(C68,3)</f>
        <v>101</v>
      </c>
      <c r="E68" s="397">
        <v>42169.599999999999</v>
      </c>
      <c r="F68" s="397">
        <v>42169.599999999999</v>
      </c>
    </row>
    <row r="69" spans="2:11" outlineLevel="2">
      <c r="B69" s="395" t="s">
        <v>2878</v>
      </c>
      <c r="C69" s="395" t="s">
        <v>2877</v>
      </c>
      <c r="D69" s="396" t="str">
        <f t="shared" si="1"/>
        <v>101</v>
      </c>
      <c r="E69" s="397">
        <v>558600</v>
      </c>
      <c r="F69" s="397">
        <v>558600</v>
      </c>
    </row>
    <row r="70" spans="2:11" outlineLevel="2">
      <c r="B70" s="395" t="s">
        <v>2876</v>
      </c>
      <c r="C70" s="395" t="s">
        <v>2875</v>
      </c>
      <c r="D70" s="396" t="str">
        <f t="shared" si="1"/>
        <v>106</v>
      </c>
      <c r="E70" s="397">
        <v>7730069.8300000001</v>
      </c>
      <c r="F70" s="397">
        <v>7553829.5499999998</v>
      </c>
    </row>
    <row r="71" spans="2:11" outlineLevel="2">
      <c r="B71" s="395" t="s">
        <v>2874</v>
      </c>
      <c r="C71" s="395" t="s">
        <v>2873</v>
      </c>
      <c r="D71" s="396" t="str">
        <f t="shared" si="1"/>
        <v>101</v>
      </c>
      <c r="E71" s="397">
        <v>638128.92000000004</v>
      </c>
      <c r="F71" s="397">
        <v>394059.5</v>
      </c>
    </row>
    <row r="72" spans="2:11" outlineLevel="2">
      <c r="B72" s="395" t="s">
        <v>2872</v>
      </c>
      <c r="C72" s="395" t="s">
        <v>2871</v>
      </c>
      <c r="D72" s="396" t="str">
        <f t="shared" si="1"/>
        <v>101</v>
      </c>
      <c r="E72" s="397">
        <v>118777403.09</v>
      </c>
      <c r="F72" s="397">
        <v>123598915.89</v>
      </c>
    </row>
    <row r="73" spans="2:11" outlineLevel="2">
      <c r="B73" s="395" t="s">
        <v>2870</v>
      </c>
      <c r="C73" s="395" t="s">
        <v>2869</v>
      </c>
      <c r="D73" s="396" t="str">
        <f t="shared" si="1"/>
        <v>101</v>
      </c>
      <c r="E73" s="397">
        <v>29983017.600000001</v>
      </c>
      <c r="F73" s="397">
        <v>29176464.210000001</v>
      </c>
    </row>
    <row r="74" spans="2:11" outlineLevel="2">
      <c r="B74" s="395" t="s">
        <v>2868</v>
      </c>
      <c r="C74" s="395" t="s">
        <v>2867</v>
      </c>
      <c r="D74" s="396" t="str">
        <f t="shared" si="1"/>
        <v>101</v>
      </c>
      <c r="E74" s="397">
        <v>10824693.130000001</v>
      </c>
      <c r="F74" s="397">
        <v>10824422</v>
      </c>
    </row>
    <row r="75" spans="2:11" outlineLevel="2">
      <c r="B75" s="395" t="s">
        <v>2866</v>
      </c>
      <c r="C75" s="395" t="s">
        <v>2865</v>
      </c>
      <c r="D75" s="396" t="str">
        <f t="shared" si="1"/>
        <v>101</v>
      </c>
      <c r="E75" s="397">
        <v>2514646.33</v>
      </c>
      <c r="F75" s="397">
        <v>1299151.22</v>
      </c>
    </row>
    <row r="76" spans="2:11" outlineLevel="2">
      <c r="B76" s="395" t="s">
        <v>2864</v>
      </c>
      <c r="C76" s="395" t="s">
        <v>2863</v>
      </c>
      <c r="D76" s="396" t="str">
        <f t="shared" si="1"/>
        <v>101</v>
      </c>
      <c r="E76" s="397">
        <v>133260</v>
      </c>
      <c r="F76" s="397">
        <v>133260</v>
      </c>
    </row>
    <row r="77" spans="2:11" outlineLevel="2">
      <c r="B77" s="395" t="s">
        <v>2862</v>
      </c>
      <c r="C77" s="395" t="s">
        <v>2861</v>
      </c>
      <c r="D77" s="396" t="str">
        <f t="shared" si="1"/>
        <v>101</v>
      </c>
      <c r="E77" s="397">
        <v>2505352.7000000002</v>
      </c>
      <c r="F77" s="397">
        <v>2504588.7000000002</v>
      </c>
    </row>
    <row r="78" spans="2:11" outlineLevel="2">
      <c r="B78" s="395" t="s">
        <v>2860</v>
      </c>
      <c r="C78" s="395" t="s">
        <v>2859</v>
      </c>
      <c r="D78" s="396" t="str">
        <f t="shared" si="1"/>
        <v>101</v>
      </c>
      <c r="E78" s="397">
        <v>0</v>
      </c>
      <c r="F78" s="397">
        <v>0</v>
      </c>
    </row>
    <row r="79" spans="2:11" outlineLevel="2">
      <c r="B79" s="395" t="s">
        <v>2858</v>
      </c>
      <c r="C79" s="395" t="s">
        <v>2857</v>
      </c>
      <c r="D79" s="396" t="str">
        <f t="shared" si="1"/>
        <v>101</v>
      </c>
      <c r="E79" s="397">
        <v>0</v>
      </c>
      <c r="F79" s="397">
        <v>0</v>
      </c>
    </row>
    <row r="80" spans="2:11" outlineLevel="2">
      <c r="B80" s="395" t="s">
        <v>2856</v>
      </c>
      <c r="C80" s="395" t="s">
        <v>2855</v>
      </c>
      <c r="D80" s="396" t="str">
        <f t="shared" si="1"/>
        <v>101</v>
      </c>
      <c r="E80" s="397">
        <v>0</v>
      </c>
      <c r="F80" s="397">
        <v>0</v>
      </c>
    </row>
    <row r="81" spans="2:6" outlineLevel="2">
      <c r="B81" s="395" t="s">
        <v>2854</v>
      </c>
      <c r="C81" s="395" t="s">
        <v>2853</v>
      </c>
      <c r="D81" s="396" t="str">
        <f t="shared" si="1"/>
        <v>101</v>
      </c>
      <c r="E81" s="397">
        <v>35981276.07</v>
      </c>
      <c r="F81" s="397">
        <v>35963576.68</v>
      </c>
    </row>
    <row r="82" spans="2:6" outlineLevel="2"/>
    <row r="83" spans="2:6" outlineLevel="1">
      <c r="E83" s="397">
        <v>1653227947.1099999</v>
      </c>
      <c r="F83" s="397">
        <v>1598201185.4500003</v>
      </c>
    </row>
    <row r="84" spans="2:6" outlineLevel="1">
      <c r="B84" s="395" t="s">
        <v>2852</v>
      </c>
    </row>
    <row r="85" spans="2:6" outlineLevel="2">
      <c r="B85" s="395" t="s">
        <v>2851</v>
      </c>
      <c r="C85" s="395" t="s">
        <v>2850</v>
      </c>
      <c r="D85" s="396" t="str">
        <f t="shared" ref="D85:D148" si="2">RIGHT(C85,3)</f>
        <v>108</v>
      </c>
      <c r="E85" s="397">
        <v>-15376.67</v>
      </c>
      <c r="F85" s="397">
        <v>-14846.44</v>
      </c>
    </row>
    <row r="86" spans="2:6" outlineLevel="2">
      <c r="B86" s="395" t="s">
        <v>2849</v>
      </c>
      <c r="C86" s="395" t="s">
        <v>2848</v>
      </c>
      <c r="D86" s="396" t="str">
        <f t="shared" si="2"/>
        <v>108</v>
      </c>
      <c r="E86" s="397">
        <v>-280930.45</v>
      </c>
      <c r="F86" s="397">
        <v>-253982</v>
      </c>
    </row>
    <row r="87" spans="2:6" outlineLevel="2">
      <c r="B87" s="395" t="s">
        <v>2847</v>
      </c>
      <c r="C87" s="395" t="s">
        <v>2846</v>
      </c>
      <c r="D87" s="396" t="str">
        <f t="shared" si="2"/>
        <v>108</v>
      </c>
      <c r="E87" s="397">
        <v>-324220.65000000002</v>
      </c>
      <c r="F87" s="397">
        <v>-324220.65000000002</v>
      </c>
    </row>
    <row r="88" spans="2:6" outlineLevel="2">
      <c r="B88" s="395" t="s">
        <v>2845</v>
      </c>
      <c r="C88" s="395" t="s">
        <v>2844</v>
      </c>
      <c r="D88" s="396" t="str">
        <f t="shared" si="2"/>
        <v>108</v>
      </c>
      <c r="E88" s="397">
        <v>-3408124.52</v>
      </c>
      <c r="F88" s="397">
        <v>-2971724.39</v>
      </c>
    </row>
    <row r="89" spans="2:6" outlineLevel="2">
      <c r="B89" s="395" t="s">
        <v>2843</v>
      </c>
      <c r="C89" s="395" t="s">
        <v>2842</v>
      </c>
      <c r="D89" s="396" t="str">
        <f t="shared" si="2"/>
        <v>108</v>
      </c>
      <c r="E89" s="397">
        <v>-963123.8</v>
      </c>
      <c r="F89" s="397">
        <v>-928789.37</v>
      </c>
    </row>
    <row r="90" spans="2:6" outlineLevel="2">
      <c r="B90" s="395" t="s">
        <v>2841</v>
      </c>
      <c r="C90" s="395" t="s">
        <v>2840</v>
      </c>
      <c r="D90" s="396" t="str">
        <f t="shared" si="2"/>
        <v>108</v>
      </c>
      <c r="E90" s="397">
        <v>-332502.76</v>
      </c>
      <c r="F90" s="397">
        <v>-373097.38</v>
      </c>
    </row>
    <row r="91" spans="2:6" outlineLevel="2">
      <c r="B91" s="395" t="s">
        <v>2839</v>
      </c>
      <c r="C91" s="395" t="s">
        <v>2838</v>
      </c>
      <c r="D91" s="396" t="str">
        <f t="shared" si="2"/>
        <v>108</v>
      </c>
      <c r="E91" s="397">
        <v>-426965.46</v>
      </c>
      <c r="F91" s="397">
        <v>-312896.06</v>
      </c>
    </row>
    <row r="92" spans="2:6" outlineLevel="2">
      <c r="B92" s="395" t="s">
        <v>2837</v>
      </c>
      <c r="C92" s="395" t="s">
        <v>2836</v>
      </c>
      <c r="D92" s="396" t="str">
        <f t="shared" si="2"/>
        <v>108</v>
      </c>
      <c r="E92" s="397">
        <v>-24593.4</v>
      </c>
      <c r="F92" s="397">
        <v>-19128.2</v>
      </c>
    </row>
    <row r="93" spans="2:6" outlineLevel="2">
      <c r="B93" s="395" t="s">
        <v>2835</v>
      </c>
      <c r="C93" s="395" t="s">
        <v>2834</v>
      </c>
      <c r="D93" s="396" t="str">
        <f t="shared" si="2"/>
        <v>108</v>
      </c>
      <c r="E93" s="397">
        <v>-134304.28</v>
      </c>
      <c r="F93" s="397">
        <v>-97912.12</v>
      </c>
    </row>
    <row r="94" spans="2:6" outlineLevel="2">
      <c r="B94" s="395" t="s">
        <v>3201</v>
      </c>
      <c r="C94" s="395" t="s">
        <v>3202</v>
      </c>
      <c r="D94" s="396" t="str">
        <f t="shared" si="2"/>
        <v>108</v>
      </c>
      <c r="E94" s="397">
        <v>-10400.299999999999</v>
      </c>
      <c r="F94" s="397">
        <v>0</v>
      </c>
    </row>
    <row r="95" spans="2:6" outlineLevel="2">
      <c r="B95" s="395" t="s">
        <v>2833</v>
      </c>
      <c r="C95" s="395" t="s">
        <v>2832</v>
      </c>
      <c r="D95" s="396" t="str">
        <f t="shared" si="2"/>
        <v>108</v>
      </c>
      <c r="E95" s="397">
        <v>-461054.2</v>
      </c>
      <c r="F95" s="397">
        <v>-425080.82</v>
      </c>
    </row>
    <row r="96" spans="2:6" outlineLevel="2">
      <c r="B96" s="395" t="s">
        <v>2831</v>
      </c>
      <c r="C96" s="395" t="s">
        <v>2830</v>
      </c>
      <c r="D96" s="396" t="str">
        <f t="shared" si="2"/>
        <v>108</v>
      </c>
      <c r="E96" s="397">
        <v>-17420.080000000002</v>
      </c>
      <c r="F96" s="397">
        <v>-17420.080000000002</v>
      </c>
    </row>
    <row r="97" spans="2:9" outlineLevel="2">
      <c r="B97" s="395" t="s">
        <v>2829</v>
      </c>
      <c r="C97" s="395" t="s">
        <v>2828</v>
      </c>
      <c r="D97" s="396" t="str">
        <f t="shared" si="2"/>
        <v>108</v>
      </c>
      <c r="E97" s="397">
        <v>-400914.39</v>
      </c>
      <c r="F97" s="397">
        <v>-400914.39</v>
      </c>
    </row>
    <row r="98" spans="2:9" outlineLevel="2">
      <c r="B98" s="395" t="s">
        <v>2827</v>
      </c>
      <c r="C98" s="395" t="s">
        <v>2826</v>
      </c>
      <c r="D98" s="396" t="str">
        <f t="shared" si="2"/>
        <v>108</v>
      </c>
      <c r="E98" s="397">
        <v>-356983.81</v>
      </c>
      <c r="F98" s="397">
        <v>-356983.81</v>
      </c>
    </row>
    <row r="99" spans="2:9" outlineLevel="2">
      <c r="B99" s="395" t="s">
        <v>2825</v>
      </c>
      <c r="C99" s="395" t="s">
        <v>2824</v>
      </c>
      <c r="D99" s="396" t="str">
        <f t="shared" si="2"/>
        <v>108</v>
      </c>
      <c r="E99" s="397">
        <v>0</v>
      </c>
      <c r="F99" s="397">
        <v>0</v>
      </c>
    </row>
    <row r="100" spans="2:9" outlineLevel="2">
      <c r="B100" s="395" t="s">
        <v>2823</v>
      </c>
      <c r="C100" s="395" t="s">
        <v>2822</v>
      </c>
      <c r="D100" s="396" t="str">
        <f t="shared" si="2"/>
        <v>108</v>
      </c>
      <c r="E100" s="397">
        <v>-2238841.98</v>
      </c>
      <c r="F100" s="397">
        <v>-2080884.36</v>
      </c>
    </row>
    <row r="101" spans="2:9" outlineLevel="2">
      <c r="B101" s="395" t="s">
        <v>2821</v>
      </c>
      <c r="C101" s="395" t="s">
        <v>2820</v>
      </c>
      <c r="D101" s="396" t="str">
        <f t="shared" si="2"/>
        <v>108</v>
      </c>
      <c r="E101" s="397">
        <v>-124564.35</v>
      </c>
      <c r="F101" s="397">
        <v>-110676.03</v>
      </c>
    </row>
    <row r="102" spans="2:9" outlineLevel="2">
      <c r="B102" s="395" t="s">
        <v>2819</v>
      </c>
      <c r="C102" s="395" t="s">
        <v>2818</v>
      </c>
      <c r="D102" s="396" t="str">
        <f t="shared" si="2"/>
        <v>108</v>
      </c>
      <c r="E102" s="397">
        <v>0</v>
      </c>
      <c r="F102" s="397">
        <v>0</v>
      </c>
    </row>
    <row r="103" spans="2:9" outlineLevel="2">
      <c r="B103" s="395" t="s">
        <v>2817</v>
      </c>
      <c r="C103" s="395" t="s">
        <v>2816</v>
      </c>
      <c r="D103" s="396" t="str">
        <f t="shared" si="2"/>
        <v>108</v>
      </c>
      <c r="E103" s="397">
        <v>-23221.22</v>
      </c>
      <c r="F103" s="397">
        <v>-18060.95</v>
      </c>
    </row>
    <row r="104" spans="2:9" outlineLevel="2">
      <c r="B104" s="395" t="s">
        <v>2815</v>
      </c>
      <c r="C104" s="395" t="s">
        <v>2814</v>
      </c>
      <c r="D104" s="396" t="str">
        <f t="shared" si="2"/>
        <v>108</v>
      </c>
      <c r="E104" s="397">
        <v>0</v>
      </c>
      <c r="F104" s="397">
        <v>0</v>
      </c>
    </row>
    <row r="105" spans="2:9" outlineLevel="2">
      <c r="B105" s="395" t="s">
        <v>2813</v>
      </c>
      <c r="C105" s="395" t="s">
        <v>2812</v>
      </c>
      <c r="D105" s="396" t="str">
        <f t="shared" si="2"/>
        <v>108</v>
      </c>
      <c r="E105" s="397">
        <v>-90782306.310000002</v>
      </c>
      <c r="F105" s="397">
        <v>-94541242.459999993</v>
      </c>
    </row>
    <row r="106" spans="2:9" outlineLevel="2">
      <c r="B106" s="395" t="s">
        <v>2811</v>
      </c>
      <c r="C106" s="395" t="s">
        <v>2810</v>
      </c>
      <c r="D106" s="396" t="str">
        <f t="shared" si="2"/>
        <v>108</v>
      </c>
      <c r="E106" s="397">
        <v>-686213.97</v>
      </c>
      <c r="F106" s="397">
        <v>-671509.27</v>
      </c>
    </row>
    <row r="107" spans="2:9" outlineLevel="2">
      <c r="B107" s="395" t="s">
        <v>2809</v>
      </c>
      <c r="C107" s="395" t="s">
        <v>2808</v>
      </c>
      <c r="D107" s="396" t="str">
        <f t="shared" si="2"/>
        <v>108</v>
      </c>
      <c r="E107" s="397">
        <v>-739769.11</v>
      </c>
      <c r="F107" s="397">
        <v>-1195815.3999999999</v>
      </c>
    </row>
    <row r="108" spans="2:9" outlineLevel="2">
      <c r="B108" s="395" t="s">
        <v>2807</v>
      </c>
      <c r="C108" s="395" t="s">
        <v>2806</v>
      </c>
      <c r="D108" s="396" t="str">
        <f t="shared" si="2"/>
        <v>108</v>
      </c>
      <c r="E108" s="397">
        <v>-170251.79</v>
      </c>
      <c r="F108" s="397">
        <v>-164236.38</v>
      </c>
      <c r="G108" s="438"/>
      <c r="H108" s="438"/>
      <c r="I108" s="439"/>
    </row>
    <row r="109" spans="2:9" outlineLevel="2">
      <c r="B109" s="395" t="s">
        <v>2805</v>
      </c>
      <c r="C109" s="395" t="s">
        <v>2804</v>
      </c>
      <c r="D109" s="396" t="str">
        <f t="shared" si="2"/>
        <v>108</v>
      </c>
      <c r="E109" s="397">
        <v>-213095.53</v>
      </c>
      <c r="F109" s="397">
        <v>-204608.36</v>
      </c>
    </row>
    <row r="110" spans="2:9" outlineLevel="2">
      <c r="B110" s="395" t="s">
        <v>2803</v>
      </c>
      <c r="C110" s="395" t="s">
        <v>2802</v>
      </c>
      <c r="D110" s="396" t="str">
        <f t="shared" si="2"/>
        <v>108</v>
      </c>
      <c r="E110" s="397">
        <v>-876336.17</v>
      </c>
      <c r="F110" s="397">
        <v>-811422.38</v>
      </c>
    </row>
    <row r="111" spans="2:9" outlineLevel="2">
      <c r="B111" s="395" t="s">
        <v>2801</v>
      </c>
      <c r="C111" s="395" t="s">
        <v>2800</v>
      </c>
      <c r="D111" s="396" t="str">
        <f t="shared" si="2"/>
        <v>108</v>
      </c>
      <c r="E111" s="397">
        <v>-69032905.640000001</v>
      </c>
      <c r="F111" s="397">
        <v>-66659039.890000001</v>
      </c>
    </row>
    <row r="112" spans="2:9" outlineLevel="2">
      <c r="B112" s="395" t="s">
        <v>2799</v>
      </c>
      <c r="C112" s="395" t="s">
        <v>2798</v>
      </c>
      <c r="D112" s="396" t="str">
        <f t="shared" si="2"/>
        <v>108</v>
      </c>
      <c r="E112" s="397">
        <v>-706848.28</v>
      </c>
      <c r="F112" s="397">
        <v>-677997.33</v>
      </c>
    </row>
    <row r="113" spans="2:9" outlineLevel="2">
      <c r="B113" s="395" t="s">
        <v>2797</v>
      </c>
      <c r="C113" s="395" t="s">
        <v>2796</v>
      </c>
      <c r="D113" s="396" t="str">
        <f t="shared" si="2"/>
        <v>108</v>
      </c>
      <c r="E113" s="397">
        <v>-1781511.69</v>
      </c>
      <c r="F113" s="397">
        <v>-1380748.6</v>
      </c>
      <c r="G113" s="439"/>
      <c r="H113" s="439"/>
      <c r="I113" s="439"/>
    </row>
    <row r="114" spans="2:9" outlineLevel="2">
      <c r="B114" s="395" t="s">
        <v>2795</v>
      </c>
      <c r="C114" s="395" t="s">
        <v>2794</v>
      </c>
      <c r="D114" s="396" t="str">
        <f t="shared" si="2"/>
        <v>108</v>
      </c>
      <c r="E114" s="397">
        <v>-32868.589999999997</v>
      </c>
      <c r="F114" s="397">
        <v>-30433.88</v>
      </c>
    </row>
    <row r="115" spans="2:9" outlineLevel="2">
      <c r="B115" s="395" t="s">
        <v>2793</v>
      </c>
      <c r="C115" s="395" t="s">
        <v>2792</v>
      </c>
      <c r="D115" s="396" t="str">
        <f t="shared" si="2"/>
        <v>108</v>
      </c>
      <c r="E115" s="397">
        <v>0</v>
      </c>
      <c r="F115" s="397">
        <v>0</v>
      </c>
    </row>
    <row r="116" spans="2:9" outlineLevel="2">
      <c r="B116" s="395" t="s">
        <v>2791</v>
      </c>
      <c r="C116" s="395" t="s">
        <v>2790</v>
      </c>
      <c r="D116" s="396" t="str">
        <f t="shared" si="2"/>
        <v>108</v>
      </c>
      <c r="E116" s="397">
        <v>0</v>
      </c>
      <c r="F116" s="397">
        <v>0</v>
      </c>
    </row>
    <row r="117" spans="2:9" outlineLevel="2">
      <c r="B117" s="395" t="s">
        <v>2789</v>
      </c>
      <c r="C117" s="395" t="s">
        <v>2788</v>
      </c>
      <c r="D117" s="396" t="str">
        <f t="shared" si="2"/>
        <v>108</v>
      </c>
      <c r="E117" s="397">
        <v>-27275033.170000002</v>
      </c>
      <c r="F117" s="397">
        <v>-23082366.879999999</v>
      </c>
    </row>
    <row r="118" spans="2:9" outlineLevel="2">
      <c r="B118" s="395" t="s">
        <v>2787</v>
      </c>
      <c r="C118" s="395" t="s">
        <v>2786</v>
      </c>
      <c r="D118" s="396" t="str">
        <f t="shared" si="2"/>
        <v>108</v>
      </c>
      <c r="E118" s="397">
        <v>-4039338.1</v>
      </c>
      <c r="F118" s="397">
        <v>-3417901.47</v>
      </c>
    </row>
    <row r="119" spans="2:9" outlineLevel="2">
      <c r="B119" s="395" t="s">
        <v>2785</v>
      </c>
      <c r="C119" s="395" t="s">
        <v>2784</v>
      </c>
      <c r="D119" s="396" t="str">
        <f t="shared" si="2"/>
        <v>108</v>
      </c>
      <c r="E119" s="397">
        <v>-2638016.2200000002</v>
      </c>
      <c r="F119" s="397">
        <v>-2044576.72</v>
      </c>
      <c r="G119" s="438"/>
      <c r="H119" s="438"/>
      <c r="I119" s="439"/>
    </row>
    <row r="120" spans="2:9" outlineLevel="2">
      <c r="B120" s="395" t="s">
        <v>2783</v>
      </c>
      <c r="C120" s="395" t="s">
        <v>2782</v>
      </c>
      <c r="D120" s="396" t="str">
        <f t="shared" si="2"/>
        <v>108</v>
      </c>
      <c r="E120" s="397">
        <v>-322505.55</v>
      </c>
      <c r="F120" s="397">
        <v>-272889.31</v>
      </c>
    </row>
    <row r="121" spans="2:9" outlineLevel="2">
      <c r="B121" s="395" t="s">
        <v>2781</v>
      </c>
      <c r="C121" s="395" t="s">
        <v>2780</v>
      </c>
      <c r="D121" s="396" t="str">
        <f t="shared" si="2"/>
        <v>108</v>
      </c>
      <c r="E121" s="397">
        <v>-196827.03</v>
      </c>
      <c r="F121" s="397">
        <v>-166545.95000000001</v>
      </c>
    </row>
    <row r="122" spans="2:9" outlineLevel="2">
      <c r="B122" s="395" t="s">
        <v>2779</v>
      </c>
      <c r="C122" s="395" t="s">
        <v>2778</v>
      </c>
      <c r="D122" s="396" t="str">
        <f t="shared" si="2"/>
        <v>108</v>
      </c>
      <c r="E122" s="397">
        <v>-22794022.530000001</v>
      </c>
      <c r="F122" s="397">
        <v>-21051228.239999998</v>
      </c>
    </row>
    <row r="123" spans="2:9" outlineLevel="2">
      <c r="B123" s="395" t="s">
        <v>2777</v>
      </c>
      <c r="C123" s="395" t="s">
        <v>2776</v>
      </c>
      <c r="D123" s="396" t="str">
        <f t="shared" si="2"/>
        <v>108</v>
      </c>
      <c r="E123" s="397">
        <v>-3037211.97</v>
      </c>
      <c r="F123" s="397">
        <v>-2986591.8</v>
      </c>
    </row>
    <row r="124" spans="2:9" outlineLevel="2">
      <c r="B124" s="395" t="s">
        <v>2775</v>
      </c>
      <c r="C124" s="395" t="s">
        <v>2774</v>
      </c>
      <c r="D124" s="396" t="str">
        <f t="shared" si="2"/>
        <v>108</v>
      </c>
      <c r="E124" s="397">
        <v>-1658606.09</v>
      </c>
      <c r="F124" s="397">
        <v>-1535746.38</v>
      </c>
    </row>
    <row r="125" spans="2:9" outlineLevel="2">
      <c r="B125" s="395" t="s">
        <v>2773</v>
      </c>
      <c r="C125" s="395" t="s">
        <v>2772</v>
      </c>
      <c r="D125" s="396" t="str">
        <f t="shared" si="2"/>
        <v>108</v>
      </c>
      <c r="E125" s="397">
        <v>-46309528.049999997</v>
      </c>
      <c r="F125" s="397">
        <v>-44553684.409999996</v>
      </c>
    </row>
    <row r="126" spans="2:9" outlineLevel="2">
      <c r="B126" s="395" t="s">
        <v>2771</v>
      </c>
      <c r="C126" s="395" t="s">
        <v>2770</v>
      </c>
      <c r="D126" s="396" t="str">
        <f t="shared" si="2"/>
        <v>108</v>
      </c>
      <c r="E126" s="397">
        <v>-26782.37</v>
      </c>
      <c r="F126" s="397">
        <v>-26782.37</v>
      </c>
    </row>
    <row r="127" spans="2:9" outlineLevel="2">
      <c r="B127" s="395" t="s">
        <v>2769</v>
      </c>
      <c r="C127" s="395" t="s">
        <v>2768</v>
      </c>
      <c r="D127" s="396" t="str">
        <f t="shared" si="2"/>
        <v>108</v>
      </c>
      <c r="E127" s="397">
        <v>-2909010.4</v>
      </c>
      <c r="F127" s="397">
        <v>-2870223.69</v>
      </c>
    </row>
    <row r="128" spans="2:9" outlineLevel="2">
      <c r="B128" s="395" t="s">
        <v>2767</v>
      </c>
      <c r="C128" s="395" t="s">
        <v>2766</v>
      </c>
      <c r="D128" s="396" t="str">
        <f t="shared" si="2"/>
        <v>108</v>
      </c>
      <c r="E128" s="397">
        <v>-30728019.41</v>
      </c>
      <c r="F128" s="397">
        <v>-30263519.82</v>
      </c>
    </row>
    <row r="129" spans="2:6" outlineLevel="2">
      <c r="B129" s="395" t="s">
        <v>2765</v>
      </c>
      <c r="C129" s="395" t="s">
        <v>2764</v>
      </c>
      <c r="D129" s="396" t="str">
        <f t="shared" si="2"/>
        <v>108</v>
      </c>
      <c r="E129" s="397">
        <v>-30974.14</v>
      </c>
      <c r="F129" s="397">
        <v>-30974.14</v>
      </c>
    </row>
    <row r="130" spans="2:6" outlineLevel="2">
      <c r="B130" s="395" t="s">
        <v>2763</v>
      </c>
      <c r="C130" s="395" t="s">
        <v>2762</v>
      </c>
      <c r="D130" s="396" t="str">
        <f t="shared" si="2"/>
        <v>108</v>
      </c>
      <c r="E130" s="397">
        <v>-33671709.640000001</v>
      </c>
      <c r="F130" s="397">
        <v>-27587772.579999998</v>
      </c>
    </row>
    <row r="131" spans="2:6" outlineLevel="2">
      <c r="B131" s="395" t="s">
        <v>2761</v>
      </c>
      <c r="C131" s="395" t="s">
        <v>2760</v>
      </c>
      <c r="D131" s="396" t="str">
        <f t="shared" si="2"/>
        <v>108</v>
      </c>
      <c r="E131" s="397">
        <v>-8517897.9700000007</v>
      </c>
      <c r="F131" s="397">
        <v>-6969189.25</v>
      </c>
    </row>
    <row r="132" spans="2:6" outlineLevel="2">
      <c r="B132" s="395" t="s">
        <v>2759</v>
      </c>
      <c r="C132" s="395" t="s">
        <v>2758</v>
      </c>
      <c r="D132" s="396" t="str">
        <f t="shared" si="2"/>
        <v>108</v>
      </c>
      <c r="E132" s="397">
        <v>-572113.64</v>
      </c>
      <c r="F132" s="397">
        <v>-702934.52</v>
      </c>
    </row>
    <row r="133" spans="2:6" outlineLevel="2">
      <c r="B133" s="395" t="s">
        <v>2757</v>
      </c>
      <c r="C133" s="395" t="s">
        <v>2756</v>
      </c>
      <c r="D133" s="396" t="str">
        <f t="shared" si="2"/>
        <v>108</v>
      </c>
      <c r="E133" s="397">
        <v>0</v>
      </c>
      <c r="F133" s="397">
        <v>0</v>
      </c>
    </row>
    <row r="134" spans="2:6" outlineLevel="2">
      <c r="B134" s="395" t="s">
        <v>2755</v>
      </c>
      <c r="C134" s="395" t="s">
        <v>2754</v>
      </c>
      <c r="D134" s="396" t="str">
        <f t="shared" si="2"/>
        <v>108</v>
      </c>
      <c r="E134" s="397">
        <v>0</v>
      </c>
      <c r="F134" s="397">
        <v>0</v>
      </c>
    </row>
    <row r="135" spans="2:6" outlineLevel="2">
      <c r="B135" s="395" t="s">
        <v>2753</v>
      </c>
      <c r="C135" s="395" t="s">
        <v>2752</v>
      </c>
      <c r="D135" s="396" t="str">
        <f t="shared" si="2"/>
        <v>108</v>
      </c>
      <c r="E135" s="397">
        <v>-30246647.199999999</v>
      </c>
      <c r="F135" s="397">
        <v>-24674088.379999999</v>
      </c>
    </row>
    <row r="136" spans="2:6" outlineLevel="2">
      <c r="B136" s="395" t="s">
        <v>2751</v>
      </c>
      <c r="C136" s="395" t="s">
        <v>2750</v>
      </c>
      <c r="D136" s="396" t="str">
        <f t="shared" si="2"/>
        <v>108</v>
      </c>
      <c r="E136" s="397">
        <v>-9555244.3300000001</v>
      </c>
      <c r="F136" s="397">
        <v>-7817927.1799999997</v>
      </c>
    </row>
    <row r="137" spans="2:6" outlineLevel="2">
      <c r="B137" s="395" t="s">
        <v>2749</v>
      </c>
      <c r="C137" s="395" t="s">
        <v>2748</v>
      </c>
      <c r="D137" s="396" t="str">
        <f t="shared" si="2"/>
        <v>108</v>
      </c>
      <c r="E137" s="397">
        <v>-572113.31999999995</v>
      </c>
      <c r="F137" s="397">
        <v>-702934.2</v>
      </c>
    </row>
    <row r="138" spans="2:6" outlineLevel="2">
      <c r="B138" s="395" t="s">
        <v>2747</v>
      </c>
      <c r="C138" s="395" t="s">
        <v>2746</v>
      </c>
      <c r="D138" s="396" t="str">
        <f t="shared" si="2"/>
        <v>108</v>
      </c>
      <c r="E138" s="397">
        <v>0</v>
      </c>
      <c r="F138" s="397">
        <v>0</v>
      </c>
    </row>
    <row r="139" spans="2:6" outlineLevel="2">
      <c r="B139" s="395" t="s">
        <v>2745</v>
      </c>
      <c r="C139" s="395" t="s">
        <v>2744</v>
      </c>
      <c r="D139" s="396" t="str">
        <f t="shared" si="2"/>
        <v>108</v>
      </c>
      <c r="E139" s="397">
        <v>0</v>
      </c>
      <c r="F139" s="397">
        <v>0</v>
      </c>
    </row>
    <row r="140" spans="2:6" outlineLevel="2">
      <c r="B140" s="395" t="s">
        <v>2743</v>
      </c>
      <c r="C140" s="395" t="s">
        <v>2742</v>
      </c>
      <c r="D140" s="396" t="str">
        <f t="shared" si="2"/>
        <v>108</v>
      </c>
      <c r="E140" s="397">
        <v>-244456.8</v>
      </c>
      <c r="F140" s="397">
        <v>-244456.8</v>
      </c>
    </row>
    <row r="141" spans="2:6" outlineLevel="2">
      <c r="B141" s="395" t="s">
        <v>2741</v>
      </c>
      <c r="C141" s="395" t="s">
        <v>2740</v>
      </c>
      <c r="D141" s="396" t="str">
        <f t="shared" si="2"/>
        <v>108</v>
      </c>
      <c r="E141" s="397">
        <v>-639864.52</v>
      </c>
      <c r="F141" s="397">
        <v>-614111.89</v>
      </c>
    </row>
    <row r="142" spans="2:6" outlineLevel="2">
      <c r="B142" s="395" t="s">
        <v>2739</v>
      </c>
      <c r="C142" s="395" t="s">
        <v>2738</v>
      </c>
      <c r="D142" s="396" t="str">
        <f t="shared" si="2"/>
        <v>108</v>
      </c>
      <c r="E142" s="397">
        <v>-23382067.41</v>
      </c>
      <c r="F142" s="397">
        <v>-22778870.559999999</v>
      </c>
    </row>
    <row r="143" spans="2:6" outlineLevel="2">
      <c r="B143" s="395" t="s">
        <v>2737</v>
      </c>
      <c r="C143" s="395" t="s">
        <v>2736</v>
      </c>
      <c r="D143" s="396" t="str">
        <f t="shared" si="2"/>
        <v>108</v>
      </c>
      <c r="E143" s="397">
        <v>-55344.81</v>
      </c>
      <c r="F143" s="397">
        <v>-33207.629999999997</v>
      </c>
    </row>
    <row r="144" spans="2:6" outlineLevel="2">
      <c r="B144" s="395" t="s">
        <v>2735</v>
      </c>
      <c r="C144" s="395" t="s">
        <v>2734</v>
      </c>
      <c r="D144" s="396" t="str">
        <f t="shared" si="2"/>
        <v>108</v>
      </c>
      <c r="E144" s="397">
        <v>-529767.99</v>
      </c>
      <c r="F144" s="397">
        <v>-514417.65</v>
      </c>
    </row>
    <row r="145" spans="2:6" outlineLevel="2">
      <c r="B145" s="395" t="s">
        <v>2733</v>
      </c>
      <c r="C145" s="395" t="s">
        <v>2732</v>
      </c>
      <c r="D145" s="396" t="str">
        <f t="shared" si="2"/>
        <v>108</v>
      </c>
      <c r="E145" s="397">
        <v>-1298592.5900000001</v>
      </c>
      <c r="F145" s="397">
        <v>-1244484.6499999999</v>
      </c>
    </row>
    <row r="146" spans="2:6" outlineLevel="2">
      <c r="B146" s="395" t="s">
        <v>2731</v>
      </c>
      <c r="C146" s="395" t="s">
        <v>2730</v>
      </c>
      <c r="D146" s="396" t="str">
        <f t="shared" si="2"/>
        <v>108</v>
      </c>
      <c r="E146" s="397">
        <v>-19342640.93</v>
      </c>
      <c r="F146" s="397">
        <v>-17235337.829999998</v>
      </c>
    </row>
    <row r="147" spans="2:6" outlineLevel="2">
      <c r="B147" s="395" t="s">
        <v>2729</v>
      </c>
      <c r="C147" s="395" t="s">
        <v>2728</v>
      </c>
      <c r="D147" s="396" t="str">
        <f t="shared" si="2"/>
        <v>108</v>
      </c>
      <c r="E147" s="397">
        <v>-3364913.97</v>
      </c>
      <c r="F147" s="397">
        <v>-3342475.29</v>
      </c>
    </row>
    <row r="148" spans="2:6" outlineLevel="2">
      <c r="B148" s="395" t="s">
        <v>2727</v>
      </c>
      <c r="C148" s="395" t="s">
        <v>2726</v>
      </c>
      <c r="D148" s="396" t="str">
        <f t="shared" si="2"/>
        <v>108</v>
      </c>
      <c r="E148" s="397">
        <v>-18761.39</v>
      </c>
      <c r="F148" s="397">
        <v>-17522.349999999999</v>
      </c>
    </row>
    <row r="149" spans="2:6" outlineLevel="2">
      <c r="B149" s="395" t="s">
        <v>2725</v>
      </c>
      <c r="C149" s="395" t="s">
        <v>2724</v>
      </c>
      <c r="D149" s="396" t="str">
        <f t="shared" ref="D149:D160" si="3">RIGHT(C149,3)</f>
        <v>108</v>
      </c>
      <c r="E149" s="397">
        <v>-249214.72</v>
      </c>
      <c r="F149" s="397">
        <v>-233172.35</v>
      </c>
    </row>
    <row r="150" spans="2:6" outlineLevel="2">
      <c r="B150" s="395" t="s">
        <v>2723</v>
      </c>
      <c r="C150" s="395" t="s">
        <v>2722</v>
      </c>
      <c r="D150" s="396" t="str">
        <f t="shared" si="3"/>
        <v>108</v>
      </c>
      <c r="E150" s="397">
        <v>-3372458.59</v>
      </c>
      <c r="F150" s="397">
        <v>-3149287.5</v>
      </c>
    </row>
    <row r="151" spans="2:6" outlineLevel="2">
      <c r="B151" s="395" t="s">
        <v>2721</v>
      </c>
      <c r="C151" s="395" t="s">
        <v>2720</v>
      </c>
      <c r="D151" s="396" t="str">
        <f t="shared" si="3"/>
        <v>108</v>
      </c>
      <c r="E151" s="397">
        <v>-15269131.800000001</v>
      </c>
      <c r="F151" s="397">
        <v>-13070361.08</v>
      </c>
    </row>
    <row r="152" spans="2:6" outlineLevel="2">
      <c r="B152" s="395" t="s">
        <v>2719</v>
      </c>
      <c r="C152" s="395" t="s">
        <v>2718</v>
      </c>
      <c r="D152" s="396" t="str">
        <f t="shared" si="3"/>
        <v>108</v>
      </c>
      <c r="E152" s="397">
        <v>-10727083.16</v>
      </c>
      <c r="F152" s="397">
        <v>-8836211</v>
      </c>
    </row>
    <row r="153" spans="2:6" outlineLevel="2">
      <c r="B153" s="395" t="s">
        <v>2717</v>
      </c>
      <c r="C153" s="395" t="s">
        <v>2716</v>
      </c>
      <c r="D153" s="396" t="str">
        <f t="shared" si="3"/>
        <v>108</v>
      </c>
      <c r="E153" s="397">
        <v>-1617284.12</v>
      </c>
      <c r="F153" s="397">
        <v>-1297900.27</v>
      </c>
    </row>
    <row r="154" spans="2:6" outlineLevel="2">
      <c r="B154" s="395" t="s">
        <v>2715</v>
      </c>
      <c r="C154" s="395" t="s">
        <v>2714</v>
      </c>
      <c r="D154" s="396" t="str">
        <f t="shared" si="3"/>
        <v>108</v>
      </c>
      <c r="E154" s="397">
        <v>-449159.62</v>
      </c>
      <c r="F154" s="397">
        <v>-201517.15</v>
      </c>
    </row>
    <row r="155" spans="2:6" outlineLevel="2">
      <c r="B155" s="395" t="s">
        <v>2713</v>
      </c>
      <c r="C155" s="395" t="s">
        <v>2712</v>
      </c>
      <c r="D155" s="396" t="str">
        <f t="shared" si="3"/>
        <v>108</v>
      </c>
      <c r="E155" s="397">
        <v>-46641</v>
      </c>
      <c r="F155" s="397">
        <v>-33315</v>
      </c>
    </row>
    <row r="156" spans="2:6" outlineLevel="2">
      <c r="B156" s="395" t="s">
        <v>2711</v>
      </c>
      <c r="C156" s="395" t="s">
        <v>2710</v>
      </c>
      <c r="D156" s="396" t="str">
        <f t="shared" si="3"/>
        <v>108</v>
      </c>
      <c r="E156" s="397">
        <v>-471367.44</v>
      </c>
      <c r="F156" s="397">
        <v>-158453.98000000001</v>
      </c>
    </row>
    <row r="157" spans="2:6" outlineLevel="2">
      <c r="B157" s="395" t="s">
        <v>2709</v>
      </c>
      <c r="C157" s="395" t="s">
        <v>2708</v>
      </c>
      <c r="D157" s="396" t="str">
        <f t="shared" si="3"/>
        <v>108</v>
      </c>
      <c r="E157" s="397">
        <v>0</v>
      </c>
      <c r="F157" s="397">
        <v>0</v>
      </c>
    </row>
    <row r="158" spans="2:6" outlineLevel="2">
      <c r="B158" s="395" t="s">
        <v>2707</v>
      </c>
      <c r="C158" s="395" t="s">
        <v>2706</v>
      </c>
      <c r="D158" s="396" t="str">
        <f t="shared" si="3"/>
        <v>108</v>
      </c>
      <c r="E158" s="397">
        <v>0</v>
      </c>
      <c r="F158" s="397">
        <v>0</v>
      </c>
    </row>
    <row r="159" spans="2:6" outlineLevel="2">
      <c r="B159" s="395" t="s">
        <v>2705</v>
      </c>
      <c r="C159" s="395" t="s">
        <v>2704</v>
      </c>
      <c r="D159" s="396" t="str">
        <f t="shared" si="3"/>
        <v>108</v>
      </c>
      <c r="E159" s="397">
        <v>0</v>
      </c>
      <c r="F159" s="397">
        <v>0</v>
      </c>
    </row>
    <row r="160" spans="2:6" outlineLevel="2">
      <c r="B160" s="395" t="s">
        <v>2703</v>
      </c>
      <c r="C160" s="395" t="s">
        <v>2702</v>
      </c>
      <c r="D160" s="396" t="str">
        <f t="shared" si="3"/>
        <v>108</v>
      </c>
      <c r="E160" s="397">
        <v>-3384061.76</v>
      </c>
      <c r="F160" s="397">
        <v>-1974291.02</v>
      </c>
    </row>
    <row r="161" spans="2:6" outlineLevel="2"/>
    <row r="162" spans="2:6" outlineLevel="1">
      <c r="E162" s="397">
        <v>-484130063.15000004</v>
      </c>
      <c r="F162" s="397">
        <v>-450780942.28999984</v>
      </c>
    </row>
    <row r="163" spans="2:6" outlineLevel="1">
      <c r="E163" s="397">
        <v>1169097883.9599998</v>
      </c>
      <c r="F163" s="397">
        <v>1147420243.1600003</v>
      </c>
    </row>
    <row r="164" spans="2:6" outlineLevel="1">
      <c r="B164" s="395" t="s">
        <v>2701</v>
      </c>
    </row>
    <row r="165" spans="2:6" outlineLevel="2">
      <c r="B165" s="395" t="s">
        <v>2700</v>
      </c>
      <c r="C165" s="395" t="s">
        <v>2699</v>
      </c>
      <c r="D165" s="396" t="str">
        <f t="shared" ref="D165:D223" si="4">RIGHT(C165,3)</f>
        <v>107</v>
      </c>
      <c r="E165" s="397">
        <v>0</v>
      </c>
      <c r="F165" s="397">
        <v>0</v>
      </c>
    </row>
    <row r="166" spans="2:6" outlineLevel="2">
      <c r="B166" s="395" t="s">
        <v>2698</v>
      </c>
      <c r="C166" s="395" t="s">
        <v>2697</v>
      </c>
      <c r="D166" s="396" t="str">
        <f t="shared" si="4"/>
        <v>107</v>
      </c>
      <c r="E166" s="397">
        <v>352410.51</v>
      </c>
      <c r="F166" s="397">
        <v>362608.12</v>
      </c>
    </row>
    <row r="167" spans="2:6" outlineLevel="2">
      <c r="B167" s="395" t="s">
        <v>2696</v>
      </c>
      <c r="C167" s="395" t="s">
        <v>2695</v>
      </c>
      <c r="D167" s="396" t="str">
        <f t="shared" si="4"/>
        <v>107</v>
      </c>
      <c r="E167" s="397">
        <v>0</v>
      </c>
      <c r="F167" s="397">
        <v>0</v>
      </c>
    </row>
    <row r="168" spans="2:6" outlineLevel="2">
      <c r="B168" s="395" t="s">
        <v>2694</v>
      </c>
      <c r="C168" s="395" t="s">
        <v>2693</v>
      </c>
      <c r="D168" s="396" t="str">
        <f t="shared" si="4"/>
        <v>107</v>
      </c>
      <c r="E168" s="397">
        <v>0</v>
      </c>
      <c r="F168" s="397">
        <v>0</v>
      </c>
    </row>
    <row r="169" spans="2:6" outlineLevel="2">
      <c r="B169" s="395" t="s">
        <v>2692</v>
      </c>
      <c r="C169" s="395" t="s">
        <v>2691</v>
      </c>
      <c r="D169" s="396" t="str">
        <f t="shared" si="4"/>
        <v>107</v>
      </c>
      <c r="E169" s="397">
        <v>167728.54999999999</v>
      </c>
      <c r="F169" s="397">
        <v>82250</v>
      </c>
    </row>
    <row r="170" spans="2:6" outlineLevel="2">
      <c r="B170" s="395" t="s">
        <v>2690</v>
      </c>
      <c r="C170" s="395" t="s">
        <v>2689</v>
      </c>
      <c r="D170" s="396" t="str">
        <f t="shared" si="4"/>
        <v>107</v>
      </c>
      <c r="E170" s="397">
        <v>0</v>
      </c>
      <c r="F170" s="397">
        <v>0</v>
      </c>
    </row>
    <row r="171" spans="2:6" outlineLevel="2">
      <c r="B171" s="395" t="s">
        <v>2688</v>
      </c>
      <c r="C171" s="395" t="s">
        <v>2687</v>
      </c>
      <c r="D171" s="396" t="str">
        <f t="shared" si="4"/>
        <v>107</v>
      </c>
      <c r="E171" s="397">
        <v>0</v>
      </c>
      <c r="F171" s="397">
        <v>0</v>
      </c>
    </row>
    <row r="172" spans="2:6" outlineLevel="2">
      <c r="B172" s="395" t="s">
        <v>3203</v>
      </c>
      <c r="C172" s="395" t="s">
        <v>3204</v>
      </c>
      <c r="D172" s="396" t="str">
        <f t="shared" si="4"/>
        <v>107</v>
      </c>
      <c r="E172" s="397">
        <v>6268.99</v>
      </c>
      <c r="F172" s="397">
        <v>0</v>
      </c>
    </row>
    <row r="173" spans="2:6" outlineLevel="2">
      <c r="B173" s="395" t="s">
        <v>3205</v>
      </c>
      <c r="C173" s="395" t="s">
        <v>3206</v>
      </c>
      <c r="D173" s="396" t="str">
        <f t="shared" si="4"/>
        <v>107</v>
      </c>
      <c r="E173" s="397">
        <v>-60839.8</v>
      </c>
      <c r="F173" s="397">
        <v>0</v>
      </c>
    </row>
    <row r="174" spans="2:6" outlineLevel="2">
      <c r="B174" s="395" t="s">
        <v>2686</v>
      </c>
      <c r="C174" s="395" t="s">
        <v>2685</v>
      </c>
      <c r="D174" s="396" t="str">
        <f t="shared" si="4"/>
        <v>107</v>
      </c>
      <c r="E174" s="397">
        <v>4569725.22</v>
      </c>
      <c r="F174" s="397">
        <v>5118996.74</v>
      </c>
    </row>
    <row r="175" spans="2:6" outlineLevel="2">
      <c r="B175" s="395" t="s">
        <v>2684</v>
      </c>
      <c r="C175" s="395" t="s">
        <v>2683</v>
      </c>
      <c r="D175" s="396" t="str">
        <f t="shared" si="4"/>
        <v>107</v>
      </c>
      <c r="E175" s="397">
        <v>18453808.829999998</v>
      </c>
      <c r="F175" s="397">
        <v>24185714.02</v>
      </c>
    </row>
    <row r="176" spans="2:6" outlineLevel="2">
      <c r="B176" s="395" t="s">
        <v>2682</v>
      </c>
      <c r="C176" s="395" t="s">
        <v>2681</v>
      </c>
      <c r="D176" s="396" t="str">
        <f t="shared" si="4"/>
        <v>107</v>
      </c>
      <c r="E176" s="397">
        <v>26252405.719999999</v>
      </c>
      <c r="F176" s="397">
        <v>12936217.109999999</v>
      </c>
    </row>
    <row r="177" spans="2:6" outlineLevel="2">
      <c r="B177" s="395" t="s">
        <v>2680</v>
      </c>
      <c r="C177" s="395" t="s">
        <v>2679</v>
      </c>
      <c r="D177" s="396" t="str">
        <f t="shared" si="4"/>
        <v>107</v>
      </c>
      <c r="E177" s="397">
        <v>0</v>
      </c>
      <c r="F177" s="397">
        <v>0</v>
      </c>
    </row>
    <row r="178" spans="2:6" outlineLevel="2">
      <c r="B178" s="395" t="s">
        <v>2678</v>
      </c>
      <c r="C178" s="395" t="s">
        <v>2677</v>
      </c>
      <c r="D178" s="396" t="str">
        <f t="shared" si="4"/>
        <v>107</v>
      </c>
      <c r="E178" s="397">
        <v>0</v>
      </c>
      <c r="F178" s="397">
        <v>0</v>
      </c>
    </row>
    <row r="179" spans="2:6" outlineLevel="2">
      <c r="B179" s="395" t="s">
        <v>2676</v>
      </c>
      <c r="C179" s="395" t="s">
        <v>2675</v>
      </c>
      <c r="D179" s="396" t="str">
        <f t="shared" si="4"/>
        <v>107</v>
      </c>
      <c r="E179" s="397">
        <v>51169.65</v>
      </c>
      <c r="F179" s="397">
        <v>33669.65</v>
      </c>
    </row>
    <row r="180" spans="2:6" outlineLevel="2">
      <c r="B180" s="395" t="s">
        <v>2674</v>
      </c>
      <c r="C180" s="395" t="s">
        <v>2673</v>
      </c>
      <c r="D180" s="396" t="str">
        <f t="shared" si="4"/>
        <v>107</v>
      </c>
      <c r="E180" s="397">
        <v>0</v>
      </c>
      <c r="F180" s="397">
        <v>0</v>
      </c>
    </row>
    <row r="181" spans="2:6" outlineLevel="2">
      <c r="B181" s="395" t="s">
        <v>2672</v>
      </c>
      <c r="C181" s="395" t="s">
        <v>2671</v>
      </c>
      <c r="D181" s="396" t="str">
        <f t="shared" si="4"/>
        <v>107</v>
      </c>
      <c r="E181" s="397">
        <v>0</v>
      </c>
      <c r="F181" s="397">
        <v>0</v>
      </c>
    </row>
    <row r="182" spans="2:6" outlineLevel="2">
      <c r="B182" s="395" t="s">
        <v>2670</v>
      </c>
      <c r="C182" s="395" t="s">
        <v>2669</v>
      </c>
      <c r="D182" s="396" t="str">
        <f t="shared" si="4"/>
        <v>107</v>
      </c>
      <c r="E182" s="397">
        <v>59350.26</v>
      </c>
      <c r="F182" s="397">
        <v>0</v>
      </c>
    </row>
    <row r="183" spans="2:6" outlineLevel="2">
      <c r="B183" s="395" t="s">
        <v>2668</v>
      </c>
      <c r="C183" s="395" t="s">
        <v>2667</v>
      </c>
      <c r="D183" s="396" t="str">
        <f t="shared" si="4"/>
        <v>107</v>
      </c>
      <c r="E183" s="397">
        <v>71746.97</v>
      </c>
      <c r="F183" s="397">
        <v>14415.69</v>
      </c>
    </row>
    <row r="184" spans="2:6" outlineLevel="2">
      <c r="B184" s="395" t="s">
        <v>2666</v>
      </c>
      <c r="C184" s="395" t="s">
        <v>2665</v>
      </c>
      <c r="D184" s="396" t="str">
        <f t="shared" si="4"/>
        <v>107</v>
      </c>
      <c r="E184" s="397">
        <v>0</v>
      </c>
      <c r="F184" s="397">
        <v>0</v>
      </c>
    </row>
    <row r="185" spans="2:6" outlineLevel="2">
      <c r="B185" s="395" t="s">
        <v>2664</v>
      </c>
      <c r="C185" s="395" t="s">
        <v>2663</v>
      </c>
      <c r="D185" s="396" t="str">
        <f t="shared" si="4"/>
        <v>107</v>
      </c>
      <c r="E185" s="397">
        <v>0</v>
      </c>
      <c r="F185" s="397">
        <v>0</v>
      </c>
    </row>
    <row r="186" spans="2:6" outlineLevel="2">
      <c r="B186" s="395" t="s">
        <v>2662</v>
      </c>
      <c r="C186" s="395" t="s">
        <v>2661</v>
      </c>
      <c r="D186" s="396" t="str">
        <f t="shared" si="4"/>
        <v>107</v>
      </c>
      <c r="E186" s="397">
        <v>0</v>
      </c>
      <c r="F186" s="397">
        <v>0</v>
      </c>
    </row>
    <row r="187" spans="2:6" outlineLevel="2">
      <c r="B187" s="395" t="s">
        <v>2660</v>
      </c>
      <c r="C187" s="395" t="s">
        <v>2659</v>
      </c>
      <c r="D187" s="396" t="str">
        <f t="shared" si="4"/>
        <v>107</v>
      </c>
      <c r="E187" s="397">
        <v>0</v>
      </c>
      <c r="F187" s="397">
        <v>0</v>
      </c>
    </row>
    <row r="188" spans="2:6" outlineLevel="2">
      <c r="B188" s="395" t="s">
        <v>2658</v>
      </c>
      <c r="C188" s="395" t="s">
        <v>2657</v>
      </c>
      <c r="D188" s="396" t="str">
        <f t="shared" si="4"/>
        <v>107</v>
      </c>
      <c r="E188" s="397">
        <v>0</v>
      </c>
      <c r="F188" s="397">
        <v>0</v>
      </c>
    </row>
    <row r="189" spans="2:6" outlineLevel="2">
      <c r="B189" s="395" t="s">
        <v>2656</v>
      </c>
      <c r="C189" s="395" t="s">
        <v>2655</v>
      </c>
      <c r="D189" s="396" t="str">
        <f t="shared" si="4"/>
        <v>107</v>
      </c>
      <c r="E189" s="397">
        <v>0</v>
      </c>
      <c r="F189" s="397">
        <v>0</v>
      </c>
    </row>
    <row r="190" spans="2:6" outlineLevel="2">
      <c r="B190" s="395" t="s">
        <v>2654</v>
      </c>
      <c r="C190" s="395" t="s">
        <v>2653</v>
      </c>
      <c r="D190" s="396" t="str">
        <f t="shared" si="4"/>
        <v>107</v>
      </c>
      <c r="E190" s="397">
        <v>2418838.96</v>
      </c>
      <c r="F190" s="397">
        <v>4422958.5999999996</v>
      </c>
    </row>
    <row r="191" spans="2:6" outlineLevel="2">
      <c r="B191" s="395" t="s">
        <v>2652</v>
      </c>
      <c r="C191" s="395" t="s">
        <v>2651</v>
      </c>
      <c r="D191" s="396" t="str">
        <f t="shared" si="4"/>
        <v>107</v>
      </c>
      <c r="E191" s="397">
        <v>6983168.4800000004</v>
      </c>
      <c r="F191" s="397">
        <v>20752037.300000001</v>
      </c>
    </row>
    <row r="192" spans="2:6" outlineLevel="2">
      <c r="B192" s="395" t="s">
        <v>2650</v>
      </c>
      <c r="C192" s="395" t="s">
        <v>2649</v>
      </c>
      <c r="D192" s="396" t="str">
        <f t="shared" si="4"/>
        <v>107</v>
      </c>
      <c r="E192" s="397">
        <v>0</v>
      </c>
      <c r="F192" s="397">
        <v>0</v>
      </c>
    </row>
    <row r="193" spans="2:6" outlineLevel="2">
      <c r="B193" s="395" t="s">
        <v>2648</v>
      </c>
      <c r="C193" s="395" t="s">
        <v>2647</v>
      </c>
      <c r="D193" s="396" t="str">
        <f t="shared" si="4"/>
        <v>107</v>
      </c>
      <c r="E193" s="397">
        <v>0</v>
      </c>
      <c r="F193" s="397">
        <v>0</v>
      </c>
    </row>
    <row r="194" spans="2:6" outlineLevel="2">
      <c r="B194" s="395" t="s">
        <v>2646</v>
      </c>
      <c r="C194" s="395" t="s">
        <v>2645</v>
      </c>
      <c r="D194" s="396" t="str">
        <f t="shared" si="4"/>
        <v>107</v>
      </c>
      <c r="E194" s="397">
        <v>0</v>
      </c>
      <c r="F194" s="397">
        <v>1006281.56</v>
      </c>
    </row>
    <row r="195" spans="2:6" outlineLevel="2">
      <c r="B195" s="395" t="s">
        <v>2644</v>
      </c>
      <c r="C195" s="395" t="s">
        <v>2643</v>
      </c>
      <c r="D195" s="396" t="str">
        <f t="shared" si="4"/>
        <v>107</v>
      </c>
      <c r="E195" s="397">
        <v>699726.68</v>
      </c>
      <c r="F195" s="397">
        <v>595801.52</v>
      </c>
    </row>
    <row r="196" spans="2:6" outlineLevel="2">
      <c r="B196" s="395" t="s">
        <v>2642</v>
      </c>
      <c r="C196" s="395" t="s">
        <v>2641</v>
      </c>
      <c r="D196" s="396" t="str">
        <f t="shared" si="4"/>
        <v>107</v>
      </c>
      <c r="E196" s="397">
        <v>0</v>
      </c>
      <c r="F196" s="397">
        <v>0</v>
      </c>
    </row>
    <row r="197" spans="2:6" outlineLevel="2">
      <c r="B197" s="395" t="s">
        <v>2640</v>
      </c>
      <c r="C197" s="395" t="s">
        <v>2639</v>
      </c>
      <c r="D197" s="396" t="str">
        <f t="shared" si="4"/>
        <v>107</v>
      </c>
      <c r="E197" s="397">
        <v>262498.82</v>
      </c>
      <c r="F197" s="397">
        <v>949475.49</v>
      </c>
    </row>
    <row r="198" spans="2:6" outlineLevel="2">
      <c r="B198" s="395" t="s">
        <v>2638</v>
      </c>
      <c r="C198" s="395" t="s">
        <v>2637</v>
      </c>
      <c r="D198" s="396" t="str">
        <f t="shared" si="4"/>
        <v>107</v>
      </c>
      <c r="E198" s="397">
        <v>0</v>
      </c>
      <c r="F198" s="397">
        <v>0</v>
      </c>
    </row>
    <row r="199" spans="2:6" outlineLevel="2">
      <c r="B199" s="395" t="s">
        <v>2636</v>
      </c>
      <c r="C199" s="395" t="s">
        <v>2635</v>
      </c>
      <c r="D199" s="396" t="str">
        <f t="shared" si="4"/>
        <v>107</v>
      </c>
      <c r="E199" s="397">
        <v>236735.04</v>
      </c>
      <c r="F199" s="397">
        <v>0</v>
      </c>
    </row>
    <row r="200" spans="2:6" outlineLevel="2">
      <c r="B200" s="395" t="s">
        <v>2634</v>
      </c>
      <c r="C200" s="395" t="s">
        <v>2633</v>
      </c>
      <c r="D200" s="396" t="str">
        <f t="shared" si="4"/>
        <v>107</v>
      </c>
      <c r="E200" s="397">
        <v>654427.05000000005</v>
      </c>
      <c r="F200" s="397">
        <v>0</v>
      </c>
    </row>
    <row r="201" spans="2:6" outlineLevel="2">
      <c r="B201" s="395" t="s">
        <v>2632</v>
      </c>
      <c r="C201" s="395" t="s">
        <v>2631</v>
      </c>
      <c r="D201" s="396" t="str">
        <f t="shared" si="4"/>
        <v>107</v>
      </c>
      <c r="E201" s="397">
        <v>14337.32</v>
      </c>
      <c r="F201" s="397">
        <v>39659.58</v>
      </c>
    </row>
    <row r="202" spans="2:6" outlineLevel="2">
      <c r="B202" s="395" t="s">
        <v>2630</v>
      </c>
      <c r="C202" s="395" t="s">
        <v>2629</v>
      </c>
      <c r="D202" s="396" t="str">
        <f t="shared" si="4"/>
        <v>107</v>
      </c>
      <c r="E202" s="397">
        <v>0</v>
      </c>
      <c r="F202" s="397">
        <v>0</v>
      </c>
    </row>
    <row r="203" spans="2:6" outlineLevel="2">
      <c r="B203" s="395" t="s">
        <v>2628</v>
      </c>
      <c r="C203" s="395" t="s">
        <v>2627</v>
      </c>
      <c r="D203" s="396" t="str">
        <f t="shared" si="4"/>
        <v>107</v>
      </c>
      <c r="E203" s="397">
        <v>190792</v>
      </c>
      <c r="F203" s="397">
        <v>190792</v>
      </c>
    </row>
    <row r="204" spans="2:6" outlineLevel="2">
      <c r="B204" s="395" t="s">
        <v>2626</v>
      </c>
      <c r="C204" s="395" t="s">
        <v>2625</v>
      </c>
      <c r="D204" s="396" t="str">
        <f t="shared" si="4"/>
        <v>107</v>
      </c>
      <c r="E204" s="397">
        <v>0</v>
      </c>
      <c r="F204" s="397">
        <v>0</v>
      </c>
    </row>
    <row r="205" spans="2:6" outlineLevel="2">
      <c r="B205" s="395" t="s">
        <v>2624</v>
      </c>
      <c r="C205" s="395" t="s">
        <v>2623</v>
      </c>
      <c r="D205" s="396" t="str">
        <f t="shared" si="4"/>
        <v>107</v>
      </c>
      <c r="E205" s="397">
        <v>11293.47</v>
      </c>
      <c r="F205" s="397">
        <v>6169.47</v>
      </c>
    </row>
    <row r="206" spans="2:6" outlineLevel="2">
      <c r="B206" s="395" t="s">
        <v>2622</v>
      </c>
      <c r="C206" s="395" t="s">
        <v>2621</v>
      </c>
      <c r="D206" s="396" t="str">
        <f t="shared" si="4"/>
        <v>107</v>
      </c>
      <c r="E206" s="397">
        <v>0</v>
      </c>
      <c r="F206" s="397">
        <v>0</v>
      </c>
    </row>
    <row r="207" spans="2:6" outlineLevel="2">
      <c r="B207" s="395" t="s">
        <v>2620</v>
      </c>
      <c r="C207" s="395" t="s">
        <v>2619</v>
      </c>
      <c r="D207" s="396" t="str">
        <f t="shared" si="4"/>
        <v>107</v>
      </c>
      <c r="E207" s="397">
        <v>1312.91</v>
      </c>
      <c r="F207" s="397">
        <v>1312.91</v>
      </c>
    </row>
    <row r="208" spans="2:6" outlineLevel="2">
      <c r="B208" s="395" t="s">
        <v>2618</v>
      </c>
      <c r="C208" s="395" t="s">
        <v>2617</v>
      </c>
      <c r="D208" s="396" t="str">
        <f t="shared" si="4"/>
        <v>107</v>
      </c>
      <c r="E208" s="397">
        <v>7.55</v>
      </c>
      <c r="F208" s="397">
        <v>7.55</v>
      </c>
    </row>
    <row r="209" spans="2:6" outlineLevel="2">
      <c r="B209" s="395" t="s">
        <v>2616</v>
      </c>
      <c r="C209" s="395" t="s">
        <v>2615</v>
      </c>
      <c r="D209" s="396" t="str">
        <f t="shared" si="4"/>
        <v>107</v>
      </c>
      <c r="E209" s="397">
        <v>0</v>
      </c>
      <c r="F209" s="397">
        <v>0</v>
      </c>
    </row>
    <row r="210" spans="2:6" outlineLevel="2">
      <c r="B210" s="395" t="s">
        <v>2614</v>
      </c>
      <c r="C210" s="395" t="s">
        <v>2613</v>
      </c>
      <c r="D210" s="396" t="str">
        <f t="shared" si="4"/>
        <v>107</v>
      </c>
      <c r="E210" s="397">
        <v>0</v>
      </c>
      <c r="F210" s="397">
        <v>0</v>
      </c>
    </row>
    <row r="211" spans="2:6" outlineLevel="2">
      <c r="B211" s="395" t="s">
        <v>2612</v>
      </c>
      <c r="C211" s="395" t="s">
        <v>2611</v>
      </c>
      <c r="D211" s="396" t="str">
        <f t="shared" si="4"/>
        <v>107</v>
      </c>
      <c r="E211" s="397">
        <v>0</v>
      </c>
      <c r="F211" s="397">
        <v>0</v>
      </c>
    </row>
    <row r="212" spans="2:6" outlineLevel="2">
      <c r="B212" s="395" t="s">
        <v>2610</v>
      </c>
      <c r="C212" s="395" t="s">
        <v>2609</v>
      </c>
      <c r="D212" s="396" t="str">
        <f t="shared" si="4"/>
        <v>107</v>
      </c>
      <c r="E212" s="397">
        <v>0</v>
      </c>
      <c r="F212" s="397">
        <v>7527059.3600000003</v>
      </c>
    </row>
    <row r="213" spans="2:6" outlineLevel="2">
      <c r="B213" s="395" t="s">
        <v>2608</v>
      </c>
      <c r="C213" s="395" t="s">
        <v>2607</v>
      </c>
      <c r="D213" s="396" t="str">
        <f t="shared" si="4"/>
        <v>107</v>
      </c>
      <c r="E213" s="397">
        <v>0</v>
      </c>
      <c r="F213" s="397">
        <v>0</v>
      </c>
    </row>
    <row r="214" spans="2:6" outlineLevel="2">
      <c r="B214" s="395" t="s">
        <v>2606</v>
      </c>
      <c r="C214" s="395" t="s">
        <v>2605</v>
      </c>
      <c r="D214" s="396" t="str">
        <f t="shared" si="4"/>
        <v>107</v>
      </c>
      <c r="E214" s="397">
        <v>0</v>
      </c>
      <c r="F214" s="397">
        <v>0</v>
      </c>
    </row>
    <row r="215" spans="2:6" outlineLevel="2">
      <c r="B215" s="395" t="s">
        <v>2604</v>
      </c>
      <c r="C215" s="395" t="s">
        <v>2603</v>
      </c>
      <c r="D215" s="396" t="str">
        <f t="shared" si="4"/>
        <v>107</v>
      </c>
      <c r="E215" s="397">
        <v>0</v>
      </c>
      <c r="F215" s="397">
        <v>0</v>
      </c>
    </row>
    <row r="216" spans="2:6" outlineLevel="2">
      <c r="B216" s="395" t="s">
        <v>2602</v>
      </c>
      <c r="C216" s="395" t="s">
        <v>2601</v>
      </c>
      <c r="D216" s="396" t="str">
        <f t="shared" si="4"/>
        <v>107</v>
      </c>
      <c r="E216" s="397">
        <v>0</v>
      </c>
      <c r="F216" s="397">
        <v>0</v>
      </c>
    </row>
    <row r="217" spans="2:6" outlineLevel="2">
      <c r="B217" s="395" t="s">
        <v>2600</v>
      </c>
      <c r="C217" s="395" t="s">
        <v>2599</v>
      </c>
      <c r="D217" s="396" t="str">
        <f t="shared" si="4"/>
        <v>107</v>
      </c>
      <c r="E217" s="397">
        <v>0</v>
      </c>
      <c r="F217" s="397">
        <v>0</v>
      </c>
    </row>
    <row r="218" spans="2:6" outlineLevel="2">
      <c r="B218" s="395" t="s">
        <v>2598</v>
      </c>
      <c r="C218" s="395" t="s">
        <v>2597</v>
      </c>
      <c r="D218" s="396" t="str">
        <f t="shared" si="4"/>
        <v>107</v>
      </c>
      <c r="E218" s="397">
        <v>36388</v>
      </c>
      <c r="F218" s="397">
        <v>47434.97</v>
      </c>
    </row>
    <row r="219" spans="2:6" outlineLevel="2">
      <c r="B219" s="395" t="s">
        <v>2596</v>
      </c>
      <c r="C219" s="395" t="s">
        <v>2595</v>
      </c>
      <c r="D219" s="396" t="str">
        <f t="shared" si="4"/>
        <v>107</v>
      </c>
      <c r="E219" s="397">
        <v>76258.880000000005</v>
      </c>
      <c r="F219" s="397">
        <v>78977.88</v>
      </c>
    </row>
    <row r="220" spans="2:6" outlineLevel="2">
      <c r="B220" s="395" t="s">
        <v>2594</v>
      </c>
      <c r="C220" s="395" t="s">
        <v>2593</v>
      </c>
      <c r="D220" s="396" t="str">
        <f t="shared" si="4"/>
        <v>107</v>
      </c>
      <c r="E220" s="397">
        <v>181683</v>
      </c>
      <c r="F220" s="397">
        <v>13987.4</v>
      </c>
    </row>
    <row r="221" spans="2:6" outlineLevel="2">
      <c r="B221" s="395" t="s">
        <v>2592</v>
      </c>
      <c r="C221" s="395" t="s">
        <v>2591</v>
      </c>
      <c r="D221" s="396" t="str">
        <f t="shared" si="4"/>
        <v>107</v>
      </c>
      <c r="E221" s="397">
        <v>0</v>
      </c>
      <c r="F221" s="397">
        <v>0</v>
      </c>
    </row>
    <row r="222" spans="2:6" outlineLevel="2">
      <c r="B222" s="395" t="s">
        <v>2590</v>
      </c>
      <c r="C222" s="395" t="s">
        <v>2589</v>
      </c>
      <c r="D222" s="396" t="str">
        <f t="shared" si="4"/>
        <v>107</v>
      </c>
      <c r="E222" s="397">
        <v>445006.17</v>
      </c>
      <c r="F222" s="397">
        <v>300765.28999999998</v>
      </c>
    </row>
    <row r="223" spans="2:6" outlineLevel="2">
      <c r="B223" s="395" t="s">
        <v>3207</v>
      </c>
      <c r="C223" s="395" t="s">
        <v>3208</v>
      </c>
      <c r="D223" s="396" t="str">
        <f t="shared" si="4"/>
        <v>107</v>
      </c>
      <c r="E223" s="397">
        <v>0</v>
      </c>
      <c r="F223" s="397">
        <v>0</v>
      </c>
    </row>
    <row r="224" spans="2:6" outlineLevel="2"/>
    <row r="225" spans="1:6" outlineLevel="1">
      <c r="E225" s="397">
        <v>62136249.229999982</v>
      </c>
      <c r="F225" s="397">
        <v>78666592.209999979</v>
      </c>
    </row>
    <row r="226" spans="1:6" outlineLevel="1">
      <c r="B226" s="395" t="s">
        <v>2588</v>
      </c>
      <c r="E226" s="397">
        <v>1231234133.1899998</v>
      </c>
      <c r="F226" s="397">
        <v>1226086835.3700004</v>
      </c>
    </row>
    <row r="227" spans="1:6" outlineLevel="1"/>
    <row r="228" spans="1:6" outlineLevel="1">
      <c r="A228" s="395" t="s">
        <v>2587</v>
      </c>
    </row>
    <row r="229" spans="1:6" outlineLevel="2">
      <c r="B229" s="395" t="s">
        <v>2586</v>
      </c>
      <c r="C229" s="395" t="s">
        <v>2585</v>
      </c>
      <c r="D229" s="396" t="str">
        <f t="shared" ref="D229:D235" si="5">RIGHT(C229,3)</f>
        <v>136</v>
      </c>
      <c r="E229" s="397">
        <v>0</v>
      </c>
      <c r="F229" s="397">
        <v>0</v>
      </c>
    </row>
    <row r="230" spans="1:6" outlineLevel="2">
      <c r="B230" s="395" t="s">
        <v>2584</v>
      </c>
      <c r="C230" s="395" t="s">
        <v>2583</v>
      </c>
      <c r="D230" s="396" t="str">
        <f t="shared" si="5"/>
        <v>124</v>
      </c>
      <c r="E230" s="397">
        <v>14758580</v>
      </c>
      <c r="F230" s="397">
        <v>9906490</v>
      </c>
    </row>
    <row r="231" spans="1:6" outlineLevel="2">
      <c r="B231" s="395" t="s">
        <v>2582</v>
      </c>
      <c r="C231" s="395" t="s">
        <v>2581</v>
      </c>
      <c r="D231" s="396" t="str">
        <f t="shared" si="5"/>
        <v>124</v>
      </c>
      <c r="E231" s="397">
        <v>0</v>
      </c>
      <c r="F231" s="397">
        <v>0</v>
      </c>
    </row>
    <row r="232" spans="1:6" outlineLevel="2">
      <c r="B232" s="395" t="s">
        <v>2580</v>
      </c>
      <c r="C232" s="395" t="s">
        <v>2579</v>
      </c>
      <c r="D232" s="396" t="str">
        <f t="shared" si="5"/>
        <v>124</v>
      </c>
      <c r="E232" s="397">
        <v>48481850</v>
      </c>
      <c r="F232" s="397">
        <v>35826280</v>
      </c>
    </row>
    <row r="233" spans="1:6" outlineLevel="2">
      <c r="B233" s="395" t="s">
        <v>2578</v>
      </c>
      <c r="C233" s="395" t="s">
        <v>2577</v>
      </c>
      <c r="D233" s="396" t="str">
        <f t="shared" si="5"/>
        <v>124</v>
      </c>
      <c r="E233" s="397">
        <v>0</v>
      </c>
      <c r="F233" s="397">
        <v>0</v>
      </c>
    </row>
    <row r="234" spans="1:6" outlineLevel="2">
      <c r="B234" s="395" t="s">
        <v>2576</v>
      </c>
      <c r="C234" s="395" t="s">
        <v>2575</v>
      </c>
      <c r="D234" s="396" t="str">
        <f t="shared" si="5"/>
        <v>124</v>
      </c>
      <c r="E234" s="397">
        <v>0</v>
      </c>
      <c r="F234" s="397">
        <v>0</v>
      </c>
    </row>
    <row r="235" spans="1:6" outlineLevel="2">
      <c r="B235" s="395" t="s">
        <v>2574</v>
      </c>
      <c r="C235" s="395" t="s">
        <v>2573</v>
      </c>
      <c r="D235" s="396" t="str">
        <f t="shared" si="5"/>
        <v>124</v>
      </c>
      <c r="E235" s="397">
        <v>4930200</v>
      </c>
      <c r="F235" s="397">
        <v>0</v>
      </c>
    </row>
    <row r="236" spans="1:6" outlineLevel="2"/>
    <row r="237" spans="1:6" outlineLevel="1">
      <c r="E237" s="397">
        <v>68170630</v>
      </c>
      <c r="F237" s="397">
        <v>45732770</v>
      </c>
    </row>
    <row r="238" spans="1:6" outlineLevel="1"/>
    <row r="239" spans="1:6" outlineLevel="1">
      <c r="A239" s="395" t="s">
        <v>2572</v>
      </c>
    </row>
    <row r="240" spans="1:6" outlineLevel="2">
      <c r="B240" s="395" t="s">
        <v>2571</v>
      </c>
      <c r="C240" s="395" t="s">
        <v>2570</v>
      </c>
      <c r="D240" s="396" t="str">
        <f t="shared" ref="D240:D283" si="6">RIGHT(C240,3)</f>
        <v>124</v>
      </c>
      <c r="E240" s="397">
        <v>5619600.5899999999</v>
      </c>
      <c r="F240" s="397">
        <v>8595403.3100000005</v>
      </c>
    </row>
    <row r="241" spans="2:6" outlineLevel="2">
      <c r="B241" s="395" t="s">
        <v>2569</v>
      </c>
      <c r="C241" s="395" t="s">
        <v>2568</v>
      </c>
      <c r="D241" s="396" t="str">
        <f t="shared" si="6"/>
        <v>124</v>
      </c>
      <c r="E241" s="397">
        <v>0</v>
      </c>
      <c r="F241" s="397">
        <v>0</v>
      </c>
    </row>
    <row r="242" spans="2:6" outlineLevel="2">
      <c r="B242" s="395" t="s">
        <v>2567</v>
      </c>
      <c r="C242" s="395" t="s">
        <v>2566</v>
      </c>
      <c r="D242" s="396" t="str">
        <f t="shared" si="6"/>
        <v>124</v>
      </c>
      <c r="E242" s="397">
        <v>0</v>
      </c>
      <c r="F242" s="397">
        <v>0</v>
      </c>
    </row>
    <row r="243" spans="2:6" outlineLevel="2">
      <c r="B243" s="395" t="s">
        <v>2565</v>
      </c>
      <c r="C243" s="395" t="s">
        <v>2564</v>
      </c>
      <c r="D243" s="396" t="str">
        <f t="shared" si="6"/>
        <v>124</v>
      </c>
      <c r="E243" s="397">
        <v>0</v>
      </c>
      <c r="F243" s="397">
        <v>0</v>
      </c>
    </row>
    <row r="244" spans="2:6" outlineLevel="2">
      <c r="B244" s="395" t="s">
        <v>2563</v>
      </c>
      <c r="C244" s="395" t="s">
        <v>2562</v>
      </c>
      <c r="D244" s="396" t="str">
        <f t="shared" si="6"/>
        <v>124</v>
      </c>
      <c r="E244" s="397">
        <v>0</v>
      </c>
      <c r="F244" s="397">
        <v>0</v>
      </c>
    </row>
    <row r="245" spans="2:6" outlineLevel="2">
      <c r="B245" s="395" t="s">
        <v>2561</v>
      </c>
      <c r="C245" s="395" t="s">
        <v>2560</v>
      </c>
      <c r="D245" s="396" t="str">
        <f t="shared" si="6"/>
        <v>124</v>
      </c>
      <c r="E245" s="397">
        <v>0</v>
      </c>
      <c r="F245" s="397">
        <v>0</v>
      </c>
    </row>
    <row r="246" spans="2:6" outlineLevel="2">
      <c r="B246" s="395" t="s">
        <v>2559</v>
      </c>
      <c r="C246" s="395" t="s">
        <v>2558</v>
      </c>
      <c r="D246" s="396" t="str">
        <f t="shared" si="6"/>
        <v>124</v>
      </c>
      <c r="E246" s="397">
        <v>0</v>
      </c>
      <c r="F246" s="397">
        <v>0</v>
      </c>
    </row>
    <row r="247" spans="2:6" outlineLevel="2">
      <c r="B247" s="395" t="s">
        <v>2557</v>
      </c>
      <c r="C247" s="395" t="s">
        <v>2556</v>
      </c>
      <c r="D247" s="396" t="str">
        <f t="shared" si="6"/>
        <v>124</v>
      </c>
      <c r="E247" s="397">
        <v>0</v>
      </c>
      <c r="F247" s="397">
        <v>0</v>
      </c>
    </row>
    <row r="248" spans="2:6" outlineLevel="2">
      <c r="B248" s="395" t="s">
        <v>2555</v>
      </c>
      <c r="C248" s="395" t="s">
        <v>2554</v>
      </c>
      <c r="D248" s="396" t="str">
        <f t="shared" si="6"/>
        <v>124</v>
      </c>
      <c r="E248" s="397">
        <v>0</v>
      </c>
      <c r="F248" s="397">
        <v>0</v>
      </c>
    </row>
    <row r="249" spans="2:6" outlineLevel="2">
      <c r="B249" s="395" t="s">
        <v>2553</v>
      </c>
      <c r="C249" s="395" t="s">
        <v>2552</v>
      </c>
      <c r="D249" s="396" t="str">
        <f t="shared" si="6"/>
        <v>124</v>
      </c>
      <c r="E249" s="397">
        <v>0</v>
      </c>
      <c r="F249" s="397">
        <v>0</v>
      </c>
    </row>
    <row r="250" spans="2:6" outlineLevel="2">
      <c r="B250" s="395" t="s">
        <v>2551</v>
      </c>
      <c r="C250" s="395" t="s">
        <v>2550</v>
      </c>
      <c r="D250" s="396" t="str">
        <f t="shared" si="6"/>
        <v>124</v>
      </c>
      <c r="E250" s="397">
        <v>0</v>
      </c>
      <c r="F250" s="397">
        <v>0</v>
      </c>
    </row>
    <row r="251" spans="2:6" outlineLevel="2">
      <c r="B251" s="395" t="s">
        <v>2549</v>
      </c>
      <c r="C251" s="395" t="s">
        <v>2548</v>
      </c>
      <c r="D251" s="396" t="str">
        <f t="shared" si="6"/>
        <v>124</v>
      </c>
      <c r="E251" s="397">
        <v>0</v>
      </c>
      <c r="F251" s="397">
        <v>0</v>
      </c>
    </row>
    <row r="252" spans="2:6" outlineLevel="2">
      <c r="B252" s="395" t="s">
        <v>2547</v>
      </c>
      <c r="C252" s="395" t="s">
        <v>2546</v>
      </c>
      <c r="D252" s="396" t="str">
        <f t="shared" si="6"/>
        <v>124</v>
      </c>
      <c r="E252" s="397">
        <v>0</v>
      </c>
      <c r="F252" s="397">
        <v>0</v>
      </c>
    </row>
    <row r="253" spans="2:6" outlineLevel="2">
      <c r="B253" s="395" t="s">
        <v>2545</v>
      </c>
      <c r="C253" s="395" t="s">
        <v>2544</v>
      </c>
      <c r="D253" s="396" t="str">
        <f t="shared" si="6"/>
        <v>124</v>
      </c>
      <c r="E253" s="397">
        <v>0</v>
      </c>
      <c r="F253" s="397">
        <v>0</v>
      </c>
    </row>
    <row r="254" spans="2:6" outlineLevel="2">
      <c r="B254" s="395" t="s">
        <v>2543</v>
      </c>
      <c r="C254" s="395" t="s">
        <v>2542</v>
      </c>
      <c r="D254" s="396" t="str">
        <f t="shared" si="6"/>
        <v>124</v>
      </c>
      <c r="E254" s="397">
        <v>0</v>
      </c>
      <c r="F254" s="397">
        <v>0</v>
      </c>
    </row>
    <row r="255" spans="2:6" outlineLevel="2">
      <c r="B255" s="395" t="s">
        <v>2541</v>
      </c>
      <c r="C255" s="395" t="s">
        <v>2540</v>
      </c>
      <c r="D255" s="396" t="str">
        <f t="shared" si="6"/>
        <v>124</v>
      </c>
      <c r="E255" s="397">
        <v>0</v>
      </c>
      <c r="F255" s="397">
        <v>0</v>
      </c>
    </row>
    <row r="256" spans="2:6" outlineLevel="2">
      <c r="B256" s="395" t="s">
        <v>2539</v>
      </c>
      <c r="C256" s="395" t="s">
        <v>2538</v>
      </c>
      <c r="D256" s="396" t="str">
        <f t="shared" si="6"/>
        <v>124</v>
      </c>
      <c r="E256" s="397">
        <v>0</v>
      </c>
      <c r="F256" s="397">
        <v>0</v>
      </c>
    </row>
    <row r="257" spans="2:6" outlineLevel="2">
      <c r="B257" s="395" t="s">
        <v>2537</v>
      </c>
      <c r="C257" s="395" t="s">
        <v>2536</v>
      </c>
      <c r="D257" s="396" t="str">
        <f t="shared" si="6"/>
        <v>124</v>
      </c>
      <c r="E257" s="397">
        <v>0</v>
      </c>
      <c r="F257" s="397">
        <v>3416875.05</v>
      </c>
    </row>
    <row r="258" spans="2:6" outlineLevel="2">
      <c r="B258" s="395" t="s">
        <v>2535</v>
      </c>
      <c r="C258" s="395" t="s">
        <v>2534</v>
      </c>
      <c r="D258" s="396" t="str">
        <f t="shared" si="6"/>
        <v>124</v>
      </c>
      <c r="E258" s="397">
        <v>0</v>
      </c>
      <c r="F258" s="397">
        <v>0</v>
      </c>
    </row>
    <row r="259" spans="2:6" outlineLevel="2">
      <c r="B259" s="395" t="s">
        <v>2533</v>
      </c>
      <c r="C259" s="395" t="s">
        <v>2532</v>
      </c>
      <c r="D259" s="396" t="str">
        <f t="shared" si="6"/>
        <v>124</v>
      </c>
      <c r="E259" s="397">
        <v>0</v>
      </c>
      <c r="F259" s="397">
        <v>0</v>
      </c>
    </row>
    <row r="260" spans="2:6" outlineLevel="2">
      <c r="B260" s="395" t="s">
        <v>2531</v>
      </c>
      <c r="C260" s="395" t="s">
        <v>2530</v>
      </c>
      <c r="D260" s="396" t="str">
        <f t="shared" si="6"/>
        <v>124</v>
      </c>
      <c r="E260" s="397">
        <v>0</v>
      </c>
      <c r="F260" s="397">
        <v>0</v>
      </c>
    </row>
    <row r="261" spans="2:6" outlineLevel="2">
      <c r="B261" s="395" t="s">
        <v>2529</v>
      </c>
      <c r="C261" s="395" t="s">
        <v>2528</v>
      </c>
      <c r="D261" s="396" t="str">
        <f t="shared" si="6"/>
        <v>124</v>
      </c>
      <c r="E261" s="397">
        <v>0</v>
      </c>
      <c r="F261" s="397">
        <v>0</v>
      </c>
    </row>
    <row r="262" spans="2:6" outlineLevel="2">
      <c r="B262" s="395" t="s">
        <v>2527</v>
      </c>
      <c r="C262" s="395" t="s">
        <v>2526</v>
      </c>
      <c r="D262" s="396" t="str">
        <f t="shared" si="6"/>
        <v>124</v>
      </c>
      <c r="E262" s="397">
        <v>0</v>
      </c>
      <c r="F262" s="397">
        <v>0</v>
      </c>
    </row>
    <row r="263" spans="2:6" outlineLevel="2">
      <c r="B263" s="395" t="s">
        <v>2525</v>
      </c>
      <c r="C263" s="395" t="s">
        <v>2524</v>
      </c>
      <c r="D263" s="396" t="str">
        <f t="shared" si="6"/>
        <v>124</v>
      </c>
      <c r="E263" s="397">
        <v>0</v>
      </c>
      <c r="F263" s="397">
        <v>0</v>
      </c>
    </row>
    <row r="264" spans="2:6" outlineLevel="2">
      <c r="B264" s="395" t="s">
        <v>3209</v>
      </c>
      <c r="C264" s="395" t="s">
        <v>3210</v>
      </c>
      <c r="D264" s="396" t="str">
        <f t="shared" si="6"/>
        <v>124</v>
      </c>
      <c r="E264" s="397">
        <v>25799038.670000002</v>
      </c>
      <c r="F264" s="397">
        <v>0</v>
      </c>
    </row>
    <row r="265" spans="2:6" outlineLevel="2">
      <c r="B265" s="395" t="s">
        <v>3211</v>
      </c>
      <c r="C265" s="395" t="s">
        <v>3212</v>
      </c>
      <c r="D265" s="396" t="str">
        <f t="shared" si="6"/>
        <v>124</v>
      </c>
      <c r="E265" s="397">
        <v>382500</v>
      </c>
      <c r="F265" s="397">
        <v>0</v>
      </c>
    </row>
    <row r="266" spans="2:6" outlineLevel="2">
      <c r="B266" s="395" t="s">
        <v>2523</v>
      </c>
      <c r="C266" s="395" t="s">
        <v>2522</v>
      </c>
      <c r="D266" s="396" t="str">
        <f t="shared" si="6"/>
        <v>124</v>
      </c>
      <c r="E266" s="397">
        <v>0</v>
      </c>
      <c r="F266" s="397">
        <v>0</v>
      </c>
    </row>
    <row r="267" spans="2:6" outlineLevel="2">
      <c r="B267" s="395" t="s">
        <v>2521</v>
      </c>
      <c r="C267" s="395" t="s">
        <v>2520</v>
      </c>
      <c r="D267" s="396" t="str">
        <f t="shared" si="6"/>
        <v>124</v>
      </c>
      <c r="E267" s="397">
        <v>0</v>
      </c>
      <c r="F267" s="397">
        <v>0</v>
      </c>
    </row>
    <row r="268" spans="2:6" outlineLevel="2">
      <c r="B268" s="395" t="s">
        <v>2519</v>
      </c>
      <c r="C268" s="395" t="s">
        <v>2518</v>
      </c>
      <c r="D268" s="396" t="str">
        <f t="shared" si="6"/>
        <v>124</v>
      </c>
      <c r="E268" s="397">
        <v>0</v>
      </c>
      <c r="F268" s="397">
        <v>0</v>
      </c>
    </row>
    <row r="269" spans="2:6" outlineLevel="2">
      <c r="B269" s="395" t="s">
        <v>2517</v>
      </c>
      <c r="C269" s="395" t="s">
        <v>2516</v>
      </c>
      <c r="D269" s="396" t="str">
        <f t="shared" si="6"/>
        <v>124</v>
      </c>
      <c r="E269" s="397">
        <v>0</v>
      </c>
      <c r="F269" s="397">
        <v>0</v>
      </c>
    </row>
    <row r="270" spans="2:6" outlineLevel="2">
      <c r="B270" s="395" t="s">
        <v>2515</v>
      </c>
      <c r="C270" s="395" t="s">
        <v>2514</v>
      </c>
      <c r="D270" s="396" t="str">
        <f t="shared" si="6"/>
        <v>124</v>
      </c>
      <c r="E270" s="397">
        <v>0</v>
      </c>
      <c r="F270" s="397">
        <v>0</v>
      </c>
    </row>
    <row r="271" spans="2:6" outlineLevel="2">
      <c r="B271" s="395" t="s">
        <v>2513</v>
      </c>
      <c r="C271" s="395" t="s">
        <v>2512</v>
      </c>
      <c r="D271" s="396" t="str">
        <f t="shared" si="6"/>
        <v>124</v>
      </c>
      <c r="E271" s="397">
        <v>0</v>
      </c>
      <c r="F271" s="397">
        <v>0</v>
      </c>
    </row>
    <row r="272" spans="2:6" outlineLevel="2">
      <c r="B272" s="395" t="s">
        <v>2511</v>
      </c>
      <c r="C272" s="395" t="s">
        <v>2510</v>
      </c>
      <c r="D272" s="396" t="str">
        <f t="shared" si="6"/>
        <v>124</v>
      </c>
      <c r="E272" s="397">
        <v>0</v>
      </c>
      <c r="F272" s="397">
        <v>0</v>
      </c>
    </row>
    <row r="273" spans="1:6" outlineLevel="2">
      <c r="B273" s="395" t="s">
        <v>2509</v>
      </c>
      <c r="C273" s="395" t="s">
        <v>2508</v>
      </c>
      <c r="D273" s="396" t="str">
        <f t="shared" si="6"/>
        <v>124</v>
      </c>
      <c r="E273" s="397">
        <v>10875955.08</v>
      </c>
      <c r="F273" s="397">
        <v>22062568.120000001</v>
      </c>
    </row>
    <row r="274" spans="1:6" outlineLevel="2">
      <c r="B274" s="395" t="s">
        <v>2507</v>
      </c>
      <c r="C274" s="395" t="s">
        <v>2506</v>
      </c>
      <c r="D274" s="396" t="str">
        <f t="shared" si="6"/>
        <v>124</v>
      </c>
      <c r="E274" s="397">
        <v>790129.81</v>
      </c>
      <c r="F274" s="397">
        <v>790129.81</v>
      </c>
    </row>
    <row r="275" spans="1:6" outlineLevel="2">
      <c r="B275" s="395" t="s">
        <v>2505</v>
      </c>
      <c r="C275" s="395" t="s">
        <v>2504</v>
      </c>
      <c r="D275" s="396" t="str">
        <f t="shared" si="6"/>
        <v>124</v>
      </c>
      <c r="E275" s="397">
        <v>1419435.64</v>
      </c>
      <c r="F275" s="397">
        <v>419435.64</v>
      </c>
    </row>
    <row r="276" spans="1:6" outlineLevel="2">
      <c r="B276" s="395" t="s">
        <v>2503</v>
      </c>
      <c r="C276" s="395" t="s">
        <v>2502</v>
      </c>
      <c r="D276" s="396" t="str">
        <f t="shared" si="6"/>
        <v>124</v>
      </c>
      <c r="E276" s="397">
        <v>4495674.04</v>
      </c>
      <c r="F276" s="397">
        <v>4495674.04</v>
      </c>
    </row>
    <row r="277" spans="1:6" outlineLevel="2">
      <c r="B277" s="395" t="s">
        <v>2501</v>
      </c>
      <c r="C277" s="395" t="s">
        <v>2500</v>
      </c>
      <c r="D277" s="396" t="str">
        <f t="shared" si="6"/>
        <v>124</v>
      </c>
      <c r="E277" s="397">
        <v>10074187.84</v>
      </c>
      <c r="F277" s="397">
        <v>6451187.8399999999</v>
      </c>
    </row>
    <row r="278" spans="1:6" outlineLevel="2">
      <c r="B278" s="395" t="s">
        <v>2499</v>
      </c>
      <c r="C278" s="395" t="s">
        <v>2498</v>
      </c>
      <c r="D278" s="396" t="str">
        <f t="shared" si="6"/>
        <v>124</v>
      </c>
      <c r="E278" s="397">
        <v>6002524.6500000004</v>
      </c>
      <c r="F278" s="397">
        <v>6178276.1399999997</v>
      </c>
    </row>
    <row r="279" spans="1:6" outlineLevel="2">
      <c r="B279" s="395" t="s">
        <v>2497</v>
      </c>
      <c r="C279" s="395" t="s">
        <v>2496</v>
      </c>
      <c r="D279" s="396" t="str">
        <f t="shared" si="6"/>
        <v>124</v>
      </c>
      <c r="E279" s="397">
        <v>51078979.619999997</v>
      </c>
      <c r="F279" s="397">
        <v>53704898</v>
      </c>
    </row>
    <row r="280" spans="1:6" outlineLevel="2">
      <c r="B280" s="395" t="s">
        <v>2495</v>
      </c>
      <c r="C280" s="395" t="s">
        <v>2494</v>
      </c>
      <c r="D280" s="396" t="str">
        <f t="shared" si="6"/>
        <v>124</v>
      </c>
      <c r="E280" s="397">
        <v>383150.79</v>
      </c>
      <c r="F280" s="397">
        <v>380370.74</v>
      </c>
    </row>
    <row r="281" spans="1:6" outlineLevel="2">
      <c r="B281" s="395" t="s">
        <v>2493</v>
      </c>
      <c r="C281" s="395" t="s">
        <v>2492</v>
      </c>
      <c r="D281" s="396" t="str">
        <f t="shared" si="6"/>
        <v>124</v>
      </c>
      <c r="E281" s="397">
        <v>0</v>
      </c>
      <c r="F281" s="397">
        <v>0</v>
      </c>
    </row>
    <row r="282" spans="1:6" outlineLevel="2">
      <c r="B282" s="395" t="s">
        <v>2491</v>
      </c>
      <c r="C282" s="395" t="s">
        <v>2490</v>
      </c>
      <c r="D282" s="396" t="str">
        <f t="shared" si="6"/>
        <v>124</v>
      </c>
      <c r="E282" s="397">
        <v>0</v>
      </c>
      <c r="F282" s="397">
        <v>0</v>
      </c>
    </row>
    <row r="283" spans="1:6" outlineLevel="2">
      <c r="B283" s="395" t="s">
        <v>2489</v>
      </c>
      <c r="C283" s="395" t="s">
        <v>2488</v>
      </c>
      <c r="D283" s="396" t="str">
        <f t="shared" si="6"/>
        <v>124</v>
      </c>
      <c r="E283" s="397">
        <v>58161.31</v>
      </c>
      <c r="F283" s="397">
        <v>175930.14</v>
      </c>
    </row>
    <row r="284" spans="1:6" outlineLevel="2"/>
    <row r="285" spans="1:6" outlineLevel="1">
      <c r="E285" s="397">
        <v>116979338.04000001</v>
      </c>
      <c r="F285" s="397">
        <v>106670748.83</v>
      </c>
    </row>
    <row r="286" spans="1:6" outlineLevel="1"/>
    <row r="287" spans="1:6" outlineLevel="1">
      <c r="A287" s="395" t="s">
        <v>2487</v>
      </c>
    </row>
    <row r="288" spans="1:6" outlineLevel="1">
      <c r="B288" s="395" t="s">
        <v>2486</v>
      </c>
    </row>
    <row r="289" spans="2:6" outlineLevel="2">
      <c r="B289" s="395" t="s">
        <v>2485</v>
      </c>
      <c r="C289" s="395" t="s">
        <v>2484</v>
      </c>
      <c r="D289" s="396" t="str">
        <f t="shared" ref="D289:D302" si="7">RIGHT(C289,3)</f>
        <v>131</v>
      </c>
      <c r="E289" s="397">
        <v>0</v>
      </c>
      <c r="F289" s="397">
        <v>4583.32</v>
      </c>
    </row>
    <row r="290" spans="2:6" outlineLevel="2">
      <c r="B290" s="395" t="s">
        <v>2483</v>
      </c>
      <c r="C290" s="395" t="s">
        <v>2482</v>
      </c>
      <c r="D290" s="396" t="str">
        <f t="shared" si="7"/>
        <v>131</v>
      </c>
      <c r="E290" s="397">
        <v>0</v>
      </c>
      <c r="F290" s="397">
        <v>46463456.869999997</v>
      </c>
    </row>
    <row r="291" spans="2:6" outlineLevel="2">
      <c r="B291" s="395" t="s">
        <v>2481</v>
      </c>
      <c r="C291" s="395" t="s">
        <v>2480</v>
      </c>
      <c r="D291" s="396" t="str">
        <f t="shared" si="7"/>
        <v>131</v>
      </c>
      <c r="E291" s="397">
        <v>0</v>
      </c>
      <c r="F291" s="397">
        <v>0</v>
      </c>
    </row>
    <row r="292" spans="2:6" outlineLevel="2">
      <c r="B292" s="395" t="s">
        <v>2479</v>
      </c>
      <c r="C292" s="395" t="s">
        <v>2478</v>
      </c>
      <c r="D292" s="396" t="str">
        <f t="shared" si="7"/>
        <v>131</v>
      </c>
      <c r="E292" s="397">
        <v>0</v>
      </c>
      <c r="F292" s="397">
        <v>0</v>
      </c>
    </row>
    <row r="293" spans="2:6" outlineLevel="2">
      <c r="B293" s="395" t="s">
        <v>2477</v>
      </c>
      <c r="C293" s="395" t="s">
        <v>2476</v>
      </c>
      <c r="D293" s="396" t="str">
        <f t="shared" si="7"/>
        <v>131</v>
      </c>
      <c r="E293" s="397">
        <v>100</v>
      </c>
      <c r="F293" s="397">
        <v>100</v>
      </c>
    </row>
    <row r="294" spans="2:6" outlineLevel="2">
      <c r="B294" s="395" t="s">
        <v>2475</v>
      </c>
      <c r="C294" s="395" t="s">
        <v>2474</v>
      </c>
      <c r="D294" s="396" t="str">
        <f t="shared" si="7"/>
        <v>131</v>
      </c>
      <c r="E294" s="397">
        <v>37670.550000000003</v>
      </c>
      <c r="F294" s="397">
        <v>15771.48</v>
      </c>
    </row>
    <row r="295" spans="2:6" outlineLevel="2">
      <c r="B295" s="395" t="s">
        <v>2473</v>
      </c>
      <c r="C295" s="395" t="s">
        <v>2472</v>
      </c>
      <c r="D295" s="396" t="str">
        <f t="shared" si="7"/>
        <v>131</v>
      </c>
      <c r="E295" s="397">
        <v>0</v>
      </c>
      <c r="F295" s="397">
        <v>0</v>
      </c>
    </row>
    <row r="296" spans="2:6" outlineLevel="2">
      <c r="B296" s="395" t="s">
        <v>2471</v>
      </c>
      <c r="C296" s="395" t="s">
        <v>2470</v>
      </c>
      <c r="D296" s="396" t="str">
        <f t="shared" si="7"/>
        <v>131</v>
      </c>
      <c r="E296" s="397">
        <v>177600.92</v>
      </c>
      <c r="F296" s="397">
        <v>89042.89</v>
      </c>
    </row>
    <row r="297" spans="2:6" outlineLevel="2">
      <c r="B297" s="395" t="s">
        <v>2469</v>
      </c>
      <c r="C297" s="395" t="s">
        <v>2468</v>
      </c>
      <c r="D297" s="396" t="str">
        <f t="shared" si="7"/>
        <v>131</v>
      </c>
      <c r="E297" s="397">
        <v>259770.69</v>
      </c>
      <c r="F297" s="397">
        <v>233047.24</v>
      </c>
    </row>
    <row r="298" spans="2:6" outlineLevel="2">
      <c r="B298" s="395" t="s">
        <v>2467</v>
      </c>
      <c r="C298" s="395" t="s">
        <v>2466</v>
      </c>
      <c r="D298" s="396" t="str">
        <f t="shared" si="7"/>
        <v>131</v>
      </c>
      <c r="E298" s="397">
        <v>0</v>
      </c>
      <c r="F298" s="397">
        <v>0</v>
      </c>
    </row>
    <row r="299" spans="2:6" outlineLevel="2">
      <c r="B299" s="395" t="s">
        <v>2465</v>
      </c>
      <c r="C299" s="395" t="s">
        <v>2464</v>
      </c>
      <c r="D299" s="396" t="str">
        <f t="shared" si="7"/>
        <v>131</v>
      </c>
      <c r="E299" s="397">
        <v>67132828.760000005</v>
      </c>
      <c r="F299" s="397">
        <v>0</v>
      </c>
    </row>
    <row r="300" spans="2:6" outlineLevel="2">
      <c r="B300" s="395" t="s">
        <v>2463</v>
      </c>
      <c r="C300" s="395" t="s">
        <v>2462</v>
      </c>
      <c r="D300" s="396" t="str">
        <f t="shared" si="7"/>
        <v>131</v>
      </c>
      <c r="E300" s="397">
        <v>97929.76</v>
      </c>
      <c r="F300" s="397">
        <v>0</v>
      </c>
    </row>
    <row r="301" spans="2:6" outlineLevel="2">
      <c r="B301" s="395" t="s">
        <v>2461</v>
      </c>
      <c r="C301" s="395" t="s">
        <v>2460</v>
      </c>
      <c r="D301" s="396" t="str">
        <f t="shared" si="7"/>
        <v>131</v>
      </c>
      <c r="E301" s="397">
        <v>74318995.650000006</v>
      </c>
      <c r="F301" s="397">
        <v>43193937.93</v>
      </c>
    </row>
    <row r="302" spans="2:6" outlineLevel="2">
      <c r="B302" s="395" t="s">
        <v>2459</v>
      </c>
      <c r="C302" s="395" t="s">
        <v>2458</v>
      </c>
      <c r="D302" s="396" t="str">
        <f t="shared" si="7"/>
        <v>131</v>
      </c>
      <c r="E302" s="397">
        <v>3020193.33</v>
      </c>
      <c r="F302" s="397">
        <v>3007670.17</v>
      </c>
    </row>
    <row r="303" spans="2:6" outlineLevel="2"/>
    <row r="304" spans="2:6" outlineLevel="1">
      <c r="E304" s="397">
        <v>145045089.66000003</v>
      </c>
      <c r="F304" s="397">
        <v>93007609.899999991</v>
      </c>
    </row>
    <row r="305" spans="2:6" outlineLevel="1">
      <c r="B305" s="395" t="s">
        <v>2457</v>
      </c>
    </row>
    <row r="306" spans="2:6" outlineLevel="2">
      <c r="B306" s="395" t="s">
        <v>2456</v>
      </c>
      <c r="C306" s="395" t="s">
        <v>2455</v>
      </c>
      <c r="D306" s="396" t="str">
        <f t="shared" ref="D306:D313" si="8">RIGHT(C306,3)</f>
        <v>136</v>
      </c>
      <c r="E306" s="397">
        <v>0</v>
      </c>
      <c r="F306" s="397">
        <v>0</v>
      </c>
    </row>
    <row r="307" spans="2:6" outlineLevel="2">
      <c r="B307" s="395" t="s">
        <v>2454</v>
      </c>
      <c r="C307" s="395" t="s">
        <v>2453</v>
      </c>
      <c r="D307" s="396" t="str">
        <f t="shared" si="8"/>
        <v>124</v>
      </c>
      <c r="E307" s="397">
        <v>3998260</v>
      </c>
      <c r="F307" s="397">
        <v>4000500</v>
      </c>
    </row>
    <row r="308" spans="2:6" outlineLevel="2">
      <c r="B308" s="395" t="s">
        <v>2452</v>
      </c>
      <c r="C308" s="395" t="s">
        <v>2451</v>
      </c>
      <c r="D308" s="396" t="str">
        <f t="shared" si="8"/>
        <v>124</v>
      </c>
      <c r="E308" s="397">
        <v>0</v>
      </c>
      <c r="F308" s="397">
        <v>0</v>
      </c>
    </row>
    <row r="309" spans="2:6" outlineLevel="2">
      <c r="B309" s="395" t="s">
        <v>2450</v>
      </c>
      <c r="C309" s="395" t="s">
        <v>2449</v>
      </c>
      <c r="D309" s="396" t="str">
        <f t="shared" si="8"/>
        <v>124</v>
      </c>
      <c r="E309" s="397">
        <v>16010490</v>
      </c>
      <c r="F309" s="397">
        <v>13010380</v>
      </c>
    </row>
    <row r="310" spans="2:6" outlineLevel="2">
      <c r="B310" s="395" t="s">
        <v>3213</v>
      </c>
      <c r="C310" s="395" t="s">
        <v>3214</v>
      </c>
      <c r="D310" s="396" t="str">
        <f t="shared" si="8"/>
        <v>124</v>
      </c>
      <c r="E310" s="397">
        <v>0</v>
      </c>
      <c r="F310" s="397">
        <v>1001540</v>
      </c>
    </row>
    <row r="311" spans="2:6" outlineLevel="2">
      <c r="B311" s="395" t="s">
        <v>2448</v>
      </c>
      <c r="C311" s="395" t="s">
        <v>2447</v>
      </c>
      <c r="D311" s="396" t="str">
        <f t="shared" si="8"/>
        <v>124</v>
      </c>
      <c r="E311" s="397">
        <v>0</v>
      </c>
      <c r="F311" s="397">
        <v>0</v>
      </c>
    </row>
    <row r="312" spans="2:6" outlineLevel="2">
      <c r="B312" s="395" t="s">
        <v>2446</v>
      </c>
      <c r="C312" s="395" t="s">
        <v>2445</v>
      </c>
      <c r="D312" s="396" t="str">
        <f t="shared" si="8"/>
        <v>124</v>
      </c>
      <c r="E312" s="397">
        <v>0</v>
      </c>
      <c r="F312" s="397">
        <v>0</v>
      </c>
    </row>
    <row r="313" spans="2:6" outlineLevel="2">
      <c r="B313" s="395" t="s">
        <v>2444</v>
      </c>
      <c r="C313" s="395" t="s">
        <v>2443</v>
      </c>
      <c r="D313" s="396" t="str">
        <f t="shared" si="8"/>
        <v>124</v>
      </c>
      <c r="E313" s="397">
        <v>0</v>
      </c>
      <c r="F313" s="397">
        <v>0</v>
      </c>
    </row>
    <row r="314" spans="2:6" outlineLevel="2"/>
    <row r="315" spans="2:6" outlineLevel="1">
      <c r="E315" s="397">
        <v>20008750</v>
      </c>
      <c r="F315" s="397">
        <v>18012420</v>
      </c>
    </row>
    <row r="316" spans="2:6" outlineLevel="1">
      <c r="B316" s="395" t="s">
        <v>2442</v>
      </c>
    </row>
    <row r="317" spans="2:6" outlineLevel="2">
      <c r="B317" s="395" t="s">
        <v>2441</v>
      </c>
      <c r="C317" s="395" t="s">
        <v>2440</v>
      </c>
      <c r="D317" s="396" t="str">
        <f t="shared" ref="D317" si="9">RIGHT(C317,3)</f>
        <v>142</v>
      </c>
      <c r="E317" s="397">
        <v>68632733.010000005</v>
      </c>
      <c r="F317" s="397">
        <v>72692217.930000007</v>
      </c>
    </row>
    <row r="318" spans="2:6" outlineLevel="2"/>
    <row r="319" spans="2:6" outlineLevel="1">
      <c r="E319" s="397">
        <v>68632733.010000005</v>
      </c>
      <c r="F319" s="397">
        <v>72692217.930000007</v>
      </c>
    </row>
    <row r="320" spans="2:6" outlineLevel="1">
      <c r="B320" s="395" t="s">
        <v>2439</v>
      </c>
    </row>
    <row r="321" spans="2:6" outlineLevel="2">
      <c r="B321" s="395" t="s">
        <v>2438</v>
      </c>
      <c r="C321" s="395" t="s">
        <v>2437</v>
      </c>
      <c r="D321" s="396" t="str">
        <f t="shared" ref="D321:D347" si="10">RIGHT(C321,3)</f>
        <v>154</v>
      </c>
      <c r="E321" s="397">
        <v>7505.2</v>
      </c>
      <c r="F321" s="397">
        <v>7505.2</v>
      </c>
    </row>
    <row r="322" spans="2:6" outlineLevel="2">
      <c r="B322" s="395" t="s">
        <v>2436</v>
      </c>
      <c r="C322" s="395" t="s">
        <v>2435</v>
      </c>
      <c r="D322" s="396" t="str">
        <f t="shared" si="10"/>
        <v>154</v>
      </c>
      <c r="E322" s="397">
        <v>-320942.89</v>
      </c>
      <c r="F322" s="397">
        <v>-268934.89</v>
      </c>
    </row>
    <row r="323" spans="2:6" outlineLevel="2">
      <c r="B323" s="395" t="s">
        <v>2434</v>
      </c>
      <c r="C323" s="395" t="s">
        <v>2433</v>
      </c>
      <c r="D323" s="396" t="str">
        <f t="shared" si="10"/>
        <v>154</v>
      </c>
      <c r="E323" s="397">
        <v>2154</v>
      </c>
      <c r="F323" s="397">
        <v>2154</v>
      </c>
    </row>
    <row r="324" spans="2:6" outlineLevel="2">
      <c r="B324" s="395" t="s">
        <v>2432</v>
      </c>
      <c r="C324" s="395" t="s">
        <v>2431</v>
      </c>
      <c r="D324" s="396" t="str">
        <f t="shared" si="10"/>
        <v>154</v>
      </c>
      <c r="E324" s="397">
        <v>78012.789999999994</v>
      </c>
      <c r="F324" s="397">
        <v>0</v>
      </c>
    </row>
    <row r="325" spans="2:6" outlineLevel="2">
      <c r="B325" s="395" t="s">
        <v>2430</v>
      </c>
      <c r="C325" s="395" t="s">
        <v>2429</v>
      </c>
      <c r="D325" s="396" t="str">
        <f t="shared" si="10"/>
        <v>154</v>
      </c>
      <c r="E325" s="397">
        <v>0</v>
      </c>
      <c r="F325" s="397">
        <v>0</v>
      </c>
    </row>
    <row r="326" spans="2:6" outlineLevel="2">
      <c r="B326" s="395" t="s">
        <v>2428</v>
      </c>
      <c r="C326" s="395" t="s">
        <v>2427</v>
      </c>
      <c r="D326" s="396" t="str">
        <f t="shared" si="10"/>
        <v>151</v>
      </c>
      <c r="E326" s="397">
        <v>4646864.54</v>
      </c>
      <c r="F326" s="397">
        <v>5121180.59</v>
      </c>
    </row>
    <row r="327" spans="2:6" outlineLevel="2">
      <c r="B327" s="395" t="s">
        <v>2426</v>
      </c>
      <c r="C327" s="395" t="s">
        <v>2425</v>
      </c>
      <c r="D327" s="396" t="str">
        <f t="shared" si="10"/>
        <v>151</v>
      </c>
      <c r="E327" s="397">
        <v>17285.060000000001</v>
      </c>
      <c r="F327" s="397">
        <v>28000.39</v>
      </c>
    </row>
    <row r="328" spans="2:6" outlineLevel="2">
      <c r="B328" s="395" t="s">
        <v>2424</v>
      </c>
      <c r="C328" s="395" t="s">
        <v>2423</v>
      </c>
      <c r="D328" s="396" t="str">
        <f t="shared" si="10"/>
        <v>154</v>
      </c>
      <c r="E328" s="397">
        <v>1823622.49</v>
      </c>
      <c r="F328" s="397">
        <v>2142366.98</v>
      </c>
    </row>
    <row r="329" spans="2:6" outlineLevel="2">
      <c r="B329" s="395" t="s">
        <v>2422</v>
      </c>
      <c r="C329" s="395" t="s">
        <v>2421</v>
      </c>
      <c r="D329" s="396" t="str">
        <f t="shared" si="10"/>
        <v>154</v>
      </c>
      <c r="E329" s="397">
        <v>1364.66</v>
      </c>
      <c r="F329" s="397">
        <v>58905.22</v>
      </c>
    </row>
    <row r="330" spans="2:6" outlineLevel="2">
      <c r="B330" s="395" t="s">
        <v>2420</v>
      </c>
      <c r="C330" s="395" t="s">
        <v>2419</v>
      </c>
      <c r="D330" s="396" t="str">
        <f t="shared" si="10"/>
        <v>154</v>
      </c>
      <c r="E330" s="397">
        <v>73618.539999999994</v>
      </c>
      <c r="F330" s="397">
        <v>104196.93</v>
      </c>
    </row>
    <row r="331" spans="2:6" outlineLevel="2">
      <c r="B331" s="395" t="s">
        <v>2418</v>
      </c>
      <c r="C331" s="395" t="s">
        <v>2417</v>
      </c>
      <c r="D331" s="396" t="str">
        <f t="shared" si="10"/>
        <v>151</v>
      </c>
      <c r="E331" s="397">
        <v>1987889.48</v>
      </c>
      <c r="F331" s="397">
        <v>2703275.67</v>
      </c>
    </row>
    <row r="332" spans="2:6" outlineLevel="2">
      <c r="B332" s="395" t="s">
        <v>2416</v>
      </c>
      <c r="C332" s="395" t="s">
        <v>2415</v>
      </c>
      <c r="D332" s="396" t="str">
        <f t="shared" si="10"/>
        <v>151</v>
      </c>
      <c r="E332" s="397">
        <v>14462.27</v>
      </c>
      <c r="F332" s="397">
        <v>20558.79</v>
      </c>
    </row>
    <row r="333" spans="2:6" outlineLevel="2">
      <c r="B333" s="395" t="s">
        <v>2414</v>
      </c>
      <c r="C333" s="395" t="s">
        <v>2413</v>
      </c>
      <c r="D333" s="396" t="str">
        <f t="shared" si="10"/>
        <v>154</v>
      </c>
      <c r="E333" s="397">
        <v>902814.42</v>
      </c>
      <c r="F333" s="397">
        <v>893839.31</v>
      </c>
    </row>
    <row r="334" spans="2:6" outlineLevel="2">
      <c r="B334" s="395" t="s">
        <v>2412</v>
      </c>
      <c r="C334" s="395" t="s">
        <v>2411</v>
      </c>
      <c r="D334" s="396" t="str">
        <f t="shared" si="10"/>
        <v>154</v>
      </c>
      <c r="E334" s="397">
        <v>45903.94</v>
      </c>
      <c r="F334" s="397">
        <v>30059.78</v>
      </c>
    </row>
    <row r="335" spans="2:6" outlineLevel="2">
      <c r="B335" s="395" t="s">
        <v>2410</v>
      </c>
      <c r="C335" s="395" t="s">
        <v>2409</v>
      </c>
      <c r="D335" s="396" t="str">
        <f t="shared" si="10"/>
        <v>154</v>
      </c>
      <c r="E335" s="397">
        <v>152776.26999999999</v>
      </c>
      <c r="F335" s="397">
        <v>151321.93</v>
      </c>
    </row>
    <row r="336" spans="2:6" outlineLevel="2">
      <c r="B336" s="395" t="s">
        <v>2408</v>
      </c>
      <c r="C336" s="395" t="s">
        <v>2407</v>
      </c>
      <c r="D336" s="396" t="str">
        <f t="shared" si="10"/>
        <v>151</v>
      </c>
      <c r="E336" s="397">
        <v>1521549.36</v>
      </c>
      <c r="F336" s="397">
        <v>1521886.69</v>
      </c>
    </row>
    <row r="337" spans="2:6" outlineLevel="2">
      <c r="B337" s="395" t="s">
        <v>2406</v>
      </c>
      <c r="C337" s="395" t="s">
        <v>2405</v>
      </c>
      <c r="D337" s="396" t="str">
        <f t="shared" si="10"/>
        <v>154</v>
      </c>
      <c r="E337" s="397">
        <v>354519.03999999998</v>
      </c>
      <c r="F337" s="397">
        <v>354519.03999999998</v>
      </c>
    </row>
    <row r="338" spans="2:6" outlineLevel="2">
      <c r="B338" s="395" t="s">
        <v>2404</v>
      </c>
      <c r="C338" s="395" t="s">
        <v>2403</v>
      </c>
      <c r="D338" s="396" t="str">
        <f t="shared" si="10"/>
        <v>154</v>
      </c>
      <c r="E338" s="397">
        <v>367602.4</v>
      </c>
      <c r="F338" s="397">
        <v>367602.4</v>
      </c>
    </row>
    <row r="339" spans="2:6" outlineLevel="2">
      <c r="B339" s="395" t="s">
        <v>2402</v>
      </c>
      <c r="C339" s="395" t="s">
        <v>2401</v>
      </c>
      <c r="D339" s="396" t="str">
        <f t="shared" si="10"/>
        <v>151</v>
      </c>
      <c r="E339" s="397">
        <v>794872.7</v>
      </c>
      <c r="F339" s="397">
        <v>795661.65</v>
      </c>
    </row>
    <row r="340" spans="2:6" outlineLevel="2">
      <c r="B340" s="395" t="s">
        <v>2400</v>
      </c>
      <c r="C340" s="395" t="s">
        <v>2399</v>
      </c>
      <c r="D340" s="396" t="str">
        <f t="shared" si="10"/>
        <v>154</v>
      </c>
      <c r="E340" s="397">
        <v>5878.74</v>
      </c>
      <c r="F340" s="397">
        <v>5878.74</v>
      </c>
    </row>
    <row r="341" spans="2:6" outlineLevel="2">
      <c r="B341" s="395" t="s">
        <v>2398</v>
      </c>
      <c r="C341" s="395" t="s">
        <v>2397</v>
      </c>
      <c r="D341" s="396" t="str">
        <f t="shared" si="10"/>
        <v>154</v>
      </c>
      <c r="E341" s="397">
        <v>3533801.59</v>
      </c>
      <c r="F341" s="397">
        <v>2588855.89</v>
      </c>
    </row>
    <row r="342" spans="2:6" outlineLevel="2">
      <c r="B342" s="395" t="s">
        <v>2396</v>
      </c>
      <c r="C342" s="395" t="s">
        <v>2395</v>
      </c>
      <c r="D342" s="396" t="str">
        <f t="shared" si="10"/>
        <v>151</v>
      </c>
      <c r="E342" s="397">
        <v>2338177.5299999998</v>
      </c>
      <c r="F342" s="397">
        <v>1958167.51</v>
      </c>
    </row>
    <row r="343" spans="2:6" outlineLevel="2">
      <c r="B343" s="395" t="s">
        <v>2394</v>
      </c>
      <c r="C343" s="395" t="s">
        <v>2393</v>
      </c>
      <c r="D343" s="396" t="str">
        <f t="shared" si="10"/>
        <v>151</v>
      </c>
      <c r="E343" s="397">
        <v>689530.5</v>
      </c>
      <c r="F343" s="397">
        <v>1033132.9</v>
      </c>
    </row>
    <row r="344" spans="2:6" outlineLevel="2">
      <c r="B344" s="395" t="s">
        <v>2392</v>
      </c>
      <c r="C344" s="395" t="s">
        <v>2391</v>
      </c>
      <c r="D344" s="396" t="str">
        <f t="shared" si="10"/>
        <v>151</v>
      </c>
      <c r="E344" s="397">
        <v>44044.41</v>
      </c>
      <c r="F344" s="397">
        <v>27780.22</v>
      </c>
    </row>
    <row r="345" spans="2:6" outlineLevel="2">
      <c r="B345" s="395" t="s">
        <v>2390</v>
      </c>
      <c r="C345" s="395" t="s">
        <v>2389</v>
      </c>
      <c r="D345" s="396" t="str">
        <f t="shared" si="10"/>
        <v>154</v>
      </c>
      <c r="E345" s="397">
        <v>-46008</v>
      </c>
      <c r="F345" s="397">
        <v>-23004</v>
      </c>
    </row>
    <row r="346" spans="2:6" outlineLevel="2">
      <c r="B346" s="395" t="s">
        <v>2388</v>
      </c>
      <c r="C346" s="395" t="s">
        <v>2387</v>
      </c>
      <c r="D346" s="396" t="str">
        <f t="shared" si="10"/>
        <v>154</v>
      </c>
      <c r="E346" s="397">
        <v>223440.72</v>
      </c>
      <c r="F346" s="397">
        <v>223440.72</v>
      </c>
    </row>
    <row r="347" spans="2:6" outlineLevel="2">
      <c r="B347" s="395" t="s">
        <v>3215</v>
      </c>
      <c r="C347" s="395" t="s">
        <v>3216</v>
      </c>
      <c r="D347" s="396" t="str">
        <f t="shared" si="10"/>
        <v>154</v>
      </c>
      <c r="E347" s="397">
        <v>71743.320000000007</v>
      </c>
      <c r="F347" s="397">
        <v>0</v>
      </c>
    </row>
    <row r="348" spans="2:6" outlineLevel="2"/>
    <row r="349" spans="2:6" outlineLevel="1">
      <c r="E349" s="397">
        <v>19332483.079999994</v>
      </c>
      <c r="F349" s="397">
        <v>19848351.659999996</v>
      </c>
    </row>
    <row r="350" spans="2:6" outlineLevel="1">
      <c r="B350" s="395" t="s">
        <v>2386</v>
      </c>
    </row>
    <row r="351" spans="2:6" outlineLevel="2">
      <c r="B351" s="495" t="s">
        <v>2385</v>
      </c>
      <c r="C351" s="395" t="s">
        <v>2384</v>
      </c>
      <c r="D351" s="396" t="str">
        <f t="shared" ref="D351:D377" si="11">RIGHT(C351,3)</f>
        <v>143</v>
      </c>
      <c r="E351" s="397">
        <v>4613822.33</v>
      </c>
      <c r="F351" s="397">
        <v>791514.77</v>
      </c>
    </row>
    <row r="352" spans="2:6" outlineLevel="2">
      <c r="B352" s="495" t="s">
        <v>2383</v>
      </c>
      <c r="C352" s="395" t="s">
        <v>2382</v>
      </c>
      <c r="D352" s="396" t="str">
        <f t="shared" si="11"/>
        <v>165</v>
      </c>
      <c r="E352" s="397">
        <v>16630.419999999998</v>
      </c>
      <c r="F352" s="397">
        <v>28513.279999999999</v>
      </c>
    </row>
    <row r="353" spans="2:7" outlineLevel="2">
      <c r="B353" s="495" t="s">
        <v>2381</v>
      </c>
      <c r="C353" s="395" t="s">
        <v>2380</v>
      </c>
      <c r="D353" s="396" t="str">
        <f t="shared" si="11"/>
        <v>165</v>
      </c>
      <c r="E353" s="397">
        <v>482820.9</v>
      </c>
      <c r="F353" s="397">
        <v>950703.68</v>
      </c>
    </row>
    <row r="354" spans="2:7" outlineLevel="2">
      <c r="B354" s="495" t="s">
        <v>2379</v>
      </c>
      <c r="C354" s="395" t="s">
        <v>2378</v>
      </c>
      <c r="D354" s="396" t="str">
        <f t="shared" si="11"/>
        <v>171</v>
      </c>
      <c r="E354" s="397">
        <v>492604.36</v>
      </c>
      <c r="F354" s="397">
        <v>228038.66</v>
      </c>
    </row>
    <row r="355" spans="2:7" outlineLevel="2">
      <c r="B355" s="495" t="s">
        <v>2377</v>
      </c>
      <c r="C355" s="395" t="s">
        <v>2376</v>
      </c>
      <c r="D355" s="396" t="str">
        <f t="shared" si="11"/>
        <v>173</v>
      </c>
      <c r="E355" s="397">
        <v>0</v>
      </c>
      <c r="F355" s="397">
        <v>0</v>
      </c>
    </row>
    <row r="356" spans="2:7" outlineLevel="2">
      <c r="B356" s="495" t="s">
        <v>2375</v>
      </c>
      <c r="C356" s="395" t="s">
        <v>2374</v>
      </c>
      <c r="D356" s="396" t="str">
        <f t="shared" si="11"/>
        <v>175</v>
      </c>
      <c r="E356" s="397">
        <v>409697.64</v>
      </c>
      <c r="F356" s="397">
        <v>844112</v>
      </c>
      <c r="G356" s="240" t="s">
        <v>3012</v>
      </c>
    </row>
    <row r="357" spans="2:7" outlineLevel="2">
      <c r="B357" s="495" t="s">
        <v>2373</v>
      </c>
      <c r="C357" s="395" t="s">
        <v>2372</v>
      </c>
      <c r="D357" s="396" t="str">
        <f t="shared" si="11"/>
        <v>186</v>
      </c>
      <c r="E357" s="397">
        <v>742174.71999999997</v>
      </c>
      <c r="F357" s="397">
        <v>1010910</v>
      </c>
    </row>
    <row r="358" spans="2:7" outlineLevel="2">
      <c r="B358" s="495" t="s">
        <v>2371</v>
      </c>
      <c r="C358" s="395" t="s">
        <v>2370</v>
      </c>
      <c r="D358" s="396" t="str">
        <f t="shared" si="11"/>
        <v>165</v>
      </c>
      <c r="E358" s="397">
        <v>702455.14</v>
      </c>
      <c r="F358" s="397">
        <v>0</v>
      </c>
    </row>
    <row r="359" spans="2:7" outlineLevel="2">
      <c r="B359" s="495" t="s">
        <v>2369</v>
      </c>
      <c r="C359" s="395" t="s">
        <v>2368</v>
      </c>
      <c r="D359" s="396" t="str">
        <f t="shared" si="11"/>
        <v>143</v>
      </c>
      <c r="E359" s="397">
        <v>24204930.640000001</v>
      </c>
      <c r="F359" s="397">
        <v>13804262.869999999</v>
      </c>
    </row>
    <row r="360" spans="2:7" outlineLevel="2">
      <c r="B360" s="495" t="s">
        <v>2367</v>
      </c>
      <c r="C360" s="395" t="s">
        <v>2366</v>
      </c>
      <c r="D360" s="396" t="str">
        <f t="shared" si="11"/>
        <v>143</v>
      </c>
      <c r="E360" s="397">
        <v>0</v>
      </c>
      <c r="F360" s="397">
        <v>0</v>
      </c>
    </row>
    <row r="361" spans="2:7" outlineLevel="2">
      <c r="B361" s="495" t="s">
        <v>3217</v>
      </c>
      <c r="C361" s="395" t="s">
        <v>3218</v>
      </c>
      <c r="D361" s="396" t="str">
        <f t="shared" si="11"/>
        <v>123</v>
      </c>
      <c r="E361" s="397">
        <v>0</v>
      </c>
      <c r="F361" s="397">
        <v>0</v>
      </c>
    </row>
    <row r="362" spans="2:7" outlineLevel="2">
      <c r="B362" s="495" t="s">
        <v>3219</v>
      </c>
      <c r="C362" s="395" t="s">
        <v>3220</v>
      </c>
      <c r="D362" s="396" t="str">
        <f t="shared" si="11"/>
        <v>186</v>
      </c>
      <c r="E362" s="397">
        <v>0</v>
      </c>
      <c r="F362" s="397">
        <v>0</v>
      </c>
    </row>
    <row r="363" spans="2:7" outlineLevel="2">
      <c r="B363" s="495" t="s">
        <v>3221</v>
      </c>
      <c r="C363" s="395" t="s">
        <v>3222</v>
      </c>
      <c r="D363" s="396" t="str">
        <f t="shared" si="11"/>
        <v>143</v>
      </c>
      <c r="E363" s="397">
        <v>-1456226.9</v>
      </c>
      <c r="F363" s="397">
        <v>0</v>
      </c>
    </row>
    <row r="364" spans="2:7" outlineLevel="2">
      <c r="B364" s="495" t="s">
        <v>3223</v>
      </c>
      <c r="C364" s="395" t="s">
        <v>3224</v>
      </c>
      <c r="D364" s="396" t="str">
        <f t="shared" si="11"/>
        <v>186</v>
      </c>
      <c r="E364" s="397">
        <v>0</v>
      </c>
      <c r="F364" s="397">
        <v>0</v>
      </c>
    </row>
    <row r="365" spans="2:7" outlineLevel="2">
      <c r="B365" s="495" t="s">
        <v>2365</v>
      </c>
      <c r="C365" s="395" t="s">
        <v>2364</v>
      </c>
      <c r="D365" s="396" t="str">
        <f t="shared" si="11"/>
        <v>165</v>
      </c>
      <c r="E365" s="397">
        <v>0</v>
      </c>
      <c r="F365" s="397">
        <v>0</v>
      </c>
    </row>
    <row r="366" spans="2:7" outlineLevel="2">
      <c r="B366" s="495" t="s">
        <v>2363</v>
      </c>
      <c r="C366" s="395" t="s">
        <v>2362</v>
      </c>
      <c r="D366" s="396" t="str">
        <f t="shared" si="11"/>
        <v>143</v>
      </c>
      <c r="E366" s="397">
        <v>921053.24</v>
      </c>
      <c r="F366" s="397">
        <v>615852.62</v>
      </c>
    </row>
    <row r="367" spans="2:7" outlineLevel="2">
      <c r="B367" s="495" t="s">
        <v>2361</v>
      </c>
      <c r="C367" s="395" t="s">
        <v>2360</v>
      </c>
      <c r="D367" s="396" t="str">
        <f t="shared" si="11"/>
        <v>165</v>
      </c>
      <c r="E367" s="397">
        <v>0</v>
      </c>
      <c r="F367" s="397">
        <v>1123.51</v>
      </c>
    </row>
    <row r="368" spans="2:7" outlineLevel="2">
      <c r="B368" s="495" t="s">
        <v>2359</v>
      </c>
      <c r="C368" s="395" t="s">
        <v>2358</v>
      </c>
      <c r="D368" s="396" t="str">
        <f t="shared" si="11"/>
        <v>143</v>
      </c>
      <c r="E368" s="397">
        <v>454651.8</v>
      </c>
      <c r="F368" s="397">
        <v>315322.46999999997</v>
      </c>
    </row>
    <row r="369" spans="1:6" outlineLevel="2">
      <c r="B369" s="495" t="s">
        <v>2357</v>
      </c>
      <c r="C369" s="395" t="s">
        <v>2356</v>
      </c>
      <c r="D369" s="396" t="str">
        <f t="shared" si="11"/>
        <v>171</v>
      </c>
      <c r="E369" s="397">
        <v>0</v>
      </c>
      <c r="F369" s="397">
        <v>0</v>
      </c>
    </row>
    <row r="370" spans="1:6" outlineLevel="2">
      <c r="B370" s="495" t="s">
        <v>2355</v>
      </c>
      <c r="C370" s="395" t="s">
        <v>2354</v>
      </c>
      <c r="D370" s="396" t="str">
        <f t="shared" si="11"/>
        <v>165</v>
      </c>
      <c r="E370" s="397">
        <v>52988.36</v>
      </c>
      <c r="F370" s="397">
        <v>0</v>
      </c>
    </row>
    <row r="371" spans="1:6" outlineLevel="2">
      <c r="B371" s="495" t="s">
        <v>2353</v>
      </c>
      <c r="C371" s="395" t="s">
        <v>2352</v>
      </c>
      <c r="D371" s="396" t="str">
        <f t="shared" si="11"/>
        <v>143</v>
      </c>
      <c r="E371" s="397">
        <v>4186.51</v>
      </c>
      <c r="F371" s="397">
        <v>0</v>
      </c>
    </row>
    <row r="372" spans="1:6" outlineLevel="2">
      <c r="B372" s="495" t="s">
        <v>2351</v>
      </c>
      <c r="C372" s="395" t="s">
        <v>2350</v>
      </c>
      <c r="D372" s="396" t="str">
        <f t="shared" si="11"/>
        <v>143</v>
      </c>
      <c r="E372" s="397">
        <v>90278.21</v>
      </c>
      <c r="F372" s="397">
        <v>0</v>
      </c>
    </row>
    <row r="373" spans="1:6" outlineLevel="2">
      <c r="B373" s="495" t="s">
        <v>2349</v>
      </c>
      <c r="C373" s="395" t="s">
        <v>2348</v>
      </c>
      <c r="D373" s="396" t="str">
        <f t="shared" si="11"/>
        <v>165</v>
      </c>
      <c r="E373" s="397">
        <v>583598.64</v>
      </c>
      <c r="F373" s="397">
        <v>779877.59</v>
      </c>
    </row>
    <row r="374" spans="1:6" outlineLevel="2">
      <c r="B374" s="495" t="s">
        <v>2347</v>
      </c>
      <c r="C374" s="395" t="s">
        <v>2346</v>
      </c>
      <c r="D374" s="396" t="str">
        <f t="shared" si="11"/>
        <v>143</v>
      </c>
      <c r="E374" s="397">
        <v>22149.89</v>
      </c>
      <c r="F374" s="397">
        <v>30345.599999999999</v>
      </c>
    </row>
    <row r="375" spans="1:6" outlineLevel="2">
      <c r="B375" s="395" t="s">
        <v>2345</v>
      </c>
      <c r="C375" s="395" t="s">
        <v>2344</v>
      </c>
      <c r="D375" s="396" t="str">
        <f t="shared" si="11"/>
        <v>174</v>
      </c>
      <c r="E375" s="397">
        <v>0</v>
      </c>
      <c r="F375" s="397">
        <v>28413.3</v>
      </c>
    </row>
    <row r="376" spans="1:6" outlineLevel="2">
      <c r="B376" s="395" t="s">
        <v>3225</v>
      </c>
      <c r="C376" s="395" t="s">
        <v>3226</v>
      </c>
      <c r="D376" s="396" t="str">
        <f t="shared" si="11"/>
        <v>186</v>
      </c>
      <c r="E376" s="397">
        <v>267618.96000000002</v>
      </c>
      <c r="F376" s="397">
        <v>0</v>
      </c>
    </row>
    <row r="377" spans="1:6" outlineLevel="2">
      <c r="B377" s="395" t="s">
        <v>3227</v>
      </c>
      <c r="C377" s="395" t="s">
        <v>3228</v>
      </c>
      <c r="D377" s="396" t="str">
        <f t="shared" si="11"/>
        <v>165</v>
      </c>
      <c r="E377" s="397">
        <v>0</v>
      </c>
      <c r="F377" s="397">
        <v>0</v>
      </c>
    </row>
    <row r="378" spans="1:6" outlineLevel="2"/>
    <row r="379" spans="1:6" outlineLevel="1">
      <c r="E379" s="397">
        <v>32605434.860000003</v>
      </c>
      <c r="F379" s="397">
        <v>19428990.350000001</v>
      </c>
    </row>
    <row r="380" spans="1:6" outlineLevel="1">
      <c r="B380" s="395" t="s">
        <v>2343</v>
      </c>
      <c r="E380" s="397">
        <v>285624490.61000001</v>
      </c>
      <c r="F380" s="397">
        <v>222989589.83999997</v>
      </c>
    </row>
    <row r="381" spans="1:6" outlineLevel="1"/>
    <row r="382" spans="1:6" outlineLevel="1">
      <c r="A382" s="395" t="s">
        <v>2342</v>
      </c>
    </row>
    <row r="383" spans="1:6" outlineLevel="1">
      <c r="B383" s="395" t="s">
        <v>2341</v>
      </c>
    </row>
    <row r="384" spans="1:6" outlineLevel="2">
      <c r="B384" s="395" t="s">
        <v>2340</v>
      </c>
      <c r="C384" s="395" t="s">
        <v>2339</v>
      </c>
      <c r="D384" s="396" t="str">
        <f t="shared" ref="D384:D396" si="12">RIGHT(C384,3)</f>
        <v>186</v>
      </c>
      <c r="E384" s="397">
        <v>1378709.83</v>
      </c>
      <c r="F384" s="397">
        <v>937860.57</v>
      </c>
    </row>
    <row r="385" spans="2:7" outlineLevel="2">
      <c r="B385" s="395" t="s">
        <v>2338</v>
      </c>
      <c r="C385" s="395" t="s">
        <v>2337</v>
      </c>
      <c r="D385" s="396" t="str">
        <f t="shared" si="12"/>
        <v>186</v>
      </c>
      <c r="E385" s="397">
        <v>-422311.83</v>
      </c>
      <c r="F385" s="397">
        <v>-417944.45</v>
      </c>
    </row>
    <row r="386" spans="2:7" outlineLevel="2">
      <c r="B386" s="395" t="s">
        <v>2336</v>
      </c>
      <c r="C386" s="395" t="s">
        <v>2335</v>
      </c>
      <c r="D386" s="396" t="str">
        <f t="shared" si="12"/>
        <v>186</v>
      </c>
      <c r="E386" s="397">
        <v>32511464.059999999</v>
      </c>
      <c r="F386" s="397">
        <v>31217181.789999999</v>
      </c>
    </row>
    <row r="387" spans="2:7" outlineLevel="2">
      <c r="B387" s="395" t="s">
        <v>2334</v>
      </c>
      <c r="C387" s="395" t="s">
        <v>2333</v>
      </c>
      <c r="D387" s="396" t="str">
        <f t="shared" si="12"/>
        <v>186</v>
      </c>
      <c r="E387" s="397">
        <v>-49087886.659999996</v>
      </c>
      <c r="F387" s="397">
        <v>-42042982.659999996</v>
      </c>
    </row>
    <row r="388" spans="2:7" outlineLevel="2">
      <c r="B388" s="395" t="s">
        <v>2332</v>
      </c>
      <c r="C388" s="395" t="s">
        <v>2331</v>
      </c>
      <c r="D388" s="396" t="str">
        <f t="shared" si="12"/>
        <v>186</v>
      </c>
      <c r="E388" s="397">
        <v>-447245848</v>
      </c>
      <c r="F388" s="397">
        <v>-421185832</v>
      </c>
    </row>
    <row r="389" spans="2:7" outlineLevel="2">
      <c r="B389" s="395" t="s">
        <v>2330</v>
      </c>
      <c r="C389" s="395" t="s">
        <v>2329</v>
      </c>
      <c r="D389" s="396" t="str">
        <f t="shared" si="12"/>
        <v>186</v>
      </c>
      <c r="E389" s="397">
        <v>0</v>
      </c>
      <c r="F389" s="397">
        <v>0</v>
      </c>
    </row>
    <row r="390" spans="2:7" outlineLevel="2">
      <c r="B390" s="395" t="s">
        <v>2328</v>
      </c>
      <c r="C390" s="395" t="s">
        <v>2327</v>
      </c>
      <c r="D390" s="396" t="str">
        <f t="shared" si="12"/>
        <v>186</v>
      </c>
      <c r="E390" s="397">
        <v>508510131.20999998</v>
      </c>
      <c r="F390" s="397">
        <v>466285011.52999997</v>
      </c>
    </row>
    <row r="391" spans="2:7" outlineLevel="2">
      <c r="B391" s="395" t="s">
        <v>2326</v>
      </c>
      <c r="C391" s="395" t="s">
        <v>2325</v>
      </c>
      <c r="D391" s="396" t="str">
        <f t="shared" si="12"/>
        <v>186</v>
      </c>
      <c r="E391" s="397">
        <v>75470610.540000007</v>
      </c>
      <c r="F391" s="397">
        <v>73061700.810000002</v>
      </c>
    </row>
    <row r="392" spans="2:7" outlineLevel="2">
      <c r="B392" s="395" t="s">
        <v>2324</v>
      </c>
      <c r="C392" s="395" t="s">
        <v>2323</v>
      </c>
      <c r="D392" s="396" t="str">
        <f t="shared" si="12"/>
        <v>186</v>
      </c>
      <c r="E392" s="397">
        <v>-31338993.670000002</v>
      </c>
      <c r="F392" s="397">
        <v>-22709940.390000001</v>
      </c>
    </row>
    <row r="393" spans="2:7" outlineLevel="2">
      <c r="B393" s="395" t="s">
        <v>2322</v>
      </c>
      <c r="C393" s="395" t="s">
        <v>2321</v>
      </c>
      <c r="D393" s="396" t="str">
        <f t="shared" si="12"/>
        <v>186</v>
      </c>
      <c r="E393" s="397">
        <v>7560558.1200000001</v>
      </c>
      <c r="F393" s="397">
        <v>-1500718.43</v>
      </c>
    </row>
    <row r="394" spans="2:7" outlineLevel="2">
      <c r="B394" s="395" t="s">
        <v>2320</v>
      </c>
      <c r="C394" s="395" t="s">
        <v>2319</v>
      </c>
      <c r="D394" s="396" t="str">
        <f t="shared" si="12"/>
        <v>186</v>
      </c>
      <c r="E394" s="397">
        <v>3477408</v>
      </c>
      <c r="F394" s="397">
        <v>3863784</v>
      </c>
    </row>
    <row r="395" spans="2:7" outlineLevel="2">
      <c r="B395" s="395" t="s">
        <v>2318</v>
      </c>
      <c r="C395" s="395" t="s">
        <v>2317</v>
      </c>
      <c r="D395" s="396" t="str">
        <f t="shared" si="12"/>
        <v>186</v>
      </c>
      <c r="E395" s="397">
        <v>0</v>
      </c>
      <c r="F395" s="397">
        <v>0</v>
      </c>
    </row>
    <row r="396" spans="2:7" outlineLevel="2">
      <c r="B396" s="395" t="s">
        <v>2316</v>
      </c>
      <c r="C396" s="395" t="s">
        <v>2315</v>
      </c>
      <c r="D396" s="396" t="str">
        <f t="shared" si="12"/>
        <v>186</v>
      </c>
      <c r="E396" s="397">
        <v>0</v>
      </c>
      <c r="F396" s="397">
        <v>0</v>
      </c>
    </row>
    <row r="397" spans="2:7" outlineLevel="2"/>
    <row r="398" spans="2:7" outlineLevel="1">
      <c r="E398" s="397">
        <v>100813841.59999996</v>
      </c>
      <c r="F398" s="397">
        <v>87508120.769999966</v>
      </c>
    </row>
    <row r="399" spans="2:7" outlineLevel="1">
      <c r="B399" s="395" t="s">
        <v>2314</v>
      </c>
    </row>
    <row r="400" spans="2:7" outlineLevel="2">
      <c r="B400" s="395" t="s">
        <v>2313</v>
      </c>
      <c r="C400" s="395" t="s">
        <v>2312</v>
      </c>
      <c r="D400" s="396" t="str">
        <f t="shared" ref="D400:D420" si="13">RIGHT(C400,3)</f>
        <v>175</v>
      </c>
      <c r="E400" s="397">
        <v>2126520</v>
      </c>
      <c r="F400" s="397">
        <v>431820</v>
      </c>
      <c r="G400" s="240" t="s">
        <v>3011</v>
      </c>
    </row>
    <row r="401" spans="2:6" outlineLevel="2">
      <c r="B401" s="395" t="s">
        <v>2311</v>
      </c>
      <c r="C401" s="395" t="s">
        <v>2310</v>
      </c>
      <c r="D401" s="396" t="str">
        <f t="shared" si="13"/>
        <v>186</v>
      </c>
      <c r="E401" s="397">
        <v>12044120</v>
      </c>
      <c r="F401" s="397">
        <v>8266060</v>
      </c>
    </row>
    <row r="402" spans="2:6" outlineLevel="2">
      <c r="B402" s="395" t="s">
        <v>2309</v>
      </c>
      <c r="C402" s="395" t="s">
        <v>2308</v>
      </c>
      <c r="D402" s="396" t="str">
        <f t="shared" si="13"/>
        <v>181</v>
      </c>
      <c r="E402" s="397">
        <v>0</v>
      </c>
      <c r="F402" s="397">
        <v>0</v>
      </c>
    </row>
    <row r="403" spans="2:6" outlineLevel="2">
      <c r="B403" s="395" t="s">
        <v>2307</v>
      </c>
      <c r="C403" s="395" t="s">
        <v>2306</v>
      </c>
      <c r="D403" s="396" t="str">
        <f t="shared" si="13"/>
        <v>181</v>
      </c>
      <c r="E403" s="397">
        <v>0</v>
      </c>
      <c r="F403" s="397">
        <v>0</v>
      </c>
    </row>
    <row r="404" spans="2:6" outlineLevel="2">
      <c r="B404" s="395" t="s">
        <v>2305</v>
      </c>
      <c r="C404" s="395" t="s">
        <v>2304</v>
      </c>
      <c r="D404" s="396" t="str">
        <f t="shared" si="13"/>
        <v>181</v>
      </c>
      <c r="E404" s="397">
        <v>0</v>
      </c>
      <c r="F404" s="397">
        <v>0</v>
      </c>
    </row>
    <row r="405" spans="2:6" outlineLevel="2">
      <c r="B405" s="395" t="s">
        <v>2303</v>
      </c>
      <c r="C405" s="395" t="s">
        <v>2302</v>
      </c>
      <c r="D405" s="396" t="str">
        <f t="shared" si="13"/>
        <v>189</v>
      </c>
      <c r="E405" s="397">
        <v>43827209.640000001</v>
      </c>
      <c r="F405" s="397">
        <v>35693658.240000002</v>
      </c>
    </row>
    <row r="406" spans="2:6" outlineLevel="2">
      <c r="B406" s="395" t="s">
        <v>2301</v>
      </c>
      <c r="C406" s="395" t="s">
        <v>2300</v>
      </c>
      <c r="D406" s="396" t="str">
        <f t="shared" si="13"/>
        <v>181</v>
      </c>
      <c r="E406" s="397">
        <v>0</v>
      </c>
      <c r="F406" s="397">
        <v>0</v>
      </c>
    </row>
    <row r="407" spans="2:6" outlineLevel="2">
      <c r="B407" s="395" t="s">
        <v>2299</v>
      </c>
      <c r="C407" s="395" t="s">
        <v>2298</v>
      </c>
      <c r="D407" s="396" t="str">
        <f t="shared" si="13"/>
        <v>181</v>
      </c>
      <c r="E407" s="397">
        <v>0</v>
      </c>
      <c r="F407" s="397">
        <v>0</v>
      </c>
    </row>
    <row r="408" spans="2:6" outlineLevel="2">
      <c r="B408" s="395" t="s">
        <v>3229</v>
      </c>
      <c r="C408" s="395" t="s">
        <v>3230</v>
      </c>
      <c r="D408" s="396" t="str">
        <f t="shared" si="13"/>
        <v>186</v>
      </c>
      <c r="E408" s="397">
        <v>0</v>
      </c>
      <c r="F408" s="397">
        <v>0</v>
      </c>
    </row>
    <row r="409" spans="2:6" outlineLevel="2">
      <c r="B409" s="395" t="s">
        <v>3231</v>
      </c>
      <c r="C409" s="395" t="s">
        <v>3232</v>
      </c>
      <c r="D409" s="396" t="str">
        <f t="shared" si="13"/>
        <v>186</v>
      </c>
      <c r="E409" s="397">
        <v>5218696.09</v>
      </c>
      <c r="F409" s="397">
        <v>0</v>
      </c>
    </row>
    <row r="410" spans="2:6" outlineLevel="2">
      <c r="B410" s="395" t="s">
        <v>3233</v>
      </c>
      <c r="C410" s="395" t="s">
        <v>3234</v>
      </c>
      <c r="D410" s="396" t="str">
        <f t="shared" si="13"/>
        <v>186</v>
      </c>
      <c r="E410" s="397">
        <v>0</v>
      </c>
      <c r="F410" s="397">
        <v>0</v>
      </c>
    </row>
    <row r="411" spans="2:6" outlineLevel="2">
      <c r="B411" s="395" t="s">
        <v>3235</v>
      </c>
      <c r="C411" s="395" t="s">
        <v>3236</v>
      </c>
      <c r="D411" s="396" t="str">
        <f t="shared" si="13"/>
        <v>186</v>
      </c>
      <c r="E411" s="397">
        <v>0</v>
      </c>
      <c r="F411" s="397">
        <v>0</v>
      </c>
    </row>
    <row r="412" spans="2:6" outlineLevel="2">
      <c r="B412" s="395" t="s">
        <v>3237</v>
      </c>
      <c r="C412" s="395" t="s">
        <v>3238</v>
      </c>
      <c r="D412" s="396" t="str">
        <f t="shared" si="13"/>
        <v>186</v>
      </c>
      <c r="E412" s="397">
        <v>66111.08</v>
      </c>
      <c r="F412" s="397">
        <v>0</v>
      </c>
    </row>
    <row r="413" spans="2:6" outlineLevel="2">
      <c r="B413" s="395" t="s">
        <v>2297</v>
      </c>
      <c r="C413" s="395" t="s">
        <v>2296</v>
      </c>
      <c r="D413" s="396" t="str">
        <f t="shared" si="13"/>
        <v>223</v>
      </c>
      <c r="E413" s="397">
        <v>0</v>
      </c>
      <c r="F413" s="397">
        <v>0</v>
      </c>
    </row>
    <row r="414" spans="2:6" outlineLevel="2">
      <c r="B414" s="395" t="s">
        <v>2295</v>
      </c>
      <c r="C414" s="395" t="s">
        <v>2294</v>
      </c>
      <c r="D414" s="396" t="str">
        <f t="shared" si="13"/>
        <v>186</v>
      </c>
      <c r="E414" s="397">
        <v>3160000</v>
      </c>
      <c r="F414" s="397">
        <v>3539198.85</v>
      </c>
    </row>
    <row r="415" spans="2:6" outlineLevel="2">
      <c r="B415" s="395" t="s">
        <v>2293</v>
      </c>
      <c r="C415" s="395" t="s">
        <v>2292</v>
      </c>
      <c r="D415" s="396" t="str">
        <f t="shared" si="13"/>
        <v>186</v>
      </c>
      <c r="E415" s="397">
        <v>1285353.03</v>
      </c>
      <c r="F415" s="397">
        <v>1318832.1499999999</v>
      </c>
    </row>
    <row r="416" spans="2:6" outlineLevel="2">
      <c r="B416" s="395" t="s">
        <v>3239</v>
      </c>
      <c r="C416" s="395" t="s">
        <v>3240</v>
      </c>
      <c r="D416" s="396" t="str">
        <f t="shared" si="13"/>
        <v>186</v>
      </c>
      <c r="E416" s="397">
        <v>816341.33</v>
      </c>
      <c r="F416" s="397">
        <v>0</v>
      </c>
    </row>
    <row r="417" spans="1:9" outlineLevel="2">
      <c r="B417" s="395" t="s">
        <v>3241</v>
      </c>
      <c r="C417" s="395" t="s">
        <v>3242</v>
      </c>
      <c r="D417" s="396" t="str">
        <f t="shared" si="13"/>
        <v>186</v>
      </c>
      <c r="E417" s="397">
        <v>533724.11</v>
      </c>
      <c r="F417" s="397">
        <v>0</v>
      </c>
    </row>
    <row r="418" spans="1:9" outlineLevel="2">
      <c r="B418" s="395" t="s">
        <v>3243</v>
      </c>
      <c r="C418" s="395" t="s">
        <v>3244</v>
      </c>
      <c r="D418" s="396" t="str">
        <f t="shared" si="13"/>
        <v>186</v>
      </c>
      <c r="E418" s="397">
        <v>2878010.88</v>
      </c>
      <c r="F418" s="397">
        <v>0</v>
      </c>
    </row>
    <row r="419" spans="1:9" outlineLevel="2">
      <c r="B419" s="395" t="s">
        <v>3245</v>
      </c>
      <c r="C419" s="395" t="s">
        <v>3246</v>
      </c>
      <c r="D419" s="396" t="str">
        <f t="shared" si="13"/>
        <v>186</v>
      </c>
      <c r="E419" s="397">
        <v>4458284.75</v>
      </c>
      <c r="F419" s="397">
        <v>0</v>
      </c>
    </row>
    <row r="420" spans="1:9" outlineLevel="2">
      <c r="B420" s="395" t="s">
        <v>3247</v>
      </c>
      <c r="C420" s="395" t="s">
        <v>3248</v>
      </c>
      <c r="D420" s="396" t="str">
        <f t="shared" si="13"/>
        <v>186</v>
      </c>
      <c r="E420" s="397">
        <v>3788476.97</v>
      </c>
      <c r="F420" s="397">
        <v>0</v>
      </c>
    </row>
    <row r="421" spans="1:9" outlineLevel="2"/>
    <row r="422" spans="1:9" outlineLevel="1">
      <c r="E422" s="397">
        <v>80202847.879999995</v>
      </c>
      <c r="F422" s="397">
        <v>49249569.240000002</v>
      </c>
    </row>
    <row r="423" spans="1:9" outlineLevel="1">
      <c r="B423" s="395" t="s">
        <v>2291</v>
      </c>
      <c r="E423" s="397">
        <v>181016689.47999996</v>
      </c>
      <c r="F423" s="397">
        <v>136757690.00999996</v>
      </c>
    </row>
    <row r="424" spans="1:9" s="239" customFormat="1" outlineLevel="1" collapsed="1">
      <c r="A424" s="393"/>
      <c r="B424" s="393"/>
      <c r="C424" s="393"/>
      <c r="D424" s="394"/>
      <c r="E424" s="398">
        <v>1883025281.3199997</v>
      </c>
      <c r="F424" s="398">
        <v>1738237634.0500002</v>
      </c>
    </row>
    <row r="425" spans="1:9" outlineLevel="1"/>
    <row r="426" spans="1:9" outlineLevel="1">
      <c r="A426" s="395" t="s">
        <v>2290</v>
      </c>
    </row>
    <row r="427" spans="1:9" outlineLevel="1"/>
    <row r="428" spans="1:9" outlineLevel="1">
      <c r="A428" s="395" t="s">
        <v>2289</v>
      </c>
    </row>
    <row r="429" spans="1:9" outlineLevel="1">
      <c r="I429" s="255">
        <f>E430</f>
        <v>299858536.70999998</v>
      </c>
    </row>
    <row r="430" spans="1:9" outlineLevel="1">
      <c r="B430" s="395" t="s">
        <v>2288</v>
      </c>
      <c r="C430" s="395" t="s">
        <v>2287</v>
      </c>
      <c r="E430" s="397">
        <v>299858536.70999998</v>
      </c>
      <c r="F430" s="397">
        <v>271552672.79000002</v>
      </c>
      <c r="H430" s="240" t="s">
        <v>3013</v>
      </c>
      <c r="I430" s="255">
        <f>'Income Statement'!C31</f>
        <v>23157660.370000064</v>
      </c>
    </row>
    <row r="431" spans="1:9" outlineLevel="2">
      <c r="B431" s="395" t="s">
        <v>2286</v>
      </c>
      <c r="E431" s="397">
        <v>-162021923</v>
      </c>
      <c r="F431" s="397">
        <v>-84784764</v>
      </c>
      <c r="H431" s="240" t="s">
        <v>3014</v>
      </c>
      <c r="I431" s="256">
        <f>SUM(I429:I430)</f>
        <v>323016197.08000004</v>
      </c>
    </row>
    <row r="432" spans="1:9" outlineLevel="2">
      <c r="B432" s="395" t="s">
        <v>2285</v>
      </c>
      <c r="E432" s="397">
        <v>167820365</v>
      </c>
      <c r="F432" s="397">
        <v>133401463</v>
      </c>
      <c r="I432" s="265"/>
    </row>
    <row r="433" spans="1:6" outlineLevel="2">
      <c r="B433" s="395" t="s">
        <v>2284</v>
      </c>
      <c r="E433" s="397">
        <v>317217755</v>
      </c>
      <c r="F433" s="397">
        <v>251241838</v>
      </c>
    </row>
    <row r="434" spans="1:6" outlineLevel="1">
      <c r="B434" s="395" t="s">
        <v>2283</v>
      </c>
      <c r="E434" s="397">
        <v>323016197</v>
      </c>
      <c r="F434" s="397">
        <v>299858537</v>
      </c>
    </row>
    <row r="435" spans="1:6" outlineLevel="1"/>
    <row r="436" spans="1:6" outlineLevel="1"/>
    <row r="437" spans="1:6" outlineLevel="1"/>
    <row r="438" spans="1:6" outlineLevel="1">
      <c r="A438" s="395" t="s">
        <v>2282</v>
      </c>
    </row>
    <row r="439" spans="1:6" outlineLevel="1">
      <c r="B439" s="395" t="s">
        <v>2281</v>
      </c>
    </row>
    <row r="440" spans="1:6" outlineLevel="2">
      <c r="B440" s="395" t="s">
        <v>2280</v>
      </c>
      <c r="C440" s="395" t="s">
        <v>2279</v>
      </c>
      <c r="D440" s="396" t="str">
        <f t="shared" ref="D440:D441" si="14">RIGHT(C440,3)</f>
        <v>221</v>
      </c>
      <c r="E440" s="397">
        <v>1223425000</v>
      </c>
      <c r="F440" s="397">
        <v>1165990000</v>
      </c>
    </row>
    <row r="441" spans="1:6" outlineLevel="2">
      <c r="B441" s="395" t="s">
        <v>2278</v>
      </c>
      <c r="C441" s="395" t="s">
        <v>2277</v>
      </c>
      <c r="D441" s="396" t="str">
        <f t="shared" si="14"/>
        <v>225</v>
      </c>
      <c r="E441" s="397">
        <v>143771056.68000001</v>
      </c>
      <c r="F441" s="397">
        <v>119296599.81</v>
      </c>
    </row>
    <row r="442" spans="1:6" outlineLevel="2"/>
    <row r="443" spans="1:6" outlineLevel="1">
      <c r="E443" s="397">
        <v>1367196056.6800001</v>
      </c>
      <c r="F443" s="397">
        <v>1285286599.8099999</v>
      </c>
    </row>
    <row r="444" spans="1:6" outlineLevel="1">
      <c r="B444" s="395" t="s">
        <v>2276</v>
      </c>
    </row>
    <row r="445" spans="1:6" outlineLevel="2">
      <c r="B445" s="395" t="s">
        <v>2275</v>
      </c>
      <c r="C445" s="395" t="s">
        <v>2274</v>
      </c>
      <c r="D445" s="396" t="str">
        <f t="shared" ref="D445:D458" si="15">RIGHT(C445,3)</f>
        <v>244</v>
      </c>
      <c r="E445" s="397">
        <v>12044120</v>
      </c>
      <c r="F445" s="397">
        <v>8266060</v>
      </c>
    </row>
    <row r="446" spans="1:6" outlineLevel="2">
      <c r="B446" s="395" t="s">
        <v>2273</v>
      </c>
      <c r="C446" s="395" t="s">
        <v>2272</v>
      </c>
      <c r="D446" s="396" t="str">
        <f t="shared" si="15"/>
        <v>253</v>
      </c>
      <c r="E446" s="397">
        <v>2126520</v>
      </c>
      <c r="F446" s="397">
        <v>431820</v>
      </c>
    </row>
    <row r="447" spans="1:6" outlineLevel="2">
      <c r="B447" s="395" t="s">
        <v>2271</v>
      </c>
      <c r="C447" s="395" t="s">
        <v>2270</v>
      </c>
      <c r="D447" s="396" t="str">
        <f t="shared" si="15"/>
        <v>253</v>
      </c>
      <c r="E447" s="397">
        <v>0</v>
      </c>
      <c r="F447" s="397">
        <v>361710.36</v>
      </c>
    </row>
    <row r="448" spans="1:6" outlineLevel="2">
      <c r="B448" s="395" t="s">
        <v>3249</v>
      </c>
      <c r="C448" s="395" t="s">
        <v>3250</v>
      </c>
      <c r="D448" s="396" t="str">
        <f t="shared" si="15"/>
        <v>253</v>
      </c>
      <c r="E448" s="397">
        <v>0</v>
      </c>
      <c r="F448" s="397">
        <v>0</v>
      </c>
    </row>
    <row r="449" spans="2:9" outlineLevel="2">
      <c r="B449" s="395" t="s">
        <v>3251</v>
      </c>
      <c r="C449" s="395" t="s">
        <v>3252</v>
      </c>
      <c r="D449" s="396" t="str">
        <f t="shared" si="15"/>
        <v>253</v>
      </c>
      <c r="E449" s="397">
        <v>1325420.28</v>
      </c>
      <c r="F449" s="397">
        <v>0</v>
      </c>
    </row>
    <row r="450" spans="2:9" outlineLevel="2">
      <c r="B450" s="395" t="s">
        <v>3253</v>
      </c>
      <c r="C450" s="395" t="s">
        <v>3254</v>
      </c>
      <c r="D450" s="396" t="str">
        <f t="shared" si="15"/>
        <v>253</v>
      </c>
      <c r="E450" s="397">
        <v>49441.53</v>
      </c>
      <c r="F450" s="397">
        <v>0</v>
      </c>
    </row>
    <row r="451" spans="2:9" outlineLevel="2">
      <c r="B451" s="395" t="s">
        <v>2269</v>
      </c>
      <c r="C451" s="395" t="s">
        <v>2268</v>
      </c>
      <c r="D451" s="396" t="str">
        <f t="shared" si="15"/>
        <v>223</v>
      </c>
      <c r="E451" s="397">
        <v>0</v>
      </c>
      <c r="F451" s="397">
        <v>0</v>
      </c>
      <c r="G451" s="420" t="s">
        <v>3188</v>
      </c>
      <c r="H451" s="259"/>
      <c r="I451" s="475">
        <v>2017</v>
      </c>
    </row>
    <row r="452" spans="2:9" outlineLevel="2">
      <c r="B452" s="395" t="s">
        <v>2267</v>
      </c>
      <c r="C452" s="395" t="s">
        <v>2266</v>
      </c>
      <c r="D452" s="396" t="str">
        <f t="shared" si="15"/>
        <v>230</v>
      </c>
      <c r="E452" s="397">
        <v>2004116</v>
      </c>
      <c r="F452" s="397">
        <v>2635994</v>
      </c>
      <c r="G452" s="259" t="s">
        <v>2267</v>
      </c>
      <c r="H452" s="259"/>
      <c r="I452" s="421">
        <f>E452</f>
        <v>2004116</v>
      </c>
    </row>
    <row r="453" spans="2:9" outlineLevel="2">
      <c r="B453" s="395" t="s">
        <v>2265</v>
      </c>
      <c r="C453" s="395" t="s">
        <v>2264</v>
      </c>
      <c r="D453" s="396" t="str">
        <f t="shared" si="15"/>
        <v>230</v>
      </c>
      <c r="E453" s="397">
        <v>3977462.68</v>
      </c>
      <c r="F453" s="397">
        <v>3825547.59</v>
      </c>
      <c r="G453" s="259" t="s">
        <v>2265</v>
      </c>
      <c r="H453" s="259"/>
      <c r="I453" s="421">
        <f>E453</f>
        <v>3977462.68</v>
      </c>
    </row>
    <row r="454" spans="2:9" outlineLevel="2">
      <c r="B454" s="395" t="s">
        <v>2263</v>
      </c>
      <c r="C454" s="395" t="s">
        <v>2262</v>
      </c>
      <c r="D454" s="396" t="str">
        <f t="shared" si="15"/>
        <v>230</v>
      </c>
      <c r="E454" s="397">
        <v>5889723.3200000003</v>
      </c>
      <c r="F454" s="397">
        <v>5664771.4100000001</v>
      </c>
      <c r="G454" s="259" t="s">
        <v>2263</v>
      </c>
      <c r="H454" s="259"/>
      <c r="I454" s="421">
        <f>E454</f>
        <v>5889723.3200000003</v>
      </c>
    </row>
    <row r="455" spans="2:9" outlineLevel="2">
      <c r="B455" s="395" t="s">
        <v>2261</v>
      </c>
      <c r="C455" s="395" t="s">
        <v>2260</v>
      </c>
      <c r="D455" s="396" t="str">
        <f t="shared" si="15"/>
        <v>230</v>
      </c>
      <c r="E455" s="397">
        <v>1743852</v>
      </c>
      <c r="F455" s="397">
        <v>1631586.35</v>
      </c>
      <c r="G455" s="259" t="s">
        <v>2261</v>
      </c>
      <c r="H455" s="259"/>
      <c r="I455" s="421">
        <f>E455</f>
        <v>1743852</v>
      </c>
    </row>
    <row r="456" spans="2:9" outlineLevel="2">
      <c r="B456" s="395" t="s">
        <v>2259</v>
      </c>
      <c r="C456" s="395" t="s">
        <v>2258</v>
      </c>
      <c r="D456" s="396" t="str">
        <f t="shared" si="15"/>
        <v>230</v>
      </c>
      <c r="E456" s="397">
        <v>1743852</v>
      </c>
      <c r="F456" s="397">
        <v>1631586.35</v>
      </c>
      <c r="G456" s="259" t="s">
        <v>2259</v>
      </c>
      <c r="H456" s="259"/>
      <c r="I456" s="421">
        <f>E456</f>
        <v>1743852</v>
      </c>
    </row>
    <row r="457" spans="2:9" outlineLevel="2">
      <c r="B457" s="395" t="s">
        <v>3255</v>
      </c>
      <c r="C457" s="395" t="s">
        <v>3256</v>
      </c>
      <c r="D457" s="396" t="str">
        <f t="shared" si="15"/>
        <v>253</v>
      </c>
      <c r="E457" s="397">
        <v>189600</v>
      </c>
      <c r="F457" s="397">
        <v>0</v>
      </c>
      <c r="G457" s="259"/>
      <c r="H457" s="259"/>
      <c r="I457" s="422">
        <f>SUM(I452:I456)</f>
        <v>15359006</v>
      </c>
    </row>
    <row r="458" spans="2:9" outlineLevel="2">
      <c r="B458" s="395" t="s">
        <v>2257</v>
      </c>
      <c r="C458" s="395" t="s">
        <v>2256</v>
      </c>
      <c r="D458" s="396" t="str">
        <f t="shared" si="15"/>
        <v>253</v>
      </c>
      <c r="E458" s="397">
        <v>21500</v>
      </c>
      <c r="F458" s="397">
        <v>15500</v>
      </c>
    </row>
    <row r="459" spans="2:9" outlineLevel="2"/>
    <row r="460" spans="2:9" outlineLevel="1">
      <c r="E460" s="397">
        <v>31115607.809999999</v>
      </c>
      <c r="F460" s="397">
        <v>24464576.060000002</v>
      </c>
    </row>
    <row r="461" spans="2:9" outlineLevel="1">
      <c r="B461" s="395" t="s">
        <v>2255</v>
      </c>
    </row>
    <row r="462" spans="2:9" outlineLevel="2">
      <c r="B462" s="395" t="s">
        <v>2254</v>
      </c>
      <c r="C462" s="395" t="s">
        <v>2253</v>
      </c>
      <c r="D462" s="396" t="str">
        <f t="shared" ref="D462:D465" si="16">RIGHT(C462,3)</f>
        <v>228</v>
      </c>
      <c r="E462" s="397">
        <v>0</v>
      </c>
      <c r="F462" s="397">
        <v>0</v>
      </c>
    </row>
    <row r="463" spans="2:9" outlineLevel="2">
      <c r="B463" s="395" t="s">
        <v>2252</v>
      </c>
      <c r="C463" s="395" t="s">
        <v>2251</v>
      </c>
      <c r="D463" s="396" t="str">
        <f t="shared" si="16"/>
        <v>228</v>
      </c>
      <c r="E463" s="397">
        <v>10074191.84</v>
      </c>
      <c r="F463" s="397">
        <v>6451187.8399999999</v>
      </c>
    </row>
    <row r="464" spans="2:9" outlineLevel="2">
      <c r="B464" s="395" t="s">
        <v>3257</v>
      </c>
      <c r="C464" s="395" t="s">
        <v>3258</v>
      </c>
      <c r="D464" s="396" t="str">
        <f t="shared" si="16"/>
        <v>230</v>
      </c>
      <c r="E464" s="397">
        <v>0</v>
      </c>
      <c r="F464" s="397">
        <v>0</v>
      </c>
    </row>
    <row r="465" spans="1:6" outlineLevel="2">
      <c r="B465" s="395" t="s">
        <v>2250</v>
      </c>
      <c r="C465" s="395" t="s">
        <v>2249</v>
      </c>
      <c r="D465" s="396" t="str">
        <f t="shared" si="16"/>
        <v>228</v>
      </c>
      <c r="E465" s="397">
        <v>2330119.37</v>
      </c>
      <c r="F465" s="397">
        <v>2545527.7000000002</v>
      </c>
    </row>
    <row r="466" spans="1:6" outlineLevel="2"/>
    <row r="467" spans="1:6" outlineLevel="1">
      <c r="E467" s="397">
        <v>12404311.210000001</v>
      </c>
      <c r="F467" s="397">
        <v>8996715.5399999991</v>
      </c>
    </row>
    <row r="468" spans="1:6" outlineLevel="1">
      <c r="B468" s="395" t="s">
        <v>2248</v>
      </c>
      <c r="E468" s="397">
        <v>1410715975.7</v>
      </c>
      <c r="F468" s="397">
        <v>1318747891.4099998</v>
      </c>
    </row>
    <row r="469" spans="1:6" outlineLevel="1"/>
    <row r="470" spans="1:6" outlineLevel="1">
      <c r="A470" s="395" t="s">
        <v>2247</v>
      </c>
    </row>
    <row r="471" spans="1:6" outlineLevel="1">
      <c r="B471" s="395" t="s">
        <v>2246</v>
      </c>
    </row>
    <row r="472" spans="1:6" outlineLevel="2">
      <c r="B472" s="395" t="s">
        <v>2245</v>
      </c>
      <c r="C472" s="395" t="s">
        <v>2244</v>
      </c>
      <c r="D472" s="396" t="str">
        <f t="shared" ref="D472" si="17">RIGHT(C472,3)</f>
        <v>221</v>
      </c>
      <c r="E472" s="397">
        <v>26060000</v>
      </c>
      <c r="F472" s="397">
        <v>25585000</v>
      </c>
    </row>
    <row r="473" spans="1:6" outlineLevel="2"/>
    <row r="474" spans="1:6" outlineLevel="1">
      <c r="E474" s="397">
        <v>26060000</v>
      </c>
      <c r="F474" s="397">
        <v>25585000</v>
      </c>
    </row>
    <row r="475" spans="1:6" outlineLevel="1">
      <c r="B475" s="395" t="s">
        <v>2243</v>
      </c>
    </row>
    <row r="476" spans="1:6" outlineLevel="2">
      <c r="B476" s="395" t="s">
        <v>2242</v>
      </c>
      <c r="C476" s="395" t="s">
        <v>2241</v>
      </c>
      <c r="D476" s="396" t="str">
        <f t="shared" ref="D476:D477" si="18">RIGHT(C476,3)</f>
        <v>221</v>
      </c>
      <c r="E476" s="397">
        <v>0</v>
      </c>
      <c r="F476" s="397">
        <v>0</v>
      </c>
    </row>
    <row r="477" spans="1:6" outlineLevel="2">
      <c r="B477" s="395" t="s">
        <v>2240</v>
      </c>
      <c r="C477" s="395" t="s">
        <v>2239</v>
      </c>
      <c r="D477" s="396" t="str">
        <f t="shared" si="18"/>
        <v>231</v>
      </c>
      <c r="E477" s="397">
        <v>0</v>
      </c>
      <c r="F477" s="397">
        <v>0</v>
      </c>
    </row>
    <row r="478" spans="1:6" outlineLevel="2"/>
    <row r="479" spans="1:6" outlineLevel="1">
      <c r="E479" s="397">
        <v>0</v>
      </c>
      <c r="F479" s="397">
        <v>0</v>
      </c>
    </row>
    <row r="480" spans="1:6" outlineLevel="1">
      <c r="B480" s="395" t="s">
        <v>2238</v>
      </c>
    </row>
    <row r="481" spans="2:6" outlineLevel="2">
      <c r="B481" s="395" t="s">
        <v>2237</v>
      </c>
      <c r="C481" s="395" t="s">
        <v>2236</v>
      </c>
      <c r="D481" s="396" t="str">
        <f t="shared" ref="D481:D486" si="19">RIGHT(C481,3)</f>
        <v>232</v>
      </c>
      <c r="E481" s="397">
        <v>33518123.399999999</v>
      </c>
      <c r="F481" s="397">
        <v>38767891.630000003</v>
      </c>
    </row>
    <row r="482" spans="2:6" outlineLevel="2">
      <c r="B482" s="395" t="s">
        <v>3259</v>
      </c>
      <c r="C482" s="395" t="s">
        <v>3260</v>
      </c>
      <c r="D482" s="396" t="str">
        <f t="shared" si="19"/>
        <v>232</v>
      </c>
      <c r="E482" s="397">
        <v>-1434933.75</v>
      </c>
      <c r="F482" s="397">
        <v>0</v>
      </c>
    </row>
    <row r="483" spans="2:6" outlineLevel="2">
      <c r="B483" s="395" t="s">
        <v>2235</v>
      </c>
      <c r="C483" s="395" t="s">
        <v>2234</v>
      </c>
      <c r="D483" s="396" t="str">
        <f t="shared" si="19"/>
        <v>232</v>
      </c>
      <c r="E483" s="397">
        <v>0</v>
      </c>
      <c r="F483" s="397">
        <v>2595.86</v>
      </c>
    </row>
    <row r="484" spans="2:6" outlineLevel="2">
      <c r="B484" s="395" t="s">
        <v>2233</v>
      </c>
      <c r="C484" s="395" t="s">
        <v>2232</v>
      </c>
      <c r="D484" s="396" t="str">
        <f t="shared" si="19"/>
        <v>232</v>
      </c>
      <c r="E484" s="397">
        <v>292395.58</v>
      </c>
      <c r="F484" s="397">
        <v>102297.82</v>
      </c>
    </row>
    <row r="485" spans="2:6" outlineLevel="2">
      <c r="B485" s="395" t="s">
        <v>2231</v>
      </c>
      <c r="C485" s="395" t="s">
        <v>2230</v>
      </c>
      <c r="D485" s="396" t="str">
        <f t="shared" si="19"/>
        <v>232</v>
      </c>
      <c r="E485" s="397">
        <v>971834.25</v>
      </c>
      <c r="F485" s="397">
        <v>596246.56999999995</v>
      </c>
    </row>
    <row r="486" spans="2:6" outlineLevel="2">
      <c r="B486" s="395" t="s">
        <v>2229</v>
      </c>
      <c r="C486" s="395" t="s">
        <v>2228</v>
      </c>
      <c r="D486" s="396" t="str">
        <f t="shared" si="19"/>
        <v>232</v>
      </c>
      <c r="E486" s="397">
        <v>100600.92</v>
      </c>
      <c r="F486" s="397">
        <v>0</v>
      </c>
    </row>
    <row r="487" spans="2:6" outlineLevel="2"/>
    <row r="488" spans="2:6" outlineLevel="1">
      <c r="E488" s="397">
        <v>33448020.399999999</v>
      </c>
      <c r="F488" s="397">
        <v>39469031.880000003</v>
      </c>
    </row>
    <row r="489" spans="2:6" outlineLevel="1">
      <c r="B489" s="395" t="s">
        <v>2227</v>
      </c>
    </row>
    <row r="490" spans="2:6" outlineLevel="2">
      <c r="B490" s="395" t="s">
        <v>2226</v>
      </c>
      <c r="C490" s="395" t="s">
        <v>2225</v>
      </c>
      <c r="D490" s="396" t="str">
        <f t="shared" ref="D490" si="20">RIGHT(C490,3)</f>
        <v>237</v>
      </c>
      <c r="E490" s="397">
        <v>24934041.649999999</v>
      </c>
      <c r="F490" s="397">
        <v>28017759.949999999</v>
      </c>
    </row>
    <row r="491" spans="2:6" outlineLevel="2"/>
    <row r="492" spans="2:6" outlineLevel="1">
      <c r="E492" s="397">
        <v>24934041.649999999</v>
      </c>
      <c r="F492" s="397">
        <v>28017759.949999999</v>
      </c>
    </row>
    <row r="493" spans="2:6" outlineLevel="1">
      <c r="B493" s="395" t="s">
        <v>2224</v>
      </c>
    </row>
    <row r="494" spans="2:6" outlineLevel="2">
      <c r="B494" s="395" t="s">
        <v>2223</v>
      </c>
      <c r="C494" s="395" t="s">
        <v>2222</v>
      </c>
      <c r="D494" s="396" t="str">
        <f t="shared" ref="D494:D515" si="21">RIGHT(C494,3)</f>
        <v>244</v>
      </c>
      <c r="E494" s="397">
        <v>742174.71999999997</v>
      </c>
      <c r="F494" s="397">
        <v>1010910</v>
      </c>
    </row>
    <row r="495" spans="2:6" outlineLevel="2">
      <c r="B495" s="395" t="s">
        <v>2221</v>
      </c>
      <c r="C495" s="395" t="s">
        <v>2220</v>
      </c>
      <c r="D495" s="396" t="str">
        <f t="shared" si="21"/>
        <v>253</v>
      </c>
      <c r="E495" s="397">
        <v>409697.64</v>
      </c>
      <c r="F495" s="397">
        <v>844112</v>
      </c>
    </row>
    <row r="496" spans="2:6" outlineLevel="2">
      <c r="B496" s="395" t="s">
        <v>2219</v>
      </c>
      <c r="C496" s="395" t="s">
        <v>2218</v>
      </c>
      <c r="D496" s="396" t="str">
        <f t="shared" si="21"/>
        <v>236</v>
      </c>
      <c r="E496" s="397">
        <v>2460189.7400000002</v>
      </c>
      <c r="F496" s="397">
        <v>2377412.63</v>
      </c>
    </row>
    <row r="497" spans="2:6" outlineLevel="2">
      <c r="B497" s="395" t="s">
        <v>2217</v>
      </c>
      <c r="C497" s="395" t="s">
        <v>2216</v>
      </c>
      <c r="D497" s="396" t="str">
        <f t="shared" si="21"/>
        <v>236</v>
      </c>
      <c r="E497" s="397">
        <v>212174.15</v>
      </c>
      <c r="F497" s="397">
        <v>0</v>
      </c>
    </row>
    <row r="498" spans="2:6" outlineLevel="2">
      <c r="B498" s="395" t="s">
        <v>2215</v>
      </c>
      <c r="C498" s="395" t="s">
        <v>2214</v>
      </c>
      <c r="D498" s="396" t="str">
        <f t="shared" si="21"/>
        <v>242</v>
      </c>
      <c r="E498" s="397">
        <v>0</v>
      </c>
      <c r="F498" s="397">
        <v>0</v>
      </c>
    </row>
    <row r="499" spans="2:6" outlineLevel="2">
      <c r="B499" s="395" t="s">
        <v>2213</v>
      </c>
      <c r="C499" s="395" t="s">
        <v>2212</v>
      </c>
      <c r="D499" s="396" t="str">
        <f t="shared" si="21"/>
        <v>242</v>
      </c>
      <c r="E499" s="397">
        <v>78634</v>
      </c>
      <c r="F499" s="397">
        <v>54647</v>
      </c>
    </row>
    <row r="500" spans="2:6" outlineLevel="2">
      <c r="B500" s="395" t="s">
        <v>2211</v>
      </c>
      <c r="C500" s="395" t="s">
        <v>2210</v>
      </c>
      <c r="D500" s="396" t="str">
        <f t="shared" si="21"/>
        <v>242</v>
      </c>
      <c r="E500" s="397">
        <v>0</v>
      </c>
      <c r="F500" s="397">
        <v>0</v>
      </c>
    </row>
    <row r="501" spans="2:6" outlineLevel="2">
      <c r="B501" s="395" t="s">
        <v>2209</v>
      </c>
      <c r="C501" s="395" t="s">
        <v>2208</v>
      </c>
      <c r="D501" s="396" t="str">
        <f t="shared" si="21"/>
        <v>242</v>
      </c>
      <c r="E501" s="397">
        <v>377849.64</v>
      </c>
      <c r="F501" s="397">
        <v>0</v>
      </c>
    </row>
    <row r="502" spans="2:6" outlineLevel="2">
      <c r="B502" s="395" t="s">
        <v>2207</v>
      </c>
      <c r="C502" s="395" t="s">
        <v>2206</v>
      </c>
      <c r="D502" s="396" t="str">
        <f t="shared" si="21"/>
        <v>242</v>
      </c>
      <c r="E502" s="397">
        <v>2834834.75</v>
      </c>
      <c r="F502" s="397">
        <v>1858252.84</v>
      </c>
    </row>
    <row r="503" spans="2:6" outlineLevel="2">
      <c r="B503" s="395" t="s">
        <v>2205</v>
      </c>
      <c r="C503" s="395" t="s">
        <v>2204</v>
      </c>
      <c r="D503" s="396" t="str">
        <f t="shared" si="21"/>
        <v>253</v>
      </c>
      <c r="E503" s="397">
        <v>57342876.93</v>
      </c>
      <c r="F503" s="397">
        <v>20080204.41</v>
      </c>
    </row>
    <row r="504" spans="2:6" outlineLevel="2">
      <c r="B504" s="395" t="s">
        <v>3261</v>
      </c>
      <c r="C504" s="395" t="s">
        <v>3262</v>
      </c>
      <c r="D504" s="396" t="str">
        <f t="shared" si="21"/>
        <v>242</v>
      </c>
      <c r="E504" s="397">
        <v>113000</v>
      </c>
      <c r="F504" s="397">
        <v>0</v>
      </c>
    </row>
    <row r="505" spans="2:6" outlineLevel="2">
      <c r="B505" s="395" t="s">
        <v>2203</v>
      </c>
      <c r="C505" s="395" t="s">
        <v>2202</v>
      </c>
      <c r="D505" s="396" t="str">
        <f t="shared" si="21"/>
        <v>242</v>
      </c>
      <c r="E505" s="397">
        <v>0</v>
      </c>
      <c r="F505" s="397">
        <v>0</v>
      </c>
    </row>
    <row r="506" spans="2:6" outlineLevel="2">
      <c r="B506" s="395" t="s">
        <v>2201</v>
      </c>
      <c r="C506" s="395" t="s">
        <v>2200</v>
      </c>
      <c r="D506" s="396" t="str">
        <f t="shared" si="21"/>
        <v>242</v>
      </c>
      <c r="E506" s="397">
        <v>0</v>
      </c>
      <c r="F506" s="397">
        <v>0</v>
      </c>
    </row>
    <row r="507" spans="2:6" outlineLevel="2">
      <c r="B507" s="395" t="s">
        <v>3263</v>
      </c>
      <c r="C507" s="395" t="s">
        <v>3264</v>
      </c>
      <c r="D507" s="396" t="str">
        <f t="shared" si="21"/>
        <v>242</v>
      </c>
      <c r="E507" s="397">
        <v>-21293.15</v>
      </c>
      <c r="F507" s="397">
        <v>0</v>
      </c>
    </row>
    <row r="508" spans="2:6" outlineLevel="2">
      <c r="B508" s="395" t="s">
        <v>2199</v>
      </c>
      <c r="C508" s="395" t="s">
        <v>2198</v>
      </c>
      <c r="D508" s="396" t="str">
        <f t="shared" si="21"/>
        <v>242</v>
      </c>
      <c r="E508" s="397">
        <v>938.42</v>
      </c>
      <c r="F508" s="397">
        <v>2231.9899999999998</v>
      </c>
    </row>
    <row r="509" spans="2:6" outlineLevel="2">
      <c r="B509" s="395" t="s">
        <v>2197</v>
      </c>
      <c r="C509" s="395" t="s">
        <v>2196</v>
      </c>
      <c r="D509" s="396" t="str">
        <f t="shared" si="21"/>
        <v>242</v>
      </c>
      <c r="E509" s="397">
        <v>57222.89</v>
      </c>
      <c r="F509" s="397">
        <v>179683.23</v>
      </c>
    </row>
    <row r="510" spans="2:6" outlineLevel="2">
      <c r="B510" s="395" t="s">
        <v>2195</v>
      </c>
      <c r="C510" s="395" t="s">
        <v>2194</v>
      </c>
      <c r="D510" s="396" t="str">
        <f t="shared" si="21"/>
        <v>242</v>
      </c>
      <c r="E510" s="397">
        <v>12093.15</v>
      </c>
      <c r="F510" s="397">
        <v>0</v>
      </c>
    </row>
    <row r="511" spans="2:6" outlineLevel="2">
      <c r="B511" s="395" t="s">
        <v>2193</v>
      </c>
      <c r="C511" s="395" t="s">
        <v>2192</v>
      </c>
      <c r="D511" s="396" t="str">
        <f t="shared" si="21"/>
        <v>242</v>
      </c>
      <c r="E511" s="397">
        <v>0</v>
      </c>
      <c r="F511" s="397">
        <v>0</v>
      </c>
    </row>
    <row r="512" spans="2:6" outlineLevel="2">
      <c r="B512" s="395" t="s">
        <v>2191</v>
      </c>
      <c r="C512" s="395" t="s">
        <v>2190</v>
      </c>
      <c r="D512" s="396" t="str">
        <f t="shared" si="21"/>
        <v>242</v>
      </c>
      <c r="E512" s="397">
        <v>104253.62</v>
      </c>
      <c r="F512" s="397">
        <v>0</v>
      </c>
    </row>
    <row r="513" spans="1:6" outlineLevel="2">
      <c r="B513" s="395" t="s">
        <v>2189</v>
      </c>
      <c r="C513" s="395" t="s">
        <v>2188</v>
      </c>
      <c r="D513" s="396" t="str">
        <f t="shared" si="21"/>
        <v>242</v>
      </c>
      <c r="E513" s="397">
        <v>0</v>
      </c>
      <c r="F513" s="397">
        <v>101400</v>
      </c>
    </row>
    <row r="514" spans="1:6" outlineLevel="2">
      <c r="B514" s="395" t="s">
        <v>2187</v>
      </c>
      <c r="C514" s="395" t="s">
        <v>2186</v>
      </c>
      <c r="D514" s="396" t="str">
        <f t="shared" si="21"/>
        <v>242</v>
      </c>
      <c r="E514" s="397">
        <v>126399.99</v>
      </c>
      <c r="F514" s="397">
        <v>50560</v>
      </c>
    </row>
    <row r="515" spans="1:6" outlineLevel="2">
      <c r="B515" s="395" t="s">
        <v>3265</v>
      </c>
      <c r="C515" s="395" t="s">
        <v>3266</v>
      </c>
      <c r="D515" s="396" t="str">
        <f t="shared" si="21"/>
        <v>215</v>
      </c>
      <c r="E515" s="397">
        <v>0</v>
      </c>
      <c r="F515" s="397">
        <v>0</v>
      </c>
    </row>
    <row r="516" spans="1:6" outlineLevel="2"/>
    <row r="517" spans="1:6" outlineLevel="1">
      <c r="E517" s="397">
        <v>64851046.490000002</v>
      </c>
      <c r="F517" s="397">
        <v>26559414.099999998</v>
      </c>
    </row>
    <row r="518" spans="1:6" outlineLevel="1">
      <c r="B518" s="395" t="s">
        <v>2185</v>
      </c>
      <c r="E518" s="397">
        <v>149293108.53999999</v>
      </c>
      <c r="F518" s="397">
        <v>119631205.93000001</v>
      </c>
    </row>
    <row r="519" spans="1:6">
      <c r="A519" s="393"/>
      <c r="E519" s="397">
        <v>1883025281.24</v>
      </c>
      <c r="F519" s="397">
        <v>1738237634.3399999</v>
      </c>
    </row>
    <row r="520" spans="1:6">
      <c r="D520" s="396" t="str">
        <f t="shared" ref="D520:D531" si="22">RIGHT(C520,3)</f>
        <v/>
      </c>
    </row>
    <row r="521" spans="1:6" outlineLevel="1">
      <c r="A521" s="395" t="s">
        <v>2184</v>
      </c>
      <c r="D521" s="396" t="str">
        <f t="shared" si="22"/>
        <v/>
      </c>
    </row>
    <row r="522" spans="1:6" outlineLevel="1">
      <c r="B522" s="395" t="s">
        <v>2183</v>
      </c>
      <c r="D522" s="396" t="str">
        <f t="shared" si="22"/>
        <v/>
      </c>
    </row>
    <row r="523" spans="1:6" outlineLevel="2">
      <c r="B523" s="395" t="s">
        <v>2182</v>
      </c>
      <c r="C523" s="395" t="s">
        <v>2181</v>
      </c>
      <c r="D523" s="396" t="str">
        <f t="shared" si="22"/>
        <v>447</v>
      </c>
      <c r="E523" s="397">
        <v>405285537.93000001</v>
      </c>
      <c r="F523" s="397">
        <v>436202313.37</v>
      </c>
    </row>
    <row r="524" spans="1:6" outlineLevel="2">
      <c r="B524" s="395" t="s">
        <v>2180</v>
      </c>
      <c r="C524" s="395" t="s">
        <v>2179</v>
      </c>
      <c r="D524" s="396" t="str">
        <f t="shared" si="22"/>
        <v>447</v>
      </c>
      <c r="E524" s="397">
        <v>74682</v>
      </c>
      <c r="F524" s="397">
        <v>71174.399999999994</v>
      </c>
    </row>
    <row r="525" spans="1:6" outlineLevel="2">
      <c r="B525" s="395" t="s">
        <v>2178</v>
      </c>
      <c r="C525" s="395" t="s">
        <v>2177</v>
      </c>
      <c r="D525" s="396" t="str">
        <f t="shared" si="22"/>
        <v>447</v>
      </c>
      <c r="E525" s="397">
        <v>7772467.7400000002</v>
      </c>
      <c r="F525" s="397">
        <v>7202339.2300000004</v>
      </c>
    </row>
    <row r="526" spans="1:6" outlineLevel="2">
      <c r="B526" s="395" t="s">
        <v>2176</v>
      </c>
      <c r="C526" s="395" t="s">
        <v>2175</v>
      </c>
      <c r="D526" s="396" t="str">
        <f t="shared" si="22"/>
        <v>447</v>
      </c>
      <c r="E526" s="397">
        <v>-0.05</v>
      </c>
      <c r="F526" s="397">
        <v>2.0099999999999998</v>
      </c>
    </row>
    <row r="527" spans="1:6" outlineLevel="2">
      <c r="B527" s="395" t="s">
        <v>2174</v>
      </c>
      <c r="C527" s="395" t="s">
        <v>2173</v>
      </c>
      <c r="D527" s="396" t="str">
        <f t="shared" si="22"/>
        <v>447</v>
      </c>
      <c r="E527" s="397">
        <v>5169356.7699999996</v>
      </c>
      <c r="F527" s="397">
        <v>5327392.13</v>
      </c>
    </row>
    <row r="528" spans="1:6" outlineLevel="2">
      <c r="B528" s="395" t="s">
        <v>2172</v>
      </c>
      <c r="C528" s="395" t="s">
        <v>2171</v>
      </c>
      <c r="D528" s="396" t="str">
        <f t="shared" si="22"/>
        <v>447</v>
      </c>
      <c r="E528" s="397">
        <v>2067.6</v>
      </c>
      <c r="F528" s="397">
        <v>8476.7999999999993</v>
      </c>
    </row>
    <row r="529" spans="2:6" outlineLevel="2">
      <c r="B529" s="395" t="s">
        <v>2170</v>
      </c>
      <c r="C529" s="395" t="s">
        <v>2169</v>
      </c>
      <c r="D529" s="396" t="str">
        <f t="shared" si="22"/>
        <v>447</v>
      </c>
      <c r="E529" s="397">
        <v>167674.57</v>
      </c>
      <c r="F529" s="397">
        <v>173942.87</v>
      </c>
    </row>
    <row r="530" spans="2:6" outlineLevel="2">
      <c r="B530" s="395" t="s">
        <v>2168</v>
      </c>
      <c r="C530" s="395" t="s">
        <v>2167</v>
      </c>
      <c r="D530" s="396" t="str">
        <f t="shared" si="22"/>
        <v>447</v>
      </c>
      <c r="E530" s="397">
        <v>0</v>
      </c>
      <c r="F530" s="397">
        <v>0</v>
      </c>
    </row>
    <row r="531" spans="2:6" outlineLevel="2">
      <c r="B531" s="395" t="s">
        <v>2166</v>
      </c>
      <c r="C531" s="395" t="s">
        <v>2165</v>
      </c>
      <c r="D531" s="396" t="str">
        <f t="shared" si="22"/>
        <v>447</v>
      </c>
      <c r="E531" s="397">
        <v>0</v>
      </c>
      <c r="F531" s="397">
        <v>0</v>
      </c>
    </row>
    <row r="532" spans="2:6" outlineLevel="2"/>
    <row r="533" spans="2:6" outlineLevel="1">
      <c r="E533" s="397">
        <v>418471786.56</v>
      </c>
      <c r="F533" s="397">
        <v>448985640.81</v>
      </c>
    </row>
    <row r="534" spans="2:6" outlineLevel="1">
      <c r="B534" s="395" t="s">
        <v>2164</v>
      </c>
    </row>
    <row r="535" spans="2:6" outlineLevel="2">
      <c r="B535" s="395" t="s">
        <v>2163</v>
      </c>
      <c r="C535" s="395" t="s">
        <v>2162</v>
      </c>
      <c r="D535" s="396" t="str">
        <f t="shared" ref="D535:D572" si="23">RIGHT(C535,3)</f>
        <v>418</v>
      </c>
      <c r="E535" s="397">
        <v>44064.83</v>
      </c>
      <c r="F535" s="397">
        <v>47050.49</v>
      </c>
    </row>
    <row r="536" spans="2:6" outlineLevel="2">
      <c r="B536" s="395" t="s">
        <v>2161</v>
      </c>
      <c r="C536" s="395" t="s">
        <v>2160</v>
      </c>
      <c r="D536" s="396" t="str">
        <f t="shared" si="23"/>
        <v>417</v>
      </c>
      <c r="E536" s="397">
        <v>0</v>
      </c>
      <c r="F536" s="397">
        <v>0</v>
      </c>
    </row>
    <row r="537" spans="2:6" outlineLevel="2">
      <c r="B537" s="395" t="s">
        <v>2159</v>
      </c>
      <c r="C537" s="395" t="s">
        <v>2158</v>
      </c>
      <c r="D537" s="396" t="str">
        <f t="shared" si="23"/>
        <v>417</v>
      </c>
      <c r="E537" s="397">
        <v>0</v>
      </c>
      <c r="F537" s="397">
        <v>0</v>
      </c>
    </row>
    <row r="538" spans="2:6" outlineLevel="2">
      <c r="B538" s="395" t="s">
        <v>2157</v>
      </c>
      <c r="C538" s="395" t="s">
        <v>2156</v>
      </c>
      <c r="D538" s="396" t="str">
        <f t="shared" si="23"/>
        <v>417</v>
      </c>
      <c r="E538" s="397">
        <v>0</v>
      </c>
      <c r="F538" s="397">
        <v>0</v>
      </c>
    </row>
    <row r="539" spans="2:6" outlineLevel="2">
      <c r="B539" s="395" t="s">
        <v>2155</v>
      </c>
      <c r="C539" s="395" t="s">
        <v>2154</v>
      </c>
      <c r="D539" s="396" t="str">
        <f t="shared" si="23"/>
        <v>456</v>
      </c>
      <c r="E539" s="397">
        <v>10272.86</v>
      </c>
      <c r="F539" s="397">
        <v>12298.37</v>
      </c>
    </row>
    <row r="540" spans="2:6" outlineLevel="2">
      <c r="B540" s="395" t="s">
        <v>3267</v>
      </c>
      <c r="C540" s="395" t="s">
        <v>3268</v>
      </c>
      <c r="D540" s="396" t="str">
        <f t="shared" si="23"/>
        <v>417</v>
      </c>
      <c r="E540" s="397">
        <v>0</v>
      </c>
      <c r="F540" s="397">
        <v>0</v>
      </c>
    </row>
    <row r="541" spans="2:6" outlineLevel="2">
      <c r="B541" s="395" t="s">
        <v>3269</v>
      </c>
      <c r="C541" s="395" t="s">
        <v>3270</v>
      </c>
      <c r="D541" s="396" t="str">
        <f t="shared" si="23"/>
        <v>417</v>
      </c>
      <c r="E541" s="397">
        <v>0</v>
      </c>
      <c r="F541" s="397">
        <v>0</v>
      </c>
    </row>
    <row r="542" spans="2:6" outlineLevel="2">
      <c r="B542" s="395" t="s">
        <v>3271</v>
      </c>
      <c r="C542" s="395" t="s">
        <v>3272</v>
      </c>
      <c r="D542" s="396" t="str">
        <f t="shared" si="23"/>
        <v>417</v>
      </c>
      <c r="E542" s="397">
        <v>-540899.31999999995</v>
      </c>
      <c r="F542" s="397">
        <v>0</v>
      </c>
    </row>
    <row r="543" spans="2:6" outlineLevel="2">
      <c r="B543" s="395" t="s">
        <v>2153</v>
      </c>
      <c r="C543" s="395" t="s">
        <v>2152</v>
      </c>
      <c r="D543" s="396" t="str">
        <f t="shared" si="23"/>
        <v>417</v>
      </c>
      <c r="E543" s="397">
        <v>0</v>
      </c>
      <c r="F543" s="397">
        <v>0</v>
      </c>
    </row>
    <row r="544" spans="2:6" outlineLevel="2">
      <c r="B544" s="395" t="s">
        <v>2151</v>
      </c>
      <c r="C544" s="395" t="s">
        <v>2150</v>
      </c>
      <c r="D544" s="396" t="str">
        <f t="shared" si="23"/>
        <v>417</v>
      </c>
      <c r="E544" s="397">
        <v>1368460.94</v>
      </c>
      <c r="F544" s="397">
        <v>1408838</v>
      </c>
    </row>
    <row r="545" spans="2:6" outlineLevel="2">
      <c r="B545" s="395" t="s">
        <v>2149</v>
      </c>
      <c r="C545" s="395" t="s">
        <v>2148</v>
      </c>
      <c r="D545" s="396" t="str">
        <f t="shared" si="23"/>
        <v>417</v>
      </c>
      <c r="E545" s="397">
        <v>0</v>
      </c>
      <c r="F545" s="397">
        <v>0</v>
      </c>
    </row>
    <row r="546" spans="2:6" outlineLevel="2">
      <c r="B546" s="395" t="s">
        <v>2147</v>
      </c>
      <c r="C546" s="395" t="s">
        <v>2146</v>
      </c>
      <c r="D546" s="396" t="str">
        <f t="shared" si="23"/>
        <v>417</v>
      </c>
      <c r="E546" s="397">
        <v>0</v>
      </c>
      <c r="F546" s="397">
        <v>0</v>
      </c>
    </row>
    <row r="547" spans="2:6" outlineLevel="2">
      <c r="B547" s="395" t="s">
        <v>2145</v>
      </c>
      <c r="C547" s="395" t="s">
        <v>2144</v>
      </c>
      <c r="D547" s="396" t="str">
        <f t="shared" si="23"/>
        <v>417</v>
      </c>
      <c r="E547" s="397">
        <v>0</v>
      </c>
      <c r="F547" s="397">
        <v>0</v>
      </c>
    </row>
    <row r="548" spans="2:6" outlineLevel="2">
      <c r="B548" s="395" t="s">
        <v>2143</v>
      </c>
      <c r="C548" s="395" t="s">
        <v>2142</v>
      </c>
      <c r="D548" s="396" t="str">
        <f t="shared" si="23"/>
        <v>417</v>
      </c>
      <c r="E548" s="397">
        <v>0</v>
      </c>
      <c r="F548" s="397">
        <v>0</v>
      </c>
    </row>
    <row r="549" spans="2:6" outlineLevel="2">
      <c r="B549" s="395" t="s">
        <v>2141</v>
      </c>
      <c r="C549" s="395" t="s">
        <v>2140</v>
      </c>
      <c r="D549" s="396" t="str">
        <f t="shared" si="23"/>
        <v>417</v>
      </c>
      <c r="E549" s="397">
        <v>0</v>
      </c>
      <c r="F549" s="397">
        <v>0</v>
      </c>
    </row>
    <row r="550" spans="2:6" outlineLevel="2">
      <c r="B550" s="395" t="s">
        <v>2139</v>
      </c>
      <c r="C550" s="395" t="s">
        <v>2138</v>
      </c>
      <c r="D550" s="396" t="str">
        <f t="shared" si="23"/>
        <v>417</v>
      </c>
      <c r="E550" s="397">
        <v>0</v>
      </c>
      <c r="F550" s="397">
        <v>0</v>
      </c>
    </row>
    <row r="551" spans="2:6" outlineLevel="2">
      <c r="B551" s="395" t="s">
        <v>2137</v>
      </c>
      <c r="C551" s="395" t="s">
        <v>2136</v>
      </c>
      <c r="D551" s="396" t="str">
        <f t="shared" si="23"/>
        <v>417</v>
      </c>
      <c r="E551" s="397">
        <v>1709210.93</v>
      </c>
      <c r="F551" s="397">
        <v>1194594.58</v>
      </c>
    </row>
    <row r="552" spans="2:6" outlineLevel="2">
      <c r="B552" s="395" t="s">
        <v>2135</v>
      </c>
      <c r="C552" s="395" t="s">
        <v>2134</v>
      </c>
      <c r="D552" s="396" t="str">
        <f t="shared" si="23"/>
        <v>417</v>
      </c>
      <c r="E552" s="397">
        <v>536517.5</v>
      </c>
      <c r="F552" s="397">
        <v>0</v>
      </c>
    </row>
    <row r="553" spans="2:6" outlineLevel="2">
      <c r="B553" s="395" t="s">
        <v>2133</v>
      </c>
      <c r="C553" s="395" t="s">
        <v>2132</v>
      </c>
      <c r="D553" s="396" t="str">
        <f t="shared" si="23"/>
        <v>411</v>
      </c>
      <c r="E553" s="397">
        <v>10.11</v>
      </c>
      <c r="F553" s="397">
        <v>10.75</v>
      </c>
    </row>
    <row r="554" spans="2:6" outlineLevel="2">
      <c r="B554" s="395" t="s">
        <v>2131</v>
      </c>
      <c r="C554" s="395" t="s">
        <v>2130</v>
      </c>
      <c r="D554" s="396" t="str">
        <f t="shared" si="23"/>
        <v>456</v>
      </c>
      <c r="E554" s="397">
        <v>0</v>
      </c>
      <c r="F554" s="397">
        <v>0</v>
      </c>
    </row>
    <row r="555" spans="2:6" outlineLevel="2">
      <c r="B555" s="395" t="s">
        <v>2129</v>
      </c>
      <c r="C555" s="395" t="s">
        <v>2128</v>
      </c>
      <c r="D555" s="396" t="str">
        <f t="shared" si="23"/>
        <v>411</v>
      </c>
      <c r="E555" s="397">
        <v>0</v>
      </c>
      <c r="F555" s="397">
        <v>26942.49</v>
      </c>
    </row>
    <row r="556" spans="2:6" outlineLevel="2">
      <c r="B556" s="395" t="s">
        <v>2127</v>
      </c>
      <c r="C556" s="395" t="s">
        <v>2126</v>
      </c>
      <c r="D556" s="396" t="str">
        <f t="shared" si="23"/>
        <v>447</v>
      </c>
      <c r="E556" s="397">
        <v>0</v>
      </c>
      <c r="F556" s="397">
        <v>0</v>
      </c>
    </row>
    <row r="557" spans="2:6" outlineLevel="2">
      <c r="B557" s="395" t="s">
        <v>2125</v>
      </c>
      <c r="C557" s="395" t="s">
        <v>2124</v>
      </c>
      <c r="D557" s="396" t="str">
        <f t="shared" si="23"/>
        <v>411</v>
      </c>
      <c r="E557" s="397">
        <v>0</v>
      </c>
      <c r="F557" s="397">
        <v>0</v>
      </c>
    </row>
    <row r="558" spans="2:6" outlineLevel="2">
      <c r="B558" s="395" t="s">
        <v>2123</v>
      </c>
      <c r="C558" s="395" t="s">
        <v>2122</v>
      </c>
      <c r="D558" s="396" t="str">
        <f t="shared" si="23"/>
        <v>447</v>
      </c>
      <c r="E558" s="397">
        <v>0</v>
      </c>
      <c r="F558" s="397">
        <v>0</v>
      </c>
    </row>
    <row r="559" spans="2:6" outlineLevel="2">
      <c r="B559" s="395" t="s">
        <v>2121</v>
      </c>
      <c r="C559" s="395" t="s">
        <v>2120</v>
      </c>
      <c r="D559" s="396" t="str">
        <f t="shared" si="23"/>
        <v>456</v>
      </c>
      <c r="E559" s="397">
        <v>1795000</v>
      </c>
      <c r="F559" s="397">
        <v>1004000</v>
      </c>
    </row>
    <row r="560" spans="2:6" outlineLevel="2">
      <c r="B560" s="395" t="s">
        <v>2119</v>
      </c>
      <c r="C560" s="395" t="s">
        <v>2118</v>
      </c>
      <c r="D560" s="396" t="str">
        <f t="shared" si="23"/>
        <v>456</v>
      </c>
      <c r="E560" s="397">
        <v>0</v>
      </c>
      <c r="F560" s="397">
        <v>0</v>
      </c>
    </row>
    <row r="561" spans="2:6" outlineLevel="2">
      <c r="B561" s="395" t="s">
        <v>2117</v>
      </c>
      <c r="C561" s="395" t="s">
        <v>2116</v>
      </c>
      <c r="D561" s="396" t="str">
        <f t="shared" si="23"/>
        <v>456</v>
      </c>
      <c r="E561" s="397">
        <v>0</v>
      </c>
      <c r="F561" s="397">
        <v>0</v>
      </c>
    </row>
    <row r="562" spans="2:6" outlineLevel="2">
      <c r="B562" s="395" t="s">
        <v>2115</v>
      </c>
      <c r="C562" s="395" t="s">
        <v>2114</v>
      </c>
      <c r="D562" s="396" t="str">
        <f t="shared" si="23"/>
        <v>417</v>
      </c>
      <c r="E562" s="397">
        <v>0</v>
      </c>
      <c r="F562" s="397">
        <v>0</v>
      </c>
    </row>
    <row r="563" spans="2:6" outlineLevel="2">
      <c r="B563" s="395" t="s">
        <v>2113</v>
      </c>
      <c r="C563" s="395" t="s">
        <v>2112</v>
      </c>
      <c r="D563" s="396" t="str">
        <f t="shared" si="23"/>
        <v>456</v>
      </c>
      <c r="E563" s="397">
        <v>0</v>
      </c>
      <c r="F563" s="397">
        <v>0</v>
      </c>
    </row>
    <row r="564" spans="2:6" outlineLevel="2">
      <c r="B564" s="395" t="s">
        <v>2111</v>
      </c>
      <c r="C564" s="395" t="s">
        <v>2110</v>
      </c>
      <c r="D564" s="396" t="str">
        <f t="shared" si="23"/>
        <v>456</v>
      </c>
      <c r="E564" s="397">
        <v>0</v>
      </c>
      <c r="F564" s="397">
        <v>0</v>
      </c>
    </row>
    <row r="565" spans="2:6" outlineLevel="2">
      <c r="B565" s="395" t="s">
        <v>2109</v>
      </c>
      <c r="C565" s="395" t="s">
        <v>2108</v>
      </c>
      <c r="D565" s="396" t="str">
        <f t="shared" si="23"/>
        <v>447</v>
      </c>
      <c r="E565" s="397">
        <v>0</v>
      </c>
      <c r="F565" s="397">
        <v>0</v>
      </c>
    </row>
    <row r="566" spans="2:6" outlineLevel="2">
      <c r="B566" s="395" t="s">
        <v>2107</v>
      </c>
      <c r="C566" s="395" t="s">
        <v>2106</v>
      </c>
      <c r="D566" s="396" t="str">
        <f t="shared" si="23"/>
        <v>447</v>
      </c>
      <c r="E566" s="397">
        <v>0</v>
      </c>
      <c r="F566" s="397">
        <v>0</v>
      </c>
    </row>
    <row r="567" spans="2:6" outlineLevel="2">
      <c r="B567" s="395" t="s">
        <v>2105</v>
      </c>
      <c r="C567" s="395" t="s">
        <v>2104</v>
      </c>
      <c r="D567" s="396" t="str">
        <f t="shared" si="23"/>
        <v>447</v>
      </c>
      <c r="E567" s="397">
        <v>0</v>
      </c>
      <c r="F567" s="397">
        <v>0</v>
      </c>
    </row>
    <row r="568" spans="2:6" outlineLevel="2">
      <c r="B568" s="395" t="s">
        <v>2103</v>
      </c>
      <c r="C568" s="395" t="s">
        <v>2102</v>
      </c>
      <c r="D568" s="396" t="str">
        <f t="shared" si="23"/>
        <v>447</v>
      </c>
      <c r="E568" s="397">
        <v>0</v>
      </c>
      <c r="F568" s="397">
        <v>0</v>
      </c>
    </row>
    <row r="569" spans="2:6" outlineLevel="2">
      <c r="B569" s="395" t="s">
        <v>2101</v>
      </c>
      <c r="C569" s="395" t="s">
        <v>2100</v>
      </c>
      <c r="D569" s="396" t="str">
        <f t="shared" si="23"/>
        <v>447</v>
      </c>
      <c r="E569" s="397">
        <v>0</v>
      </c>
      <c r="F569" s="397">
        <v>0</v>
      </c>
    </row>
    <row r="570" spans="2:6" outlineLevel="2">
      <c r="B570" s="395" t="s">
        <v>2099</v>
      </c>
      <c r="C570" s="395" t="s">
        <v>2098</v>
      </c>
      <c r="D570" s="396" t="str">
        <f t="shared" si="23"/>
        <v>447</v>
      </c>
      <c r="E570" s="397">
        <v>0</v>
      </c>
      <c r="F570" s="397">
        <v>0</v>
      </c>
    </row>
    <row r="571" spans="2:6" outlineLevel="2">
      <c r="B571" s="395" t="s">
        <v>2097</v>
      </c>
      <c r="C571" s="395" t="s">
        <v>2096</v>
      </c>
      <c r="D571" s="396" t="str">
        <f t="shared" si="23"/>
        <v>447</v>
      </c>
      <c r="E571" s="397">
        <v>0</v>
      </c>
      <c r="F571" s="397">
        <v>0</v>
      </c>
    </row>
    <row r="572" spans="2:6" outlineLevel="2">
      <c r="B572" s="395" t="s">
        <v>2095</v>
      </c>
      <c r="C572" s="395" t="s">
        <v>2094</v>
      </c>
      <c r="D572" s="396" t="str">
        <f t="shared" si="23"/>
        <v>456</v>
      </c>
      <c r="E572" s="397">
        <v>-14108.58</v>
      </c>
      <c r="F572" s="397">
        <v>0</v>
      </c>
    </row>
    <row r="573" spans="2:6" outlineLevel="2"/>
    <row r="574" spans="2:6" outlineLevel="1">
      <c r="E574" s="397">
        <v>4908529.2699999996</v>
      </c>
      <c r="F574" s="397">
        <v>3693734.6800000006</v>
      </c>
    </row>
    <row r="575" spans="2:6" outlineLevel="1">
      <c r="E575" s="397">
        <v>423380315.82999998</v>
      </c>
      <c r="F575" s="397">
        <v>452679375.49000001</v>
      </c>
    </row>
    <row r="576" spans="2:6" outlineLevel="1">
      <c r="D576" s="396" t="str">
        <f t="shared" ref="D576:D639" si="24">RIGHT(C576,3)</f>
        <v/>
      </c>
    </row>
    <row r="577" spans="1:6" outlineLevel="1">
      <c r="A577" s="395" t="s">
        <v>2093</v>
      </c>
      <c r="D577" s="396" t="str">
        <f t="shared" si="24"/>
        <v/>
      </c>
    </row>
    <row r="578" spans="1:6" outlineLevel="1">
      <c r="B578" s="395" t="s">
        <v>2092</v>
      </c>
      <c r="D578" s="396" t="str">
        <f t="shared" si="24"/>
        <v/>
      </c>
    </row>
    <row r="579" spans="1:6" outlineLevel="2">
      <c r="B579" s="395" t="s">
        <v>2091</v>
      </c>
      <c r="C579" s="395" t="s">
        <v>2090</v>
      </c>
      <c r="D579" s="396" t="str">
        <f t="shared" si="24"/>
        <v>555</v>
      </c>
      <c r="E579" s="397">
        <v>0</v>
      </c>
      <c r="F579" s="397">
        <v>0</v>
      </c>
    </row>
    <row r="580" spans="1:6" outlineLevel="2">
      <c r="B580" s="395" t="s">
        <v>3273</v>
      </c>
      <c r="C580" s="395" t="s">
        <v>3274</v>
      </c>
      <c r="D580" s="396" t="str">
        <f t="shared" si="24"/>
        <v>555</v>
      </c>
      <c r="E580" s="397">
        <v>-1118.5899999999999</v>
      </c>
      <c r="F580" s="397">
        <v>0</v>
      </c>
    </row>
    <row r="581" spans="1:6" outlineLevel="2">
      <c r="B581" s="395" t="s">
        <v>3275</v>
      </c>
      <c r="C581" s="395" t="s">
        <v>3276</v>
      </c>
      <c r="D581" s="396" t="str">
        <f t="shared" si="24"/>
        <v>555</v>
      </c>
      <c r="E581" s="397">
        <v>-6914.03</v>
      </c>
      <c r="F581" s="397">
        <v>0</v>
      </c>
    </row>
    <row r="582" spans="1:6" outlineLevel="2">
      <c r="B582" s="395" t="s">
        <v>2089</v>
      </c>
      <c r="C582" s="395" t="s">
        <v>2088</v>
      </c>
      <c r="D582" s="396" t="str">
        <f t="shared" si="24"/>
        <v>555</v>
      </c>
      <c r="E582" s="397">
        <v>35179.550000000003</v>
      </c>
      <c r="F582" s="397">
        <v>85459.92</v>
      </c>
    </row>
    <row r="583" spans="1:6" outlineLevel="2">
      <c r="B583" s="395" t="s">
        <v>2087</v>
      </c>
      <c r="C583" s="395" t="s">
        <v>2086</v>
      </c>
      <c r="D583" s="396" t="str">
        <f t="shared" si="24"/>
        <v>555</v>
      </c>
      <c r="E583" s="397">
        <v>37329.9</v>
      </c>
      <c r="F583" s="397">
        <v>0</v>
      </c>
    </row>
    <row r="584" spans="1:6" outlineLevel="2">
      <c r="B584" s="395" t="s">
        <v>2085</v>
      </c>
      <c r="C584" s="395" t="s">
        <v>2084</v>
      </c>
      <c r="D584" s="396" t="str">
        <f t="shared" si="24"/>
        <v>555</v>
      </c>
      <c r="E584" s="397">
        <v>0</v>
      </c>
      <c r="F584" s="397">
        <v>0</v>
      </c>
    </row>
    <row r="585" spans="1:6" outlineLevel="2">
      <c r="B585" s="395" t="s">
        <v>2083</v>
      </c>
      <c r="C585" s="395" t="s">
        <v>2082</v>
      </c>
      <c r="D585" s="396" t="str">
        <f t="shared" si="24"/>
        <v>555</v>
      </c>
      <c r="E585" s="397">
        <v>-167427.01</v>
      </c>
      <c r="F585" s="397">
        <v>324264.39</v>
      </c>
    </row>
    <row r="586" spans="1:6" outlineLevel="2">
      <c r="B586" s="395" t="s">
        <v>2081</v>
      </c>
      <c r="C586" s="395" t="s">
        <v>2080</v>
      </c>
      <c r="D586" s="396" t="str">
        <f t="shared" si="24"/>
        <v>555</v>
      </c>
      <c r="E586" s="397">
        <v>0</v>
      </c>
      <c r="F586" s="397">
        <v>0</v>
      </c>
    </row>
    <row r="587" spans="1:6" outlineLevel="2">
      <c r="B587" s="395" t="s">
        <v>2079</v>
      </c>
      <c r="C587" s="395" t="s">
        <v>2078</v>
      </c>
      <c r="D587" s="396" t="str">
        <f t="shared" si="24"/>
        <v>555</v>
      </c>
      <c r="E587" s="397">
        <v>0</v>
      </c>
      <c r="F587" s="397">
        <v>0</v>
      </c>
    </row>
    <row r="588" spans="1:6" outlineLevel="2">
      <c r="B588" s="395" t="s">
        <v>2077</v>
      </c>
      <c r="C588" s="395" t="s">
        <v>2076</v>
      </c>
      <c r="D588" s="396" t="str">
        <f t="shared" si="24"/>
        <v>555</v>
      </c>
      <c r="E588" s="397">
        <v>0</v>
      </c>
      <c r="F588" s="397">
        <v>0</v>
      </c>
    </row>
    <row r="589" spans="1:6" outlineLevel="2">
      <c r="B589" s="395" t="s">
        <v>2075</v>
      </c>
      <c r="C589" s="395" t="s">
        <v>2074</v>
      </c>
      <c r="D589" s="396" t="str">
        <f t="shared" si="24"/>
        <v>555</v>
      </c>
      <c r="E589" s="397">
        <v>0</v>
      </c>
      <c r="F589" s="397">
        <v>0</v>
      </c>
    </row>
    <row r="590" spans="1:6" outlineLevel="2">
      <c r="B590" s="395" t="s">
        <v>2073</v>
      </c>
      <c r="C590" s="395" t="s">
        <v>2072</v>
      </c>
      <c r="D590" s="396" t="str">
        <f t="shared" si="24"/>
        <v>555</v>
      </c>
      <c r="E590" s="397">
        <v>0</v>
      </c>
      <c r="F590" s="397">
        <v>0</v>
      </c>
    </row>
    <row r="591" spans="1:6" outlineLevel="2">
      <c r="B591" s="395" t="s">
        <v>2071</v>
      </c>
      <c r="C591" s="395" t="s">
        <v>2070</v>
      </c>
      <c r="D591" s="396" t="str">
        <f t="shared" si="24"/>
        <v>555</v>
      </c>
      <c r="E591" s="397">
        <v>0</v>
      </c>
      <c r="F591" s="397">
        <v>0</v>
      </c>
    </row>
    <row r="592" spans="1:6" outlineLevel="2">
      <c r="B592" s="395" t="s">
        <v>2069</v>
      </c>
      <c r="C592" s="395" t="s">
        <v>2068</v>
      </c>
      <c r="D592" s="396" t="str">
        <f t="shared" si="24"/>
        <v>555</v>
      </c>
      <c r="E592" s="397">
        <v>141737.51999999999</v>
      </c>
      <c r="F592" s="397">
        <v>140286.6</v>
      </c>
    </row>
    <row r="593" spans="2:6" outlineLevel="2">
      <c r="B593" s="395" t="s">
        <v>2067</v>
      </c>
      <c r="C593" s="395" t="s">
        <v>2066</v>
      </c>
      <c r="D593" s="396" t="str">
        <f t="shared" si="24"/>
        <v>555</v>
      </c>
      <c r="E593" s="397">
        <v>74653.399999999994</v>
      </c>
      <c r="F593" s="397">
        <v>160882.13</v>
      </c>
    </row>
    <row r="594" spans="2:6" outlineLevel="2">
      <c r="B594" s="395" t="s">
        <v>2065</v>
      </c>
      <c r="C594" s="395" t="s">
        <v>2064</v>
      </c>
      <c r="D594" s="396" t="str">
        <f t="shared" si="24"/>
        <v>555</v>
      </c>
      <c r="E594" s="397">
        <v>0</v>
      </c>
      <c r="F594" s="397">
        <v>0</v>
      </c>
    </row>
    <row r="595" spans="2:6" outlineLevel="2">
      <c r="B595" s="395" t="s">
        <v>2063</v>
      </c>
      <c r="C595" s="395" t="s">
        <v>2062</v>
      </c>
      <c r="D595" s="396" t="str">
        <f t="shared" si="24"/>
        <v>555</v>
      </c>
      <c r="E595" s="397">
        <v>0</v>
      </c>
      <c r="F595" s="397">
        <v>0</v>
      </c>
    </row>
    <row r="596" spans="2:6" outlineLevel="2">
      <c r="B596" s="395" t="s">
        <v>2061</v>
      </c>
      <c r="C596" s="395" t="s">
        <v>2060</v>
      </c>
      <c r="D596" s="396" t="str">
        <f t="shared" si="24"/>
        <v>555</v>
      </c>
      <c r="E596" s="397">
        <v>6000</v>
      </c>
      <c r="F596" s="397">
        <v>6000</v>
      </c>
    </row>
    <row r="597" spans="2:6" outlineLevel="2">
      <c r="B597" s="395" t="s">
        <v>2059</v>
      </c>
      <c r="C597" s="395" t="s">
        <v>2058</v>
      </c>
      <c r="D597" s="396" t="str">
        <f t="shared" si="24"/>
        <v>555</v>
      </c>
      <c r="E597" s="397">
        <v>304392.67</v>
      </c>
      <c r="F597" s="397">
        <v>304170.02</v>
      </c>
    </row>
    <row r="598" spans="2:6" outlineLevel="2">
      <c r="B598" s="395" t="s">
        <v>2057</v>
      </c>
      <c r="C598" s="395" t="s">
        <v>2056</v>
      </c>
      <c r="D598" s="396" t="str">
        <f t="shared" si="24"/>
        <v>555</v>
      </c>
      <c r="E598" s="397">
        <v>147810.37</v>
      </c>
      <c r="F598" s="397">
        <v>324349.11</v>
      </c>
    </row>
    <row r="599" spans="2:6" outlineLevel="2">
      <c r="B599" s="395" t="s">
        <v>2055</v>
      </c>
      <c r="C599" s="395" t="s">
        <v>2054</v>
      </c>
      <c r="D599" s="396" t="str">
        <f t="shared" si="24"/>
        <v>555</v>
      </c>
      <c r="E599" s="397">
        <v>0</v>
      </c>
      <c r="F599" s="397">
        <v>0</v>
      </c>
    </row>
    <row r="600" spans="2:6" outlineLevel="2">
      <c r="B600" s="395" t="s">
        <v>2053</v>
      </c>
      <c r="C600" s="395" t="s">
        <v>2052</v>
      </c>
      <c r="D600" s="396" t="str">
        <f t="shared" si="24"/>
        <v>555</v>
      </c>
      <c r="E600" s="397">
        <v>312.31</v>
      </c>
      <c r="F600" s="397">
        <v>3781.16</v>
      </c>
    </row>
    <row r="601" spans="2:6" outlineLevel="2">
      <c r="B601" s="395" t="s">
        <v>2051</v>
      </c>
      <c r="C601" s="395" t="s">
        <v>2050</v>
      </c>
      <c r="D601" s="396" t="str">
        <f t="shared" si="24"/>
        <v>555</v>
      </c>
      <c r="E601" s="397">
        <v>135252.85</v>
      </c>
      <c r="F601" s="397">
        <v>221839</v>
      </c>
    </row>
    <row r="602" spans="2:6" outlineLevel="2">
      <c r="B602" s="395" t="s">
        <v>2049</v>
      </c>
      <c r="C602" s="395" t="s">
        <v>2048</v>
      </c>
      <c r="D602" s="396" t="str">
        <f t="shared" si="24"/>
        <v>555</v>
      </c>
      <c r="E602" s="397">
        <v>45339.98</v>
      </c>
      <c r="F602" s="397">
        <v>108414.3</v>
      </c>
    </row>
    <row r="603" spans="2:6" outlineLevel="2">
      <c r="B603" s="395" t="s">
        <v>2047</v>
      </c>
      <c r="C603" s="395" t="s">
        <v>2046</v>
      </c>
      <c r="D603" s="396" t="str">
        <f t="shared" si="24"/>
        <v>555</v>
      </c>
      <c r="E603" s="397">
        <v>51783.49</v>
      </c>
      <c r="F603" s="397">
        <v>28651.200000000001</v>
      </c>
    </row>
    <row r="604" spans="2:6" outlineLevel="2">
      <c r="B604" s="395" t="s">
        <v>2045</v>
      </c>
      <c r="C604" s="395" t="s">
        <v>2044</v>
      </c>
      <c r="D604" s="396" t="str">
        <f t="shared" si="24"/>
        <v>555</v>
      </c>
      <c r="E604" s="397">
        <v>94003.9</v>
      </c>
      <c r="F604" s="397">
        <v>49118.62</v>
      </c>
    </row>
    <row r="605" spans="2:6" outlineLevel="2">
      <c r="B605" s="395" t="s">
        <v>2043</v>
      </c>
      <c r="C605" s="395" t="s">
        <v>2042</v>
      </c>
      <c r="D605" s="396" t="str">
        <f t="shared" si="24"/>
        <v>555</v>
      </c>
      <c r="E605" s="397">
        <v>9980000</v>
      </c>
      <c r="F605" s="397">
        <v>12680793.220000001</v>
      </c>
    </row>
    <row r="606" spans="2:6" outlineLevel="2">
      <c r="B606" s="395" t="s">
        <v>2041</v>
      </c>
      <c r="C606" s="395" t="s">
        <v>2040</v>
      </c>
      <c r="D606" s="396" t="str">
        <f t="shared" si="24"/>
        <v>555</v>
      </c>
      <c r="E606" s="397">
        <v>12864245.880000001</v>
      </c>
      <c r="F606" s="397">
        <v>15130881.6</v>
      </c>
    </row>
    <row r="607" spans="2:6" outlineLevel="2">
      <c r="B607" s="395" t="s">
        <v>2039</v>
      </c>
      <c r="C607" s="395" t="s">
        <v>2038</v>
      </c>
      <c r="D607" s="396" t="str">
        <f t="shared" si="24"/>
        <v>555</v>
      </c>
      <c r="E607" s="397">
        <v>-1153500</v>
      </c>
      <c r="F607" s="397">
        <v>1090500</v>
      </c>
    </row>
    <row r="608" spans="2:6" outlineLevel="2">
      <c r="B608" s="395" t="s">
        <v>2037</v>
      </c>
      <c r="C608" s="395" t="s">
        <v>2036</v>
      </c>
      <c r="D608" s="396" t="str">
        <f t="shared" si="24"/>
        <v>555</v>
      </c>
      <c r="E608" s="397">
        <v>-104025.60000000001</v>
      </c>
      <c r="F608" s="397">
        <v>-27594</v>
      </c>
    </row>
    <row r="609" spans="2:6" outlineLevel="2">
      <c r="B609" s="395" t="s">
        <v>2035</v>
      </c>
      <c r="C609" s="395" t="s">
        <v>2034</v>
      </c>
      <c r="D609" s="396" t="str">
        <f t="shared" si="24"/>
        <v>555</v>
      </c>
      <c r="E609" s="397">
        <v>0</v>
      </c>
      <c r="F609" s="397">
        <v>0</v>
      </c>
    </row>
    <row r="610" spans="2:6" outlineLevel="2">
      <c r="B610" s="395" t="s">
        <v>2033</v>
      </c>
      <c r="C610" s="395" t="s">
        <v>2032</v>
      </c>
      <c r="D610" s="396" t="str">
        <f t="shared" si="24"/>
        <v>555</v>
      </c>
      <c r="E610" s="397">
        <v>-633379.23</v>
      </c>
      <c r="F610" s="397">
        <v>-1551975.6</v>
      </c>
    </row>
    <row r="611" spans="2:6" outlineLevel="2">
      <c r="B611" s="395" t="s">
        <v>2031</v>
      </c>
      <c r="C611" s="395" t="s">
        <v>2030</v>
      </c>
      <c r="D611" s="396" t="str">
        <f t="shared" si="24"/>
        <v>555</v>
      </c>
      <c r="E611" s="397">
        <v>0</v>
      </c>
      <c r="F611" s="397">
        <v>0</v>
      </c>
    </row>
    <row r="612" spans="2:6" outlineLevel="2">
      <c r="B612" s="395" t="s">
        <v>2029</v>
      </c>
      <c r="C612" s="395" t="s">
        <v>2028</v>
      </c>
      <c r="D612" s="396" t="str">
        <f t="shared" si="24"/>
        <v>555</v>
      </c>
      <c r="E612" s="397">
        <v>0</v>
      </c>
      <c r="F612" s="397">
        <v>0</v>
      </c>
    </row>
    <row r="613" spans="2:6" outlineLevel="2">
      <c r="B613" s="395" t="s">
        <v>2027</v>
      </c>
      <c r="C613" s="395" t="s">
        <v>2026</v>
      </c>
      <c r="D613" s="396" t="str">
        <f t="shared" si="24"/>
        <v>555</v>
      </c>
      <c r="E613" s="397">
        <v>0</v>
      </c>
      <c r="F613" s="397">
        <v>0</v>
      </c>
    </row>
    <row r="614" spans="2:6" outlineLevel="2">
      <c r="B614" s="395" t="s">
        <v>2025</v>
      </c>
      <c r="C614" s="395" t="s">
        <v>2024</v>
      </c>
      <c r="D614" s="396" t="str">
        <f t="shared" si="24"/>
        <v>555</v>
      </c>
      <c r="E614" s="397">
        <v>0</v>
      </c>
      <c r="F614" s="397">
        <v>0</v>
      </c>
    </row>
    <row r="615" spans="2:6" outlineLevel="2">
      <c r="B615" s="395" t="s">
        <v>2023</v>
      </c>
      <c r="C615" s="395" t="s">
        <v>2022</v>
      </c>
      <c r="D615" s="396" t="str">
        <f t="shared" si="24"/>
        <v>555</v>
      </c>
      <c r="E615" s="397">
        <v>0</v>
      </c>
      <c r="F615" s="397">
        <v>0</v>
      </c>
    </row>
    <row r="616" spans="2:6" outlineLevel="2">
      <c r="B616" s="395" t="s">
        <v>2021</v>
      </c>
      <c r="C616" s="395" t="s">
        <v>2020</v>
      </c>
      <c r="D616" s="396" t="str">
        <f t="shared" si="24"/>
        <v>555</v>
      </c>
      <c r="E616" s="397">
        <v>0</v>
      </c>
      <c r="F616" s="397">
        <v>0</v>
      </c>
    </row>
    <row r="617" spans="2:6" outlineLevel="2">
      <c r="B617" s="395" t="s">
        <v>2019</v>
      </c>
      <c r="C617" s="395" t="s">
        <v>2018</v>
      </c>
      <c r="D617" s="396" t="str">
        <f t="shared" si="24"/>
        <v>555</v>
      </c>
      <c r="E617" s="397">
        <v>0</v>
      </c>
      <c r="F617" s="397">
        <v>0</v>
      </c>
    </row>
    <row r="618" spans="2:6" outlineLevel="2">
      <c r="B618" s="395" t="s">
        <v>2017</v>
      </c>
      <c r="C618" s="395" t="s">
        <v>2016</v>
      </c>
      <c r="D618" s="396" t="str">
        <f t="shared" si="24"/>
        <v>555</v>
      </c>
      <c r="E618" s="397">
        <v>0</v>
      </c>
      <c r="F618" s="397">
        <v>0</v>
      </c>
    </row>
    <row r="619" spans="2:6" outlineLevel="2">
      <c r="B619" s="395" t="s">
        <v>2015</v>
      </c>
      <c r="C619" s="395" t="s">
        <v>2014</v>
      </c>
      <c r="D619" s="396" t="str">
        <f t="shared" si="24"/>
        <v>555</v>
      </c>
      <c r="E619" s="397">
        <v>0</v>
      </c>
      <c r="F619" s="397">
        <v>0</v>
      </c>
    </row>
    <row r="620" spans="2:6" outlineLevel="2">
      <c r="B620" s="395" t="s">
        <v>2013</v>
      </c>
      <c r="C620" s="395" t="s">
        <v>2012</v>
      </c>
      <c r="D620" s="396" t="str">
        <f t="shared" si="24"/>
        <v>555</v>
      </c>
      <c r="E620" s="397">
        <v>43249939.899999999</v>
      </c>
      <c r="F620" s="397">
        <v>43736421.890000001</v>
      </c>
    </row>
    <row r="621" spans="2:6" outlineLevel="2">
      <c r="B621" s="395" t="s">
        <v>2011</v>
      </c>
      <c r="C621" s="395" t="s">
        <v>2010</v>
      </c>
      <c r="D621" s="396" t="str">
        <f t="shared" si="24"/>
        <v>555</v>
      </c>
      <c r="E621" s="397">
        <v>44872987</v>
      </c>
      <c r="F621" s="397">
        <v>44421204.729999997</v>
      </c>
    </row>
    <row r="622" spans="2:6" outlineLevel="2">
      <c r="B622" s="395" t="s">
        <v>2009</v>
      </c>
      <c r="C622" s="395" t="s">
        <v>2008</v>
      </c>
      <c r="D622" s="396" t="str">
        <f t="shared" si="24"/>
        <v>555</v>
      </c>
      <c r="E622" s="397">
        <v>-1432047.76</v>
      </c>
      <c r="F622" s="397">
        <v>4667328.26</v>
      </c>
    </row>
    <row r="623" spans="2:6" outlineLevel="2">
      <c r="B623" s="395" t="s">
        <v>2007</v>
      </c>
      <c r="C623" s="395" t="s">
        <v>2006</v>
      </c>
      <c r="D623" s="396" t="str">
        <f t="shared" si="24"/>
        <v>555</v>
      </c>
      <c r="E623" s="397">
        <v>-2956698.06</v>
      </c>
      <c r="F623" s="397">
        <v>-1469811.85</v>
      </c>
    </row>
    <row r="624" spans="2:6" outlineLevel="2">
      <c r="B624" s="395" t="s">
        <v>2005</v>
      </c>
      <c r="C624" s="395" t="s">
        <v>2004</v>
      </c>
      <c r="D624" s="396" t="str">
        <f t="shared" si="24"/>
        <v>555</v>
      </c>
      <c r="E624" s="397">
        <v>1035444.29</v>
      </c>
      <c r="F624" s="397">
        <v>1644734</v>
      </c>
    </row>
    <row r="625" spans="2:6" outlineLevel="2">
      <c r="B625" s="395" t="s">
        <v>2003</v>
      </c>
      <c r="C625" s="395" t="s">
        <v>2002</v>
      </c>
      <c r="D625" s="396" t="str">
        <f t="shared" si="24"/>
        <v>555</v>
      </c>
      <c r="E625" s="397">
        <v>1081666.76</v>
      </c>
      <c r="F625" s="397">
        <v>951208.54</v>
      </c>
    </row>
    <row r="626" spans="2:6" outlineLevel="2">
      <c r="B626" s="395" t="s">
        <v>2001</v>
      </c>
      <c r="C626" s="395" t="s">
        <v>2000</v>
      </c>
      <c r="D626" s="396" t="str">
        <f t="shared" si="24"/>
        <v>555</v>
      </c>
      <c r="E626" s="397">
        <v>-6591549.2699999996</v>
      </c>
      <c r="F626" s="397">
        <v>1951546.22</v>
      </c>
    </row>
    <row r="627" spans="2:6" outlineLevel="2">
      <c r="B627" s="395" t="s">
        <v>1999</v>
      </c>
      <c r="C627" s="395" t="s">
        <v>1998</v>
      </c>
      <c r="D627" s="396" t="str">
        <f t="shared" si="24"/>
        <v>555</v>
      </c>
      <c r="E627" s="397">
        <v>0</v>
      </c>
      <c r="F627" s="397">
        <v>0</v>
      </c>
    </row>
    <row r="628" spans="2:6" outlineLevel="2">
      <c r="B628" s="395" t="s">
        <v>1997</v>
      </c>
      <c r="C628" s="395" t="s">
        <v>1996</v>
      </c>
      <c r="D628" s="396" t="str">
        <f t="shared" si="24"/>
        <v>555</v>
      </c>
      <c r="E628" s="397">
        <v>0</v>
      </c>
      <c r="F628" s="397">
        <v>0</v>
      </c>
    </row>
    <row r="629" spans="2:6" outlineLevel="2">
      <c r="B629" s="395" t="s">
        <v>1995</v>
      </c>
      <c r="C629" s="395" t="s">
        <v>1994</v>
      </c>
      <c r="D629" s="396" t="str">
        <f t="shared" si="24"/>
        <v>555</v>
      </c>
      <c r="E629" s="397">
        <v>0</v>
      </c>
      <c r="F629" s="397">
        <v>0</v>
      </c>
    </row>
    <row r="630" spans="2:6" outlineLevel="2">
      <c r="B630" s="395" t="s">
        <v>1993</v>
      </c>
      <c r="C630" s="395" t="s">
        <v>1992</v>
      </c>
      <c r="D630" s="396" t="str">
        <f t="shared" si="24"/>
        <v>555</v>
      </c>
      <c r="E630" s="397">
        <v>0</v>
      </c>
      <c r="F630" s="397">
        <v>0</v>
      </c>
    </row>
    <row r="631" spans="2:6" outlineLevel="2">
      <c r="B631" s="395" t="s">
        <v>1991</v>
      </c>
      <c r="C631" s="395" t="s">
        <v>1990</v>
      </c>
      <c r="D631" s="396" t="str">
        <f t="shared" si="24"/>
        <v>555</v>
      </c>
      <c r="E631" s="397">
        <v>-1360537.74</v>
      </c>
      <c r="F631" s="397">
        <v>-5554079.6399999997</v>
      </c>
    </row>
    <row r="632" spans="2:6" outlineLevel="2">
      <c r="B632" s="395" t="s">
        <v>1989</v>
      </c>
      <c r="C632" s="395" t="s">
        <v>1988</v>
      </c>
      <c r="D632" s="396" t="str">
        <f t="shared" si="24"/>
        <v>555</v>
      </c>
      <c r="E632" s="397">
        <v>451394.31</v>
      </c>
      <c r="F632" s="397">
        <v>-2349894.42</v>
      </c>
    </row>
    <row r="633" spans="2:6" outlineLevel="2">
      <c r="B633" s="395" t="s">
        <v>1987</v>
      </c>
      <c r="C633" s="395" t="s">
        <v>1986</v>
      </c>
      <c r="D633" s="396" t="str">
        <f t="shared" si="24"/>
        <v>555</v>
      </c>
      <c r="E633" s="397">
        <v>482756.33</v>
      </c>
      <c r="F633" s="397">
        <v>128410.5</v>
      </c>
    </row>
    <row r="634" spans="2:6" outlineLevel="2">
      <c r="B634" s="395" t="s">
        <v>1985</v>
      </c>
      <c r="C634" s="395" t="s">
        <v>1984</v>
      </c>
      <c r="D634" s="396" t="str">
        <f t="shared" si="24"/>
        <v>555</v>
      </c>
      <c r="E634" s="397">
        <v>0</v>
      </c>
      <c r="F634" s="397">
        <v>0</v>
      </c>
    </row>
    <row r="635" spans="2:6" outlineLevel="2">
      <c r="B635" s="395" t="s">
        <v>1983</v>
      </c>
      <c r="C635" s="395" t="s">
        <v>1982</v>
      </c>
      <c r="D635" s="396" t="str">
        <f t="shared" si="24"/>
        <v>555</v>
      </c>
      <c r="E635" s="397">
        <v>2561781.85</v>
      </c>
      <c r="F635" s="397">
        <v>2612257.65</v>
      </c>
    </row>
    <row r="636" spans="2:6" outlineLevel="2">
      <c r="B636" s="395" t="s">
        <v>1981</v>
      </c>
      <c r="C636" s="395" t="s">
        <v>1980</v>
      </c>
      <c r="D636" s="396" t="str">
        <f t="shared" si="24"/>
        <v>555</v>
      </c>
      <c r="E636" s="397">
        <v>4397843.1399999997</v>
      </c>
      <c r="F636" s="397">
        <v>4498867.9000000004</v>
      </c>
    </row>
    <row r="637" spans="2:6" outlineLevel="2">
      <c r="B637" s="395" t="s">
        <v>1979</v>
      </c>
      <c r="C637" s="395" t="s">
        <v>1978</v>
      </c>
      <c r="D637" s="396" t="str">
        <f t="shared" si="24"/>
        <v>555</v>
      </c>
      <c r="E637" s="397">
        <v>0</v>
      </c>
      <c r="F637" s="397">
        <v>0</v>
      </c>
    </row>
    <row r="638" spans="2:6" outlineLevel="2">
      <c r="B638" s="395" t="s">
        <v>1977</v>
      </c>
      <c r="C638" s="395" t="s">
        <v>1976</v>
      </c>
      <c r="D638" s="396" t="str">
        <f t="shared" si="24"/>
        <v>555</v>
      </c>
      <c r="E638" s="397">
        <v>0</v>
      </c>
      <c r="F638" s="397">
        <v>0</v>
      </c>
    </row>
    <row r="639" spans="2:6" outlineLevel="2">
      <c r="B639" s="395" t="s">
        <v>1975</v>
      </c>
      <c r="C639" s="395" t="s">
        <v>1974</v>
      </c>
      <c r="D639" s="396" t="str">
        <f t="shared" si="24"/>
        <v>555</v>
      </c>
      <c r="E639" s="397">
        <v>-1097106.01</v>
      </c>
      <c r="F639" s="397">
        <v>700870.16</v>
      </c>
    </row>
    <row r="640" spans="2:6" outlineLevel="2">
      <c r="B640" s="395" t="s">
        <v>1973</v>
      </c>
      <c r="C640" s="395" t="s">
        <v>1972</v>
      </c>
      <c r="D640" s="396" t="str">
        <f t="shared" ref="D640:D703" si="25">RIGHT(C640,3)</f>
        <v>555</v>
      </c>
      <c r="E640" s="397">
        <v>1087730.2</v>
      </c>
      <c r="F640" s="397">
        <v>2136943.65</v>
      </c>
    </row>
    <row r="641" spans="2:6" outlineLevel="2">
      <c r="B641" s="395" t="s">
        <v>1971</v>
      </c>
      <c r="C641" s="395" t="s">
        <v>1970</v>
      </c>
      <c r="D641" s="396" t="str">
        <f t="shared" si="25"/>
        <v>555</v>
      </c>
      <c r="E641" s="397">
        <v>-4456224.01</v>
      </c>
      <c r="F641" s="397">
        <v>-4936371.95</v>
      </c>
    </row>
    <row r="642" spans="2:6" outlineLevel="2">
      <c r="B642" s="395" t="s">
        <v>1969</v>
      </c>
      <c r="C642" s="395" t="s">
        <v>1968</v>
      </c>
      <c r="D642" s="396" t="str">
        <f t="shared" si="25"/>
        <v>555</v>
      </c>
      <c r="E642" s="397">
        <v>-153678.51</v>
      </c>
      <c r="F642" s="397">
        <v>-599506.05000000005</v>
      </c>
    </row>
    <row r="643" spans="2:6" outlineLevel="2">
      <c r="B643" s="395" t="s">
        <v>1967</v>
      </c>
      <c r="C643" s="395" t="s">
        <v>1966</v>
      </c>
      <c r="D643" s="396" t="str">
        <f t="shared" si="25"/>
        <v>555</v>
      </c>
      <c r="E643" s="397">
        <v>-110015.63</v>
      </c>
      <c r="F643" s="397">
        <v>-75254.75</v>
      </c>
    </row>
    <row r="644" spans="2:6" outlineLevel="2">
      <c r="B644" s="395" t="s">
        <v>1965</v>
      </c>
      <c r="C644" s="395" t="s">
        <v>1964</v>
      </c>
      <c r="D644" s="396" t="str">
        <f t="shared" si="25"/>
        <v>555</v>
      </c>
      <c r="E644" s="397">
        <v>0</v>
      </c>
      <c r="F644" s="397">
        <v>0</v>
      </c>
    </row>
    <row r="645" spans="2:6" outlineLevel="2">
      <c r="B645" s="395" t="s">
        <v>1963</v>
      </c>
      <c r="C645" s="395" t="s">
        <v>1962</v>
      </c>
      <c r="D645" s="396" t="str">
        <f t="shared" si="25"/>
        <v>555</v>
      </c>
      <c r="E645" s="397">
        <v>0</v>
      </c>
      <c r="F645" s="397">
        <v>0</v>
      </c>
    </row>
    <row r="646" spans="2:6" outlineLevel="2">
      <c r="B646" s="395" t="s">
        <v>1961</v>
      </c>
      <c r="C646" s="395" t="s">
        <v>1960</v>
      </c>
      <c r="D646" s="396" t="str">
        <f t="shared" si="25"/>
        <v>555</v>
      </c>
      <c r="E646" s="397">
        <v>0</v>
      </c>
      <c r="F646" s="397">
        <v>0</v>
      </c>
    </row>
    <row r="647" spans="2:6" outlineLevel="2">
      <c r="B647" s="395" t="s">
        <v>1959</v>
      </c>
      <c r="C647" s="395" t="s">
        <v>1958</v>
      </c>
      <c r="D647" s="396" t="str">
        <f t="shared" si="25"/>
        <v>555</v>
      </c>
      <c r="E647" s="397">
        <v>0</v>
      </c>
      <c r="F647" s="397">
        <v>0</v>
      </c>
    </row>
    <row r="648" spans="2:6" outlineLevel="2">
      <c r="B648" s="395" t="s">
        <v>1957</v>
      </c>
      <c r="C648" s="395" t="s">
        <v>1956</v>
      </c>
      <c r="D648" s="396" t="str">
        <f t="shared" si="25"/>
        <v>555</v>
      </c>
      <c r="E648" s="397">
        <v>0</v>
      </c>
      <c r="F648" s="397">
        <v>0</v>
      </c>
    </row>
    <row r="649" spans="2:6" outlineLevel="2">
      <c r="B649" s="395" t="s">
        <v>1955</v>
      </c>
      <c r="C649" s="395" t="s">
        <v>1954</v>
      </c>
      <c r="D649" s="396" t="str">
        <f t="shared" si="25"/>
        <v>555</v>
      </c>
      <c r="E649" s="397">
        <v>0</v>
      </c>
      <c r="F649" s="397">
        <v>0</v>
      </c>
    </row>
    <row r="650" spans="2:6" outlineLevel="2">
      <c r="B650" s="395" t="s">
        <v>1953</v>
      </c>
      <c r="C650" s="395" t="s">
        <v>1952</v>
      </c>
      <c r="D650" s="396" t="str">
        <f t="shared" si="25"/>
        <v>555</v>
      </c>
      <c r="E650" s="397">
        <v>0</v>
      </c>
      <c r="F650" s="397">
        <v>0</v>
      </c>
    </row>
    <row r="651" spans="2:6" outlineLevel="2">
      <c r="B651" s="395" t="s">
        <v>1951</v>
      </c>
      <c r="C651" s="395" t="s">
        <v>1950</v>
      </c>
      <c r="D651" s="396" t="str">
        <f t="shared" si="25"/>
        <v>555</v>
      </c>
      <c r="E651" s="397">
        <v>3000000</v>
      </c>
      <c r="F651" s="397">
        <v>2875000</v>
      </c>
    </row>
    <row r="652" spans="2:6" outlineLevel="2">
      <c r="B652" s="395" t="s">
        <v>1949</v>
      </c>
      <c r="C652" s="395" t="s">
        <v>1948</v>
      </c>
      <c r="D652" s="396" t="str">
        <f t="shared" si="25"/>
        <v>555</v>
      </c>
      <c r="E652" s="397">
        <v>0</v>
      </c>
      <c r="F652" s="397">
        <v>0</v>
      </c>
    </row>
    <row r="653" spans="2:6" outlineLevel="2">
      <c r="B653" s="395" t="s">
        <v>1947</v>
      </c>
      <c r="C653" s="395" t="s">
        <v>1946</v>
      </c>
      <c r="D653" s="396" t="str">
        <f t="shared" si="25"/>
        <v>555</v>
      </c>
      <c r="E653" s="397">
        <v>0</v>
      </c>
      <c r="F653" s="397">
        <v>0</v>
      </c>
    </row>
    <row r="654" spans="2:6" outlineLevel="2">
      <c r="B654" s="395" t="s">
        <v>1945</v>
      </c>
      <c r="C654" s="395" t="s">
        <v>1944</v>
      </c>
      <c r="D654" s="396" t="str">
        <f t="shared" si="25"/>
        <v>555</v>
      </c>
      <c r="E654" s="397">
        <v>11574554.029999999</v>
      </c>
      <c r="F654" s="397">
        <v>11883541.01</v>
      </c>
    </row>
    <row r="655" spans="2:6" outlineLevel="2">
      <c r="B655" s="395" t="s">
        <v>1943</v>
      </c>
      <c r="C655" s="395" t="s">
        <v>1942</v>
      </c>
      <c r="D655" s="396" t="str">
        <f t="shared" si="25"/>
        <v>555</v>
      </c>
      <c r="E655" s="397">
        <v>0</v>
      </c>
      <c r="F655" s="397">
        <v>0</v>
      </c>
    </row>
    <row r="656" spans="2:6" outlineLevel="2">
      <c r="B656" s="395" t="s">
        <v>1941</v>
      </c>
      <c r="C656" s="395" t="s">
        <v>1940</v>
      </c>
      <c r="D656" s="396" t="str">
        <f t="shared" si="25"/>
        <v>555</v>
      </c>
      <c r="E656" s="397">
        <v>0</v>
      </c>
      <c r="F656" s="397">
        <v>0</v>
      </c>
    </row>
    <row r="657" spans="2:6" outlineLevel="2">
      <c r="B657" s="395" t="s">
        <v>1939</v>
      </c>
      <c r="C657" s="395" t="s">
        <v>1938</v>
      </c>
      <c r="D657" s="396" t="str">
        <f t="shared" si="25"/>
        <v>555</v>
      </c>
      <c r="E657" s="397">
        <v>0</v>
      </c>
      <c r="F657" s="397">
        <v>0</v>
      </c>
    </row>
    <row r="658" spans="2:6" outlineLevel="2">
      <c r="B658" s="395" t="s">
        <v>1937</v>
      </c>
      <c r="C658" s="395" t="s">
        <v>1936</v>
      </c>
      <c r="D658" s="396" t="str">
        <f t="shared" si="25"/>
        <v>555</v>
      </c>
      <c r="E658" s="397">
        <v>0</v>
      </c>
      <c r="F658" s="397">
        <v>0</v>
      </c>
    </row>
    <row r="659" spans="2:6" outlineLevel="2">
      <c r="B659" s="395" t="s">
        <v>1935</v>
      </c>
      <c r="C659" s="395" t="s">
        <v>1934</v>
      </c>
      <c r="D659" s="396" t="str">
        <f t="shared" si="25"/>
        <v>555</v>
      </c>
      <c r="E659" s="397">
        <v>0</v>
      </c>
      <c r="F659" s="397">
        <v>0</v>
      </c>
    </row>
    <row r="660" spans="2:6" outlineLevel="2">
      <c r="B660" s="395" t="s">
        <v>1933</v>
      </c>
      <c r="C660" s="395" t="s">
        <v>1932</v>
      </c>
      <c r="D660" s="396" t="str">
        <f t="shared" si="25"/>
        <v>555</v>
      </c>
      <c r="E660" s="397">
        <v>-107701.89</v>
      </c>
      <c r="F660" s="397">
        <v>1892494.65</v>
      </c>
    </row>
    <row r="661" spans="2:6" outlineLevel="2">
      <c r="B661" s="395" t="s">
        <v>1931</v>
      </c>
      <c r="C661" s="395" t="s">
        <v>1930</v>
      </c>
      <c r="D661" s="396" t="str">
        <f t="shared" si="25"/>
        <v>555</v>
      </c>
      <c r="E661" s="397">
        <v>-8307.2999999999993</v>
      </c>
      <c r="F661" s="397">
        <v>1682137.1</v>
      </c>
    </row>
    <row r="662" spans="2:6" outlineLevel="2">
      <c r="B662" s="395" t="s">
        <v>1929</v>
      </c>
      <c r="C662" s="395" t="s">
        <v>1928</v>
      </c>
      <c r="D662" s="396" t="str">
        <f t="shared" si="25"/>
        <v>555</v>
      </c>
      <c r="E662" s="397">
        <v>0</v>
      </c>
      <c r="F662" s="397">
        <v>-217835.03</v>
      </c>
    </row>
    <row r="663" spans="2:6" outlineLevel="2">
      <c r="B663" s="395" t="s">
        <v>1927</v>
      </c>
      <c r="C663" s="395" t="s">
        <v>1926</v>
      </c>
      <c r="D663" s="396" t="str">
        <f t="shared" si="25"/>
        <v>555</v>
      </c>
      <c r="E663" s="397">
        <v>53828.26</v>
      </c>
      <c r="F663" s="397">
        <v>-159552.24</v>
      </c>
    </row>
    <row r="664" spans="2:6" outlineLevel="2">
      <c r="B664" s="395" t="s">
        <v>1925</v>
      </c>
      <c r="C664" s="395" t="s">
        <v>1924</v>
      </c>
      <c r="D664" s="396" t="str">
        <f t="shared" si="25"/>
        <v>555</v>
      </c>
      <c r="E664" s="397">
        <v>4176.34</v>
      </c>
      <c r="F664" s="397">
        <v>-12532.47</v>
      </c>
    </row>
    <row r="665" spans="2:6" outlineLevel="2">
      <c r="B665" s="395" t="s">
        <v>1923</v>
      </c>
      <c r="C665" s="395" t="s">
        <v>1922</v>
      </c>
      <c r="D665" s="396" t="str">
        <f t="shared" si="25"/>
        <v>555</v>
      </c>
      <c r="E665" s="397">
        <v>0</v>
      </c>
      <c r="F665" s="397">
        <v>21023.7</v>
      </c>
    </row>
    <row r="666" spans="2:6" outlineLevel="2">
      <c r="B666" s="395" t="s">
        <v>1921</v>
      </c>
      <c r="C666" s="395" t="s">
        <v>1920</v>
      </c>
      <c r="D666" s="396" t="str">
        <f t="shared" si="25"/>
        <v>555</v>
      </c>
      <c r="E666" s="397">
        <v>0</v>
      </c>
      <c r="F666" s="397">
        <v>-325.05</v>
      </c>
    </row>
    <row r="667" spans="2:6" outlineLevel="2">
      <c r="B667" s="395" t="s">
        <v>1919</v>
      </c>
      <c r="C667" s="395" t="s">
        <v>1918</v>
      </c>
      <c r="D667" s="396" t="str">
        <f t="shared" si="25"/>
        <v>555</v>
      </c>
      <c r="E667" s="397">
        <v>0</v>
      </c>
      <c r="F667" s="397">
        <v>0</v>
      </c>
    </row>
    <row r="668" spans="2:6" outlineLevel="2">
      <c r="B668" s="395" t="s">
        <v>1917</v>
      </c>
      <c r="C668" s="395" t="s">
        <v>1916</v>
      </c>
      <c r="D668" s="396" t="str">
        <f t="shared" si="25"/>
        <v>555</v>
      </c>
      <c r="E668" s="397">
        <v>0</v>
      </c>
      <c r="F668" s="397">
        <v>-10349.35</v>
      </c>
    </row>
    <row r="669" spans="2:6" outlineLevel="2">
      <c r="B669" s="395" t="s">
        <v>1915</v>
      </c>
      <c r="C669" s="395" t="s">
        <v>1914</v>
      </c>
      <c r="D669" s="396" t="str">
        <f t="shared" si="25"/>
        <v>555</v>
      </c>
      <c r="E669" s="397">
        <v>0</v>
      </c>
      <c r="F669" s="397">
        <v>0</v>
      </c>
    </row>
    <row r="670" spans="2:6" outlineLevel="2">
      <c r="B670" s="395" t="s">
        <v>1913</v>
      </c>
      <c r="C670" s="395" t="s">
        <v>1912</v>
      </c>
      <c r="D670" s="396" t="str">
        <f t="shared" si="25"/>
        <v>555</v>
      </c>
      <c r="E670" s="397">
        <v>363816.28</v>
      </c>
      <c r="F670" s="397">
        <v>1081167.4099999999</v>
      </c>
    </row>
    <row r="671" spans="2:6" outlineLevel="2">
      <c r="B671" s="395" t="s">
        <v>1911</v>
      </c>
      <c r="C671" s="395" t="s">
        <v>1910</v>
      </c>
      <c r="D671" s="396" t="str">
        <f t="shared" si="25"/>
        <v>555</v>
      </c>
      <c r="E671" s="397">
        <v>291642.13</v>
      </c>
      <c r="F671" s="397">
        <v>852274.62</v>
      </c>
    </row>
    <row r="672" spans="2:6" outlineLevel="2">
      <c r="B672" s="395" t="s">
        <v>1909</v>
      </c>
      <c r="C672" s="395" t="s">
        <v>1908</v>
      </c>
      <c r="D672" s="396" t="str">
        <f t="shared" si="25"/>
        <v>555</v>
      </c>
      <c r="E672" s="397">
        <v>-14703.15</v>
      </c>
      <c r="F672" s="397">
        <v>-113547.13</v>
      </c>
    </row>
    <row r="673" spans="2:6" outlineLevel="2">
      <c r="B673" s="395" t="s">
        <v>1907</v>
      </c>
      <c r="C673" s="395" t="s">
        <v>1906</v>
      </c>
      <c r="D673" s="396" t="str">
        <f t="shared" si="25"/>
        <v>555</v>
      </c>
      <c r="E673" s="397">
        <v>6808.57</v>
      </c>
      <c r="F673" s="397">
        <v>-79832.25</v>
      </c>
    </row>
    <row r="674" spans="2:6" outlineLevel="2">
      <c r="B674" s="395" t="s">
        <v>1905</v>
      </c>
      <c r="C674" s="395" t="s">
        <v>1904</v>
      </c>
      <c r="D674" s="396" t="str">
        <f t="shared" si="25"/>
        <v>555</v>
      </c>
      <c r="E674" s="397">
        <v>-5453.73</v>
      </c>
      <c r="F674" s="397">
        <v>-5488.96</v>
      </c>
    </row>
    <row r="675" spans="2:6" outlineLevel="2">
      <c r="B675" s="395" t="s">
        <v>1903</v>
      </c>
      <c r="C675" s="395" t="s">
        <v>1902</v>
      </c>
      <c r="D675" s="396" t="str">
        <f t="shared" si="25"/>
        <v>555</v>
      </c>
      <c r="E675" s="397">
        <v>245152.61</v>
      </c>
      <c r="F675" s="397">
        <v>845581.82</v>
      </c>
    </row>
    <row r="676" spans="2:6" outlineLevel="2">
      <c r="B676" s="395" t="s">
        <v>1901</v>
      </c>
      <c r="C676" s="395" t="s">
        <v>1900</v>
      </c>
      <c r="D676" s="396" t="str">
        <f t="shared" si="25"/>
        <v>555</v>
      </c>
      <c r="E676" s="397">
        <v>223117.01</v>
      </c>
      <c r="F676" s="397">
        <v>669073.16</v>
      </c>
    </row>
    <row r="677" spans="2:6" outlineLevel="2">
      <c r="B677" s="395" t="s">
        <v>1899</v>
      </c>
      <c r="C677" s="395" t="s">
        <v>1898</v>
      </c>
      <c r="D677" s="396" t="str">
        <f t="shared" si="25"/>
        <v>555</v>
      </c>
      <c r="E677" s="397">
        <v>-11330.65</v>
      </c>
      <c r="F677" s="397">
        <v>-85634.91</v>
      </c>
    </row>
    <row r="678" spans="2:6" outlineLevel="2">
      <c r="B678" s="395" t="s">
        <v>1897</v>
      </c>
      <c r="C678" s="395" t="s">
        <v>1896</v>
      </c>
      <c r="D678" s="396" t="str">
        <f t="shared" si="25"/>
        <v>555</v>
      </c>
      <c r="E678" s="397">
        <v>15599.37</v>
      </c>
      <c r="F678" s="397">
        <v>-60748.61</v>
      </c>
    </row>
    <row r="679" spans="2:6" outlineLevel="2">
      <c r="B679" s="395" t="s">
        <v>1895</v>
      </c>
      <c r="C679" s="395" t="s">
        <v>1894</v>
      </c>
      <c r="D679" s="396" t="str">
        <f t="shared" si="25"/>
        <v>555</v>
      </c>
      <c r="E679" s="397">
        <v>-4083.31</v>
      </c>
      <c r="F679" s="397">
        <v>-4846.5600000000004</v>
      </c>
    </row>
    <row r="680" spans="2:6" outlineLevel="2">
      <c r="B680" s="395" t="s">
        <v>1893</v>
      </c>
      <c r="C680" s="395" t="s">
        <v>1892</v>
      </c>
      <c r="D680" s="396" t="str">
        <f t="shared" si="25"/>
        <v>555</v>
      </c>
      <c r="E680" s="397">
        <v>29980.62</v>
      </c>
      <c r="F680" s="397">
        <v>131242.51</v>
      </c>
    </row>
    <row r="681" spans="2:6" outlineLevel="2">
      <c r="B681" s="395" t="s">
        <v>1891</v>
      </c>
      <c r="C681" s="395" t="s">
        <v>1890</v>
      </c>
      <c r="D681" s="396" t="str">
        <f t="shared" si="25"/>
        <v>555</v>
      </c>
      <c r="E681" s="397">
        <v>33134.800000000003</v>
      </c>
      <c r="F681" s="397">
        <v>100384.97</v>
      </c>
    </row>
    <row r="682" spans="2:6" outlineLevel="2">
      <c r="B682" s="395" t="s">
        <v>1889</v>
      </c>
      <c r="C682" s="395" t="s">
        <v>1888</v>
      </c>
      <c r="D682" s="396" t="str">
        <f t="shared" si="25"/>
        <v>555</v>
      </c>
      <c r="E682" s="397">
        <v>-1655.85</v>
      </c>
      <c r="F682" s="397">
        <v>-13083.13</v>
      </c>
    </row>
    <row r="683" spans="2:6" outlineLevel="2">
      <c r="B683" s="395" t="s">
        <v>1887</v>
      </c>
      <c r="C683" s="395" t="s">
        <v>1886</v>
      </c>
      <c r="D683" s="396" t="str">
        <f t="shared" si="25"/>
        <v>555</v>
      </c>
      <c r="E683" s="397">
        <v>2983.98</v>
      </c>
      <c r="F683" s="397">
        <v>-20345.45</v>
      </c>
    </row>
    <row r="684" spans="2:6" outlineLevel="2">
      <c r="B684" s="395" t="s">
        <v>1885</v>
      </c>
      <c r="C684" s="395" t="s">
        <v>1884</v>
      </c>
      <c r="D684" s="396" t="str">
        <f t="shared" si="25"/>
        <v>555</v>
      </c>
      <c r="E684" s="397">
        <v>-955.73</v>
      </c>
      <c r="F684" s="397">
        <v>-320.36</v>
      </c>
    </row>
    <row r="685" spans="2:6" outlineLevel="2">
      <c r="B685" s="395" t="s">
        <v>1883</v>
      </c>
      <c r="C685" s="395" t="s">
        <v>1882</v>
      </c>
      <c r="D685" s="396" t="str">
        <f t="shared" si="25"/>
        <v>555</v>
      </c>
      <c r="E685" s="397">
        <v>0</v>
      </c>
      <c r="F685" s="397">
        <v>47112.88</v>
      </c>
    </row>
    <row r="686" spans="2:6" outlineLevel="2">
      <c r="B686" s="395" t="s">
        <v>1881</v>
      </c>
      <c r="C686" s="395" t="s">
        <v>1880</v>
      </c>
      <c r="D686" s="396" t="str">
        <f t="shared" si="25"/>
        <v>555</v>
      </c>
      <c r="E686" s="397">
        <v>0</v>
      </c>
      <c r="F686" s="397">
        <v>-1409.31</v>
      </c>
    </row>
    <row r="687" spans="2:6" outlineLevel="2">
      <c r="B687" s="395" t="s">
        <v>1879</v>
      </c>
      <c r="C687" s="395" t="s">
        <v>1878</v>
      </c>
      <c r="D687" s="396" t="str">
        <f t="shared" si="25"/>
        <v>555</v>
      </c>
      <c r="E687" s="397">
        <v>0</v>
      </c>
      <c r="F687" s="397">
        <v>0</v>
      </c>
    </row>
    <row r="688" spans="2:6" outlineLevel="2">
      <c r="B688" s="395" t="s">
        <v>1877</v>
      </c>
      <c r="C688" s="395" t="s">
        <v>1876</v>
      </c>
      <c r="D688" s="396" t="str">
        <f t="shared" si="25"/>
        <v>555</v>
      </c>
      <c r="E688" s="397">
        <v>0</v>
      </c>
      <c r="F688" s="397">
        <v>-28740.9</v>
      </c>
    </row>
    <row r="689" spans="2:6" outlineLevel="2">
      <c r="B689" s="395" t="s">
        <v>1875</v>
      </c>
      <c r="C689" s="395" t="s">
        <v>1874</v>
      </c>
      <c r="D689" s="396" t="str">
        <f t="shared" si="25"/>
        <v>555</v>
      </c>
      <c r="E689" s="397">
        <v>0</v>
      </c>
      <c r="F689" s="397">
        <v>0</v>
      </c>
    </row>
    <row r="690" spans="2:6" outlineLevel="2">
      <c r="B690" s="395" t="s">
        <v>1873</v>
      </c>
      <c r="C690" s="395" t="s">
        <v>1872</v>
      </c>
      <c r="D690" s="396" t="str">
        <f t="shared" si="25"/>
        <v>555</v>
      </c>
      <c r="E690" s="397">
        <v>0</v>
      </c>
      <c r="F690" s="397">
        <v>0</v>
      </c>
    </row>
    <row r="691" spans="2:6" outlineLevel="2">
      <c r="B691" s="395" t="s">
        <v>1871</v>
      </c>
      <c r="C691" s="395" t="s">
        <v>1870</v>
      </c>
      <c r="D691" s="396" t="str">
        <f t="shared" si="25"/>
        <v>555</v>
      </c>
      <c r="E691" s="397">
        <v>342.63</v>
      </c>
      <c r="F691" s="397">
        <v>32.97</v>
      </c>
    </row>
    <row r="692" spans="2:6" outlineLevel="2">
      <c r="B692" s="395" t="s">
        <v>1869</v>
      </c>
      <c r="C692" s="395" t="s">
        <v>1868</v>
      </c>
      <c r="D692" s="396" t="str">
        <f t="shared" si="25"/>
        <v>555</v>
      </c>
      <c r="E692" s="397">
        <v>37.69</v>
      </c>
      <c r="F692" s="397">
        <v>52.59</v>
      </c>
    </row>
    <row r="693" spans="2:6" outlineLevel="2">
      <c r="B693" s="395" t="s">
        <v>1867</v>
      </c>
      <c r="C693" s="395" t="s">
        <v>1866</v>
      </c>
      <c r="D693" s="396" t="str">
        <f t="shared" si="25"/>
        <v>555</v>
      </c>
      <c r="E693" s="397">
        <v>375000</v>
      </c>
      <c r="F693" s="397">
        <v>1525000</v>
      </c>
    </row>
    <row r="694" spans="2:6" outlineLevel="2">
      <c r="B694" s="395" t="s">
        <v>1865</v>
      </c>
      <c r="C694" s="395" t="s">
        <v>1864</v>
      </c>
      <c r="D694" s="396" t="str">
        <f t="shared" si="25"/>
        <v>555</v>
      </c>
      <c r="E694" s="397">
        <v>0</v>
      </c>
      <c r="F694" s="397">
        <v>0</v>
      </c>
    </row>
    <row r="695" spans="2:6" outlineLevel="2">
      <c r="B695" s="395" t="s">
        <v>1863</v>
      </c>
      <c r="C695" s="395" t="s">
        <v>1862</v>
      </c>
      <c r="D695" s="396" t="str">
        <f t="shared" si="25"/>
        <v>555</v>
      </c>
      <c r="E695" s="397">
        <v>0</v>
      </c>
      <c r="F695" s="397">
        <v>0</v>
      </c>
    </row>
    <row r="696" spans="2:6" outlineLevel="2">
      <c r="B696" s="395" t="s">
        <v>1861</v>
      </c>
      <c r="C696" s="395" t="s">
        <v>1860</v>
      </c>
      <c r="D696" s="396" t="str">
        <f t="shared" si="25"/>
        <v>555</v>
      </c>
      <c r="E696" s="397">
        <v>672000</v>
      </c>
      <c r="F696" s="397">
        <v>0</v>
      </c>
    </row>
    <row r="697" spans="2:6" outlineLevel="2">
      <c r="B697" s="395" t="s">
        <v>1859</v>
      </c>
      <c r="C697" s="395" t="s">
        <v>1858</v>
      </c>
      <c r="D697" s="396" t="str">
        <f t="shared" si="25"/>
        <v>555</v>
      </c>
      <c r="E697" s="397">
        <v>0</v>
      </c>
      <c r="F697" s="397">
        <v>0</v>
      </c>
    </row>
    <row r="698" spans="2:6" outlineLevel="2">
      <c r="B698" s="395" t="s">
        <v>1857</v>
      </c>
      <c r="C698" s="395" t="s">
        <v>1856</v>
      </c>
      <c r="D698" s="396" t="str">
        <f t="shared" si="25"/>
        <v>555</v>
      </c>
      <c r="E698" s="397">
        <v>1736426</v>
      </c>
      <c r="F698" s="397">
        <v>2056410.76</v>
      </c>
    </row>
    <row r="699" spans="2:6" outlineLevel="2">
      <c r="B699" s="395" t="s">
        <v>1855</v>
      </c>
      <c r="C699" s="395" t="s">
        <v>1854</v>
      </c>
      <c r="D699" s="396" t="str">
        <f t="shared" si="25"/>
        <v>555</v>
      </c>
      <c r="E699" s="397">
        <v>400610</v>
      </c>
      <c r="F699" s="397">
        <v>911871.68</v>
      </c>
    </row>
    <row r="700" spans="2:6" outlineLevel="2">
      <c r="B700" s="395" t="s">
        <v>1853</v>
      </c>
      <c r="C700" s="395" t="s">
        <v>1852</v>
      </c>
      <c r="D700" s="396" t="str">
        <f t="shared" si="25"/>
        <v>555</v>
      </c>
      <c r="E700" s="397">
        <v>0</v>
      </c>
      <c r="F700" s="397">
        <v>0</v>
      </c>
    </row>
    <row r="701" spans="2:6" outlineLevel="2">
      <c r="B701" s="395" t="s">
        <v>1851</v>
      </c>
      <c r="C701" s="395" t="s">
        <v>1850</v>
      </c>
      <c r="D701" s="396" t="str">
        <f t="shared" si="25"/>
        <v>555</v>
      </c>
      <c r="E701" s="397">
        <v>5160145.5</v>
      </c>
      <c r="F701" s="397">
        <v>6464084.75</v>
      </c>
    </row>
    <row r="702" spans="2:6" outlineLevel="2">
      <c r="B702" s="395" t="s">
        <v>1849</v>
      </c>
      <c r="C702" s="395" t="s">
        <v>1848</v>
      </c>
      <c r="D702" s="396" t="str">
        <f t="shared" si="25"/>
        <v>555</v>
      </c>
      <c r="E702" s="397">
        <v>5832.23</v>
      </c>
      <c r="F702" s="397">
        <v>6678.89</v>
      </c>
    </row>
    <row r="703" spans="2:6" outlineLevel="2">
      <c r="B703" s="395" t="s">
        <v>1847</v>
      </c>
      <c r="C703" s="395" t="s">
        <v>1846</v>
      </c>
      <c r="D703" s="396" t="str">
        <f t="shared" si="25"/>
        <v>555</v>
      </c>
      <c r="E703" s="397">
        <v>9314946.8699999992</v>
      </c>
      <c r="F703" s="397">
        <v>7835666.2800000003</v>
      </c>
    </row>
    <row r="704" spans="2:6" outlineLevel="2">
      <c r="B704" s="395" t="s">
        <v>3277</v>
      </c>
      <c r="C704" s="395" t="s">
        <v>3278</v>
      </c>
      <c r="D704" s="396" t="str">
        <f t="shared" ref="D704:D718" si="26">RIGHT(C704,3)</f>
        <v>555</v>
      </c>
      <c r="E704" s="397">
        <v>248746.75</v>
      </c>
      <c r="F704" s="397">
        <v>0</v>
      </c>
    </row>
    <row r="705" spans="2:6" outlineLevel="2">
      <c r="B705" s="395" t="s">
        <v>3279</v>
      </c>
      <c r="C705" s="395" t="s">
        <v>3280</v>
      </c>
      <c r="D705" s="396" t="str">
        <f t="shared" si="26"/>
        <v>555</v>
      </c>
      <c r="E705" s="397">
        <v>263923.69</v>
      </c>
      <c r="F705" s="397">
        <v>0</v>
      </c>
    </row>
    <row r="706" spans="2:6" outlineLevel="2">
      <c r="B706" s="395" t="s">
        <v>1845</v>
      </c>
      <c r="C706" s="395" t="s">
        <v>1844</v>
      </c>
      <c r="D706" s="396" t="str">
        <f t="shared" si="26"/>
        <v>555</v>
      </c>
      <c r="E706" s="397">
        <v>2376400</v>
      </c>
      <c r="F706" s="397">
        <v>2790100</v>
      </c>
    </row>
    <row r="707" spans="2:6" outlineLevel="2">
      <c r="B707" s="395" t="s">
        <v>3281</v>
      </c>
      <c r="C707" s="395" t="s">
        <v>3282</v>
      </c>
      <c r="D707" s="396" t="str">
        <f t="shared" si="26"/>
        <v>555</v>
      </c>
      <c r="E707" s="397">
        <v>0</v>
      </c>
      <c r="F707" s="397">
        <v>0</v>
      </c>
    </row>
    <row r="708" spans="2:6" outlineLevel="2">
      <c r="B708" s="395" t="s">
        <v>3283</v>
      </c>
      <c r="C708" s="395" t="s">
        <v>3284</v>
      </c>
      <c r="D708" s="396" t="str">
        <f t="shared" si="26"/>
        <v>555</v>
      </c>
      <c r="E708" s="397">
        <v>216.56</v>
      </c>
      <c r="F708" s="397">
        <v>0</v>
      </c>
    </row>
    <row r="709" spans="2:6" outlineLevel="2">
      <c r="B709" s="395" t="s">
        <v>3285</v>
      </c>
      <c r="C709" s="395" t="s">
        <v>3286</v>
      </c>
      <c r="D709" s="396" t="str">
        <f t="shared" si="26"/>
        <v>555</v>
      </c>
      <c r="E709" s="397">
        <v>0</v>
      </c>
      <c r="F709" s="397">
        <v>0</v>
      </c>
    </row>
    <row r="710" spans="2:6" outlineLevel="2">
      <c r="B710" s="395" t="s">
        <v>3287</v>
      </c>
      <c r="C710" s="395" t="s">
        <v>3288</v>
      </c>
      <c r="D710" s="396" t="str">
        <f t="shared" si="26"/>
        <v>555</v>
      </c>
      <c r="E710" s="397">
        <v>455.22</v>
      </c>
      <c r="F710" s="397">
        <v>0</v>
      </c>
    </row>
    <row r="711" spans="2:6" outlineLevel="2">
      <c r="B711" s="395" t="s">
        <v>3289</v>
      </c>
      <c r="C711" s="395" t="s">
        <v>3290</v>
      </c>
      <c r="D711" s="396" t="str">
        <f t="shared" si="26"/>
        <v>555</v>
      </c>
      <c r="E711" s="397">
        <v>0</v>
      </c>
      <c r="F711" s="397">
        <v>0</v>
      </c>
    </row>
    <row r="712" spans="2:6" outlineLevel="2">
      <c r="B712" s="395" t="s">
        <v>3291</v>
      </c>
      <c r="C712" s="395" t="s">
        <v>3292</v>
      </c>
      <c r="D712" s="396" t="str">
        <f t="shared" si="26"/>
        <v>555</v>
      </c>
      <c r="E712" s="397">
        <v>767.86</v>
      </c>
      <c r="F712" s="397">
        <v>0</v>
      </c>
    </row>
    <row r="713" spans="2:6" outlineLevel="2">
      <c r="B713" s="395" t="s">
        <v>3293</v>
      </c>
      <c r="C713" s="395" t="s">
        <v>3294</v>
      </c>
      <c r="D713" s="396" t="str">
        <f t="shared" si="26"/>
        <v>555</v>
      </c>
      <c r="E713" s="397">
        <v>0</v>
      </c>
      <c r="F713" s="397">
        <v>0</v>
      </c>
    </row>
    <row r="714" spans="2:6" outlineLevel="2">
      <c r="B714" s="395" t="s">
        <v>3295</v>
      </c>
      <c r="C714" s="395" t="s">
        <v>3296</v>
      </c>
      <c r="D714" s="396" t="str">
        <f t="shared" si="26"/>
        <v>555</v>
      </c>
      <c r="E714" s="397">
        <v>777.56</v>
      </c>
      <c r="F714" s="397">
        <v>0</v>
      </c>
    </row>
    <row r="715" spans="2:6" outlineLevel="2">
      <c r="B715" s="395" t="s">
        <v>3297</v>
      </c>
      <c r="C715" s="395" t="s">
        <v>3298</v>
      </c>
      <c r="D715" s="396" t="str">
        <f t="shared" si="26"/>
        <v>555</v>
      </c>
      <c r="E715" s="397">
        <v>0</v>
      </c>
      <c r="F715" s="397">
        <v>0</v>
      </c>
    </row>
    <row r="716" spans="2:6" outlineLevel="2">
      <c r="B716" s="395" t="s">
        <v>3299</v>
      </c>
      <c r="C716" s="395" t="s">
        <v>3300</v>
      </c>
      <c r="D716" s="396" t="str">
        <f t="shared" si="26"/>
        <v>555</v>
      </c>
      <c r="E716" s="397">
        <v>0</v>
      </c>
      <c r="F716" s="397">
        <v>0</v>
      </c>
    </row>
    <row r="717" spans="2:6" outlineLevel="2">
      <c r="B717" s="395" t="s">
        <v>3301</v>
      </c>
      <c r="C717" s="395" t="s">
        <v>3302</v>
      </c>
      <c r="D717" s="396" t="str">
        <f t="shared" si="26"/>
        <v>555</v>
      </c>
      <c r="E717" s="397">
        <v>740.41</v>
      </c>
      <c r="F717" s="397">
        <v>0</v>
      </c>
    </row>
    <row r="718" spans="2:6" outlineLevel="2">
      <c r="B718" s="395" t="s">
        <v>3303</v>
      </c>
      <c r="C718" s="395" t="s">
        <v>3304</v>
      </c>
      <c r="D718" s="396" t="str">
        <f t="shared" si="26"/>
        <v>555</v>
      </c>
      <c r="E718" s="397">
        <v>0</v>
      </c>
      <c r="F718" s="397">
        <v>0</v>
      </c>
    </row>
    <row r="719" spans="2:6" outlineLevel="2"/>
    <row r="720" spans="2:6" outlineLevel="1">
      <c r="E720" s="397">
        <v>139163335.50999999</v>
      </c>
      <c r="F720" s="397">
        <v>164401036.54999992</v>
      </c>
    </row>
    <row r="721" spans="2:6" outlineLevel="1">
      <c r="B721" s="395" t="s">
        <v>1843</v>
      </c>
      <c r="D721" s="396" t="str">
        <f t="shared" ref="D721:D764" si="27">RIGHT(C721,3)</f>
        <v/>
      </c>
    </row>
    <row r="722" spans="2:6" outlineLevel="2">
      <c r="B722" s="395" t="s">
        <v>1842</v>
      </c>
      <c r="C722" s="395" t="s">
        <v>1841</v>
      </c>
      <c r="D722" s="396" t="str">
        <f t="shared" si="27"/>
        <v>501</v>
      </c>
      <c r="E722" s="397">
        <v>17613016.280000001</v>
      </c>
      <c r="F722" s="397">
        <v>21090422.300000001</v>
      </c>
    </row>
    <row r="723" spans="2:6" outlineLevel="2">
      <c r="B723" s="395" t="s">
        <v>1840</v>
      </c>
      <c r="C723" s="395" t="s">
        <v>1839</v>
      </c>
      <c r="D723" s="396" t="str">
        <f t="shared" si="27"/>
        <v>501</v>
      </c>
      <c r="E723" s="397">
        <v>227503.23</v>
      </c>
      <c r="F723" s="397">
        <v>205326.33</v>
      </c>
    </row>
    <row r="724" spans="2:6" outlineLevel="2">
      <c r="B724" s="395" t="s">
        <v>1838</v>
      </c>
      <c r="C724" s="395" t="s">
        <v>1837</v>
      </c>
      <c r="D724" s="396" t="str">
        <f t="shared" si="27"/>
        <v>501</v>
      </c>
      <c r="E724" s="397">
        <v>209075.25</v>
      </c>
      <c r="F724" s="397">
        <v>204802.98</v>
      </c>
    </row>
    <row r="725" spans="2:6" outlineLevel="2">
      <c r="B725" s="395" t="s">
        <v>1836</v>
      </c>
      <c r="C725" s="395" t="s">
        <v>1835</v>
      </c>
      <c r="D725" s="396" t="str">
        <f t="shared" si="27"/>
        <v>501</v>
      </c>
      <c r="E725" s="397">
        <v>9263409.4399999995</v>
      </c>
      <c r="F725" s="397">
        <v>11901234.609999999</v>
      </c>
    </row>
    <row r="726" spans="2:6" outlineLevel="2">
      <c r="B726" s="395" t="s">
        <v>1834</v>
      </c>
      <c r="C726" s="395" t="s">
        <v>1833</v>
      </c>
      <c r="D726" s="396" t="str">
        <f t="shared" si="27"/>
        <v>501</v>
      </c>
      <c r="E726" s="397">
        <v>41374.99</v>
      </c>
      <c r="F726" s="397">
        <v>69747.69</v>
      </c>
    </row>
    <row r="727" spans="2:6" outlineLevel="2">
      <c r="B727" s="395" t="s">
        <v>3305</v>
      </c>
      <c r="C727" s="395" t="s">
        <v>3306</v>
      </c>
      <c r="D727" s="396" t="str">
        <f t="shared" si="27"/>
        <v>501</v>
      </c>
      <c r="E727" s="397">
        <v>0</v>
      </c>
      <c r="F727" s="397">
        <v>0</v>
      </c>
    </row>
    <row r="728" spans="2:6" outlineLevel="2">
      <c r="B728" s="395" t="s">
        <v>1832</v>
      </c>
      <c r="C728" s="395" t="s">
        <v>1831</v>
      </c>
      <c r="D728" s="396" t="str">
        <f t="shared" si="27"/>
        <v>501</v>
      </c>
      <c r="E728" s="397">
        <v>12742795.91</v>
      </c>
      <c r="F728" s="397">
        <v>11131201.01</v>
      </c>
    </row>
    <row r="729" spans="2:6" outlineLevel="2">
      <c r="B729" s="395" t="s">
        <v>1830</v>
      </c>
      <c r="C729" s="395" t="s">
        <v>1829</v>
      </c>
      <c r="D729" s="396" t="str">
        <f t="shared" si="27"/>
        <v>501</v>
      </c>
      <c r="E729" s="397">
        <v>30242.84</v>
      </c>
      <c r="F729" s="397">
        <v>245514.54</v>
      </c>
    </row>
    <row r="730" spans="2:6" outlineLevel="2">
      <c r="B730" s="395" t="s">
        <v>3307</v>
      </c>
      <c r="C730" s="395" t="s">
        <v>3308</v>
      </c>
      <c r="D730" s="396" t="str">
        <f t="shared" si="27"/>
        <v>501</v>
      </c>
      <c r="E730" s="397">
        <v>0</v>
      </c>
      <c r="F730" s="397">
        <v>0</v>
      </c>
    </row>
    <row r="731" spans="2:6" outlineLevel="2">
      <c r="B731" s="395" t="s">
        <v>1828</v>
      </c>
      <c r="C731" s="395" t="s">
        <v>1827</v>
      </c>
      <c r="D731" s="396" t="str">
        <f t="shared" si="27"/>
        <v>547</v>
      </c>
      <c r="E731" s="397">
        <v>47816.800000000003</v>
      </c>
      <c r="F731" s="397">
        <v>74348.69</v>
      </c>
    </row>
    <row r="732" spans="2:6" outlineLevel="2">
      <c r="B732" s="395" t="s">
        <v>1826</v>
      </c>
      <c r="C732" s="395" t="s">
        <v>1825</v>
      </c>
      <c r="D732" s="396" t="str">
        <f t="shared" si="27"/>
        <v>547</v>
      </c>
      <c r="E732" s="397">
        <v>0</v>
      </c>
      <c r="F732" s="397">
        <v>0</v>
      </c>
    </row>
    <row r="733" spans="2:6" outlineLevel="2">
      <c r="B733" s="395" t="s">
        <v>1824</v>
      </c>
      <c r="C733" s="395" t="s">
        <v>1823</v>
      </c>
      <c r="D733" s="396" t="str">
        <f t="shared" si="27"/>
        <v>547</v>
      </c>
      <c r="E733" s="397">
        <v>84049.21</v>
      </c>
      <c r="F733" s="397">
        <v>86165.9</v>
      </c>
    </row>
    <row r="734" spans="2:6" outlineLevel="2">
      <c r="B734" s="395" t="s">
        <v>1822</v>
      </c>
      <c r="C734" s="395" t="s">
        <v>1821</v>
      </c>
      <c r="D734" s="396" t="str">
        <f t="shared" si="27"/>
        <v>547</v>
      </c>
      <c r="E734" s="397">
        <v>0</v>
      </c>
      <c r="F734" s="397">
        <v>0</v>
      </c>
    </row>
    <row r="735" spans="2:6" outlineLevel="2">
      <c r="B735" s="395" t="s">
        <v>1820</v>
      </c>
      <c r="C735" s="395" t="s">
        <v>1819</v>
      </c>
      <c r="D735" s="396" t="str">
        <f t="shared" si="27"/>
        <v>547</v>
      </c>
      <c r="E735" s="397">
        <v>3147100.67</v>
      </c>
      <c r="F735" s="397">
        <v>4452697.7699999996</v>
      </c>
    </row>
    <row r="736" spans="2:6" outlineLevel="2">
      <c r="B736" s="395" t="s">
        <v>1818</v>
      </c>
      <c r="C736" s="395" t="s">
        <v>1817</v>
      </c>
      <c r="D736" s="396" t="str">
        <f t="shared" si="27"/>
        <v>547</v>
      </c>
      <c r="E736" s="397">
        <v>337.33</v>
      </c>
      <c r="F736" s="397">
        <v>353.46</v>
      </c>
    </row>
    <row r="737" spans="2:6" outlineLevel="2">
      <c r="B737" s="395" t="s">
        <v>1816</v>
      </c>
      <c r="C737" s="395" t="s">
        <v>1815</v>
      </c>
      <c r="D737" s="396" t="str">
        <f t="shared" si="27"/>
        <v>547</v>
      </c>
      <c r="E737" s="397">
        <v>0</v>
      </c>
      <c r="F737" s="397">
        <v>0</v>
      </c>
    </row>
    <row r="738" spans="2:6" outlineLevel="2">
      <c r="B738" s="395" t="s">
        <v>1814</v>
      </c>
      <c r="C738" s="395" t="s">
        <v>1813</v>
      </c>
      <c r="D738" s="396" t="str">
        <f t="shared" si="27"/>
        <v>547</v>
      </c>
      <c r="E738" s="397">
        <v>59058.19</v>
      </c>
      <c r="F738" s="397">
        <v>71594.679999999993</v>
      </c>
    </row>
    <row r="739" spans="2:6" outlineLevel="2">
      <c r="B739" s="395" t="s">
        <v>1812</v>
      </c>
      <c r="C739" s="395" t="s">
        <v>1811</v>
      </c>
      <c r="D739" s="396" t="str">
        <f t="shared" si="27"/>
        <v>547</v>
      </c>
      <c r="E739" s="397">
        <v>0</v>
      </c>
      <c r="F739" s="397">
        <v>0</v>
      </c>
    </row>
    <row r="740" spans="2:6" outlineLevel="2">
      <c r="B740" s="395" t="s">
        <v>1810</v>
      </c>
      <c r="C740" s="395" t="s">
        <v>1809</v>
      </c>
      <c r="D740" s="396" t="str">
        <f t="shared" si="27"/>
        <v>547</v>
      </c>
      <c r="E740" s="397">
        <v>13200</v>
      </c>
      <c r="F740" s="397">
        <v>12103.54</v>
      </c>
    </row>
    <row r="741" spans="2:6" outlineLevel="2">
      <c r="B741" s="395" t="s">
        <v>1808</v>
      </c>
      <c r="C741" s="395" t="s">
        <v>1807</v>
      </c>
      <c r="D741" s="396" t="str">
        <f t="shared" si="27"/>
        <v>547</v>
      </c>
      <c r="E741" s="397">
        <v>409293.12</v>
      </c>
      <c r="F741" s="397">
        <v>529353.77</v>
      </c>
    </row>
    <row r="742" spans="2:6" outlineLevel="2">
      <c r="B742" s="395" t="s">
        <v>1806</v>
      </c>
      <c r="C742" s="395" t="s">
        <v>1805</v>
      </c>
      <c r="D742" s="396" t="str">
        <f t="shared" si="27"/>
        <v>547</v>
      </c>
      <c r="E742" s="397">
        <v>788.95</v>
      </c>
      <c r="F742" s="397">
        <v>10877.81</v>
      </c>
    </row>
    <row r="743" spans="2:6" outlineLevel="2">
      <c r="B743" s="395" t="s">
        <v>1804</v>
      </c>
      <c r="C743" s="395" t="s">
        <v>1803</v>
      </c>
      <c r="D743" s="396" t="str">
        <f t="shared" si="27"/>
        <v>547</v>
      </c>
      <c r="E743" s="397">
        <v>0</v>
      </c>
      <c r="F743" s="397">
        <v>0</v>
      </c>
    </row>
    <row r="744" spans="2:6" outlineLevel="2">
      <c r="B744" s="395" t="s">
        <v>1802</v>
      </c>
      <c r="C744" s="395" t="s">
        <v>1801</v>
      </c>
      <c r="D744" s="396" t="str">
        <f t="shared" si="27"/>
        <v>547</v>
      </c>
      <c r="E744" s="397">
        <v>55418.879999999997</v>
      </c>
      <c r="F744" s="397">
        <v>23971.200000000001</v>
      </c>
    </row>
    <row r="745" spans="2:6" outlineLevel="2">
      <c r="B745" s="395" t="s">
        <v>1800</v>
      </c>
      <c r="C745" s="395" t="s">
        <v>1799</v>
      </c>
      <c r="D745" s="396" t="str">
        <f t="shared" si="27"/>
        <v>547</v>
      </c>
      <c r="E745" s="397">
        <v>0</v>
      </c>
      <c r="F745" s="397">
        <v>0</v>
      </c>
    </row>
    <row r="746" spans="2:6" outlineLevel="2">
      <c r="B746" s="395" t="s">
        <v>1798</v>
      </c>
      <c r="C746" s="395" t="s">
        <v>1797</v>
      </c>
      <c r="D746" s="396" t="str">
        <f t="shared" si="27"/>
        <v>547</v>
      </c>
      <c r="E746" s="397">
        <v>13200</v>
      </c>
      <c r="F746" s="397">
        <v>13200</v>
      </c>
    </row>
    <row r="747" spans="2:6" outlineLevel="2">
      <c r="B747" s="395" t="s">
        <v>1796</v>
      </c>
      <c r="C747" s="395" t="s">
        <v>1795</v>
      </c>
      <c r="D747" s="396" t="str">
        <f t="shared" si="27"/>
        <v>547</v>
      </c>
      <c r="E747" s="397">
        <v>358882.86</v>
      </c>
      <c r="F747" s="397">
        <v>58288.43</v>
      </c>
    </row>
    <row r="748" spans="2:6" outlineLevel="2">
      <c r="B748" s="395" t="s">
        <v>1794</v>
      </c>
      <c r="C748" s="395" t="s">
        <v>1793</v>
      </c>
      <c r="D748" s="396" t="str">
        <f t="shared" si="27"/>
        <v>501</v>
      </c>
      <c r="E748" s="397">
        <v>8522956.9499999993</v>
      </c>
      <c r="F748" s="397">
        <v>8266294.3700000001</v>
      </c>
    </row>
    <row r="749" spans="2:6" outlineLevel="2">
      <c r="B749" s="395" t="s">
        <v>1792</v>
      </c>
      <c r="C749" s="395" t="s">
        <v>1791</v>
      </c>
      <c r="D749" s="396" t="str">
        <f t="shared" si="27"/>
        <v>501</v>
      </c>
      <c r="E749" s="397">
        <v>121542.02</v>
      </c>
      <c r="F749" s="397">
        <v>78589.789999999994</v>
      </c>
    </row>
    <row r="750" spans="2:6" outlineLevel="2">
      <c r="B750" s="395" t="s">
        <v>1790</v>
      </c>
      <c r="C750" s="395" t="s">
        <v>1789</v>
      </c>
      <c r="D750" s="396" t="str">
        <f t="shared" si="27"/>
        <v>501</v>
      </c>
      <c r="E750" s="397">
        <v>9660887.4700000007</v>
      </c>
      <c r="F750" s="397">
        <v>7590766.46</v>
      </c>
    </row>
    <row r="751" spans="2:6" outlineLevel="2">
      <c r="B751" s="395" t="s">
        <v>1788</v>
      </c>
      <c r="C751" s="395" t="s">
        <v>1787</v>
      </c>
      <c r="D751" s="396" t="str">
        <f t="shared" si="27"/>
        <v>501</v>
      </c>
      <c r="E751" s="397">
        <v>136109.23000000001</v>
      </c>
      <c r="F751" s="397">
        <v>145087.67999999999</v>
      </c>
    </row>
    <row r="752" spans="2:6" outlineLevel="2">
      <c r="B752" s="395" t="s">
        <v>1786</v>
      </c>
      <c r="C752" s="395" t="s">
        <v>1785</v>
      </c>
      <c r="D752" s="396" t="str">
        <f t="shared" si="27"/>
        <v>501</v>
      </c>
      <c r="E752" s="397">
        <v>1507210.17</v>
      </c>
      <c r="F752" s="397">
        <v>2573460.19</v>
      </c>
    </row>
    <row r="753" spans="2:6" outlineLevel="2">
      <c r="B753" s="395" t="s">
        <v>1784</v>
      </c>
      <c r="C753" s="395" t="s">
        <v>1783</v>
      </c>
      <c r="D753" s="396" t="str">
        <f t="shared" si="27"/>
        <v>501</v>
      </c>
      <c r="E753" s="397">
        <v>82646.81</v>
      </c>
      <c r="F753" s="397">
        <v>134001.07999999999</v>
      </c>
    </row>
    <row r="754" spans="2:6" outlineLevel="2">
      <c r="B754" s="395" t="s">
        <v>1782</v>
      </c>
      <c r="C754" s="395" t="s">
        <v>1781</v>
      </c>
      <c r="D754" s="396" t="str">
        <f t="shared" si="27"/>
        <v>501</v>
      </c>
      <c r="E754" s="397">
        <v>61960.17</v>
      </c>
      <c r="F754" s="397">
        <v>17520.330000000002</v>
      </c>
    </row>
    <row r="755" spans="2:6" outlineLevel="2"/>
    <row r="756" spans="2:6" outlineLevel="1">
      <c r="E756" s="397">
        <v>64409876.770000011</v>
      </c>
      <c r="F756" s="397">
        <v>68986924.609999999</v>
      </c>
    </row>
    <row r="757" spans="2:6" outlineLevel="1">
      <c r="B757" s="395" t="s">
        <v>1780</v>
      </c>
      <c r="D757" s="396" t="str">
        <f t="shared" si="27"/>
        <v/>
      </c>
    </row>
    <row r="758" spans="2:6" outlineLevel="2">
      <c r="B758" s="395" t="s">
        <v>1779</v>
      </c>
      <c r="C758" s="395" t="s">
        <v>1778</v>
      </c>
      <c r="D758" s="396" t="str">
        <f t="shared" si="27"/>
        <v>557</v>
      </c>
      <c r="E758" s="397">
        <v>7000</v>
      </c>
      <c r="F758" s="397">
        <v>0</v>
      </c>
    </row>
    <row r="759" spans="2:6" outlineLevel="2">
      <c r="B759" s="395" t="s">
        <v>3309</v>
      </c>
      <c r="C759" s="395" t="s">
        <v>3310</v>
      </c>
      <c r="D759" s="396" t="str">
        <f t="shared" si="27"/>
        <v>506</v>
      </c>
      <c r="E759" s="397">
        <v>86967.52</v>
      </c>
      <c r="F759" s="397">
        <v>0</v>
      </c>
    </row>
    <row r="760" spans="2:6" outlineLevel="2">
      <c r="B760" s="395" t="s">
        <v>1777</v>
      </c>
      <c r="C760" s="395" t="s">
        <v>1776</v>
      </c>
      <c r="D760" s="396" t="str">
        <f t="shared" si="27"/>
        <v>556</v>
      </c>
      <c r="E760" s="397">
        <v>454130.99</v>
      </c>
      <c r="F760" s="397">
        <v>430097.17</v>
      </c>
    </row>
    <row r="761" spans="2:6" outlineLevel="2">
      <c r="B761" s="395" t="s">
        <v>1775</v>
      </c>
      <c r="C761" s="395" t="s">
        <v>1774</v>
      </c>
      <c r="D761" s="396" t="str">
        <f t="shared" si="27"/>
        <v>502</v>
      </c>
      <c r="E761" s="397">
        <v>41242.35</v>
      </c>
      <c r="F761" s="397">
        <v>30938</v>
      </c>
    </row>
    <row r="762" spans="2:6" outlineLevel="2">
      <c r="B762" s="395" t="s">
        <v>3311</v>
      </c>
      <c r="C762" s="395" t="s">
        <v>3312</v>
      </c>
      <c r="D762" s="396" t="str">
        <f t="shared" si="27"/>
        <v>506</v>
      </c>
      <c r="E762" s="397">
        <v>41802.93</v>
      </c>
      <c r="F762" s="397">
        <v>0</v>
      </c>
    </row>
    <row r="763" spans="2:6" outlineLevel="2">
      <c r="B763" s="395" t="s">
        <v>1773</v>
      </c>
      <c r="C763" s="395" t="s">
        <v>1772</v>
      </c>
      <c r="D763" s="396" t="str">
        <f t="shared" si="27"/>
        <v>557</v>
      </c>
      <c r="E763" s="397">
        <v>0</v>
      </c>
      <c r="F763" s="397">
        <v>0</v>
      </c>
    </row>
    <row r="764" spans="2:6" outlineLevel="2">
      <c r="B764" s="395" t="s">
        <v>1771</v>
      </c>
      <c r="C764" s="395" t="s">
        <v>1770</v>
      </c>
      <c r="D764" s="396" t="str">
        <f t="shared" si="27"/>
        <v>557</v>
      </c>
      <c r="E764" s="397">
        <v>0</v>
      </c>
      <c r="F764" s="397">
        <v>0</v>
      </c>
    </row>
    <row r="765" spans="2:6" outlineLevel="2">
      <c r="B765" s="395" t="s">
        <v>1769</v>
      </c>
      <c r="C765" s="395" t="s">
        <v>1768</v>
      </c>
      <c r="D765" s="396" t="str">
        <f t="shared" ref="D765:D828" si="28">RIGHT(C765,3)</f>
        <v>411</v>
      </c>
      <c r="E765" s="397">
        <v>-61612.05</v>
      </c>
      <c r="F765" s="397">
        <v>99511.34</v>
      </c>
    </row>
    <row r="766" spans="2:6" outlineLevel="2">
      <c r="B766" s="395" t="s">
        <v>1767</v>
      </c>
      <c r="C766" s="395" t="s">
        <v>1766</v>
      </c>
      <c r="D766" s="396" t="str">
        <f t="shared" si="28"/>
        <v>500</v>
      </c>
      <c r="E766" s="397">
        <v>386572.28</v>
      </c>
      <c r="F766" s="397">
        <v>-355968</v>
      </c>
    </row>
    <row r="767" spans="2:6" outlineLevel="2">
      <c r="B767" s="395" t="s">
        <v>1765</v>
      </c>
      <c r="C767" s="395" t="s">
        <v>1764</v>
      </c>
      <c r="D767" s="396" t="str">
        <f t="shared" si="28"/>
        <v>500</v>
      </c>
      <c r="E767" s="397">
        <v>312261.82</v>
      </c>
      <c r="F767" s="397">
        <v>377273.62</v>
      </c>
    </row>
    <row r="768" spans="2:6" outlineLevel="2">
      <c r="B768" s="395" t="s">
        <v>1763</v>
      </c>
      <c r="C768" s="395" t="s">
        <v>1762</v>
      </c>
      <c r="D768" s="396" t="str">
        <f t="shared" si="28"/>
        <v>500</v>
      </c>
      <c r="E768" s="397">
        <v>604783.69999999995</v>
      </c>
      <c r="F768" s="397">
        <v>412992.96</v>
      </c>
    </row>
    <row r="769" spans="2:6" outlineLevel="2">
      <c r="B769" s="395" t="s">
        <v>1761</v>
      </c>
      <c r="C769" s="395" t="s">
        <v>1760</v>
      </c>
      <c r="D769" s="396" t="str">
        <f t="shared" si="28"/>
        <v>500</v>
      </c>
      <c r="E769" s="397">
        <v>35480.239999999998</v>
      </c>
      <c r="F769" s="397">
        <v>45591.4</v>
      </c>
    </row>
    <row r="770" spans="2:6" outlineLevel="2">
      <c r="B770" s="395" t="s">
        <v>1759</v>
      </c>
      <c r="C770" s="395" t="s">
        <v>1758</v>
      </c>
      <c r="D770" s="396" t="str">
        <f t="shared" si="28"/>
        <v>502</v>
      </c>
      <c r="E770" s="397">
        <v>369909.93</v>
      </c>
      <c r="F770" s="397">
        <v>315316.65999999997</v>
      </c>
    </row>
    <row r="771" spans="2:6" outlineLevel="2">
      <c r="B771" s="395" t="s">
        <v>3313</v>
      </c>
      <c r="C771" s="395" t="s">
        <v>3314</v>
      </c>
      <c r="D771" s="396" t="str">
        <f t="shared" si="28"/>
        <v>502</v>
      </c>
      <c r="E771" s="397">
        <v>0</v>
      </c>
      <c r="F771" s="397">
        <v>0</v>
      </c>
    </row>
    <row r="772" spans="2:6" outlineLevel="2">
      <c r="B772" s="395" t="s">
        <v>1757</v>
      </c>
      <c r="C772" s="395" t="s">
        <v>1756</v>
      </c>
      <c r="D772" s="396" t="str">
        <f t="shared" si="28"/>
        <v>505</v>
      </c>
      <c r="E772" s="397">
        <v>193215.95</v>
      </c>
      <c r="F772" s="397">
        <v>187024.07</v>
      </c>
    </row>
    <row r="773" spans="2:6" outlineLevel="2">
      <c r="B773" s="395" t="s">
        <v>1755</v>
      </c>
      <c r="C773" s="395" t="s">
        <v>1754</v>
      </c>
      <c r="D773" s="396" t="str">
        <f t="shared" si="28"/>
        <v>506</v>
      </c>
      <c r="E773" s="397">
        <v>0</v>
      </c>
      <c r="F773" s="397">
        <v>0</v>
      </c>
    </row>
    <row r="774" spans="2:6" outlineLevel="2">
      <c r="B774" s="395" t="s">
        <v>1753</v>
      </c>
      <c r="C774" s="395" t="s">
        <v>1752</v>
      </c>
      <c r="D774" s="396" t="str">
        <f t="shared" si="28"/>
        <v>506</v>
      </c>
      <c r="E774" s="397">
        <v>493500.22</v>
      </c>
      <c r="F774" s="397">
        <v>457858.39</v>
      </c>
    </row>
    <row r="775" spans="2:6" outlineLevel="2">
      <c r="B775" s="395" t="s">
        <v>1751</v>
      </c>
      <c r="C775" s="395" t="s">
        <v>1750</v>
      </c>
      <c r="D775" s="396" t="str">
        <f t="shared" si="28"/>
        <v>506</v>
      </c>
      <c r="E775" s="397">
        <v>1512.83</v>
      </c>
      <c r="F775" s="397">
        <v>380.92</v>
      </c>
    </row>
    <row r="776" spans="2:6" outlineLevel="2">
      <c r="B776" s="395" t="s">
        <v>1749</v>
      </c>
      <c r="C776" s="395" t="s">
        <v>1748</v>
      </c>
      <c r="D776" s="396" t="str">
        <f t="shared" si="28"/>
        <v>506</v>
      </c>
      <c r="E776" s="397">
        <v>-72762.89</v>
      </c>
      <c r="F776" s="397">
        <v>-122175.94</v>
      </c>
    </row>
    <row r="777" spans="2:6" outlineLevel="2">
      <c r="B777" s="395" t="s">
        <v>1747</v>
      </c>
      <c r="C777" s="395" t="s">
        <v>1746</v>
      </c>
      <c r="D777" s="396" t="str">
        <f t="shared" si="28"/>
        <v>506</v>
      </c>
      <c r="E777" s="397">
        <v>-46480.72</v>
      </c>
      <c r="F777" s="397">
        <v>1533136.87</v>
      </c>
    </row>
    <row r="778" spans="2:6" outlineLevel="2">
      <c r="B778" s="395" t="s">
        <v>1745</v>
      </c>
      <c r="C778" s="395" t="s">
        <v>1744</v>
      </c>
      <c r="D778" s="396" t="str">
        <f t="shared" si="28"/>
        <v>507</v>
      </c>
      <c r="E778" s="397">
        <v>649614.19999999995</v>
      </c>
      <c r="F778" s="397">
        <v>624840.26</v>
      </c>
    </row>
    <row r="779" spans="2:6" outlineLevel="2">
      <c r="B779" s="395" t="s">
        <v>1743</v>
      </c>
      <c r="C779" s="395" t="s">
        <v>1742</v>
      </c>
      <c r="D779" s="396" t="str">
        <f t="shared" si="28"/>
        <v>556</v>
      </c>
      <c r="E779" s="397">
        <v>248.52</v>
      </c>
      <c r="F779" s="397">
        <v>248.52</v>
      </c>
    </row>
    <row r="780" spans="2:6" outlineLevel="2">
      <c r="B780" s="395" t="s">
        <v>1741</v>
      </c>
      <c r="C780" s="395" t="s">
        <v>1740</v>
      </c>
      <c r="D780" s="396" t="str">
        <f t="shared" si="28"/>
        <v>502</v>
      </c>
      <c r="E780" s="397">
        <v>1557361.61</v>
      </c>
      <c r="F780" s="397">
        <v>1918556.05</v>
      </c>
    </row>
    <row r="781" spans="2:6" outlineLevel="2">
      <c r="B781" s="395" t="s">
        <v>1739</v>
      </c>
      <c r="C781" s="395" t="s">
        <v>1738</v>
      </c>
      <c r="D781" s="396" t="str">
        <f t="shared" si="28"/>
        <v>509</v>
      </c>
      <c r="E781" s="397">
        <v>0</v>
      </c>
      <c r="F781" s="397">
        <v>0</v>
      </c>
    </row>
    <row r="782" spans="2:6" outlineLevel="2">
      <c r="B782" s="395" t="s">
        <v>1737</v>
      </c>
      <c r="C782" s="395" t="s">
        <v>1736</v>
      </c>
      <c r="D782" s="396" t="str">
        <f t="shared" si="28"/>
        <v>506</v>
      </c>
      <c r="E782" s="397">
        <v>46480.72</v>
      </c>
      <c r="F782" s="397">
        <v>-1533136.87</v>
      </c>
    </row>
    <row r="783" spans="2:6" outlineLevel="2">
      <c r="B783" s="395" t="s">
        <v>3315</v>
      </c>
      <c r="C783" s="395" t="s">
        <v>3316</v>
      </c>
      <c r="D783" s="396" t="str">
        <f t="shared" si="28"/>
        <v>506</v>
      </c>
      <c r="E783" s="397">
        <v>8741.7800000000007</v>
      </c>
      <c r="F783" s="397">
        <v>0</v>
      </c>
    </row>
    <row r="784" spans="2:6" outlineLevel="2">
      <c r="B784" s="395" t="s">
        <v>1735</v>
      </c>
      <c r="C784" s="395" t="s">
        <v>1734</v>
      </c>
      <c r="D784" s="396" t="str">
        <f t="shared" si="28"/>
        <v>411</v>
      </c>
      <c r="E784" s="397">
        <v>150756.18</v>
      </c>
      <c r="F784" s="397">
        <v>272269.43</v>
      </c>
    </row>
    <row r="785" spans="2:6" outlineLevel="2">
      <c r="B785" s="395" t="s">
        <v>1733</v>
      </c>
      <c r="C785" s="395" t="s">
        <v>1732</v>
      </c>
      <c r="D785" s="396" t="str">
        <f t="shared" si="28"/>
        <v>500</v>
      </c>
      <c r="E785" s="397">
        <v>238638.44</v>
      </c>
      <c r="F785" s="397">
        <v>255445.83</v>
      </c>
    </row>
    <row r="786" spans="2:6" outlineLevel="2">
      <c r="B786" s="395" t="s">
        <v>1731</v>
      </c>
      <c r="C786" s="395" t="s">
        <v>1730</v>
      </c>
      <c r="D786" s="396" t="str">
        <f t="shared" si="28"/>
        <v>500</v>
      </c>
      <c r="E786" s="397">
        <v>1005897.24</v>
      </c>
      <c r="F786" s="397">
        <v>1083562.1499999999</v>
      </c>
    </row>
    <row r="787" spans="2:6" outlineLevel="2">
      <c r="B787" s="395" t="s">
        <v>1729</v>
      </c>
      <c r="C787" s="395" t="s">
        <v>1728</v>
      </c>
      <c r="D787" s="396" t="str">
        <f t="shared" si="28"/>
        <v>500</v>
      </c>
      <c r="E787" s="397">
        <v>47398.3</v>
      </c>
      <c r="F787" s="397">
        <v>34904.839999999997</v>
      </c>
    </row>
    <row r="788" spans="2:6" outlineLevel="2">
      <c r="B788" s="395" t="s">
        <v>1727</v>
      </c>
      <c r="C788" s="395" t="s">
        <v>1726</v>
      </c>
      <c r="D788" s="396" t="str">
        <f t="shared" si="28"/>
        <v>502</v>
      </c>
      <c r="E788" s="397">
        <v>192007.04000000001</v>
      </c>
      <c r="F788" s="397">
        <v>199661.54</v>
      </c>
    </row>
    <row r="789" spans="2:6" outlineLevel="2">
      <c r="B789" s="395" t="s">
        <v>3317</v>
      </c>
      <c r="C789" s="395" t="s">
        <v>3318</v>
      </c>
      <c r="D789" s="396" t="str">
        <f t="shared" si="28"/>
        <v>502</v>
      </c>
      <c r="E789" s="397">
        <v>0</v>
      </c>
      <c r="F789" s="397">
        <v>0</v>
      </c>
    </row>
    <row r="790" spans="2:6" outlineLevel="2">
      <c r="B790" s="395" t="s">
        <v>1725</v>
      </c>
      <c r="C790" s="395" t="s">
        <v>1724</v>
      </c>
      <c r="D790" s="396" t="str">
        <f t="shared" si="28"/>
        <v>505</v>
      </c>
      <c r="E790" s="397">
        <v>107332.85</v>
      </c>
      <c r="F790" s="397">
        <v>102624.14</v>
      </c>
    </row>
    <row r="791" spans="2:6" outlineLevel="2">
      <c r="B791" s="395" t="s">
        <v>1723</v>
      </c>
      <c r="C791" s="395" t="s">
        <v>1722</v>
      </c>
      <c r="D791" s="396" t="str">
        <f t="shared" si="28"/>
        <v>506</v>
      </c>
      <c r="E791" s="397">
        <v>249352.25</v>
      </c>
      <c r="F791" s="397">
        <v>218249.95</v>
      </c>
    </row>
    <row r="792" spans="2:6" outlineLevel="2">
      <c r="B792" s="395" t="s">
        <v>1721</v>
      </c>
      <c r="C792" s="395" t="s">
        <v>1720</v>
      </c>
      <c r="D792" s="396" t="str">
        <f t="shared" si="28"/>
        <v>506</v>
      </c>
      <c r="E792" s="397">
        <v>165.64</v>
      </c>
      <c r="F792" s="397">
        <v>203.53</v>
      </c>
    </row>
    <row r="793" spans="2:6" outlineLevel="2">
      <c r="B793" s="395" t="s">
        <v>1719</v>
      </c>
      <c r="C793" s="395" t="s">
        <v>1718</v>
      </c>
      <c r="D793" s="396" t="str">
        <f t="shared" si="28"/>
        <v>506</v>
      </c>
      <c r="E793" s="397">
        <v>215827.79</v>
      </c>
      <c r="F793" s="397">
        <v>254365.13</v>
      </c>
    </row>
    <row r="794" spans="2:6" outlineLevel="2">
      <c r="B794" s="395" t="s">
        <v>1717</v>
      </c>
      <c r="C794" s="395" t="s">
        <v>1716</v>
      </c>
      <c r="D794" s="396" t="str">
        <f t="shared" si="28"/>
        <v>502</v>
      </c>
      <c r="E794" s="397">
        <v>157822.43</v>
      </c>
      <c r="F794" s="397">
        <v>199359.76</v>
      </c>
    </row>
    <row r="795" spans="2:6" outlineLevel="2">
      <c r="B795" s="395" t="s">
        <v>1715</v>
      </c>
      <c r="C795" s="395" t="s">
        <v>1714</v>
      </c>
      <c r="D795" s="396" t="str">
        <f t="shared" si="28"/>
        <v>502</v>
      </c>
      <c r="E795" s="397">
        <v>268003.37</v>
      </c>
      <c r="F795" s="397">
        <v>322847.48</v>
      </c>
    </row>
    <row r="796" spans="2:6" outlineLevel="2">
      <c r="B796" s="395" t="s">
        <v>3319</v>
      </c>
      <c r="C796" s="395" t="s">
        <v>3320</v>
      </c>
      <c r="D796" s="396" t="str">
        <f t="shared" si="28"/>
        <v>506</v>
      </c>
      <c r="E796" s="397">
        <v>8786.2000000000007</v>
      </c>
      <c r="F796" s="397">
        <v>0</v>
      </c>
    </row>
    <row r="797" spans="2:6" outlineLevel="2">
      <c r="B797" s="395" t="s">
        <v>1713</v>
      </c>
      <c r="C797" s="395" t="s">
        <v>1712</v>
      </c>
      <c r="D797" s="396" t="str">
        <f t="shared" si="28"/>
        <v>411</v>
      </c>
      <c r="E797" s="397">
        <v>223248.26</v>
      </c>
      <c r="F797" s="397">
        <v>403169.49</v>
      </c>
    </row>
    <row r="798" spans="2:6" outlineLevel="2">
      <c r="B798" s="395" t="s">
        <v>1711</v>
      </c>
      <c r="C798" s="395" t="s">
        <v>1710</v>
      </c>
      <c r="D798" s="396" t="str">
        <f t="shared" si="28"/>
        <v>500</v>
      </c>
      <c r="E798" s="397">
        <v>353387.68</v>
      </c>
      <c r="F798" s="397">
        <v>378195.57</v>
      </c>
    </row>
    <row r="799" spans="2:6" outlineLevel="2">
      <c r="B799" s="395" t="s">
        <v>1709</v>
      </c>
      <c r="C799" s="395" t="s">
        <v>1708</v>
      </c>
      <c r="D799" s="396" t="str">
        <f t="shared" si="28"/>
        <v>500</v>
      </c>
      <c r="E799" s="397">
        <v>1431968.54</v>
      </c>
      <c r="F799" s="397">
        <v>1542385.5</v>
      </c>
    </row>
    <row r="800" spans="2:6" outlineLevel="2">
      <c r="B800" s="395" t="s">
        <v>1707</v>
      </c>
      <c r="C800" s="395" t="s">
        <v>1706</v>
      </c>
      <c r="D800" s="396" t="str">
        <f t="shared" si="28"/>
        <v>500</v>
      </c>
      <c r="E800" s="397">
        <v>29658.34</v>
      </c>
      <c r="F800" s="397">
        <v>34902.410000000003</v>
      </c>
    </row>
    <row r="801" spans="2:6" outlineLevel="2">
      <c r="B801" s="395" t="s">
        <v>1705</v>
      </c>
      <c r="C801" s="395" t="s">
        <v>1704</v>
      </c>
      <c r="D801" s="396" t="str">
        <f t="shared" si="28"/>
        <v>502</v>
      </c>
      <c r="E801" s="397">
        <v>277880.65000000002</v>
      </c>
      <c r="F801" s="397">
        <v>300603.46000000002</v>
      </c>
    </row>
    <row r="802" spans="2:6" outlineLevel="2">
      <c r="B802" s="395" t="s">
        <v>3321</v>
      </c>
      <c r="C802" s="395" t="s">
        <v>3322</v>
      </c>
      <c r="D802" s="396" t="str">
        <f t="shared" si="28"/>
        <v>502</v>
      </c>
      <c r="E802" s="397">
        <v>0</v>
      </c>
      <c r="F802" s="397">
        <v>0</v>
      </c>
    </row>
    <row r="803" spans="2:6" outlineLevel="2">
      <c r="B803" s="395" t="s">
        <v>1703</v>
      </c>
      <c r="C803" s="395" t="s">
        <v>1702</v>
      </c>
      <c r="D803" s="396" t="str">
        <f t="shared" si="28"/>
        <v>505</v>
      </c>
      <c r="E803" s="397">
        <v>149986.20000000001</v>
      </c>
      <c r="F803" s="397">
        <v>161739.32999999999</v>
      </c>
    </row>
    <row r="804" spans="2:6" outlineLevel="2">
      <c r="B804" s="395" t="s">
        <v>1701</v>
      </c>
      <c r="C804" s="395" t="s">
        <v>1700</v>
      </c>
      <c r="D804" s="396" t="str">
        <f t="shared" si="28"/>
        <v>506</v>
      </c>
      <c r="E804" s="397">
        <v>384250.74</v>
      </c>
      <c r="F804" s="397">
        <v>322847.76</v>
      </c>
    </row>
    <row r="805" spans="2:6" outlineLevel="2">
      <c r="B805" s="395" t="s">
        <v>1699</v>
      </c>
      <c r="C805" s="395" t="s">
        <v>1698</v>
      </c>
      <c r="D805" s="396" t="str">
        <f t="shared" si="28"/>
        <v>506</v>
      </c>
      <c r="E805" s="397">
        <v>303.42</v>
      </c>
      <c r="F805" s="397">
        <v>203.5</v>
      </c>
    </row>
    <row r="806" spans="2:6" outlineLevel="2">
      <c r="B806" s="395" t="s">
        <v>1697</v>
      </c>
      <c r="C806" s="395" t="s">
        <v>1696</v>
      </c>
      <c r="D806" s="396" t="str">
        <f t="shared" si="28"/>
        <v>502</v>
      </c>
      <c r="E806" s="397">
        <v>158093.18</v>
      </c>
      <c r="F806" s="397">
        <v>146013.70000000001</v>
      </c>
    </row>
    <row r="807" spans="2:6" outlineLevel="2">
      <c r="B807" s="395" t="s">
        <v>1695</v>
      </c>
      <c r="C807" s="395" t="s">
        <v>1694</v>
      </c>
      <c r="D807" s="396" t="str">
        <f t="shared" si="28"/>
        <v>502</v>
      </c>
      <c r="E807" s="397">
        <v>616133.49</v>
      </c>
      <c r="F807" s="397">
        <v>566484.21</v>
      </c>
    </row>
    <row r="808" spans="2:6" outlineLevel="2">
      <c r="B808" s="395" t="s">
        <v>1693</v>
      </c>
      <c r="C808" s="395" t="s">
        <v>1692</v>
      </c>
      <c r="D808" s="396" t="str">
        <f t="shared" si="28"/>
        <v>509</v>
      </c>
      <c r="E808" s="397">
        <v>0</v>
      </c>
      <c r="F808" s="397">
        <v>0</v>
      </c>
    </row>
    <row r="809" spans="2:6" outlineLevel="2">
      <c r="B809" s="395" t="s">
        <v>3323</v>
      </c>
      <c r="C809" s="395" t="s">
        <v>3324</v>
      </c>
      <c r="D809" s="396" t="str">
        <f t="shared" si="28"/>
        <v>506</v>
      </c>
      <c r="E809" s="397">
        <v>19419.66</v>
      </c>
      <c r="F809" s="397">
        <v>0</v>
      </c>
    </row>
    <row r="810" spans="2:6" outlineLevel="2">
      <c r="B810" s="395" t="s">
        <v>1691</v>
      </c>
      <c r="C810" s="395" t="s">
        <v>1690</v>
      </c>
      <c r="D810" s="396" t="str">
        <f t="shared" si="28"/>
        <v>549</v>
      </c>
      <c r="E810" s="397">
        <v>66715.56</v>
      </c>
      <c r="F810" s="397">
        <v>77844</v>
      </c>
    </row>
    <row r="811" spans="2:6" outlineLevel="2">
      <c r="B811" s="395" t="s">
        <v>1689</v>
      </c>
      <c r="C811" s="395" t="s">
        <v>1688</v>
      </c>
      <c r="D811" s="396" t="str">
        <f t="shared" si="28"/>
        <v>500</v>
      </c>
      <c r="E811" s="397">
        <v>55829.29</v>
      </c>
      <c r="F811" s="397">
        <v>53698.33</v>
      </c>
    </row>
    <row r="812" spans="2:6" outlineLevel="2">
      <c r="B812" s="395" t="s">
        <v>1687</v>
      </c>
      <c r="C812" s="395" t="s">
        <v>1686</v>
      </c>
      <c r="D812" s="396" t="str">
        <f t="shared" si="28"/>
        <v>549</v>
      </c>
      <c r="E812" s="397">
        <v>6423.91</v>
      </c>
      <c r="F812" s="397">
        <v>6623.91</v>
      </c>
    </row>
    <row r="813" spans="2:6" outlineLevel="2">
      <c r="B813" s="395" t="s">
        <v>1685</v>
      </c>
      <c r="C813" s="395" t="s">
        <v>1684</v>
      </c>
      <c r="D813" s="396" t="str">
        <f t="shared" si="28"/>
        <v>546</v>
      </c>
      <c r="E813" s="397">
        <v>244359.21</v>
      </c>
      <c r="F813" s="397">
        <v>250459.33</v>
      </c>
    </row>
    <row r="814" spans="2:6" outlineLevel="2">
      <c r="B814" s="395" t="s">
        <v>1683</v>
      </c>
      <c r="C814" s="395" t="s">
        <v>1682</v>
      </c>
      <c r="D814" s="396" t="str">
        <f t="shared" si="28"/>
        <v>549</v>
      </c>
      <c r="E814" s="397">
        <v>5905.2</v>
      </c>
      <c r="F814" s="397">
        <v>5322.89</v>
      </c>
    </row>
    <row r="815" spans="2:6" outlineLevel="2">
      <c r="B815" s="395" t="s">
        <v>1681</v>
      </c>
      <c r="C815" s="395" t="s">
        <v>1680</v>
      </c>
      <c r="D815" s="396" t="str">
        <f t="shared" si="28"/>
        <v>549</v>
      </c>
      <c r="E815" s="397">
        <v>7054.8</v>
      </c>
      <c r="F815" s="397">
        <v>6827.96</v>
      </c>
    </row>
    <row r="816" spans="2:6" outlineLevel="2">
      <c r="B816" s="395" t="s">
        <v>1679</v>
      </c>
      <c r="C816" s="395" t="s">
        <v>1678</v>
      </c>
      <c r="D816" s="396" t="str">
        <f t="shared" si="28"/>
        <v>549</v>
      </c>
      <c r="E816" s="397">
        <v>67504.34</v>
      </c>
      <c r="F816" s="397">
        <v>39399.22</v>
      </c>
    </row>
    <row r="817" spans="2:6" outlineLevel="2">
      <c r="B817" s="395" t="s">
        <v>1677</v>
      </c>
      <c r="C817" s="395" t="s">
        <v>1676</v>
      </c>
      <c r="D817" s="396" t="str">
        <f t="shared" si="28"/>
        <v>549</v>
      </c>
      <c r="E817" s="397">
        <v>15060.47</v>
      </c>
      <c r="F817" s="397">
        <v>5585.01</v>
      </c>
    </row>
    <row r="818" spans="2:6" outlineLevel="2">
      <c r="B818" s="395" t="s">
        <v>1675</v>
      </c>
      <c r="C818" s="395" t="s">
        <v>1674</v>
      </c>
      <c r="D818" s="396" t="str">
        <f t="shared" si="28"/>
        <v>549</v>
      </c>
      <c r="E818" s="397">
        <v>22723.32</v>
      </c>
      <c r="F818" s="397">
        <v>20525.759999999998</v>
      </c>
    </row>
    <row r="819" spans="2:6" outlineLevel="2">
      <c r="B819" s="395" t="s">
        <v>1673</v>
      </c>
      <c r="C819" s="395" t="s">
        <v>1672</v>
      </c>
      <c r="D819" s="396" t="str">
        <f t="shared" si="28"/>
        <v>549</v>
      </c>
      <c r="E819" s="397">
        <v>15202.8</v>
      </c>
      <c r="F819" s="397">
        <v>14955.6</v>
      </c>
    </row>
    <row r="820" spans="2:6" outlineLevel="2">
      <c r="B820" s="395" t="s">
        <v>1671</v>
      </c>
      <c r="C820" s="395" t="s">
        <v>1670</v>
      </c>
      <c r="D820" s="396" t="str">
        <f t="shared" si="28"/>
        <v>549</v>
      </c>
      <c r="E820" s="397">
        <v>281975.03999999998</v>
      </c>
      <c r="F820" s="397">
        <v>277390.08000000002</v>
      </c>
    </row>
    <row r="821" spans="2:6" outlineLevel="2">
      <c r="B821" s="395" t="s">
        <v>1669</v>
      </c>
      <c r="C821" s="395" t="s">
        <v>1668</v>
      </c>
      <c r="D821" s="396" t="str">
        <f t="shared" si="28"/>
        <v>549</v>
      </c>
      <c r="E821" s="397">
        <v>88152.37</v>
      </c>
      <c r="F821" s="397">
        <v>86692.77</v>
      </c>
    </row>
    <row r="822" spans="2:6" outlineLevel="2">
      <c r="B822" s="395" t="s">
        <v>1667</v>
      </c>
      <c r="C822" s="395" t="s">
        <v>1666</v>
      </c>
      <c r="D822" s="396" t="str">
        <f t="shared" si="28"/>
        <v>549</v>
      </c>
      <c r="E822" s="397">
        <v>62115</v>
      </c>
      <c r="F822" s="397">
        <v>61105</v>
      </c>
    </row>
    <row r="823" spans="2:6" outlineLevel="2">
      <c r="B823" s="395" t="s">
        <v>1665</v>
      </c>
      <c r="C823" s="395" t="s">
        <v>1664</v>
      </c>
      <c r="D823" s="396" t="str">
        <f t="shared" si="28"/>
        <v>549</v>
      </c>
      <c r="E823" s="397">
        <v>20280.240000000002</v>
      </c>
      <c r="F823" s="397">
        <v>19950.48</v>
      </c>
    </row>
    <row r="824" spans="2:6" outlineLevel="2">
      <c r="B824" s="395" t="s">
        <v>1663</v>
      </c>
      <c r="C824" s="395" t="s">
        <v>1662</v>
      </c>
      <c r="D824" s="396" t="str">
        <f t="shared" si="28"/>
        <v>549</v>
      </c>
      <c r="E824" s="397">
        <v>27896.400000000001</v>
      </c>
      <c r="F824" s="397">
        <v>27442.799999999999</v>
      </c>
    </row>
    <row r="825" spans="2:6" outlineLevel="2">
      <c r="B825" s="395" t="s">
        <v>1661</v>
      </c>
      <c r="C825" s="395" t="s">
        <v>1660</v>
      </c>
      <c r="D825" s="396" t="str">
        <f t="shared" si="28"/>
        <v>549</v>
      </c>
      <c r="E825" s="397">
        <v>0</v>
      </c>
      <c r="F825" s="397">
        <v>0</v>
      </c>
    </row>
    <row r="826" spans="2:6" outlineLevel="2">
      <c r="B826" s="395" t="s">
        <v>1659</v>
      </c>
      <c r="C826" s="395" t="s">
        <v>1658</v>
      </c>
      <c r="D826" s="396" t="str">
        <f t="shared" si="28"/>
        <v>546</v>
      </c>
      <c r="E826" s="397">
        <v>383082.42</v>
      </c>
      <c r="F826" s="397">
        <v>460129.24</v>
      </c>
    </row>
    <row r="827" spans="2:6" outlineLevel="2">
      <c r="B827" s="395" t="s">
        <v>1657</v>
      </c>
      <c r="C827" s="395" t="s">
        <v>1656</v>
      </c>
      <c r="D827" s="396" t="str">
        <f t="shared" si="28"/>
        <v>549</v>
      </c>
      <c r="E827" s="397">
        <v>9284.2000000000007</v>
      </c>
      <c r="F827" s="397">
        <v>9866.42</v>
      </c>
    </row>
    <row r="828" spans="2:6" outlineLevel="2">
      <c r="B828" s="395" t="s">
        <v>1655</v>
      </c>
      <c r="C828" s="395" t="s">
        <v>1654</v>
      </c>
      <c r="D828" s="396" t="str">
        <f t="shared" si="28"/>
        <v>549</v>
      </c>
      <c r="E828" s="397">
        <v>8475.59</v>
      </c>
      <c r="F828" s="397">
        <v>18608.669999999998</v>
      </c>
    </row>
    <row r="829" spans="2:6" outlineLevel="2">
      <c r="B829" s="395" t="s">
        <v>1653</v>
      </c>
      <c r="C829" s="395" t="s">
        <v>1652</v>
      </c>
      <c r="D829" s="396" t="str">
        <f t="shared" ref="D829:D892" si="29">RIGHT(C829,3)</f>
        <v>549</v>
      </c>
      <c r="E829" s="397">
        <v>0</v>
      </c>
      <c r="F829" s="397">
        <v>0</v>
      </c>
    </row>
    <row r="830" spans="2:6" outlineLevel="2">
      <c r="B830" s="395" t="s">
        <v>1651</v>
      </c>
      <c r="C830" s="395" t="s">
        <v>1650</v>
      </c>
      <c r="D830" s="396" t="str">
        <f t="shared" si="29"/>
        <v>549</v>
      </c>
      <c r="E830" s="397">
        <v>17528.759999999998</v>
      </c>
      <c r="F830" s="397">
        <v>13023.67</v>
      </c>
    </row>
    <row r="831" spans="2:6" outlineLevel="2">
      <c r="B831" s="395" t="s">
        <v>1649</v>
      </c>
      <c r="C831" s="395" t="s">
        <v>1648</v>
      </c>
      <c r="D831" s="396" t="str">
        <f t="shared" si="29"/>
        <v>549</v>
      </c>
      <c r="E831" s="397">
        <v>5333.79</v>
      </c>
      <c r="F831" s="397">
        <v>12323.67</v>
      </c>
    </row>
    <row r="832" spans="2:6" outlineLevel="2">
      <c r="B832" s="395" t="s">
        <v>1647</v>
      </c>
      <c r="C832" s="395" t="s">
        <v>1646</v>
      </c>
      <c r="D832" s="396" t="str">
        <f t="shared" si="29"/>
        <v>549</v>
      </c>
      <c r="E832" s="397">
        <v>45195.7</v>
      </c>
      <c r="F832" s="397">
        <v>40016.07</v>
      </c>
    </row>
    <row r="833" spans="2:6" outlineLevel="2">
      <c r="B833" s="395" t="s">
        <v>1645</v>
      </c>
      <c r="C833" s="395" t="s">
        <v>1644</v>
      </c>
      <c r="D833" s="396" t="str">
        <f t="shared" si="29"/>
        <v>549</v>
      </c>
      <c r="E833" s="397">
        <v>97307.22</v>
      </c>
      <c r="F833" s="397">
        <v>111580.2</v>
      </c>
    </row>
    <row r="834" spans="2:6" outlineLevel="2">
      <c r="B834" s="395" t="s">
        <v>1643</v>
      </c>
      <c r="C834" s="395" t="s">
        <v>1642</v>
      </c>
      <c r="D834" s="396" t="str">
        <f t="shared" si="29"/>
        <v>549</v>
      </c>
      <c r="E834" s="397">
        <v>1429.63</v>
      </c>
      <c r="F834" s="397">
        <v>1277.54</v>
      </c>
    </row>
    <row r="835" spans="2:6" outlineLevel="2">
      <c r="B835" s="395" t="s">
        <v>1641</v>
      </c>
      <c r="C835" s="395" t="s">
        <v>1640</v>
      </c>
      <c r="D835" s="396" t="str">
        <f t="shared" si="29"/>
        <v>549</v>
      </c>
      <c r="E835" s="397">
        <v>0</v>
      </c>
      <c r="F835" s="397">
        <v>257.73</v>
      </c>
    </row>
    <row r="836" spans="2:6" outlineLevel="2">
      <c r="B836" s="395" t="s">
        <v>1639</v>
      </c>
      <c r="C836" s="395" t="s">
        <v>1638</v>
      </c>
      <c r="D836" s="396" t="str">
        <f t="shared" si="29"/>
        <v>546</v>
      </c>
      <c r="E836" s="397">
        <v>225448</v>
      </c>
      <c r="F836" s="397">
        <v>197297.49</v>
      </c>
    </row>
    <row r="837" spans="2:6" outlineLevel="2">
      <c r="B837" s="395" t="s">
        <v>1637</v>
      </c>
      <c r="C837" s="395" t="s">
        <v>1636</v>
      </c>
      <c r="D837" s="396" t="str">
        <f t="shared" si="29"/>
        <v>549</v>
      </c>
      <c r="E837" s="397">
        <v>4600.0200000000004</v>
      </c>
      <c r="F837" s="397">
        <v>4232.82</v>
      </c>
    </row>
    <row r="838" spans="2:6" outlineLevel="2">
      <c r="B838" s="395" t="s">
        <v>1635</v>
      </c>
      <c r="C838" s="395" t="s">
        <v>1634</v>
      </c>
      <c r="D838" s="396" t="str">
        <f t="shared" si="29"/>
        <v>549</v>
      </c>
      <c r="E838" s="397">
        <v>5741.01</v>
      </c>
      <c r="F838" s="397">
        <v>5074.41</v>
      </c>
    </row>
    <row r="839" spans="2:6" outlineLevel="2">
      <c r="B839" s="395" t="s">
        <v>1633</v>
      </c>
      <c r="C839" s="395" t="s">
        <v>1632</v>
      </c>
      <c r="D839" s="396" t="str">
        <f t="shared" si="29"/>
        <v>549</v>
      </c>
      <c r="E839" s="397">
        <v>0</v>
      </c>
      <c r="F839" s="397">
        <v>0</v>
      </c>
    </row>
    <row r="840" spans="2:6" outlineLevel="2">
      <c r="B840" s="395" t="s">
        <v>1631</v>
      </c>
      <c r="C840" s="395" t="s">
        <v>1630</v>
      </c>
      <c r="D840" s="396" t="str">
        <f t="shared" si="29"/>
        <v>549</v>
      </c>
      <c r="E840" s="397">
        <v>9806.81</v>
      </c>
      <c r="F840" s="397">
        <v>9777</v>
      </c>
    </row>
    <row r="841" spans="2:6" outlineLevel="2">
      <c r="B841" s="395" t="s">
        <v>1629</v>
      </c>
      <c r="C841" s="395" t="s">
        <v>1628</v>
      </c>
      <c r="D841" s="396" t="str">
        <f t="shared" si="29"/>
        <v>549</v>
      </c>
      <c r="E841" s="397">
        <v>6237.98</v>
      </c>
      <c r="F841" s="397">
        <v>5396.3</v>
      </c>
    </row>
    <row r="842" spans="2:6" outlineLevel="2">
      <c r="B842" s="395" t="s">
        <v>1627</v>
      </c>
      <c r="C842" s="395" t="s">
        <v>1626</v>
      </c>
      <c r="D842" s="396" t="str">
        <f t="shared" si="29"/>
        <v>549</v>
      </c>
      <c r="E842" s="397">
        <v>40785.46</v>
      </c>
      <c r="F842" s="397">
        <v>23169.58</v>
      </c>
    </row>
    <row r="843" spans="2:6" outlineLevel="2">
      <c r="B843" s="395" t="s">
        <v>1625</v>
      </c>
      <c r="C843" s="395" t="s">
        <v>1624</v>
      </c>
      <c r="D843" s="396" t="str">
        <f t="shared" si="29"/>
        <v>549</v>
      </c>
      <c r="E843" s="397">
        <v>58462.31</v>
      </c>
      <c r="F843" s="397">
        <v>69028.47</v>
      </c>
    </row>
    <row r="844" spans="2:6" outlineLevel="2">
      <c r="B844" s="395" t="s">
        <v>1623</v>
      </c>
      <c r="C844" s="395" t="s">
        <v>1622</v>
      </c>
      <c r="D844" s="396" t="str">
        <f t="shared" si="29"/>
        <v>549</v>
      </c>
      <c r="E844" s="397">
        <v>2231.62</v>
      </c>
      <c r="F844" s="397">
        <v>1984.95</v>
      </c>
    </row>
    <row r="845" spans="2:6" outlineLevel="2">
      <c r="B845" s="395" t="s">
        <v>1621</v>
      </c>
      <c r="C845" s="395" t="s">
        <v>1620</v>
      </c>
      <c r="D845" s="396" t="str">
        <f t="shared" si="29"/>
        <v>549</v>
      </c>
      <c r="E845" s="397">
        <v>10256.129999999999</v>
      </c>
      <c r="F845" s="397">
        <v>294.41000000000003</v>
      </c>
    </row>
    <row r="846" spans="2:6" outlineLevel="2">
      <c r="B846" s="395" t="s">
        <v>1619</v>
      </c>
      <c r="C846" s="395" t="s">
        <v>1618</v>
      </c>
      <c r="D846" s="396" t="str">
        <f t="shared" si="29"/>
        <v>502</v>
      </c>
      <c r="E846" s="397">
        <v>0</v>
      </c>
      <c r="F846" s="397">
        <v>0</v>
      </c>
    </row>
    <row r="847" spans="2:6" outlineLevel="2">
      <c r="B847" s="395" t="s">
        <v>1617</v>
      </c>
      <c r="C847" s="395" t="s">
        <v>1616</v>
      </c>
      <c r="D847" s="396" t="str">
        <f t="shared" si="29"/>
        <v>506</v>
      </c>
      <c r="E847" s="397">
        <v>85909.45</v>
      </c>
      <c r="F847" s="397">
        <v>44169.4</v>
      </c>
    </row>
    <row r="848" spans="2:6" outlineLevel="2">
      <c r="B848" s="395" t="s">
        <v>1615</v>
      </c>
      <c r="C848" s="395" t="s">
        <v>1614</v>
      </c>
      <c r="D848" s="396" t="str">
        <f t="shared" si="29"/>
        <v>411</v>
      </c>
      <c r="E848" s="397">
        <v>-129772.37</v>
      </c>
      <c r="F848" s="397">
        <v>82996.5</v>
      </c>
    </row>
    <row r="849" spans="2:6" outlineLevel="2">
      <c r="B849" s="395" t="s">
        <v>1613</v>
      </c>
      <c r="C849" s="395" t="s">
        <v>1612</v>
      </c>
      <c r="D849" s="396" t="str">
        <f t="shared" si="29"/>
        <v>500</v>
      </c>
      <c r="E849" s="397">
        <v>268851.36</v>
      </c>
      <c r="F849" s="397">
        <v>254409.92</v>
      </c>
    </row>
    <row r="850" spans="2:6" outlineLevel="2">
      <c r="B850" s="395" t="s">
        <v>1611</v>
      </c>
      <c r="C850" s="395" t="s">
        <v>1610</v>
      </c>
      <c r="D850" s="396" t="str">
        <f t="shared" si="29"/>
        <v>500</v>
      </c>
      <c r="E850" s="397">
        <v>1977728.27</v>
      </c>
      <c r="F850" s="397">
        <v>1898728.04</v>
      </c>
    </row>
    <row r="851" spans="2:6" outlineLevel="2">
      <c r="B851" s="395" t="s">
        <v>1609</v>
      </c>
      <c r="C851" s="395" t="s">
        <v>1608</v>
      </c>
      <c r="D851" s="396" t="str">
        <f t="shared" si="29"/>
        <v>500</v>
      </c>
      <c r="E851" s="397">
        <v>54494.37</v>
      </c>
      <c r="F851" s="397">
        <v>40983.32</v>
      </c>
    </row>
    <row r="852" spans="2:6" outlineLevel="2">
      <c r="B852" s="395" t="s">
        <v>1607</v>
      </c>
      <c r="C852" s="395" t="s">
        <v>1606</v>
      </c>
      <c r="D852" s="396" t="str">
        <f t="shared" si="29"/>
        <v>502</v>
      </c>
      <c r="E852" s="397">
        <v>838211.9</v>
      </c>
      <c r="F852" s="397">
        <v>1416819.9</v>
      </c>
    </row>
    <row r="853" spans="2:6" outlineLevel="2">
      <c r="B853" s="395" t="s">
        <v>3325</v>
      </c>
      <c r="C853" s="395" t="s">
        <v>3326</v>
      </c>
      <c r="D853" s="396" t="str">
        <f t="shared" si="29"/>
        <v>502</v>
      </c>
      <c r="E853" s="397">
        <v>0</v>
      </c>
      <c r="F853" s="397">
        <v>0</v>
      </c>
    </row>
    <row r="854" spans="2:6" outlineLevel="2">
      <c r="B854" s="395" t="s">
        <v>1605</v>
      </c>
      <c r="C854" s="395" t="s">
        <v>1604</v>
      </c>
      <c r="D854" s="396" t="str">
        <f t="shared" si="29"/>
        <v>505</v>
      </c>
      <c r="E854" s="397">
        <v>414533.58</v>
      </c>
      <c r="F854" s="397">
        <v>426050.79</v>
      </c>
    </row>
    <row r="855" spans="2:6" outlineLevel="2">
      <c r="B855" s="395" t="s">
        <v>1603</v>
      </c>
      <c r="C855" s="395" t="s">
        <v>1602</v>
      </c>
      <c r="D855" s="396" t="str">
        <f t="shared" si="29"/>
        <v>506</v>
      </c>
      <c r="E855" s="397">
        <v>145109.24</v>
      </c>
      <c r="F855" s="397">
        <v>197029.92</v>
      </c>
    </row>
    <row r="856" spans="2:6" outlineLevel="2">
      <c r="B856" s="395" t="s">
        <v>1601</v>
      </c>
      <c r="C856" s="395" t="s">
        <v>1600</v>
      </c>
      <c r="D856" s="396" t="str">
        <f t="shared" si="29"/>
        <v>506</v>
      </c>
      <c r="E856" s="397">
        <v>7262.6</v>
      </c>
      <c r="F856" s="397">
        <v>981.94</v>
      </c>
    </row>
    <row r="857" spans="2:6" outlineLevel="2">
      <c r="B857" s="395" t="s">
        <v>1599</v>
      </c>
      <c r="C857" s="395" t="s">
        <v>1598</v>
      </c>
      <c r="D857" s="396" t="str">
        <f t="shared" si="29"/>
        <v>506</v>
      </c>
      <c r="E857" s="397">
        <v>0</v>
      </c>
      <c r="F857" s="397">
        <v>0</v>
      </c>
    </row>
    <row r="858" spans="2:6" outlineLevel="2">
      <c r="B858" s="395" t="s">
        <v>1597</v>
      </c>
      <c r="C858" s="395" t="s">
        <v>1596</v>
      </c>
      <c r="D858" s="396" t="str">
        <f t="shared" si="29"/>
        <v>502</v>
      </c>
      <c r="E858" s="397">
        <v>0</v>
      </c>
      <c r="F858" s="397">
        <v>0</v>
      </c>
    </row>
    <row r="859" spans="2:6" outlineLevel="2">
      <c r="B859" s="395" t="s">
        <v>1595</v>
      </c>
      <c r="C859" s="395" t="s">
        <v>1594</v>
      </c>
      <c r="D859" s="396" t="str">
        <f t="shared" si="29"/>
        <v>506</v>
      </c>
      <c r="E859" s="397">
        <v>0</v>
      </c>
      <c r="F859" s="397">
        <v>2497.19</v>
      </c>
    </row>
    <row r="860" spans="2:6" outlineLevel="2">
      <c r="B860" s="395" t="s">
        <v>1593</v>
      </c>
      <c r="C860" s="395" t="s">
        <v>1592</v>
      </c>
      <c r="D860" s="396" t="str">
        <f t="shared" si="29"/>
        <v>502</v>
      </c>
      <c r="E860" s="397">
        <v>984397.69</v>
      </c>
      <c r="F860" s="397">
        <v>1047506.53</v>
      </c>
    </row>
    <row r="861" spans="2:6" outlineLevel="2">
      <c r="B861" s="395" t="s">
        <v>1591</v>
      </c>
      <c r="C861" s="395" t="s">
        <v>1590</v>
      </c>
      <c r="D861" s="396" t="str">
        <f t="shared" si="29"/>
        <v>509</v>
      </c>
      <c r="E861" s="397">
        <v>23926.23</v>
      </c>
      <c r="F861" s="397">
        <v>22818.71</v>
      </c>
    </row>
    <row r="862" spans="2:6" outlineLevel="2">
      <c r="B862" s="395" t="s">
        <v>1589</v>
      </c>
      <c r="C862" s="395" t="s">
        <v>1588</v>
      </c>
      <c r="D862" s="396" t="str">
        <f t="shared" si="29"/>
        <v>507</v>
      </c>
      <c r="E862" s="397">
        <v>-9496.9</v>
      </c>
      <c r="F862" s="397">
        <v>-3187.88</v>
      </c>
    </row>
    <row r="863" spans="2:6" outlineLevel="2">
      <c r="B863" s="395" t="s">
        <v>3327</v>
      </c>
      <c r="C863" s="395" t="s">
        <v>3328</v>
      </c>
      <c r="D863" s="396" t="str">
        <f t="shared" si="29"/>
        <v>506</v>
      </c>
      <c r="E863" s="397">
        <v>20054.16</v>
      </c>
      <c r="F863" s="397">
        <v>0</v>
      </c>
    </row>
    <row r="864" spans="2:6" outlineLevel="2">
      <c r="B864" s="395" t="s">
        <v>1587</v>
      </c>
      <c r="C864" s="395" t="s">
        <v>1586</v>
      </c>
      <c r="D864" s="396" t="str">
        <f t="shared" si="29"/>
        <v>502</v>
      </c>
      <c r="E864" s="397">
        <v>0</v>
      </c>
      <c r="F864" s="397">
        <v>0</v>
      </c>
    </row>
    <row r="865" spans="2:6" outlineLevel="2">
      <c r="B865" s="395" t="s">
        <v>1585</v>
      </c>
      <c r="C865" s="395" t="s">
        <v>1584</v>
      </c>
      <c r="D865" s="396" t="str">
        <f t="shared" si="29"/>
        <v>506</v>
      </c>
      <c r="E865" s="397">
        <v>49325.69</v>
      </c>
      <c r="F865" s="397">
        <v>66093.429999999993</v>
      </c>
    </row>
    <row r="866" spans="2:6" outlineLevel="2">
      <c r="B866" s="395" t="s">
        <v>1583</v>
      </c>
      <c r="C866" s="395" t="s">
        <v>1582</v>
      </c>
      <c r="D866" s="396" t="str">
        <f t="shared" si="29"/>
        <v>411</v>
      </c>
      <c r="E866" s="397">
        <v>-129772.37</v>
      </c>
      <c r="F866" s="397">
        <v>82996.5</v>
      </c>
    </row>
    <row r="867" spans="2:6" outlineLevel="2">
      <c r="B867" s="395" t="s">
        <v>1581</v>
      </c>
      <c r="C867" s="395" t="s">
        <v>1580</v>
      </c>
      <c r="D867" s="396" t="str">
        <f t="shared" si="29"/>
        <v>500</v>
      </c>
      <c r="E867" s="397">
        <v>268850.89</v>
      </c>
      <c r="F867" s="397">
        <v>254409.48</v>
      </c>
    </row>
    <row r="868" spans="2:6" outlineLevel="2">
      <c r="B868" s="395" t="s">
        <v>1579</v>
      </c>
      <c r="C868" s="395" t="s">
        <v>1578</v>
      </c>
      <c r="D868" s="396" t="str">
        <f t="shared" si="29"/>
        <v>500</v>
      </c>
      <c r="E868" s="397">
        <v>1975785.04</v>
      </c>
      <c r="F868" s="397">
        <v>1903165.71</v>
      </c>
    </row>
    <row r="869" spans="2:6" outlineLevel="2">
      <c r="B869" s="395" t="s">
        <v>1577</v>
      </c>
      <c r="C869" s="395" t="s">
        <v>1576</v>
      </c>
      <c r="D869" s="396" t="str">
        <f t="shared" si="29"/>
        <v>500</v>
      </c>
      <c r="E869" s="397">
        <v>58042.29</v>
      </c>
      <c r="F869" s="397">
        <v>40983.32</v>
      </c>
    </row>
    <row r="870" spans="2:6" outlineLevel="2">
      <c r="B870" s="395" t="s">
        <v>1575</v>
      </c>
      <c r="C870" s="395" t="s">
        <v>1574</v>
      </c>
      <c r="D870" s="396" t="str">
        <f t="shared" si="29"/>
        <v>502</v>
      </c>
      <c r="E870" s="397">
        <v>882784.53</v>
      </c>
      <c r="F870" s="397">
        <v>1381392.87</v>
      </c>
    </row>
    <row r="871" spans="2:6" outlineLevel="2">
      <c r="B871" s="395" t="s">
        <v>3329</v>
      </c>
      <c r="C871" s="395" t="s">
        <v>3330</v>
      </c>
      <c r="D871" s="396" t="str">
        <f t="shared" si="29"/>
        <v>502</v>
      </c>
      <c r="E871" s="397">
        <v>0</v>
      </c>
      <c r="F871" s="397">
        <v>0</v>
      </c>
    </row>
    <row r="872" spans="2:6" outlineLevel="2">
      <c r="B872" s="395" t="s">
        <v>1573</v>
      </c>
      <c r="C872" s="395" t="s">
        <v>1572</v>
      </c>
      <c r="D872" s="396" t="str">
        <f t="shared" si="29"/>
        <v>505</v>
      </c>
      <c r="E872" s="397">
        <v>414533.13</v>
      </c>
      <c r="F872" s="397">
        <v>426050.38</v>
      </c>
    </row>
    <row r="873" spans="2:6" outlineLevel="2">
      <c r="B873" s="395" t="s">
        <v>1571</v>
      </c>
      <c r="C873" s="395" t="s">
        <v>1570</v>
      </c>
      <c r="D873" s="396" t="str">
        <f t="shared" si="29"/>
        <v>506</v>
      </c>
      <c r="E873" s="397">
        <v>145108.42000000001</v>
      </c>
      <c r="F873" s="397">
        <v>197029.18</v>
      </c>
    </row>
    <row r="874" spans="2:6" outlineLevel="2">
      <c r="B874" s="395" t="s">
        <v>1569</v>
      </c>
      <c r="C874" s="395" t="s">
        <v>1568</v>
      </c>
      <c r="D874" s="396" t="str">
        <f t="shared" si="29"/>
        <v>506</v>
      </c>
      <c r="E874" s="397">
        <v>7262.49</v>
      </c>
      <c r="F874" s="397">
        <v>981.78</v>
      </c>
    </row>
    <row r="875" spans="2:6" outlineLevel="2">
      <c r="B875" s="395" t="s">
        <v>1567</v>
      </c>
      <c r="C875" s="395" t="s">
        <v>1566</v>
      </c>
      <c r="D875" s="396" t="str">
        <f t="shared" si="29"/>
        <v>506</v>
      </c>
      <c r="E875" s="397">
        <v>0</v>
      </c>
      <c r="F875" s="397">
        <v>0</v>
      </c>
    </row>
    <row r="876" spans="2:6" outlineLevel="2">
      <c r="B876" s="395" t="s">
        <v>1565</v>
      </c>
      <c r="C876" s="395" t="s">
        <v>1564</v>
      </c>
      <c r="D876" s="396" t="str">
        <f t="shared" si="29"/>
        <v>502</v>
      </c>
      <c r="E876" s="397">
        <v>0</v>
      </c>
      <c r="F876" s="397">
        <v>0</v>
      </c>
    </row>
    <row r="877" spans="2:6" outlineLevel="2">
      <c r="B877" s="395" t="s">
        <v>1563</v>
      </c>
      <c r="C877" s="395" t="s">
        <v>1562</v>
      </c>
      <c r="D877" s="396" t="str">
        <f t="shared" si="29"/>
        <v>506</v>
      </c>
      <c r="E877" s="397">
        <v>0</v>
      </c>
      <c r="F877" s="397">
        <v>2497.17</v>
      </c>
    </row>
    <row r="878" spans="2:6" outlineLevel="2">
      <c r="B878" s="395" t="s">
        <v>1561</v>
      </c>
      <c r="C878" s="395" t="s">
        <v>1560</v>
      </c>
      <c r="D878" s="396" t="str">
        <f t="shared" si="29"/>
        <v>502</v>
      </c>
      <c r="E878" s="397">
        <v>1125919.95</v>
      </c>
      <c r="F878" s="397">
        <v>946081.85</v>
      </c>
    </row>
    <row r="879" spans="2:6" outlineLevel="2">
      <c r="B879" s="395" t="s">
        <v>1559</v>
      </c>
      <c r="C879" s="395" t="s">
        <v>1558</v>
      </c>
      <c r="D879" s="396" t="str">
        <f t="shared" si="29"/>
        <v>509</v>
      </c>
      <c r="E879" s="397">
        <v>0</v>
      </c>
      <c r="F879" s="397">
        <v>5771.2</v>
      </c>
    </row>
    <row r="880" spans="2:6" outlineLevel="2">
      <c r="B880" s="395" t="s">
        <v>1557</v>
      </c>
      <c r="C880" s="395" t="s">
        <v>1556</v>
      </c>
      <c r="D880" s="396" t="str">
        <f t="shared" si="29"/>
        <v>507</v>
      </c>
      <c r="E880" s="397">
        <v>-9496.86</v>
      </c>
      <c r="F880" s="397">
        <v>-3187.72</v>
      </c>
    </row>
    <row r="881" spans="2:6" outlineLevel="2">
      <c r="B881" s="395" t="s">
        <v>3331</v>
      </c>
      <c r="C881" s="395" t="s">
        <v>3332</v>
      </c>
      <c r="D881" s="396" t="str">
        <f t="shared" si="29"/>
        <v>506</v>
      </c>
      <c r="E881" s="397">
        <v>20054.16</v>
      </c>
      <c r="F881" s="397">
        <v>0</v>
      </c>
    </row>
    <row r="882" spans="2:6" outlineLevel="2">
      <c r="B882" s="395" t="s">
        <v>1555</v>
      </c>
      <c r="C882" s="395" t="s">
        <v>1554</v>
      </c>
      <c r="D882" s="396" t="str">
        <f t="shared" si="29"/>
        <v>500</v>
      </c>
      <c r="E882" s="397">
        <v>2830357.96</v>
      </c>
      <c r="F882" s="397">
        <v>2820900.32</v>
      </c>
    </row>
    <row r="883" spans="2:6" outlineLevel="2">
      <c r="B883" s="395" t="s">
        <v>1553</v>
      </c>
      <c r="C883" s="395" t="s">
        <v>1552</v>
      </c>
      <c r="D883" s="396" t="str">
        <f t="shared" si="29"/>
        <v>502</v>
      </c>
      <c r="E883" s="397">
        <v>56123</v>
      </c>
      <c r="F883" s="397">
        <v>32491.5</v>
      </c>
    </row>
    <row r="884" spans="2:6" outlineLevel="2">
      <c r="B884" s="395" t="s">
        <v>3333</v>
      </c>
      <c r="C884" s="395" t="s">
        <v>3334</v>
      </c>
      <c r="D884" s="396" t="str">
        <f t="shared" si="29"/>
        <v>502</v>
      </c>
      <c r="E884" s="397">
        <v>0</v>
      </c>
      <c r="F884" s="397">
        <v>0</v>
      </c>
    </row>
    <row r="885" spans="2:6" outlineLevel="2">
      <c r="B885" s="395" t="s">
        <v>1551</v>
      </c>
      <c r="C885" s="395" t="s">
        <v>1550</v>
      </c>
      <c r="D885" s="396" t="str">
        <f t="shared" si="29"/>
        <v>505</v>
      </c>
      <c r="E885" s="397">
        <v>39117.4</v>
      </c>
      <c r="F885" s="397">
        <v>58261.34</v>
      </c>
    </row>
    <row r="886" spans="2:6" outlineLevel="2">
      <c r="B886" s="395" t="s">
        <v>1549</v>
      </c>
      <c r="C886" s="395" t="s">
        <v>1548</v>
      </c>
      <c r="D886" s="396" t="str">
        <f t="shared" si="29"/>
        <v>506</v>
      </c>
      <c r="E886" s="397">
        <v>89857.06</v>
      </c>
      <c r="F886" s="397">
        <v>97253.81</v>
      </c>
    </row>
    <row r="887" spans="2:6" outlineLevel="2">
      <c r="B887" s="395" t="s">
        <v>1547</v>
      </c>
      <c r="C887" s="395" t="s">
        <v>1546</v>
      </c>
      <c r="D887" s="396" t="str">
        <f t="shared" si="29"/>
        <v>506</v>
      </c>
      <c r="E887" s="397">
        <v>140785.73000000001</v>
      </c>
      <c r="F887" s="397">
        <v>99563.38</v>
      </c>
    </row>
    <row r="888" spans="2:6" outlineLevel="2">
      <c r="B888" s="395" t="s">
        <v>1545</v>
      </c>
      <c r="C888" s="395" t="s">
        <v>1544</v>
      </c>
      <c r="D888" s="396" t="str">
        <f t="shared" si="29"/>
        <v>549</v>
      </c>
      <c r="E888" s="397">
        <v>0</v>
      </c>
      <c r="F888" s="397">
        <v>0</v>
      </c>
    </row>
    <row r="889" spans="2:6" outlineLevel="2">
      <c r="B889" s="395" t="s">
        <v>1543</v>
      </c>
      <c r="C889" s="395" t="s">
        <v>1542</v>
      </c>
      <c r="D889" s="396" t="str">
        <f t="shared" si="29"/>
        <v>506</v>
      </c>
      <c r="E889" s="397">
        <v>8619.25</v>
      </c>
      <c r="F889" s="397">
        <v>6659.85</v>
      </c>
    </row>
    <row r="890" spans="2:6" outlineLevel="2">
      <c r="B890" s="395" t="s">
        <v>1541</v>
      </c>
      <c r="C890" s="395" t="s">
        <v>1540</v>
      </c>
      <c r="D890" s="396" t="str">
        <f t="shared" si="29"/>
        <v>506</v>
      </c>
      <c r="E890" s="397">
        <v>204443.42</v>
      </c>
      <c r="F890" s="397">
        <v>198183.47</v>
      </c>
    </row>
    <row r="891" spans="2:6" outlineLevel="2">
      <c r="B891" s="395" t="s">
        <v>1539</v>
      </c>
      <c r="C891" s="395" t="s">
        <v>1538</v>
      </c>
      <c r="D891" s="396" t="str">
        <f t="shared" si="29"/>
        <v>506</v>
      </c>
      <c r="E891" s="397">
        <v>0</v>
      </c>
      <c r="F891" s="397">
        <v>0</v>
      </c>
    </row>
    <row r="892" spans="2:6" outlineLevel="2">
      <c r="B892" s="395" t="s">
        <v>1537</v>
      </c>
      <c r="C892" s="395" t="s">
        <v>1536</v>
      </c>
      <c r="D892" s="396" t="str">
        <f t="shared" si="29"/>
        <v>506</v>
      </c>
      <c r="E892" s="397">
        <v>50392.95</v>
      </c>
      <c r="F892" s="397">
        <v>30946.76</v>
      </c>
    </row>
    <row r="893" spans="2:6" outlineLevel="2">
      <c r="B893" s="395" t="s">
        <v>1535</v>
      </c>
      <c r="C893" s="395" t="s">
        <v>1534</v>
      </c>
      <c r="D893" s="396" t="str">
        <f t="shared" ref="D893:D902" si="30">RIGHT(C893,3)</f>
        <v>506</v>
      </c>
      <c r="E893" s="397">
        <v>6000</v>
      </c>
      <c r="F893" s="397">
        <v>6073.99</v>
      </c>
    </row>
    <row r="894" spans="2:6" outlineLevel="2">
      <c r="B894" s="395" t="s">
        <v>3335</v>
      </c>
      <c r="C894" s="395" t="s">
        <v>3336</v>
      </c>
      <c r="D894" s="396" t="str">
        <f t="shared" si="30"/>
        <v>506</v>
      </c>
      <c r="E894" s="397">
        <v>0</v>
      </c>
      <c r="F894" s="397">
        <v>0</v>
      </c>
    </row>
    <row r="895" spans="2:6" outlineLevel="2">
      <c r="B895" s="395" t="s">
        <v>1533</v>
      </c>
      <c r="C895" s="395" t="s">
        <v>1532</v>
      </c>
      <c r="D895" s="396" t="str">
        <f t="shared" si="30"/>
        <v>506</v>
      </c>
      <c r="E895" s="397">
        <v>14974.9</v>
      </c>
      <c r="F895" s="397">
        <v>77766.97</v>
      </c>
    </row>
    <row r="896" spans="2:6" outlineLevel="2">
      <c r="B896" s="395" t="s">
        <v>1531</v>
      </c>
      <c r="C896" s="395" t="s">
        <v>1530</v>
      </c>
      <c r="D896" s="396" t="str">
        <f t="shared" si="30"/>
        <v>557</v>
      </c>
      <c r="E896" s="397">
        <v>16978.36</v>
      </c>
      <c r="F896" s="397">
        <v>5581.32</v>
      </c>
    </row>
    <row r="897" spans="2:6" outlineLevel="2">
      <c r="B897" s="395" t="s">
        <v>1529</v>
      </c>
      <c r="C897" s="395" t="s">
        <v>1528</v>
      </c>
      <c r="D897" s="396" t="str">
        <f t="shared" si="30"/>
        <v>557</v>
      </c>
      <c r="E897" s="397">
        <v>11088</v>
      </c>
      <c r="F897" s="397">
        <v>22355.32</v>
      </c>
    </row>
    <row r="898" spans="2:6" outlineLevel="2">
      <c r="B898" s="395" t="s">
        <v>1527</v>
      </c>
      <c r="C898" s="395" t="s">
        <v>1526</v>
      </c>
      <c r="D898" s="396" t="str">
        <f t="shared" si="30"/>
        <v>557</v>
      </c>
      <c r="E898" s="397">
        <v>0</v>
      </c>
      <c r="F898" s="397">
        <v>0</v>
      </c>
    </row>
    <row r="899" spans="2:6" outlineLevel="2">
      <c r="B899" s="395" t="s">
        <v>1525</v>
      </c>
      <c r="C899" s="395" t="s">
        <v>1524</v>
      </c>
      <c r="D899" s="396" t="str">
        <f t="shared" si="30"/>
        <v>557</v>
      </c>
      <c r="E899" s="397">
        <v>0</v>
      </c>
      <c r="F899" s="397">
        <v>0</v>
      </c>
    </row>
    <row r="900" spans="2:6" outlineLevel="2">
      <c r="B900" s="395" t="s">
        <v>1523</v>
      </c>
      <c r="C900" s="395" t="s">
        <v>1522</v>
      </c>
      <c r="D900" s="396" t="str">
        <f t="shared" si="30"/>
        <v>546</v>
      </c>
      <c r="E900" s="397">
        <v>169050.72</v>
      </c>
      <c r="F900" s="397">
        <v>72495.7</v>
      </c>
    </row>
    <row r="901" spans="2:6" outlineLevel="2">
      <c r="B901" s="395" t="s">
        <v>1521</v>
      </c>
      <c r="C901" s="395" t="s">
        <v>1520</v>
      </c>
      <c r="D901" s="396" t="str">
        <f t="shared" si="30"/>
        <v>549</v>
      </c>
      <c r="E901" s="397">
        <v>26212.53</v>
      </c>
      <c r="F901" s="397">
        <v>48540.5</v>
      </c>
    </row>
    <row r="902" spans="2:6" outlineLevel="2">
      <c r="B902" s="395" t="s">
        <v>1519</v>
      </c>
      <c r="C902" s="395" t="s">
        <v>1518</v>
      </c>
      <c r="D902" s="396" t="str">
        <f t="shared" si="30"/>
        <v>549</v>
      </c>
      <c r="E902" s="397">
        <v>0</v>
      </c>
      <c r="F902" s="397">
        <v>0</v>
      </c>
    </row>
    <row r="903" spans="2:6" outlineLevel="2"/>
    <row r="904" spans="2:6" outlineLevel="1">
      <c r="E904" s="397">
        <v>26468302.639999997</v>
      </c>
      <c r="F904" s="397">
        <v>27472829.570000011</v>
      </c>
    </row>
    <row r="905" spans="2:6" outlineLevel="1">
      <c r="B905" s="395" t="s">
        <v>1517</v>
      </c>
      <c r="D905" s="396" t="str">
        <f t="shared" ref="D905:D983" si="31">RIGHT(C905,3)</f>
        <v/>
      </c>
    </row>
    <row r="906" spans="2:6" outlineLevel="1">
      <c r="B906" s="395" t="s">
        <v>3337</v>
      </c>
      <c r="C906" s="395" t="s">
        <v>3338</v>
      </c>
      <c r="D906" s="396" t="str">
        <f t="shared" si="31"/>
        <v>586</v>
      </c>
      <c r="E906" s="397">
        <v>51489.96</v>
      </c>
      <c r="F906" s="397">
        <v>0</v>
      </c>
    </row>
    <row r="907" spans="2:6" outlineLevel="1">
      <c r="B907" s="395" t="s">
        <v>3339</v>
      </c>
      <c r="C907" s="395" t="s">
        <v>3340</v>
      </c>
      <c r="D907" s="396" t="str">
        <f t="shared" si="31"/>
        <v>556</v>
      </c>
      <c r="E907" s="397">
        <v>-25254.59</v>
      </c>
      <c r="F907" s="397">
        <v>0</v>
      </c>
    </row>
    <row r="908" spans="2:6" outlineLevel="2">
      <c r="B908" s="395" t="s">
        <v>1516</v>
      </c>
      <c r="C908" s="395" t="s">
        <v>1515</v>
      </c>
      <c r="D908" s="396" t="str">
        <f t="shared" si="31"/>
        <v>588</v>
      </c>
      <c r="E908" s="397">
        <v>0</v>
      </c>
      <c r="F908" s="397">
        <v>0</v>
      </c>
    </row>
    <row r="909" spans="2:6" outlineLevel="2">
      <c r="B909" s="395" t="s">
        <v>1514</v>
      </c>
      <c r="C909" s="395" t="s">
        <v>1513</v>
      </c>
      <c r="D909" s="396" t="str">
        <f t="shared" si="31"/>
        <v>556</v>
      </c>
      <c r="E909" s="397">
        <v>1178156.1499999999</v>
      </c>
      <c r="F909" s="397">
        <v>1255413.6499999999</v>
      </c>
    </row>
    <row r="910" spans="2:6" outlineLevel="2">
      <c r="B910" s="395" t="s">
        <v>1512</v>
      </c>
      <c r="C910" s="395" t="s">
        <v>1511</v>
      </c>
      <c r="D910" s="396" t="str">
        <f t="shared" si="31"/>
        <v>556</v>
      </c>
      <c r="E910" s="397">
        <v>30917.119999999999</v>
      </c>
      <c r="F910" s="397">
        <v>76102.990000000005</v>
      </c>
    </row>
    <row r="911" spans="2:6" outlineLevel="2">
      <c r="B911" s="395" t="s">
        <v>1510</v>
      </c>
      <c r="C911" s="395" t="s">
        <v>1509</v>
      </c>
      <c r="D911" s="396" t="str">
        <f t="shared" si="31"/>
        <v>556</v>
      </c>
      <c r="E911" s="397">
        <v>272469.93</v>
      </c>
      <c r="F911" s="397">
        <v>0</v>
      </c>
    </row>
    <row r="912" spans="2:6" outlineLevel="2">
      <c r="B912" s="395" t="s">
        <v>1508</v>
      </c>
      <c r="C912" s="395" t="s">
        <v>1507</v>
      </c>
      <c r="D912" s="396" t="str">
        <f t="shared" si="31"/>
        <v>565</v>
      </c>
      <c r="E912" s="397">
        <v>0</v>
      </c>
      <c r="F912" s="397">
        <v>5730</v>
      </c>
    </row>
    <row r="913" spans="2:11" outlineLevel="2">
      <c r="B913" s="395" t="s">
        <v>1506</v>
      </c>
      <c r="C913" s="395" t="s">
        <v>1505</v>
      </c>
      <c r="D913" s="396" t="str">
        <f t="shared" si="31"/>
        <v>556</v>
      </c>
      <c r="E913" s="397">
        <v>0</v>
      </c>
      <c r="F913" s="397">
        <v>0</v>
      </c>
    </row>
    <row r="914" spans="2:11" outlineLevel="2">
      <c r="B914" s="395" t="s">
        <v>1504</v>
      </c>
      <c r="C914" s="395" t="s">
        <v>1503</v>
      </c>
      <c r="D914" s="396" t="str">
        <f t="shared" si="31"/>
        <v>562</v>
      </c>
      <c r="E914" s="397">
        <v>6147.68</v>
      </c>
      <c r="F914" s="397">
        <v>5012.4399999999996</v>
      </c>
    </row>
    <row r="915" spans="2:11" outlineLevel="2">
      <c r="B915" s="395" t="s">
        <v>1502</v>
      </c>
      <c r="C915" s="395" t="s">
        <v>1501</v>
      </c>
      <c r="D915" s="396" t="str">
        <f t="shared" si="31"/>
        <v>565</v>
      </c>
      <c r="E915" s="397">
        <v>0</v>
      </c>
      <c r="F915" s="397">
        <v>0</v>
      </c>
    </row>
    <row r="916" spans="2:11" outlineLevel="2">
      <c r="B916" s="395" t="s">
        <v>1500</v>
      </c>
      <c r="C916" s="395" t="s">
        <v>1499</v>
      </c>
      <c r="D916" s="396" t="str">
        <f t="shared" si="31"/>
        <v>565</v>
      </c>
      <c r="E916" s="397">
        <v>0</v>
      </c>
      <c r="F916" s="397">
        <v>0</v>
      </c>
    </row>
    <row r="917" spans="2:11" outlineLevel="2">
      <c r="B917" s="395" t="s">
        <v>1498</v>
      </c>
      <c r="C917" s="395" t="s">
        <v>1497</v>
      </c>
      <c r="D917" s="396" t="str">
        <f t="shared" si="31"/>
        <v>565</v>
      </c>
      <c r="E917" s="397">
        <v>-110005.4</v>
      </c>
      <c r="F917" s="397">
        <v>-110004</v>
      </c>
    </row>
    <row r="918" spans="2:11" outlineLevel="2">
      <c r="B918" s="395" t="s">
        <v>1496</v>
      </c>
      <c r="C918" s="395" t="s">
        <v>1495</v>
      </c>
      <c r="D918" s="396" t="str">
        <f t="shared" si="31"/>
        <v>565</v>
      </c>
      <c r="E918" s="397">
        <v>-1392.33</v>
      </c>
      <c r="F918" s="397">
        <v>-1539.16</v>
      </c>
    </row>
    <row r="919" spans="2:11" outlineLevel="2">
      <c r="B919" s="395" t="s">
        <v>1494</v>
      </c>
      <c r="C919" s="395" t="s">
        <v>1493</v>
      </c>
      <c r="D919" s="396" t="str">
        <f t="shared" si="31"/>
        <v>565</v>
      </c>
      <c r="E919" s="397">
        <v>0</v>
      </c>
      <c r="F919" s="397">
        <v>0</v>
      </c>
    </row>
    <row r="920" spans="2:11" outlineLevel="2">
      <c r="B920" s="395" t="s">
        <v>1492</v>
      </c>
      <c r="C920" s="395" t="s">
        <v>1491</v>
      </c>
      <c r="D920" s="396" t="str">
        <f t="shared" si="31"/>
        <v>565</v>
      </c>
      <c r="E920" s="397">
        <v>0</v>
      </c>
      <c r="F920" s="397">
        <v>0</v>
      </c>
      <c r="G920" s="415" t="s">
        <v>3141</v>
      </c>
      <c r="H920" s="259"/>
      <c r="I920" s="259"/>
      <c r="J920" s="259"/>
    </row>
    <row r="921" spans="2:11" outlineLevel="2">
      <c r="B921" s="395" t="s">
        <v>1490</v>
      </c>
      <c r="C921" s="395" t="s">
        <v>1489</v>
      </c>
      <c r="D921" s="396" t="str">
        <f t="shared" si="31"/>
        <v>560</v>
      </c>
      <c r="E921" s="397">
        <v>1146000</v>
      </c>
      <c r="F921" s="397">
        <v>1034000</v>
      </c>
      <c r="G921" s="415"/>
      <c r="H921" s="259"/>
      <c r="I921" s="431">
        <v>2017</v>
      </c>
      <c r="J921" s="431">
        <v>2016</v>
      </c>
    </row>
    <row r="922" spans="2:11" outlineLevel="2">
      <c r="B922" s="395" t="s">
        <v>1488</v>
      </c>
      <c r="C922" s="395" t="s">
        <v>1487</v>
      </c>
      <c r="D922" s="396" t="str">
        <f t="shared" si="31"/>
        <v>561</v>
      </c>
      <c r="E922" s="397">
        <v>972000</v>
      </c>
      <c r="F922" s="397">
        <v>174000</v>
      </c>
      <c r="G922" s="259"/>
      <c r="H922" s="432" t="s">
        <v>1487</v>
      </c>
      <c r="I922" s="260">
        <f>VLOOKUP($H922,$C:$F,3,FALSE)</f>
        <v>972000</v>
      </c>
      <c r="J922" s="260">
        <f>VLOOKUP($H922,$C:$F,4,FALSE)</f>
        <v>174000</v>
      </c>
      <c r="K922" s="240" t="s">
        <v>3142</v>
      </c>
    </row>
    <row r="923" spans="2:11" outlineLevel="2">
      <c r="B923" s="395" t="s">
        <v>1486</v>
      </c>
      <c r="C923" s="395" t="s">
        <v>1485</v>
      </c>
      <c r="D923" s="396" t="str">
        <f t="shared" si="31"/>
        <v>562</v>
      </c>
      <c r="E923" s="397">
        <v>83000</v>
      </c>
      <c r="F923" s="397">
        <v>94000</v>
      </c>
      <c r="G923" s="259"/>
      <c r="H923" s="259"/>
      <c r="I923" s="260"/>
      <c r="J923" s="260"/>
    </row>
    <row r="924" spans="2:11" outlineLevel="2">
      <c r="B924" s="395" t="s">
        <v>1484</v>
      </c>
      <c r="C924" s="395" t="s">
        <v>1483</v>
      </c>
      <c r="D924" s="396" t="str">
        <f t="shared" si="31"/>
        <v>563</v>
      </c>
      <c r="E924" s="397">
        <v>92000</v>
      </c>
      <c r="F924" s="397">
        <v>78000</v>
      </c>
      <c r="G924" s="259"/>
      <c r="H924" s="259" t="s">
        <v>9</v>
      </c>
      <c r="I924" s="261">
        <f>SUM(I922:I923)</f>
        <v>972000</v>
      </c>
      <c r="J924" s="261">
        <f>SUM(J922:J923)</f>
        <v>174000</v>
      </c>
    </row>
    <row r="925" spans="2:11" outlineLevel="2">
      <c r="B925" s="395" t="s">
        <v>1482</v>
      </c>
      <c r="C925" s="395" t="s">
        <v>1481</v>
      </c>
      <c r="D925" s="396" t="str">
        <f t="shared" si="31"/>
        <v>565</v>
      </c>
      <c r="E925" s="397">
        <v>48000</v>
      </c>
      <c r="F925" s="397">
        <v>45000</v>
      </c>
    </row>
    <row r="926" spans="2:11" outlineLevel="2">
      <c r="B926" s="395" t="s">
        <v>1480</v>
      </c>
      <c r="C926" s="395" t="s">
        <v>1479</v>
      </c>
      <c r="D926" s="396" t="str">
        <f t="shared" si="31"/>
        <v>567</v>
      </c>
      <c r="E926" s="397">
        <v>9000</v>
      </c>
      <c r="F926" s="397">
        <v>9000</v>
      </c>
    </row>
    <row r="927" spans="2:11" outlineLevel="2">
      <c r="B927" s="395" t="s">
        <v>1478</v>
      </c>
      <c r="C927" s="395" t="s">
        <v>1477</v>
      </c>
      <c r="D927" s="396" t="str">
        <f t="shared" si="31"/>
        <v>565</v>
      </c>
      <c r="E927" s="397">
        <v>3623004</v>
      </c>
      <c r="F927" s="397">
        <v>827000</v>
      </c>
      <c r="G927" s="415" t="s">
        <v>3153</v>
      </c>
      <c r="H927" s="259"/>
      <c r="I927" s="259"/>
      <c r="J927" s="259"/>
      <c r="K927" s="259"/>
    </row>
    <row r="928" spans="2:11" outlineLevel="2">
      <c r="B928" s="395" t="s">
        <v>1476</v>
      </c>
      <c r="C928" s="395" t="s">
        <v>1475</v>
      </c>
      <c r="D928" s="396" t="str">
        <f t="shared" si="31"/>
        <v>560</v>
      </c>
      <c r="E928" s="397">
        <v>243000</v>
      </c>
      <c r="F928" s="397">
        <v>112000</v>
      </c>
      <c r="G928" s="421">
        <f>I924</f>
        <v>972000</v>
      </c>
      <c r="H928" s="259" t="s">
        <v>3154</v>
      </c>
      <c r="I928" s="259"/>
      <c r="J928" s="259"/>
      <c r="K928" s="259"/>
    </row>
    <row r="929" spans="2:11" outlineLevel="2">
      <c r="B929" s="395" t="s">
        <v>1474</v>
      </c>
      <c r="C929" s="395" t="s">
        <v>1473</v>
      </c>
      <c r="D929" s="396" t="str">
        <f t="shared" si="31"/>
        <v>565</v>
      </c>
      <c r="E929" s="397">
        <v>887000</v>
      </c>
      <c r="F929" s="397">
        <v>785000</v>
      </c>
      <c r="G929" s="443">
        <v>0</v>
      </c>
      <c r="H929" s="259" t="s">
        <v>3155</v>
      </c>
      <c r="I929" s="259"/>
      <c r="J929" s="259"/>
      <c r="K929" s="259"/>
    </row>
    <row r="930" spans="2:11" outlineLevel="2">
      <c r="B930" s="395" t="s">
        <v>1472</v>
      </c>
      <c r="C930" s="395" t="s">
        <v>1471</v>
      </c>
      <c r="D930" s="396" t="str">
        <f t="shared" si="31"/>
        <v>561</v>
      </c>
      <c r="E930" s="397">
        <v>180000</v>
      </c>
      <c r="F930" s="397">
        <v>378000</v>
      </c>
      <c r="G930" s="444">
        <f>SUM(G928:G929)</f>
        <v>972000</v>
      </c>
      <c r="H930" s="259" t="s">
        <v>3156</v>
      </c>
      <c r="I930" s="259"/>
      <c r="J930" s="259"/>
      <c r="K930" s="259"/>
    </row>
    <row r="931" spans="2:11" outlineLevel="2">
      <c r="B931" s="395" t="s">
        <v>1470</v>
      </c>
      <c r="C931" s="395" t="s">
        <v>1469</v>
      </c>
      <c r="D931" s="396" t="str">
        <f t="shared" si="31"/>
        <v>582</v>
      </c>
      <c r="E931" s="397">
        <v>95000</v>
      </c>
      <c r="F931" s="397">
        <v>72000</v>
      </c>
      <c r="G931" s="445"/>
      <c r="H931" s="259" t="s">
        <v>3157</v>
      </c>
      <c r="I931" s="259"/>
      <c r="J931" s="259"/>
      <c r="K931" s="259"/>
    </row>
    <row r="932" spans="2:11" outlineLevel="2">
      <c r="B932" s="395" t="s">
        <v>1468</v>
      </c>
      <c r="C932" s="395" t="s">
        <v>1467</v>
      </c>
      <c r="D932" s="396" t="str">
        <f t="shared" si="31"/>
        <v>583</v>
      </c>
      <c r="E932" s="397">
        <v>5000</v>
      </c>
      <c r="F932" s="397">
        <v>6000</v>
      </c>
      <c r="G932" s="443">
        <v>0</v>
      </c>
      <c r="H932" s="259" t="s">
        <v>3158</v>
      </c>
      <c r="I932" s="259"/>
      <c r="J932" s="259"/>
      <c r="K932" s="259"/>
    </row>
    <row r="933" spans="2:11" outlineLevel="2">
      <c r="B933" s="395" t="s">
        <v>1466</v>
      </c>
      <c r="C933" s="395" t="s">
        <v>1465</v>
      </c>
      <c r="D933" s="396" t="str">
        <f t="shared" si="31"/>
        <v>586</v>
      </c>
      <c r="E933" s="397">
        <v>11000</v>
      </c>
      <c r="F933" s="397">
        <v>9000</v>
      </c>
      <c r="G933" s="443">
        <v>0</v>
      </c>
      <c r="H933" s="259" t="s">
        <v>3159</v>
      </c>
      <c r="I933" s="259"/>
      <c r="J933" s="259"/>
      <c r="K933" s="259"/>
    </row>
    <row r="934" spans="2:11" outlineLevel="2">
      <c r="B934" s="395" t="s">
        <v>1464</v>
      </c>
      <c r="C934" s="395" t="s">
        <v>1463</v>
      </c>
      <c r="D934" s="396" t="str">
        <f t="shared" si="31"/>
        <v>588</v>
      </c>
      <c r="E934" s="397">
        <v>0</v>
      </c>
      <c r="F934" s="397">
        <v>0</v>
      </c>
      <c r="G934" s="443">
        <v>0</v>
      </c>
      <c r="H934" s="259" t="s">
        <v>3160</v>
      </c>
      <c r="I934" s="259"/>
      <c r="J934" s="259"/>
      <c r="K934" s="259"/>
    </row>
    <row r="935" spans="2:11" outlineLevel="2">
      <c r="B935" s="395" t="s">
        <v>1462</v>
      </c>
      <c r="C935" s="395" t="s">
        <v>1461</v>
      </c>
      <c r="D935" s="396" t="str">
        <f t="shared" si="31"/>
        <v>588</v>
      </c>
      <c r="E935" s="397">
        <v>72876.12</v>
      </c>
      <c r="F935" s="397">
        <v>85932</v>
      </c>
      <c r="G935" s="261">
        <f>SUM(G932:G934)</f>
        <v>0</v>
      </c>
      <c r="H935" s="259" t="s">
        <v>3161</v>
      </c>
      <c r="I935" s="259"/>
      <c r="J935" s="259"/>
      <c r="K935" s="259"/>
    </row>
    <row r="936" spans="2:11" outlineLevel="2">
      <c r="B936" s="395" t="s">
        <v>1460</v>
      </c>
      <c r="C936" s="395" t="s">
        <v>1459</v>
      </c>
      <c r="D936" s="396" t="str">
        <f t="shared" si="31"/>
        <v>588</v>
      </c>
      <c r="E936" s="397">
        <v>538000</v>
      </c>
      <c r="F936" s="397">
        <v>470000</v>
      </c>
      <c r="G936" s="260">
        <f>G930-G935</f>
        <v>972000</v>
      </c>
      <c r="H936" s="259" t="s">
        <v>3162</v>
      </c>
      <c r="I936" s="259"/>
      <c r="J936" s="259"/>
      <c r="K936" s="259"/>
    </row>
    <row r="937" spans="2:11" outlineLevel="2">
      <c r="B937" s="395" t="s">
        <v>1458</v>
      </c>
      <c r="C937" s="395" t="s">
        <v>1457</v>
      </c>
      <c r="D937" s="396" t="str">
        <f t="shared" si="31"/>
        <v>588</v>
      </c>
      <c r="E937" s="397">
        <v>0</v>
      </c>
      <c r="F937" s="397">
        <v>0</v>
      </c>
    </row>
    <row r="938" spans="2:11" outlineLevel="2">
      <c r="B938" s="395" t="s">
        <v>1456</v>
      </c>
      <c r="C938" s="395" t="s">
        <v>1455</v>
      </c>
      <c r="D938" s="396" t="str">
        <f t="shared" si="31"/>
        <v>565</v>
      </c>
      <c r="E938" s="397">
        <v>120685.55</v>
      </c>
      <c r="F938" s="397">
        <v>0</v>
      </c>
    </row>
    <row r="939" spans="2:11" outlineLevel="2">
      <c r="B939" s="395" t="s">
        <v>1454</v>
      </c>
      <c r="C939" s="395" t="s">
        <v>1453</v>
      </c>
      <c r="D939" s="396" t="str">
        <f t="shared" si="31"/>
        <v>565</v>
      </c>
      <c r="E939" s="397">
        <v>1211380.28</v>
      </c>
      <c r="F939" s="397">
        <v>13896638.58</v>
      </c>
    </row>
    <row r="940" spans="2:11" outlineLevel="2">
      <c r="B940" s="395" t="s">
        <v>1452</v>
      </c>
      <c r="C940" s="395" t="s">
        <v>1451</v>
      </c>
      <c r="D940" s="396" t="str">
        <f t="shared" si="31"/>
        <v>565</v>
      </c>
      <c r="E940" s="397">
        <v>5092764.49</v>
      </c>
      <c r="F940" s="397">
        <v>0</v>
      </c>
    </row>
    <row r="941" spans="2:11" outlineLevel="2">
      <c r="B941" s="395" t="s">
        <v>1450</v>
      </c>
      <c r="C941" s="395" t="s">
        <v>1449</v>
      </c>
      <c r="D941" s="396" t="str">
        <f t="shared" si="31"/>
        <v>565</v>
      </c>
      <c r="E941" s="397">
        <v>0</v>
      </c>
      <c r="F941" s="397">
        <v>0</v>
      </c>
    </row>
    <row r="942" spans="2:11" outlineLevel="2">
      <c r="B942" s="395" t="s">
        <v>3341</v>
      </c>
      <c r="C942" s="395" t="s">
        <v>3342</v>
      </c>
      <c r="D942" s="396" t="str">
        <f t="shared" si="31"/>
        <v>565</v>
      </c>
      <c r="E942" s="397">
        <v>4245711.17</v>
      </c>
      <c r="F942" s="397">
        <v>0</v>
      </c>
    </row>
    <row r="943" spans="2:11" outlineLevel="2">
      <c r="B943" s="395" t="s">
        <v>1448</v>
      </c>
      <c r="C943" s="395" t="s">
        <v>1447</v>
      </c>
      <c r="D943" s="396" t="str">
        <f t="shared" si="31"/>
        <v>565</v>
      </c>
      <c r="E943" s="397">
        <v>1922098.8</v>
      </c>
      <c r="F943" s="397">
        <v>0</v>
      </c>
    </row>
    <row r="944" spans="2:11" outlineLevel="2">
      <c r="B944" s="395" t="s">
        <v>1446</v>
      </c>
      <c r="C944" s="395" t="s">
        <v>1445</v>
      </c>
      <c r="D944" s="396" t="str">
        <f t="shared" si="31"/>
        <v>565</v>
      </c>
      <c r="E944" s="397">
        <v>12885749.75</v>
      </c>
      <c r="F944" s="397">
        <v>9733958.5099999998</v>
      </c>
    </row>
    <row r="945" spans="2:6" outlineLevel="2">
      <c r="B945" s="395" t="s">
        <v>3343</v>
      </c>
      <c r="C945" s="395" t="s">
        <v>3344</v>
      </c>
      <c r="D945" s="396" t="str">
        <f t="shared" si="31"/>
        <v>565</v>
      </c>
      <c r="E945" s="397">
        <v>0</v>
      </c>
      <c r="F945" s="397">
        <v>0</v>
      </c>
    </row>
    <row r="946" spans="2:6" outlineLevel="2">
      <c r="B946" s="395" t="s">
        <v>3345</v>
      </c>
      <c r="C946" s="395" t="s">
        <v>3346</v>
      </c>
      <c r="D946" s="396" t="str">
        <f t="shared" si="31"/>
        <v>565</v>
      </c>
      <c r="E946" s="397">
        <v>0</v>
      </c>
      <c r="F946" s="397">
        <v>0</v>
      </c>
    </row>
    <row r="947" spans="2:6" outlineLevel="2">
      <c r="B947" s="395" t="s">
        <v>3347</v>
      </c>
      <c r="C947" s="395" t="s">
        <v>3348</v>
      </c>
      <c r="D947" s="396" t="str">
        <f t="shared" si="31"/>
        <v>565</v>
      </c>
      <c r="E947" s="397">
        <v>0</v>
      </c>
      <c r="F947" s="397">
        <v>0</v>
      </c>
    </row>
    <row r="948" spans="2:6" outlineLevel="2">
      <c r="B948" s="395" t="s">
        <v>3349</v>
      </c>
      <c r="C948" s="395" t="s">
        <v>3350</v>
      </c>
      <c r="D948" s="396" t="str">
        <f t="shared" si="31"/>
        <v>565</v>
      </c>
      <c r="E948" s="397">
        <v>0</v>
      </c>
      <c r="F948" s="397">
        <v>0</v>
      </c>
    </row>
    <row r="949" spans="2:6" outlineLevel="2">
      <c r="B949" s="395" t="s">
        <v>1444</v>
      </c>
      <c r="C949" s="395" t="s">
        <v>1443</v>
      </c>
      <c r="D949" s="396" t="str">
        <f t="shared" si="31"/>
        <v>565</v>
      </c>
      <c r="E949" s="397">
        <v>0</v>
      </c>
      <c r="F949" s="397">
        <v>0</v>
      </c>
    </row>
    <row r="950" spans="2:6" outlineLevel="2">
      <c r="B950" s="395" t="s">
        <v>1442</v>
      </c>
      <c r="C950" s="395" t="s">
        <v>1441</v>
      </c>
      <c r="D950" s="396" t="str">
        <f t="shared" si="31"/>
        <v>565</v>
      </c>
      <c r="E950" s="397">
        <v>20665.29</v>
      </c>
      <c r="F950" s="397">
        <v>13047.28</v>
      </c>
    </row>
    <row r="951" spans="2:6" outlineLevel="2">
      <c r="B951" s="395" t="s">
        <v>1440</v>
      </c>
      <c r="C951" s="395" t="s">
        <v>1439</v>
      </c>
      <c r="D951" s="396" t="str">
        <f t="shared" si="31"/>
        <v>565</v>
      </c>
      <c r="E951" s="397">
        <v>38</v>
      </c>
      <c r="F951" s="397">
        <v>0</v>
      </c>
    </row>
    <row r="952" spans="2:6" outlineLevel="2">
      <c r="B952" s="395" t="s">
        <v>1438</v>
      </c>
      <c r="C952" s="395" t="s">
        <v>1437</v>
      </c>
      <c r="D952" s="396" t="str">
        <f t="shared" si="31"/>
        <v>565</v>
      </c>
      <c r="E952" s="397">
        <v>0</v>
      </c>
      <c r="F952" s="397">
        <v>-18739</v>
      </c>
    </row>
    <row r="953" spans="2:6" outlineLevel="2">
      <c r="B953" s="395" t="s">
        <v>1436</v>
      </c>
      <c r="C953" s="395" t="s">
        <v>1435</v>
      </c>
      <c r="D953" s="396" t="str">
        <f t="shared" si="31"/>
        <v>565</v>
      </c>
      <c r="E953" s="397">
        <v>0</v>
      </c>
      <c r="F953" s="397">
        <v>0</v>
      </c>
    </row>
    <row r="954" spans="2:6" outlineLevel="2">
      <c r="B954" s="395" t="s">
        <v>1434</v>
      </c>
      <c r="C954" s="395" t="s">
        <v>1433</v>
      </c>
      <c r="D954" s="396" t="str">
        <f t="shared" si="31"/>
        <v>588</v>
      </c>
      <c r="E954" s="397">
        <v>488812.54</v>
      </c>
      <c r="F954" s="397">
        <v>391685.93</v>
      </c>
    </row>
    <row r="955" spans="2:6" outlineLevel="2">
      <c r="B955" s="395" t="s">
        <v>1432</v>
      </c>
      <c r="C955" s="395" t="s">
        <v>1431</v>
      </c>
      <c r="D955" s="396" t="str">
        <f t="shared" si="31"/>
        <v>565</v>
      </c>
      <c r="E955" s="397">
        <v>380288.64</v>
      </c>
      <c r="F955" s="397">
        <v>243803.18</v>
      </c>
    </row>
    <row r="956" spans="2:6" outlineLevel="2">
      <c r="B956" s="395" t="s">
        <v>1430</v>
      </c>
      <c r="C956" s="395" t="s">
        <v>1429</v>
      </c>
      <c r="D956" s="396" t="str">
        <f t="shared" si="31"/>
        <v>565</v>
      </c>
      <c r="E956" s="397">
        <v>0</v>
      </c>
      <c r="F956" s="397">
        <v>-1026379.39</v>
      </c>
    </row>
    <row r="957" spans="2:6" outlineLevel="2">
      <c r="B957" s="395" t="s">
        <v>1428</v>
      </c>
      <c r="C957" s="395" t="s">
        <v>1427</v>
      </c>
      <c r="D957" s="396" t="str">
        <f t="shared" si="31"/>
        <v>565</v>
      </c>
      <c r="E957" s="397">
        <v>1674588.39</v>
      </c>
      <c r="F957" s="397">
        <v>5792039.1900000004</v>
      </c>
    </row>
    <row r="958" spans="2:6" outlineLevel="2">
      <c r="B958" s="395" t="s">
        <v>1426</v>
      </c>
      <c r="C958" s="395" t="s">
        <v>1425</v>
      </c>
      <c r="D958" s="396" t="str">
        <f t="shared" si="31"/>
        <v>565</v>
      </c>
      <c r="E958" s="397">
        <v>15193.83</v>
      </c>
      <c r="F958" s="397">
        <v>25086.87</v>
      </c>
    </row>
    <row r="959" spans="2:6" outlineLevel="2">
      <c r="B959" s="395" t="s">
        <v>1424</v>
      </c>
      <c r="C959" s="395" t="s">
        <v>1423</v>
      </c>
      <c r="D959" s="396" t="str">
        <f t="shared" si="31"/>
        <v>565</v>
      </c>
      <c r="E959" s="397">
        <v>146967.96</v>
      </c>
      <c r="F959" s="397">
        <v>106273.38</v>
      </c>
    </row>
    <row r="960" spans="2:6" outlineLevel="2">
      <c r="B960" s="395" t="s">
        <v>1422</v>
      </c>
      <c r="C960" s="395" t="s">
        <v>1421</v>
      </c>
      <c r="D960" s="396" t="str">
        <f t="shared" si="31"/>
        <v>565</v>
      </c>
      <c r="E960" s="397">
        <v>0</v>
      </c>
      <c r="F960" s="397">
        <v>0</v>
      </c>
    </row>
    <row r="961" spans="2:6" outlineLevel="2">
      <c r="B961" s="395" t="s">
        <v>1420</v>
      </c>
      <c r="C961" s="395" t="s">
        <v>1419</v>
      </c>
      <c r="D961" s="396" t="str">
        <f t="shared" si="31"/>
        <v>565</v>
      </c>
      <c r="E961" s="397">
        <v>0</v>
      </c>
      <c r="F961" s="397">
        <v>0</v>
      </c>
    </row>
    <row r="962" spans="2:6" outlineLevel="2">
      <c r="B962" s="395" t="s">
        <v>1418</v>
      </c>
      <c r="C962" s="395" t="s">
        <v>1417</v>
      </c>
      <c r="D962" s="396" t="str">
        <f t="shared" si="31"/>
        <v>565</v>
      </c>
      <c r="E962" s="397">
        <v>0</v>
      </c>
      <c r="F962" s="397">
        <v>0</v>
      </c>
    </row>
    <row r="963" spans="2:6" outlineLevel="2">
      <c r="B963" s="395" t="s">
        <v>3351</v>
      </c>
      <c r="C963" s="395" t="s">
        <v>3352</v>
      </c>
      <c r="D963" s="396" t="str">
        <f t="shared" si="31"/>
        <v>565</v>
      </c>
      <c r="E963" s="397">
        <v>0</v>
      </c>
      <c r="F963" s="397">
        <v>0</v>
      </c>
    </row>
    <row r="964" spans="2:6" outlineLevel="2">
      <c r="B964" s="395" t="s">
        <v>3353</v>
      </c>
      <c r="C964" s="395" t="s">
        <v>3354</v>
      </c>
      <c r="D964" s="396" t="str">
        <f t="shared" si="31"/>
        <v>565</v>
      </c>
      <c r="E964" s="397">
        <v>-510233.09</v>
      </c>
      <c r="F964" s="397">
        <v>0</v>
      </c>
    </row>
    <row r="965" spans="2:6" outlineLevel="2">
      <c r="B965" s="395" t="s">
        <v>1416</v>
      </c>
      <c r="C965" s="395" t="s">
        <v>1415</v>
      </c>
      <c r="D965" s="396" t="str">
        <f t="shared" si="31"/>
        <v>565</v>
      </c>
      <c r="E965" s="397">
        <v>53163.15</v>
      </c>
      <c r="F965" s="397">
        <v>0</v>
      </c>
    </row>
    <row r="966" spans="2:6" outlineLevel="2">
      <c r="B966" s="395" t="s">
        <v>1414</v>
      </c>
      <c r="C966" s="395" t="s">
        <v>1413</v>
      </c>
      <c r="D966" s="396" t="str">
        <f t="shared" si="31"/>
        <v>565</v>
      </c>
      <c r="E966" s="397">
        <v>5310535.09</v>
      </c>
      <c r="F966" s="397">
        <v>1980441.49</v>
      </c>
    </row>
    <row r="967" spans="2:6" outlineLevel="2">
      <c r="B967" s="395" t="s">
        <v>1412</v>
      </c>
      <c r="C967" s="395" t="s">
        <v>1411</v>
      </c>
      <c r="D967" s="396" t="str">
        <f t="shared" si="31"/>
        <v>565</v>
      </c>
      <c r="E967" s="397">
        <v>-433004.07</v>
      </c>
      <c r="F967" s="397">
        <v>0</v>
      </c>
    </row>
    <row r="968" spans="2:6" outlineLevel="2">
      <c r="B968" s="395" t="s">
        <v>3355</v>
      </c>
      <c r="C968" s="395" t="s">
        <v>3356</v>
      </c>
      <c r="D968" s="396" t="str">
        <f t="shared" si="31"/>
        <v>565</v>
      </c>
      <c r="E968" s="397">
        <v>217571.68</v>
      </c>
      <c r="F968" s="397">
        <v>0</v>
      </c>
    </row>
    <row r="969" spans="2:6" outlineLevel="2">
      <c r="B969" s="395" t="s">
        <v>3357</v>
      </c>
      <c r="C969" s="395" t="s">
        <v>3358</v>
      </c>
      <c r="D969" s="396" t="str">
        <f t="shared" si="31"/>
        <v>565</v>
      </c>
      <c r="E969" s="397">
        <v>326485.88</v>
      </c>
      <c r="F969" s="397">
        <v>0</v>
      </c>
    </row>
    <row r="970" spans="2:6" outlineLevel="2">
      <c r="B970" s="395" t="s">
        <v>3359</v>
      </c>
      <c r="C970" s="395" t="s">
        <v>3360</v>
      </c>
      <c r="D970" s="396" t="str">
        <f t="shared" si="31"/>
        <v>565</v>
      </c>
      <c r="E970" s="397">
        <v>71337.3</v>
      </c>
      <c r="F970" s="397">
        <v>0</v>
      </c>
    </row>
    <row r="971" spans="2:6" outlineLevel="2">
      <c r="B971" s="395" t="s">
        <v>3361</v>
      </c>
      <c r="C971" s="395" t="s">
        <v>3362</v>
      </c>
      <c r="D971" s="396" t="str">
        <f t="shared" si="31"/>
        <v>565</v>
      </c>
      <c r="E971" s="397">
        <v>43916.92</v>
      </c>
      <c r="F971" s="397">
        <v>0</v>
      </c>
    </row>
    <row r="972" spans="2:6" outlineLevel="2">
      <c r="B972" s="395" t="s">
        <v>3363</v>
      </c>
      <c r="C972" s="395" t="s">
        <v>3364</v>
      </c>
      <c r="D972" s="396" t="str">
        <f t="shared" si="31"/>
        <v>565</v>
      </c>
      <c r="E972" s="397">
        <v>0</v>
      </c>
      <c r="F972" s="397">
        <v>0</v>
      </c>
    </row>
    <row r="973" spans="2:6" outlineLevel="2">
      <c r="B973" s="395" t="s">
        <v>3365</v>
      </c>
      <c r="C973" s="395" t="s">
        <v>3366</v>
      </c>
      <c r="D973" s="396" t="str">
        <f t="shared" si="31"/>
        <v>565</v>
      </c>
      <c r="E973" s="397">
        <v>47348.39</v>
      </c>
      <c r="F973" s="397">
        <v>0</v>
      </c>
    </row>
    <row r="974" spans="2:6" outlineLevel="2">
      <c r="B974" s="395" t="s">
        <v>1410</v>
      </c>
      <c r="C974" s="395" t="s">
        <v>1409</v>
      </c>
      <c r="D974" s="396" t="str">
        <f t="shared" si="31"/>
        <v>565</v>
      </c>
      <c r="E974" s="397">
        <v>0</v>
      </c>
      <c r="F974" s="397">
        <v>0</v>
      </c>
    </row>
    <row r="975" spans="2:6" outlineLevel="2">
      <c r="B975" s="395" t="s">
        <v>1408</v>
      </c>
      <c r="C975" s="395" t="s">
        <v>1407</v>
      </c>
      <c r="D975" s="396" t="str">
        <f t="shared" si="31"/>
        <v>565</v>
      </c>
      <c r="E975" s="397">
        <v>0</v>
      </c>
      <c r="F975" s="397">
        <v>0</v>
      </c>
    </row>
    <row r="976" spans="2:6" outlineLevel="2">
      <c r="B976" s="395" t="s">
        <v>1406</v>
      </c>
      <c r="C976" s="395" t="s">
        <v>1405</v>
      </c>
      <c r="D976" s="396" t="str">
        <f t="shared" si="31"/>
        <v>565</v>
      </c>
      <c r="E976" s="397">
        <v>0</v>
      </c>
      <c r="F976" s="397">
        <v>0</v>
      </c>
    </row>
    <row r="977" spans="2:6" outlineLevel="2">
      <c r="B977" s="395" t="s">
        <v>1404</v>
      </c>
      <c r="C977" s="395" t="s">
        <v>1403</v>
      </c>
      <c r="D977" s="396" t="str">
        <f t="shared" si="31"/>
        <v>565</v>
      </c>
      <c r="E977" s="397">
        <v>0</v>
      </c>
      <c r="F977" s="397">
        <v>0</v>
      </c>
    </row>
    <row r="978" spans="2:6" outlineLevel="2">
      <c r="B978" s="395" t="s">
        <v>1402</v>
      </c>
      <c r="C978" s="395" t="s">
        <v>1401</v>
      </c>
      <c r="D978" s="396" t="str">
        <f t="shared" si="31"/>
        <v>565</v>
      </c>
      <c r="E978" s="397">
        <v>0</v>
      </c>
      <c r="F978" s="397">
        <v>0</v>
      </c>
    </row>
    <row r="979" spans="2:6" outlineLevel="2">
      <c r="B979" s="395" t="s">
        <v>1400</v>
      </c>
      <c r="C979" s="395" t="s">
        <v>1399</v>
      </c>
      <c r="D979" s="396" t="str">
        <f t="shared" si="31"/>
        <v>565</v>
      </c>
      <c r="E979" s="397">
        <v>0</v>
      </c>
      <c r="F979" s="397">
        <v>0</v>
      </c>
    </row>
    <row r="980" spans="2:6" outlineLevel="2">
      <c r="B980" s="395" t="s">
        <v>1398</v>
      </c>
      <c r="C980" s="395" t="s">
        <v>1397</v>
      </c>
      <c r="D980" s="396" t="str">
        <f t="shared" si="31"/>
        <v>565</v>
      </c>
      <c r="E980" s="397">
        <v>0</v>
      </c>
      <c r="F980" s="397">
        <v>0</v>
      </c>
    </row>
    <row r="981" spans="2:6" outlineLevel="2">
      <c r="B981" s="395" t="s">
        <v>1396</v>
      </c>
      <c r="C981" s="395" t="s">
        <v>1395</v>
      </c>
      <c r="D981" s="396" t="str">
        <f t="shared" si="31"/>
        <v>588</v>
      </c>
      <c r="E981" s="397">
        <v>0</v>
      </c>
      <c r="F981" s="397">
        <v>0</v>
      </c>
    </row>
    <row r="982" spans="2:6" outlineLevel="2">
      <c r="B982" s="395" t="s">
        <v>1394</v>
      </c>
      <c r="C982" s="395" t="s">
        <v>1393</v>
      </c>
      <c r="D982" s="396" t="str">
        <f t="shared" si="31"/>
        <v>588</v>
      </c>
      <c r="E982" s="397">
        <v>0</v>
      </c>
      <c r="F982" s="397">
        <v>0</v>
      </c>
    </row>
    <row r="983" spans="2:6" outlineLevel="2">
      <c r="B983" s="395" t="s">
        <v>1392</v>
      </c>
      <c r="C983" s="395" t="s">
        <v>1391</v>
      </c>
      <c r="D983" s="396" t="str">
        <f t="shared" si="31"/>
        <v>565</v>
      </c>
      <c r="E983" s="397">
        <v>0</v>
      </c>
      <c r="F983" s="397">
        <v>228513.21</v>
      </c>
    </row>
    <row r="984" spans="2:6" outlineLevel="2">
      <c r="B984" s="395" t="s">
        <v>1390</v>
      </c>
      <c r="C984" s="395" t="s">
        <v>1389</v>
      </c>
      <c r="D984" s="396" t="str">
        <f t="shared" ref="D984:D996" si="32">RIGHT(C984,3)</f>
        <v>588</v>
      </c>
      <c r="E984" s="397">
        <v>0</v>
      </c>
      <c r="F984" s="397">
        <v>117919</v>
      </c>
    </row>
    <row r="985" spans="2:6" outlineLevel="2">
      <c r="B985" s="395" t="s">
        <v>1388</v>
      </c>
      <c r="C985" s="395" t="s">
        <v>1387</v>
      </c>
      <c r="D985" s="396" t="str">
        <f t="shared" si="32"/>
        <v>565</v>
      </c>
      <c r="E985" s="397">
        <v>-34.68</v>
      </c>
      <c r="F985" s="397">
        <v>-4636.17</v>
      </c>
    </row>
    <row r="986" spans="2:6" outlineLevel="2">
      <c r="B986" s="395" t="s">
        <v>1386</v>
      </c>
      <c r="C986" s="395" t="s">
        <v>1385</v>
      </c>
      <c r="D986" s="396" t="str">
        <f t="shared" si="32"/>
        <v>565</v>
      </c>
      <c r="E986" s="397">
        <v>0</v>
      </c>
      <c r="F986" s="397">
        <v>0</v>
      </c>
    </row>
    <row r="987" spans="2:6" outlineLevel="2">
      <c r="B987" s="395" t="s">
        <v>1384</v>
      </c>
      <c r="C987" s="395" t="s">
        <v>1383</v>
      </c>
      <c r="D987" s="396" t="str">
        <f t="shared" si="32"/>
        <v>588</v>
      </c>
      <c r="E987" s="397">
        <v>0</v>
      </c>
      <c r="F987" s="397">
        <v>0</v>
      </c>
    </row>
    <row r="988" spans="2:6" outlineLevel="2">
      <c r="B988" s="395" t="s">
        <v>1382</v>
      </c>
      <c r="C988" s="395" t="s">
        <v>1381</v>
      </c>
      <c r="D988" s="396" t="str">
        <f t="shared" si="32"/>
        <v>565</v>
      </c>
      <c r="E988" s="397">
        <v>48426.96</v>
      </c>
      <c r="F988" s="397">
        <v>130053.21</v>
      </c>
    </row>
    <row r="989" spans="2:6" outlineLevel="2">
      <c r="B989" s="395" t="s">
        <v>1380</v>
      </c>
      <c r="C989" s="395" t="s">
        <v>1379</v>
      </c>
      <c r="D989" s="396" t="str">
        <f t="shared" si="32"/>
        <v>588</v>
      </c>
      <c r="E989" s="397">
        <v>17865</v>
      </c>
      <c r="F989" s="397">
        <v>42772</v>
      </c>
    </row>
    <row r="990" spans="2:6" outlineLevel="2">
      <c r="B990" s="395" t="s">
        <v>1378</v>
      </c>
      <c r="C990" s="395" t="s">
        <v>1377</v>
      </c>
      <c r="D990" s="396" t="str">
        <f t="shared" si="32"/>
        <v>565</v>
      </c>
      <c r="E990" s="397">
        <v>36860.629999999997</v>
      </c>
      <c r="F990" s="397">
        <v>99796.41</v>
      </c>
    </row>
    <row r="991" spans="2:6" outlineLevel="2">
      <c r="B991" s="395" t="s">
        <v>1376</v>
      </c>
      <c r="C991" s="395" t="s">
        <v>1375</v>
      </c>
      <c r="D991" s="396" t="str">
        <f t="shared" si="32"/>
        <v>588</v>
      </c>
      <c r="E991" s="397">
        <v>6640</v>
      </c>
      <c r="F991" s="397">
        <v>15807</v>
      </c>
    </row>
    <row r="992" spans="2:6" outlineLevel="2">
      <c r="B992" s="395" t="s">
        <v>1374</v>
      </c>
      <c r="C992" s="395" t="s">
        <v>1373</v>
      </c>
      <c r="D992" s="396" t="str">
        <f t="shared" si="32"/>
        <v>565</v>
      </c>
      <c r="E992" s="397">
        <v>5769.57</v>
      </c>
      <c r="F992" s="397">
        <v>15536.76</v>
      </c>
    </row>
    <row r="993" spans="2:6" outlineLevel="2">
      <c r="B993" s="395" t="s">
        <v>1372</v>
      </c>
      <c r="C993" s="395" t="s">
        <v>1371</v>
      </c>
      <c r="D993" s="396" t="str">
        <f t="shared" si="32"/>
        <v>588</v>
      </c>
      <c r="E993" s="397">
        <v>8215</v>
      </c>
      <c r="F993" s="397">
        <v>19537</v>
      </c>
    </row>
    <row r="994" spans="2:6" outlineLevel="2">
      <c r="B994" s="395" t="s">
        <v>1370</v>
      </c>
      <c r="C994" s="395" t="s">
        <v>1369</v>
      </c>
      <c r="D994" s="396" t="str">
        <f t="shared" si="32"/>
        <v>565</v>
      </c>
      <c r="E994" s="397">
        <v>0</v>
      </c>
      <c r="F994" s="397">
        <v>0</v>
      </c>
    </row>
    <row r="995" spans="2:6" outlineLevel="2">
      <c r="B995" s="395" t="s">
        <v>1368</v>
      </c>
      <c r="C995" s="395" t="s">
        <v>1367</v>
      </c>
      <c r="D995" s="396" t="str">
        <f t="shared" si="32"/>
        <v>588</v>
      </c>
      <c r="E995" s="397">
        <v>0</v>
      </c>
      <c r="F995" s="397">
        <v>0</v>
      </c>
    </row>
    <row r="996" spans="2:6" outlineLevel="2">
      <c r="B996" s="395" t="s">
        <v>1366</v>
      </c>
      <c r="C996" s="395" t="s">
        <v>1365</v>
      </c>
      <c r="D996" s="396" t="str">
        <f t="shared" si="32"/>
        <v>565</v>
      </c>
      <c r="E996" s="397">
        <v>0</v>
      </c>
      <c r="F996" s="397">
        <v>0</v>
      </c>
    </row>
    <row r="997" spans="2:6" outlineLevel="2"/>
    <row r="998" spans="2:6" outlineLevel="1">
      <c r="E998" s="397">
        <v>42863217.059999995</v>
      </c>
      <c r="F998" s="397">
        <v>37212802.359999992</v>
      </c>
    </row>
    <row r="999" spans="2:6" outlineLevel="1">
      <c r="B999" s="395" t="s">
        <v>1364</v>
      </c>
      <c r="D999" s="396" t="str">
        <f t="shared" ref="D999:D1048" si="33">RIGHT(C999,3)</f>
        <v/>
      </c>
    </row>
    <row r="1000" spans="2:6" outlineLevel="2">
      <c r="B1000" s="395" t="s">
        <v>1363</v>
      </c>
      <c r="C1000" s="395" t="s">
        <v>1362</v>
      </c>
      <c r="D1000" s="396" t="str">
        <f t="shared" si="33"/>
        <v>408</v>
      </c>
      <c r="E1000" s="397">
        <v>0</v>
      </c>
      <c r="F1000" s="397">
        <v>0</v>
      </c>
    </row>
    <row r="1001" spans="2:6" outlineLevel="2">
      <c r="B1001" s="395" t="s">
        <v>1361</v>
      </c>
      <c r="C1001" s="395" t="s">
        <v>1360</v>
      </c>
      <c r="D1001" s="396" t="str">
        <f t="shared" si="33"/>
        <v>408</v>
      </c>
      <c r="E1001" s="397">
        <v>0</v>
      </c>
      <c r="F1001" s="397">
        <v>0</v>
      </c>
    </row>
    <row r="1002" spans="2:6" outlineLevel="2">
      <c r="B1002" s="395" t="s">
        <v>1359</v>
      </c>
      <c r="C1002" s="395" t="s">
        <v>1358</v>
      </c>
      <c r="D1002" s="396" t="str">
        <f t="shared" si="33"/>
        <v>908</v>
      </c>
      <c r="E1002" s="397">
        <v>0</v>
      </c>
      <c r="F1002" s="397">
        <v>0</v>
      </c>
    </row>
    <row r="1003" spans="2:6" outlineLevel="2">
      <c r="B1003" s="395" t="s">
        <v>1357</v>
      </c>
      <c r="C1003" s="395" t="s">
        <v>1356</v>
      </c>
      <c r="D1003" s="396" t="str">
        <f t="shared" si="33"/>
        <v>908</v>
      </c>
      <c r="E1003" s="397">
        <v>257.5</v>
      </c>
      <c r="F1003" s="397">
        <v>300.98</v>
      </c>
    </row>
    <row r="1004" spans="2:6" outlineLevel="2">
      <c r="B1004" s="395" t="s">
        <v>1355</v>
      </c>
      <c r="C1004" s="395" t="s">
        <v>1354</v>
      </c>
      <c r="D1004" s="396" t="str">
        <f t="shared" si="33"/>
        <v>421</v>
      </c>
      <c r="E1004" s="397">
        <v>0</v>
      </c>
      <c r="F1004" s="397">
        <v>0</v>
      </c>
    </row>
    <row r="1005" spans="2:6" outlineLevel="2">
      <c r="B1005" s="395" t="s">
        <v>1353</v>
      </c>
      <c r="C1005" s="395" t="s">
        <v>1352</v>
      </c>
      <c r="D1005" s="396" t="str">
        <f t="shared" si="33"/>
        <v>421</v>
      </c>
      <c r="E1005" s="397">
        <v>-8425</v>
      </c>
      <c r="F1005" s="397">
        <v>4438</v>
      </c>
    </row>
    <row r="1006" spans="2:6" outlineLevel="2">
      <c r="B1006" s="395" t="s">
        <v>1351</v>
      </c>
      <c r="C1006" s="395" t="s">
        <v>1350</v>
      </c>
      <c r="D1006" s="396" t="str">
        <f t="shared" si="33"/>
        <v>417</v>
      </c>
      <c r="E1006" s="397">
        <v>-15000</v>
      </c>
      <c r="F1006" s="397">
        <v>21014.31</v>
      </c>
    </row>
    <row r="1007" spans="2:6" outlineLevel="2">
      <c r="B1007" s="395" t="s">
        <v>1349</v>
      </c>
      <c r="C1007" s="395" t="s">
        <v>1348</v>
      </c>
      <c r="D1007" s="396" t="str">
        <f t="shared" si="33"/>
        <v>417</v>
      </c>
      <c r="E1007" s="397">
        <v>96000</v>
      </c>
      <c r="F1007" s="397">
        <v>97399</v>
      </c>
    </row>
    <row r="1008" spans="2:6" outlineLevel="2">
      <c r="B1008" s="395" t="s">
        <v>1347</v>
      </c>
      <c r="C1008" s="395" t="s">
        <v>1346</v>
      </c>
      <c r="D1008" s="396" t="str">
        <f t="shared" si="33"/>
        <v>417</v>
      </c>
      <c r="E1008" s="397">
        <v>14.98</v>
      </c>
      <c r="F1008" s="397">
        <v>60.1</v>
      </c>
    </row>
    <row r="1009" spans="2:6" outlineLevel="2">
      <c r="B1009" s="395" t="s">
        <v>3367</v>
      </c>
      <c r="C1009" s="395" t="s">
        <v>3368</v>
      </c>
      <c r="D1009" s="396" t="str">
        <f t="shared" si="33"/>
        <v>417</v>
      </c>
      <c r="E1009" s="397">
        <v>-18290.03</v>
      </c>
      <c r="F1009" s="397">
        <v>0</v>
      </c>
    </row>
    <row r="1010" spans="2:6" outlineLevel="2">
      <c r="B1010" s="395" t="s">
        <v>3369</v>
      </c>
      <c r="C1010" s="395" t="s">
        <v>3370</v>
      </c>
      <c r="D1010" s="396" t="str">
        <f t="shared" si="33"/>
        <v>417</v>
      </c>
      <c r="E1010" s="397">
        <v>-378887.02</v>
      </c>
      <c r="F1010" s="397">
        <v>0</v>
      </c>
    </row>
    <row r="1011" spans="2:6" outlineLevel="2">
      <c r="B1011" s="395" t="s">
        <v>1345</v>
      </c>
      <c r="C1011" s="395" t="s">
        <v>1344</v>
      </c>
      <c r="D1011" s="396" t="str">
        <f t="shared" si="33"/>
        <v>417</v>
      </c>
      <c r="E1011" s="397">
        <v>4127.3999999999996</v>
      </c>
      <c r="F1011" s="397">
        <v>-51267.199999999997</v>
      </c>
    </row>
    <row r="1012" spans="2:6" outlineLevel="2">
      <c r="B1012" s="395" t="s">
        <v>1343</v>
      </c>
      <c r="C1012" s="395" t="s">
        <v>1342</v>
      </c>
      <c r="D1012" s="396" t="str">
        <f t="shared" si="33"/>
        <v>417</v>
      </c>
      <c r="E1012" s="397">
        <v>0</v>
      </c>
      <c r="F1012" s="397">
        <v>0</v>
      </c>
    </row>
    <row r="1013" spans="2:6" outlineLevel="2">
      <c r="B1013" s="395" t="s">
        <v>1341</v>
      </c>
      <c r="C1013" s="395" t="s">
        <v>1340</v>
      </c>
      <c r="D1013" s="396" t="str">
        <f t="shared" si="33"/>
        <v>417</v>
      </c>
      <c r="E1013" s="397">
        <v>-142333.45000000001</v>
      </c>
      <c r="F1013" s="397">
        <v>-168226.23</v>
      </c>
    </row>
    <row r="1014" spans="2:6" outlineLevel="2">
      <c r="B1014" s="395" t="s">
        <v>1339</v>
      </c>
      <c r="C1014" s="395" t="s">
        <v>1338</v>
      </c>
      <c r="D1014" s="396" t="str">
        <f t="shared" si="33"/>
        <v>417</v>
      </c>
      <c r="E1014" s="397">
        <v>-757454.92</v>
      </c>
      <c r="F1014" s="397">
        <v>-706603.36</v>
      </c>
    </row>
    <row r="1015" spans="2:6" outlineLevel="2">
      <c r="B1015" s="395" t="s">
        <v>1337</v>
      </c>
      <c r="C1015" s="395" t="s">
        <v>1336</v>
      </c>
      <c r="D1015" s="396" t="str">
        <f t="shared" si="33"/>
        <v>417</v>
      </c>
      <c r="E1015" s="397">
        <v>0</v>
      </c>
      <c r="F1015" s="397">
        <v>0</v>
      </c>
    </row>
    <row r="1016" spans="2:6" outlineLevel="2">
      <c r="B1016" s="395" t="s">
        <v>1335</v>
      </c>
      <c r="C1016" s="395" t="s">
        <v>1334</v>
      </c>
      <c r="D1016" s="396" t="str">
        <f t="shared" si="33"/>
        <v>417</v>
      </c>
      <c r="E1016" s="397">
        <v>0</v>
      </c>
      <c r="F1016" s="397">
        <v>0</v>
      </c>
    </row>
    <row r="1017" spans="2:6" outlineLevel="2">
      <c r="B1017" s="395" t="s">
        <v>1333</v>
      </c>
      <c r="C1017" s="395" t="s">
        <v>1332</v>
      </c>
      <c r="D1017" s="396" t="str">
        <f t="shared" si="33"/>
        <v>417</v>
      </c>
      <c r="E1017" s="397">
        <v>0</v>
      </c>
      <c r="F1017" s="397">
        <v>0</v>
      </c>
    </row>
    <row r="1018" spans="2:6" outlineLevel="2">
      <c r="B1018" s="395" t="s">
        <v>1331</v>
      </c>
      <c r="C1018" s="395" t="s">
        <v>1330</v>
      </c>
      <c r="D1018" s="396" t="str">
        <f t="shared" si="33"/>
        <v>417</v>
      </c>
      <c r="E1018" s="397">
        <v>0</v>
      </c>
      <c r="F1018" s="397">
        <v>0</v>
      </c>
    </row>
    <row r="1019" spans="2:6" outlineLevel="2">
      <c r="B1019" s="395" t="s">
        <v>1329</v>
      </c>
      <c r="C1019" s="395" t="s">
        <v>1328</v>
      </c>
      <c r="D1019" s="396" t="str">
        <f t="shared" si="33"/>
        <v>417</v>
      </c>
      <c r="E1019" s="397">
        <v>1238727.78</v>
      </c>
      <c r="F1019" s="397">
        <v>1197785.3700000001</v>
      </c>
    </row>
    <row r="1020" spans="2:6" outlineLevel="2">
      <c r="B1020" s="395" t="s">
        <v>1327</v>
      </c>
      <c r="C1020" s="395" t="s">
        <v>1326</v>
      </c>
      <c r="D1020" s="396" t="str">
        <f t="shared" si="33"/>
        <v>417</v>
      </c>
      <c r="E1020" s="397">
        <v>0</v>
      </c>
      <c r="F1020" s="397">
        <v>0</v>
      </c>
    </row>
    <row r="1021" spans="2:6" outlineLevel="2">
      <c r="B1021" s="395" t="s">
        <v>1325</v>
      </c>
      <c r="C1021" s="395" t="s">
        <v>1324</v>
      </c>
      <c r="D1021" s="396" t="str">
        <f t="shared" si="33"/>
        <v>417</v>
      </c>
      <c r="E1021" s="397">
        <v>0</v>
      </c>
      <c r="F1021" s="397">
        <v>0</v>
      </c>
    </row>
    <row r="1022" spans="2:6" outlineLevel="2">
      <c r="B1022" s="395" t="s">
        <v>1323</v>
      </c>
      <c r="C1022" s="395" t="s">
        <v>1322</v>
      </c>
      <c r="D1022" s="396" t="str">
        <f t="shared" si="33"/>
        <v>417</v>
      </c>
      <c r="E1022" s="397">
        <v>0</v>
      </c>
      <c r="F1022" s="397">
        <v>0</v>
      </c>
    </row>
    <row r="1023" spans="2:6" outlineLevel="2">
      <c r="B1023" s="395" t="s">
        <v>1321</v>
      </c>
      <c r="C1023" s="395" t="s">
        <v>1320</v>
      </c>
      <c r="D1023" s="396" t="str">
        <f t="shared" si="33"/>
        <v>417</v>
      </c>
      <c r="E1023" s="397">
        <v>0</v>
      </c>
      <c r="F1023" s="397">
        <v>0</v>
      </c>
    </row>
    <row r="1024" spans="2:6" outlineLevel="2">
      <c r="B1024" s="395" t="s">
        <v>1319</v>
      </c>
      <c r="C1024" s="395" t="s">
        <v>1318</v>
      </c>
      <c r="D1024" s="396" t="str">
        <f t="shared" si="33"/>
        <v>417</v>
      </c>
      <c r="E1024" s="397">
        <v>0</v>
      </c>
      <c r="F1024" s="397">
        <v>0</v>
      </c>
    </row>
    <row r="1025" spans="2:6" outlineLevel="2">
      <c r="B1025" s="395" t="s">
        <v>1317</v>
      </c>
      <c r="C1025" s="395" t="s">
        <v>1316</v>
      </c>
      <c r="D1025" s="396" t="str">
        <f t="shared" si="33"/>
        <v>417</v>
      </c>
      <c r="E1025" s="397">
        <v>0</v>
      </c>
      <c r="F1025" s="397">
        <v>0</v>
      </c>
    </row>
    <row r="1026" spans="2:6" outlineLevel="2">
      <c r="B1026" s="395" t="s">
        <v>1315</v>
      </c>
      <c r="C1026" s="395" t="s">
        <v>1314</v>
      </c>
      <c r="D1026" s="396" t="str">
        <f t="shared" si="33"/>
        <v>417</v>
      </c>
      <c r="E1026" s="397">
        <v>0</v>
      </c>
      <c r="F1026" s="397">
        <v>0</v>
      </c>
    </row>
    <row r="1027" spans="2:6" outlineLevel="2">
      <c r="B1027" s="395" t="s">
        <v>1313</v>
      </c>
      <c r="C1027" s="395" t="s">
        <v>1312</v>
      </c>
      <c r="D1027" s="396" t="str">
        <f t="shared" si="33"/>
        <v>417</v>
      </c>
      <c r="E1027" s="397">
        <v>0</v>
      </c>
      <c r="F1027" s="397">
        <v>0</v>
      </c>
    </row>
    <row r="1028" spans="2:6" outlineLevel="2">
      <c r="B1028" s="395" t="s">
        <v>1311</v>
      </c>
      <c r="C1028" s="395" t="s">
        <v>1310</v>
      </c>
      <c r="D1028" s="396" t="str">
        <f t="shared" si="33"/>
        <v>417</v>
      </c>
      <c r="E1028" s="397">
        <v>0</v>
      </c>
      <c r="F1028" s="397">
        <v>0</v>
      </c>
    </row>
    <row r="1029" spans="2:6" outlineLevel="2">
      <c r="B1029" s="395" t="s">
        <v>1309</v>
      </c>
      <c r="C1029" s="395" t="s">
        <v>1308</v>
      </c>
      <c r="D1029" s="396" t="str">
        <f t="shared" si="33"/>
        <v>417</v>
      </c>
      <c r="E1029" s="397">
        <v>0</v>
      </c>
      <c r="F1029" s="397">
        <v>0</v>
      </c>
    </row>
    <row r="1030" spans="2:6" outlineLevel="2">
      <c r="B1030" s="395" t="s">
        <v>1307</v>
      </c>
      <c r="C1030" s="395" t="s">
        <v>1306</v>
      </c>
      <c r="D1030" s="396" t="str">
        <f t="shared" si="33"/>
        <v>417</v>
      </c>
      <c r="E1030" s="397">
        <v>757454.92</v>
      </c>
      <c r="F1030" s="397">
        <v>706603.36</v>
      </c>
    </row>
    <row r="1031" spans="2:6" outlineLevel="2">
      <c r="B1031" s="395" t="s">
        <v>1305</v>
      </c>
      <c r="C1031" s="395" t="s">
        <v>1304</v>
      </c>
      <c r="D1031" s="396" t="str">
        <f t="shared" si="33"/>
        <v>417</v>
      </c>
      <c r="E1031" s="397">
        <v>0</v>
      </c>
      <c r="F1031" s="397">
        <v>0</v>
      </c>
    </row>
    <row r="1032" spans="2:6" outlineLevel="2">
      <c r="B1032" s="395" t="s">
        <v>1303</v>
      </c>
      <c r="C1032" s="395" t="s">
        <v>1302</v>
      </c>
      <c r="D1032" s="396" t="str">
        <f t="shared" si="33"/>
        <v>417</v>
      </c>
      <c r="E1032" s="397">
        <v>0</v>
      </c>
      <c r="F1032" s="397">
        <v>0</v>
      </c>
    </row>
    <row r="1033" spans="2:6" outlineLevel="2">
      <c r="B1033" s="395" t="s">
        <v>1301</v>
      </c>
      <c r="C1033" s="395" t="s">
        <v>1300</v>
      </c>
      <c r="D1033" s="396" t="str">
        <f t="shared" si="33"/>
        <v>417</v>
      </c>
      <c r="E1033" s="397">
        <v>0</v>
      </c>
      <c r="F1033" s="397">
        <v>0</v>
      </c>
    </row>
    <row r="1034" spans="2:6" outlineLevel="2">
      <c r="B1034" s="395" t="s">
        <v>1299</v>
      </c>
      <c r="C1034" s="395" t="s">
        <v>1298</v>
      </c>
      <c r="D1034" s="396" t="str">
        <f t="shared" si="33"/>
        <v>417</v>
      </c>
      <c r="E1034" s="397">
        <v>0</v>
      </c>
      <c r="F1034" s="397">
        <v>0</v>
      </c>
    </row>
    <row r="1035" spans="2:6" outlineLevel="2">
      <c r="B1035" s="395" t="s">
        <v>1297</v>
      </c>
      <c r="C1035" s="395" t="s">
        <v>1296</v>
      </c>
      <c r="D1035" s="396" t="str">
        <f t="shared" si="33"/>
        <v>417</v>
      </c>
      <c r="E1035" s="397">
        <v>0</v>
      </c>
      <c r="F1035" s="397">
        <v>0</v>
      </c>
    </row>
    <row r="1036" spans="2:6" outlineLevel="2">
      <c r="B1036" s="395" t="s">
        <v>1295</v>
      </c>
      <c r="C1036" s="395" t="s">
        <v>1294</v>
      </c>
      <c r="D1036" s="396" t="str">
        <f t="shared" si="33"/>
        <v>417</v>
      </c>
      <c r="E1036" s="397">
        <v>0</v>
      </c>
      <c r="F1036" s="397">
        <v>0</v>
      </c>
    </row>
    <row r="1037" spans="2:6" outlineLevel="2">
      <c r="B1037" s="395" t="s">
        <v>1293</v>
      </c>
      <c r="C1037" s="395" t="s">
        <v>1292</v>
      </c>
      <c r="D1037" s="396" t="str">
        <f t="shared" si="33"/>
        <v>417</v>
      </c>
      <c r="E1037" s="397">
        <v>-142692.70000000001</v>
      </c>
      <c r="F1037" s="397">
        <v>-120589.33</v>
      </c>
    </row>
    <row r="1038" spans="2:6" outlineLevel="2">
      <c r="B1038" s="395" t="s">
        <v>1291</v>
      </c>
      <c r="C1038" s="395" t="s">
        <v>1290</v>
      </c>
      <c r="D1038" s="396" t="str">
        <f t="shared" si="33"/>
        <v>417</v>
      </c>
      <c r="E1038" s="397">
        <v>0</v>
      </c>
      <c r="F1038" s="397">
        <v>24897.56</v>
      </c>
    </row>
    <row r="1039" spans="2:6" outlineLevel="2">
      <c r="B1039" s="395" t="s">
        <v>1289</v>
      </c>
      <c r="C1039" s="395" t="s">
        <v>1288</v>
      </c>
      <c r="D1039" s="396" t="str">
        <f t="shared" si="33"/>
        <v>417</v>
      </c>
      <c r="E1039" s="397">
        <v>0</v>
      </c>
      <c r="F1039" s="397">
        <v>0</v>
      </c>
    </row>
    <row r="1040" spans="2:6" outlineLevel="2">
      <c r="B1040" s="395" t="s">
        <v>1287</v>
      </c>
      <c r="C1040" s="395" t="s">
        <v>1286</v>
      </c>
      <c r="D1040" s="396" t="str">
        <f t="shared" si="33"/>
        <v>417</v>
      </c>
      <c r="E1040" s="397">
        <v>0</v>
      </c>
      <c r="F1040" s="397">
        <v>0</v>
      </c>
    </row>
    <row r="1041" spans="2:6" outlineLevel="2">
      <c r="B1041" s="395" t="s">
        <v>1285</v>
      </c>
      <c r="C1041" s="395" t="s">
        <v>1284</v>
      </c>
      <c r="D1041" s="396" t="str">
        <f t="shared" si="33"/>
        <v>417</v>
      </c>
      <c r="E1041" s="397">
        <v>0</v>
      </c>
      <c r="F1041" s="397">
        <v>6261.34</v>
      </c>
    </row>
    <row r="1042" spans="2:6" outlineLevel="2">
      <c r="B1042" s="395" t="s">
        <v>1283</v>
      </c>
      <c r="C1042" s="395" t="s">
        <v>1282</v>
      </c>
      <c r="D1042" s="396" t="str">
        <f t="shared" si="33"/>
        <v>417</v>
      </c>
      <c r="E1042" s="397">
        <v>0</v>
      </c>
      <c r="F1042" s="397">
        <v>12522.84</v>
      </c>
    </row>
    <row r="1043" spans="2:6" outlineLevel="2">
      <c r="B1043" s="395" t="s">
        <v>1281</v>
      </c>
      <c r="C1043" s="395" t="s">
        <v>1280</v>
      </c>
      <c r="D1043" s="396" t="str">
        <f t="shared" si="33"/>
        <v>417</v>
      </c>
      <c r="E1043" s="397">
        <v>0</v>
      </c>
      <c r="F1043" s="397">
        <v>24898</v>
      </c>
    </row>
    <row r="1044" spans="2:6" outlineLevel="2">
      <c r="B1044" s="395" t="s">
        <v>1279</v>
      </c>
      <c r="C1044" s="395" t="s">
        <v>1278</v>
      </c>
      <c r="D1044" s="396" t="str">
        <f t="shared" si="33"/>
        <v>417</v>
      </c>
      <c r="E1044" s="397">
        <v>0</v>
      </c>
      <c r="F1044" s="397">
        <v>0</v>
      </c>
    </row>
    <row r="1045" spans="2:6" outlineLevel="2">
      <c r="B1045" s="395" t="s">
        <v>1277</v>
      </c>
      <c r="C1045" s="395" t="s">
        <v>1276</v>
      </c>
      <c r="D1045" s="396" t="str">
        <f t="shared" si="33"/>
        <v>417</v>
      </c>
      <c r="E1045" s="397">
        <v>-1294989.25</v>
      </c>
      <c r="F1045" s="397">
        <v>-1002178.29</v>
      </c>
    </row>
    <row r="1046" spans="2:6" outlineLevel="2">
      <c r="B1046" s="395" t="s">
        <v>1275</v>
      </c>
      <c r="C1046" s="395" t="s">
        <v>1274</v>
      </c>
      <c r="D1046" s="396" t="str">
        <f t="shared" si="33"/>
        <v>417</v>
      </c>
      <c r="E1046" s="397">
        <v>0</v>
      </c>
      <c r="F1046" s="397">
        <v>0</v>
      </c>
    </row>
    <row r="1047" spans="2:6" outlineLevel="2">
      <c r="B1047" s="395" t="s">
        <v>1273</v>
      </c>
      <c r="C1047" s="395" t="s">
        <v>1272</v>
      </c>
      <c r="D1047" s="396" t="str">
        <f t="shared" si="33"/>
        <v>417</v>
      </c>
      <c r="E1047" s="397">
        <v>65967.17</v>
      </c>
      <c r="F1047" s="397">
        <v>52540.44</v>
      </c>
    </row>
    <row r="1048" spans="2:6" outlineLevel="2">
      <c r="B1048" s="395" t="s">
        <v>1271</v>
      </c>
      <c r="C1048" s="395" t="s">
        <v>1270</v>
      </c>
      <c r="D1048" s="396" t="str">
        <f t="shared" si="33"/>
        <v>417</v>
      </c>
      <c r="E1048" s="397">
        <v>0</v>
      </c>
      <c r="F1048" s="397">
        <v>0</v>
      </c>
    </row>
    <row r="1049" spans="2:6" outlineLevel="2">
      <c r="B1049" s="395" t="s">
        <v>1269</v>
      </c>
      <c r="C1049" s="395" t="s">
        <v>1268</v>
      </c>
      <c r="D1049" s="396" t="str">
        <f t="shared" ref="D1049:D1112" si="34">RIGHT(C1049,3)</f>
        <v>417</v>
      </c>
      <c r="E1049" s="397">
        <v>0</v>
      </c>
      <c r="F1049" s="397">
        <v>0</v>
      </c>
    </row>
    <row r="1050" spans="2:6" outlineLevel="2">
      <c r="B1050" s="395" t="s">
        <v>1267</v>
      </c>
      <c r="C1050" s="395" t="s">
        <v>1266</v>
      </c>
      <c r="D1050" s="396" t="str">
        <f t="shared" si="34"/>
        <v>417</v>
      </c>
      <c r="E1050" s="397">
        <v>253439.15</v>
      </c>
      <c r="F1050" s="397">
        <v>234140.12</v>
      </c>
    </row>
    <row r="1051" spans="2:6" outlineLevel="2">
      <c r="B1051" s="395" t="s">
        <v>1265</v>
      </c>
      <c r="C1051" s="395" t="s">
        <v>1264</v>
      </c>
      <c r="D1051" s="396" t="str">
        <f t="shared" si="34"/>
        <v>417</v>
      </c>
      <c r="E1051" s="397">
        <v>0</v>
      </c>
      <c r="F1051" s="397">
        <v>0</v>
      </c>
    </row>
    <row r="1052" spans="2:6" outlineLevel="2">
      <c r="B1052" s="395" t="s">
        <v>1263</v>
      </c>
      <c r="C1052" s="395" t="s">
        <v>1262</v>
      </c>
      <c r="D1052" s="396" t="str">
        <f t="shared" si="34"/>
        <v>417</v>
      </c>
      <c r="E1052" s="397">
        <v>1665856.44</v>
      </c>
      <c r="F1052" s="397">
        <v>1285771.8899999999</v>
      </c>
    </row>
    <row r="1053" spans="2:6" outlineLevel="2">
      <c r="B1053" s="395" t="s">
        <v>1261</v>
      </c>
      <c r="C1053" s="395" t="s">
        <v>1260</v>
      </c>
      <c r="D1053" s="396" t="str">
        <f t="shared" si="34"/>
        <v>417</v>
      </c>
      <c r="E1053" s="397">
        <v>0</v>
      </c>
      <c r="F1053" s="397">
        <v>0</v>
      </c>
    </row>
    <row r="1054" spans="2:6" outlineLevel="2">
      <c r="B1054" s="395" t="s">
        <v>1259</v>
      </c>
      <c r="C1054" s="395" t="s">
        <v>1258</v>
      </c>
      <c r="D1054" s="396" t="str">
        <f t="shared" si="34"/>
        <v>417</v>
      </c>
      <c r="E1054" s="397">
        <v>0</v>
      </c>
      <c r="F1054" s="397">
        <v>0</v>
      </c>
    </row>
    <row r="1055" spans="2:6" outlineLevel="2">
      <c r="B1055" s="395" t="s">
        <v>1257</v>
      </c>
      <c r="C1055" s="395" t="s">
        <v>1256</v>
      </c>
      <c r="D1055" s="396" t="str">
        <f t="shared" si="34"/>
        <v>417</v>
      </c>
      <c r="E1055" s="397">
        <v>0</v>
      </c>
      <c r="F1055" s="397">
        <v>0</v>
      </c>
    </row>
    <row r="1056" spans="2:6" outlineLevel="2">
      <c r="B1056" s="395" t="s">
        <v>1255</v>
      </c>
      <c r="C1056" s="395" t="s">
        <v>1254</v>
      </c>
      <c r="D1056" s="396" t="str">
        <f t="shared" si="34"/>
        <v>417</v>
      </c>
      <c r="E1056" s="397">
        <v>847388.83</v>
      </c>
      <c r="F1056" s="397">
        <v>652927.73</v>
      </c>
    </row>
    <row r="1057" spans="2:6" outlineLevel="2">
      <c r="B1057" s="395" t="s">
        <v>1253</v>
      </c>
      <c r="C1057" s="395" t="s">
        <v>1252</v>
      </c>
      <c r="D1057" s="396" t="str">
        <f t="shared" si="34"/>
        <v>417</v>
      </c>
      <c r="E1057" s="397">
        <v>0</v>
      </c>
      <c r="F1057" s="397">
        <v>0</v>
      </c>
    </row>
    <row r="1058" spans="2:6" outlineLevel="2">
      <c r="B1058" s="395" t="s">
        <v>1251</v>
      </c>
      <c r="C1058" s="395" t="s">
        <v>1250</v>
      </c>
      <c r="D1058" s="396" t="str">
        <f t="shared" si="34"/>
        <v>417</v>
      </c>
      <c r="E1058" s="397">
        <v>0</v>
      </c>
      <c r="F1058" s="397">
        <v>0</v>
      </c>
    </row>
    <row r="1059" spans="2:6" outlineLevel="2">
      <c r="B1059" s="395" t="s">
        <v>1249</v>
      </c>
      <c r="C1059" s="395" t="s">
        <v>1248</v>
      </c>
      <c r="D1059" s="396" t="str">
        <f t="shared" si="34"/>
        <v>417</v>
      </c>
      <c r="E1059" s="397">
        <v>0</v>
      </c>
      <c r="F1059" s="397">
        <v>0</v>
      </c>
    </row>
    <row r="1060" spans="2:6" outlineLevel="2">
      <c r="B1060" s="395" t="s">
        <v>1247</v>
      </c>
      <c r="C1060" s="395" t="s">
        <v>1246</v>
      </c>
      <c r="D1060" s="396" t="str">
        <f t="shared" si="34"/>
        <v>417</v>
      </c>
      <c r="E1060" s="397">
        <v>0</v>
      </c>
      <c r="F1060" s="397">
        <v>0</v>
      </c>
    </row>
    <row r="1061" spans="2:6" outlineLevel="2">
      <c r="B1061" s="395" t="s">
        <v>1245</v>
      </c>
      <c r="C1061" s="395" t="s">
        <v>1244</v>
      </c>
      <c r="D1061" s="396" t="str">
        <f t="shared" si="34"/>
        <v>417</v>
      </c>
      <c r="E1061" s="397">
        <v>0</v>
      </c>
      <c r="F1061" s="397">
        <v>0</v>
      </c>
    </row>
    <row r="1062" spans="2:6" outlineLevel="2">
      <c r="B1062" s="395" t="s">
        <v>1243</v>
      </c>
      <c r="C1062" s="395" t="s">
        <v>1242</v>
      </c>
      <c r="D1062" s="396" t="str">
        <f t="shared" si="34"/>
        <v>417</v>
      </c>
      <c r="E1062" s="397">
        <v>90599.09</v>
      </c>
      <c r="F1062" s="397">
        <v>59625</v>
      </c>
    </row>
    <row r="1063" spans="2:6" outlineLevel="2">
      <c r="B1063" s="395" t="s">
        <v>1241</v>
      </c>
      <c r="C1063" s="395" t="s">
        <v>1240</v>
      </c>
      <c r="D1063" s="396" t="str">
        <f t="shared" si="34"/>
        <v>417</v>
      </c>
      <c r="E1063" s="397">
        <v>0</v>
      </c>
      <c r="F1063" s="397">
        <v>0</v>
      </c>
    </row>
    <row r="1064" spans="2:6" outlineLevel="2">
      <c r="B1064" s="395" t="s">
        <v>1239</v>
      </c>
      <c r="C1064" s="395" t="s">
        <v>1238</v>
      </c>
      <c r="D1064" s="396" t="str">
        <f t="shared" si="34"/>
        <v>417</v>
      </c>
      <c r="E1064" s="397">
        <v>3704.5</v>
      </c>
      <c r="F1064" s="397">
        <v>2945</v>
      </c>
    </row>
    <row r="1065" spans="2:6" outlineLevel="2">
      <c r="B1065" s="395" t="s">
        <v>3371</v>
      </c>
      <c r="C1065" s="395" t="s">
        <v>3372</v>
      </c>
      <c r="D1065" s="396" t="str">
        <f t="shared" si="34"/>
        <v>417</v>
      </c>
      <c r="E1065" s="397">
        <v>27760.51</v>
      </c>
      <c r="F1065" s="397">
        <v>0</v>
      </c>
    </row>
    <row r="1066" spans="2:6" outlineLevel="2">
      <c r="B1066" s="395" t="s">
        <v>3373</v>
      </c>
      <c r="C1066" s="395" t="s">
        <v>3374</v>
      </c>
      <c r="D1066" s="396" t="str">
        <f t="shared" si="34"/>
        <v>417</v>
      </c>
      <c r="E1066" s="397">
        <v>6130</v>
      </c>
      <c r="F1066" s="397">
        <v>0</v>
      </c>
    </row>
    <row r="1067" spans="2:6" outlineLevel="2">
      <c r="B1067" s="395" t="s">
        <v>1237</v>
      </c>
      <c r="C1067" s="395" t="s">
        <v>1236</v>
      </c>
      <c r="D1067" s="396" t="str">
        <f t="shared" si="34"/>
        <v>417</v>
      </c>
      <c r="E1067" s="397">
        <v>142333.45000000001</v>
      </c>
      <c r="F1067" s="397">
        <v>118430.67</v>
      </c>
    </row>
    <row r="1068" spans="2:6" outlineLevel="2">
      <c r="B1068" s="395" t="s">
        <v>1235</v>
      </c>
      <c r="C1068" s="395" t="s">
        <v>1234</v>
      </c>
      <c r="D1068" s="396" t="str">
        <f t="shared" si="34"/>
        <v>417</v>
      </c>
      <c r="E1068" s="397">
        <v>0</v>
      </c>
      <c r="F1068" s="397">
        <v>0</v>
      </c>
    </row>
    <row r="1069" spans="2:6" outlineLevel="2">
      <c r="B1069" s="395" t="s">
        <v>1233</v>
      </c>
      <c r="C1069" s="395" t="s">
        <v>1232</v>
      </c>
      <c r="D1069" s="396" t="str">
        <f t="shared" si="34"/>
        <v>417</v>
      </c>
      <c r="E1069" s="397">
        <v>490128.06</v>
      </c>
      <c r="F1069" s="397">
        <v>0</v>
      </c>
    </row>
    <row r="1070" spans="2:6" outlineLevel="2">
      <c r="B1070" s="395" t="s">
        <v>1231</v>
      </c>
      <c r="C1070" s="395" t="s">
        <v>1230</v>
      </c>
      <c r="D1070" s="396" t="str">
        <f t="shared" si="34"/>
        <v>421</v>
      </c>
      <c r="E1070" s="397">
        <v>0</v>
      </c>
      <c r="F1070" s="397">
        <v>60280.08</v>
      </c>
    </row>
    <row r="1071" spans="2:6" outlineLevel="2">
      <c r="B1071" s="395" t="s">
        <v>1229</v>
      </c>
      <c r="C1071" s="395" t="s">
        <v>1228</v>
      </c>
      <c r="D1071" s="396" t="str">
        <f t="shared" si="34"/>
        <v>408</v>
      </c>
      <c r="E1071" s="397">
        <v>603737.21</v>
      </c>
      <c r="F1071" s="397">
        <v>521471.78</v>
      </c>
    </row>
    <row r="1072" spans="2:6" outlineLevel="2">
      <c r="B1072" s="395" t="s">
        <v>1227</v>
      </c>
      <c r="C1072" s="395" t="s">
        <v>1226</v>
      </c>
      <c r="D1072" s="396" t="str">
        <f t="shared" si="34"/>
        <v>421</v>
      </c>
      <c r="E1072" s="397">
        <v>1242658.17</v>
      </c>
      <c r="F1072" s="397">
        <v>50128.49</v>
      </c>
    </row>
    <row r="1073" spans="2:6" outlineLevel="2">
      <c r="B1073" s="395" t="s">
        <v>1225</v>
      </c>
      <c r="C1073" s="395" t="s">
        <v>1224</v>
      </c>
      <c r="D1073" s="396" t="str">
        <f t="shared" si="34"/>
        <v>408</v>
      </c>
      <c r="E1073" s="397">
        <v>134599.28</v>
      </c>
      <c r="F1073" s="397">
        <v>106127.98</v>
      </c>
    </row>
    <row r="1074" spans="2:6" outlineLevel="2">
      <c r="B1074" s="395" t="s">
        <v>1223</v>
      </c>
      <c r="C1074" s="395" t="s">
        <v>1222</v>
      </c>
      <c r="D1074" s="396" t="str">
        <f t="shared" si="34"/>
        <v>421</v>
      </c>
      <c r="E1074" s="397">
        <v>735533.23</v>
      </c>
      <c r="F1074" s="397">
        <v>101317</v>
      </c>
    </row>
    <row r="1075" spans="2:6" outlineLevel="2">
      <c r="B1075" s="395" t="s">
        <v>1221</v>
      </c>
      <c r="C1075" s="395" t="s">
        <v>1220</v>
      </c>
      <c r="D1075" s="396" t="str">
        <f t="shared" si="34"/>
        <v>408</v>
      </c>
      <c r="E1075" s="397">
        <v>199360.46</v>
      </c>
      <c r="F1075" s="397">
        <v>157050.56</v>
      </c>
    </row>
    <row r="1076" spans="2:6" outlineLevel="2">
      <c r="B1076" s="395" t="s">
        <v>1219</v>
      </c>
      <c r="C1076" s="395" t="s">
        <v>1218</v>
      </c>
      <c r="D1076" s="396" t="str">
        <f t="shared" si="34"/>
        <v>421</v>
      </c>
      <c r="E1076" s="397">
        <v>954784.41</v>
      </c>
      <c r="F1076" s="397">
        <v>192624.74</v>
      </c>
    </row>
    <row r="1077" spans="2:6" outlineLevel="2">
      <c r="B1077" s="395" t="s">
        <v>1217</v>
      </c>
      <c r="C1077" s="395" t="s">
        <v>1216</v>
      </c>
      <c r="D1077" s="396" t="str">
        <f t="shared" si="34"/>
        <v>408</v>
      </c>
      <c r="E1077" s="397">
        <v>271954.78999999998</v>
      </c>
      <c r="F1077" s="397">
        <v>232379.54</v>
      </c>
    </row>
    <row r="1078" spans="2:6" outlineLevel="2">
      <c r="B1078" s="395" t="s">
        <v>1215</v>
      </c>
      <c r="C1078" s="395" t="s">
        <v>1214</v>
      </c>
      <c r="D1078" s="396" t="str">
        <f t="shared" si="34"/>
        <v>421</v>
      </c>
      <c r="E1078" s="397">
        <v>0</v>
      </c>
      <c r="F1078" s="397">
        <v>0</v>
      </c>
    </row>
    <row r="1079" spans="2:6" outlineLevel="2">
      <c r="B1079" s="395" t="s">
        <v>1213</v>
      </c>
      <c r="C1079" s="395" t="s">
        <v>1212</v>
      </c>
      <c r="D1079" s="396" t="str">
        <f t="shared" si="34"/>
        <v>408</v>
      </c>
      <c r="E1079" s="397">
        <v>424539.69</v>
      </c>
      <c r="F1079" s="397">
        <v>401838.12</v>
      </c>
    </row>
    <row r="1080" spans="2:6" outlineLevel="2">
      <c r="B1080" s="395" t="s">
        <v>1211</v>
      </c>
      <c r="C1080" s="395" t="s">
        <v>1210</v>
      </c>
      <c r="D1080" s="396" t="str">
        <f t="shared" si="34"/>
        <v>421</v>
      </c>
      <c r="E1080" s="397">
        <v>0</v>
      </c>
      <c r="F1080" s="397">
        <v>0</v>
      </c>
    </row>
    <row r="1081" spans="2:6" outlineLevel="2">
      <c r="B1081" s="395" t="s">
        <v>1209</v>
      </c>
      <c r="C1081" s="395" t="s">
        <v>1208</v>
      </c>
      <c r="D1081" s="396" t="str">
        <f t="shared" si="34"/>
        <v>408</v>
      </c>
      <c r="E1081" s="397">
        <v>168101.57</v>
      </c>
      <c r="F1081" s="397">
        <v>191710.64</v>
      </c>
    </row>
    <row r="1082" spans="2:6" outlineLevel="2">
      <c r="B1082" s="395" t="s">
        <v>1207</v>
      </c>
      <c r="C1082" s="395" t="s">
        <v>1206</v>
      </c>
      <c r="D1082" s="396" t="str">
        <f t="shared" si="34"/>
        <v>421</v>
      </c>
      <c r="E1082" s="397">
        <v>0</v>
      </c>
      <c r="F1082" s="397">
        <v>0</v>
      </c>
    </row>
    <row r="1083" spans="2:6" outlineLevel="2">
      <c r="B1083" s="395" t="s">
        <v>1205</v>
      </c>
      <c r="C1083" s="395" t="s">
        <v>1204</v>
      </c>
      <c r="D1083" s="396" t="str">
        <f t="shared" si="34"/>
        <v>421</v>
      </c>
      <c r="E1083" s="397">
        <v>6128300.7400000002</v>
      </c>
      <c r="F1083" s="397">
        <v>86893.440000000002</v>
      </c>
    </row>
    <row r="1084" spans="2:6" outlineLevel="2">
      <c r="B1084" s="395" t="s">
        <v>1203</v>
      </c>
      <c r="C1084" s="395" t="s">
        <v>1202</v>
      </c>
      <c r="D1084" s="396" t="str">
        <f t="shared" si="34"/>
        <v>408</v>
      </c>
      <c r="E1084" s="397">
        <v>302696.28000000003</v>
      </c>
      <c r="F1084" s="397">
        <v>261754.07</v>
      </c>
    </row>
    <row r="1085" spans="2:6" outlineLevel="2">
      <c r="B1085" s="395" t="s">
        <v>1201</v>
      </c>
      <c r="C1085" s="395" t="s">
        <v>1200</v>
      </c>
      <c r="D1085" s="396" t="str">
        <f t="shared" si="34"/>
        <v>421</v>
      </c>
      <c r="E1085" s="397">
        <v>0</v>
      </c>
      <c r="F1085" s="397">
        <v>-18687.5</v>
      </c>
    </row>
    <row r="1086" spans="2:6" outlineLevel="2">
      <c r="B1086" s="395" t="s">
        <v>1199</v>
      </c>
      <c r="C1086" s="395" t="s">
        <v>1198</v>
      </c>
      <c r="D1086" s="396" t="str">
        <f t="shared" si="34"/>
        <v>408</v>
      </c>
      <c r="E1086" s="397">
        <v>302696.28000000003</v>
      </c>
      <c r="F1086" s="397">
        <v>261754.07</v>
      </c>
    </row>
    <row r="1087" spans="2:6" outlineLevel="2">
      <c r="B1087" s="395" t="s">
        <v>1197</v>
      </c>
      <c r="C1087" s="395" t="s">
        <v>1196</v>
      </c>
      <c r="D1087" s="396" t="str">
        <f t="shared" si="34"/>
        <v>408</v>
      </c>
      <c r="E1087" s="397">
        <v>704769.4</v>
      </c>
      <c r="F1087" s="397">
        <v>571100.62</v>
      </c>
    </row>
    <row r="1088" spans="2:6" outlineLevel="2">
      <c r="B1088" s="395" t="s">
        <v>1195</v>
      </c>
      <c r="C1088" s="395" t="s">
        <v>1194</v>
      </c>
      <c r="D1088" s="396" t="str">
        <f t="shared" si="34"/>
        <v>421</v>
      </c>
      <c r="E1088" s="397">
        <v>0</v>
      </c>
      <c r="F1088" s="397">
        <v>0</v>
      </c>
    </row>
    <row r="1089" spans="2:6" outlineLevel="2">
      <c r="B1089" s="395" t="s">
        <v>1193</v>
      </c>
      <c r="C1089" s="395" t="s">
        <v>1192</v>
      </c>
      <c r="D1089" s="396" t="str">
        <f t="shared" si="34"/>
        <v>421</v>
      </c>
      <c r="E1089" s="397">
        <v>0</v>
      </c>
      <c r="F1089" s="397">
        <v>0</v>
      </c>
    </row>
    <row r="1090" spans="2:6" outlineLevel="2">
      <c r="B1090" s="395" t="s">
        <v>1191</v>
      </c>
      <c r="C1090" s="395" t="s">
        <v>1190</v>
      </c>
      <c r="D1090" s="396" t="str">
        <f t="shared" si="34"/>
        <v>421</v>
      </c>
      <c r="E1090" s="397">
        <v>0</v>
      </c>
      <c r="F1090" s="397">
        <v>0</v>
      </c>
    </row>
    <row r="1091" spans="2:6" outlineLevel="2">
      <c r="B1091" s="395" t="s">
        <v>1189</v>
      </c>
      <c r="C1091" s="395" t="s">
        <v>1188</v>
      </c>
      <c r="D1091" s="396" t="str">
        <f t="shared" si="34"/>
        <v>408</v>
      </c>
      <c r="E1091" s="397">
        <v>40807.35</v>
      </c>
      <c r="F1091" s="397">
        <v>23200</v>
      </c>
    </row>
    <row r="1092" spans="2:6" outlineLevel="2">
      <c r="B1092" s="395" t="s">
        <v>1187</v>
      </c>
      <c r="C1092" s="395" t="s">
        <v>1186</v>
      </c>
      <c r="D1092" s="396" t="str">
        <f t="shared" si="34"/>
        <v>408</v>
      </c>
      <c r="E1092" s="397">
        <v>353.78</v>
      </c>
      <c r="F1092" s="397">
        <v>167227.51</v>
      </c>
    </row>
    <row r="1093" spans="2:6" outlineLevel="2">
      <c r="B1093" s="395" t="s">
        <v>1185</v>
      </c>
      <c r="C1093" s="395" t="s">
        <v>1184</v>
      </c>
      <c r="D1093" s="396" t="str">
        <f t="shared" si="34"/>
        <v>931</v>
      </c>
      <c r="E1093" s="397">
        <v>13368.52</v>
      </c>
      <c r="F1093" s="397">
        <v>12711.77</v>
      </c>
    </row>
    <row r="1094" spans="2:6" outlineLevel="2">
      <c r="B1094" s="395" t="s">
        <v>1183</v>
      </c>
      <c r="C1094" s="395" t="s">
        <v>1182</v>
      </c>
      <c r="D1094" s="396" t="str">
        <f t="shared" si="34"/>
        <v>921</v>
      </c>
      <c r="E1094" s="397">
        <v>38052.61</v>
      </c>
      <c r="F1094" s="397">
        <v>43802.55</v>
      </c>
    </row>
    <row r="1095" spans="2:6" outlineLevel="2">
      <c r="B1095" s="395" t="s">
        <v>1181</v>
      </c>
      <c r="C1095" s="395" t="s">
        <v>1180</v>
      </c>
      <c r="D1095" s="396" t="str">
        <f t="shared" si="34"/>
        <v>921</v>
      </c>
      <c r="E1095" s="397">
        <v>9477.44</v>
      </c>
      <c r="F1095" s="397">
        <v>11858.15</v>
      </c>
    </row>
    <row r="1096" spans="2:6" outlineLevel="2">
      <c r="B1096" s="395" t="s">
        <v>1179</v>
      </c>
      <c r="C1096" s="395" t="s">
        <v>1178</v>
      </c>
      <c r="D1096" s="396" t="str">
        <f t="shared" si="34"/>
        <v>921</v>
      </c>
      <c r="E1096" s="397">
        <v>36283.46</v>
      </c>
      <c r="F1096" s="397">
        <v>29796.66</v>
      </c>
    </row>
    <row r="1097" spans="2:6" outlineLevel="2">
      <c r="B1097" s="395" t="s">
        <v>1177</v>
      </c>
      <c r="C1097" s="395" t="s">
        <v>1176</v>
      </c>
      <c r="D1097" s="396" t="str">
        <f t="shared" si="34"/>
        <v>921</v>
      </c>
      <c r="E1097" s="397">
        <v>31474.35</v>
      </c>
      <c r="F1097" s="397">
        <v>43768.22</v>
      </c>
    </row>
    <row r="1098" spans="2:6" outlineLevel="2">
      <c r="B1098" s="395" t="s">
        <v>1175</v>
      </c>
      <c r="C1098" s="395" t="s">
        <v>1174</v>
      </c>
      <c r="D1098" s="396" t="str">
        <f t="shared" si="34"/>
        <v>921</v>
      </c>
      <c r="E1098" s="397">
        <v>38042.61</v>
      </c>
      <c r="F1098" s="397">
        <v>38301.910000000003</v>
      </c>
    </row>
    <row r="1099" spans="2:6" outlineLevel="2">
      <c r="B1099" s="395" t="s">
        <v>1173</v>
      </c>
      <c r="C1099" s="395" t="s">
        <v>1172</v>
      </c>
      <c r="D1099" s="396" t="str">
        <f t="shared" si="34"/>
        <v>921</v>
      </c>
      <c r="E1099" s="397">
        <v>8721.3799999999992</v>
      </c>
      <c r="F1099" s="397">
        <v>9379.5</v>
      </c>
    </row>
    <row r="1100" spans="2:6" outlineLevel="2">
      <c r="B1100" s="395" t="s">
        <v>1171</v>
      </c>
      <c r="C1100" s="395" t="s">
        <v>1170</v>
      </c>
      <c r="D1100" s="396" t="str">
        <f t="shared" si="34"/>
        <v>921</v>
      </c>
      <c r="E1100" s="397">
        <v>267237.33</v>
      </c>
      <c r="F1100" s="397">
        <v>246134.89</v>
      </c>
    </row>
    <row r="1101" spans="2:6" outlineLevel="2">
      <c r="B1101" s="395" t="s">
        <v>1169</v>
      </c>
      <c r="C1101" s="395" t="s">
        <v>1168</v>
      </c>
      <c r="D1101" s="396" t="str">
        <f t="shared" si="34"/>
        <v>930</v>
      </c>
      <c r="E1101" s="397">
        <v>180525.82</v>
      </c>
      <c r="F1101" s="397">
        <v>155621.87</v>
      </c>
    </row>
    <row r="1102" spans="2:6" outlineLevel="2">
      <c r="B1102" s="395" t="s">
        <v>3375</v>
      </c>
      <c r="C1102" s="395" t="s">
        <v>3376</v>
      </c>
      <c r="D1102" s="396" t="str">
        <f t="shared" si="34"/>
        <v>921</v>
      </c>
      <c r="E1102" s="397">
        <v>0</v>
      </c>
      <c r="F1102" s="397">
        <v>0</v>
      </c>
    </row>
    <row r="1103" spans="2:6" outlineLevel="2">
      <c r="B1103" s="395" t="s">
        <v>1167</v>
      </c>
      <c r="C1103" s="395" t="s">
        <v>1166</v>
      </c>
      <c r="D1103" s="396" t="str">
        <f t="shared" si="34"/>
        <v>921</v>
      </c>
      <c r="E1103" s="397">
        <v>12428.89</v>
      </c>
      <c r="F1103" s="397">
        <v>13460.1</v>
      </c>
    </row>
    <row r="1104" spans="2:6" outlineLevel="2">
      <c r="B1104" s="395" t="s">
        <v>1165</v>
      </c>
      <c r="C1104" s="395" t="s">
        <v>1164</v>
      </c>
      <c r="D1104" s="396" t="str">
        <f t="shared" si="34"/>
        <v>921</v>
      </c>
      <c r="E1104" s="397">
        <v>2316.75</v>
      </c>
      <c r="F1104" s="397">
        <v>46361.1</v>
      </c>
    </row>
    <row r="1105" spans="2:6" outlineLevel="2">
      <c r="B1105" s="395" t="s">
        <v>1163</v>
      </c>
      <c r="C1105" s="395" t="s">
        <v>1162</v>
      </c>
      <c r="D1105" s="396" t="str">
        <f t="shared" si="34"/>
        <v>923</v>
      </c>
      <c r="E1105" s="397">
        <v>0</v>
      </c>
      <c r="F1105" s="397">
        <v>239082.77</v>
      </c>
    </row>
    <row r="1106" spans="2:6" outlineLevel="2">
      <c r="B1106" s="395" t="s">
        <v>1161</v>
      </c>
      <c r="C1106" s="395" t="s">
        <v>1160</v>
      </c>
      <c r="D1106" s="396" t="str">
        <f t="shared" si="34"/>
        <v>930</v>
      </c>
      <c r="E1106" s="397">
        <v>5111.67</v>
      </c>
      <c r="F1106" s="397">
        <v>6613.22</v>
      </c>
    </row>
    <row r="1107" spans="2:6" outlineLevel="2">
      <c r="B1107" s="395" t="s">
        <v>1159</v>
      </c>
      <c r="C1107" s="395" t="s">
        <v>1158</v>
      </c>
      <c r="D1107" s="396" t="str">
        <f t="shared" si="34"/>
        <v>930</v>
      </c>
      <c r="E1107" s="397">
        <v>55000</v>
      </c>
      <c r="F1107" s="397">
        <v>55000</v>
      </c>
    </row>
    <row r="1108" spans="2:6" outlineLevel="2">
      <c r="B1108" s="395" t="s">
        <v>1157</v>
      </c>
      <c r="C1108" s="395" t="s">
        <v>1156</v>
      </c>
      <c r="D1108" s="396" t="str">
        <f t="shared" si="34"/>
        <v>930</v>
      </c>
      <c r="E1108" s="397">
        <v>23395.01</v>
      </c>
      <c r="F1108" s="397">
        <v>15000</v>
      </c>
    </row>
    <row r="1109" spans="2:6" outlineLevel="2">
      <c r="B1109" s="395" t="s">
        <v>1155</v>
      </c>
      <c r="C1109" s="395" t="s">
        <v>1154</v>
      </c>
      <c r="D1109" s="396" t="str">
        <f t="shared" si="34"/>
        <v>921</v>
      </c>
      <c r="E1109" s="397">
        <v>6797.42</v>
      </c>
      <c r="F1109" s="397">
        <v>1507.46</v>
      </c>
    </row>
    <row r="1110" spans="2:6" outlineLevel="2">
      <c r="B1110" s="395" t="s">
        <v>1153</v>
      </c>
      <c r="C1110" s="395" t="s">
        <v>1152</v>
      </c>
      <c r="D1110" s="396" t="str">
        <f t="shared" si="34"/>
        <v>921</v>
      </c>
      <c r="E1110" s="397">
        <v>0</v>
      </c>
      <c r="F1110" s="397">
        <v>919.52</v>
      </c>
    </row>
    <row r="1111" spans="2:6" outlineLevel="2">
      <c r="B1111" s="395" t="s">
        <v>1151</v>
      </c>
      <c r="C1111" s="395" t="s">
        <v>1150</v>
      </c>
      <c r="D1111" s="396" t="str">
        <f t="shared" si="34"/>
        <v>923</v>
      </c>
      <c r="E1111" s="397">
        <v>0</v>
      </c>
      <c r="F1111" s="397">
        <v>17955.080000000002</v>
      </c>
    </row>
    <row r="1112" spans="2:6" outlineLevel="2">
      <c r="B1112" s="395" t="s">
        <v>1149</v>
      </c>
      <c r="C1112" s="395" t="s">
        <v>1148</v>
      </c>
      <c r="D1112" s="396" t="str">
        <f t="shared" si="34"/>
        <v>930</v>
      </c>
      <c r="E1112" s="397">
        <v>1012.2</v>
      </c>
      <c r="F1112" s="397">
        <v>592.6</v>
      </c>
    </row>
    <row r="1113" spans="2:6" outlineLevel="2">
      <c r="B1113" s="395" t="s">
        <v>1147</v>
      </c>
      <c r="C1113" s="395" t="s">
        <v>1146</v>
      </c>
      <c r="D1113" s="396" t="str">
        <f t="shared" ref="D1113:D1176" si="35">RIGHT(C1113,3)</f>
        <v>930</v>
      </c>
      <c r="E1113" s="397">
        <v>0</v>
      </c>
      <c r="F1113" s="397">
        <v>7000</v>
      </c>
    </row>
    <row r="1114" spans="2:6" outlineLevel="2">
      <c r="B1114" s="395" t="s">
        <v>1145</v>
      </c>
      <c r="C1114" s="395" t="s">
        <v>1144</v>
      </c>
      <c r="D1114" s="396" t="str">
        <f t="shared" si="35"/>
        <v>921</v>
      </c>
      <c r="E1114" s="397">
        <v>4542.8</v>
      </c>
      <c r="F1114" s="397">
        <v>7571.16</v>
      </c>
    </row>
    <row r="1115" spans="2:6" outlineLevel="2">
      <c r="B1115" s="395" t="s">
        <v>1143</v>
      </c>
      <c r="C1115" s="395" t="s">
        <v>1142</v>
      </c>
      <c r="D1115" s="396" t="str">
        <f t="shared" si="35"/>
        <v>921</v>
      </c>
      <c r="E1115" s="397">
        <v>16666.36</v>
      </c>
      <c r="F1115" s="397">
        <v>33783.339999999997</v>
      </c>
    </row>
    <row r="1116" spans="2:6" outlineLevel="2">
      <c r="B1116" s="395" t="s">
        <v>1141</v>
      </c>
      <c r="C1116" s="395" t="s">
        <v>1140</v>
      </c>
      <c r="D1116" s="396" t="str">
        <f t="shared" si="35"/>
        <v>923</v>
      </c>
      <c r="E1116" s="397">
        <v>244478</v>
      </c>
      <c r="F1116" s="397">
        <v>216632</v>
      </c>
    </row>
    <row r="1117" spans="2:6" outlineLevel="2">
      <c r="B1117" s="395" t="s">
        <v>1139</v>
      </c>
      <c r="C1117" s="395" t="s">
        <v>1138</v>
      </c>
      <c r="D1117" s="396" t="str">
        <f t="shared" si="35"/>
        <v>923</v>
      </c>
      <c r="E1117" s="397">
        <v>0</v>
      </c>
      <c r="F1117" s="397">
        <v>22000</v>
      </c>
    </row>
    <row r="1118" spans="2:6" outlineLevel="2">
      <c r="B1118" s="395" t="s">
        <v>1137</v>
      </c>
      <c r="C1118" s="395" t="s">
        <v>1136</v>
      </c>
      <c r="D1118" s="396" t="str">
        <f t="shared" si="35"/>
        <v>923</v>
      </c>
      <c r="E1118" s="397">
        <v>0</v>
      </c>
      <c r="F1118" s="397">
        <v>0</v>
      </c>
    </row>
    <row r="1119" spans="2:6" outlineLevel="2">
      <c r="B1119" s="395" t="s">
        <v>1135</v>
      </c>
      <c r="C1119" s="395" t="s">
        <v>1134</v>
      </c>
      <c r="D1119" s="396" t="str">
        <f t="shared" si="35"/>
        <v>923</v>
      </c>
      <c r="E1119" s="397">
        <v>-0.59</v>
      </c>
      <c r="F1119" s="397">
        <v>84113.34</v>
      </c>
    </row>
    <row r="1120" spans="2:6" outlineLevel="2">
      <c r="B1120" s="395" t="s">
        <v>1133</v>
      </c>
      <c r="C1120" s="395" t="s">
        <v>1132</v>
      </c>
      <c r="D1120" s="396" t="str">
        <f t="shared" si="35"/>
        <v>930</v>
      </c>
      <c r="E1120" s="397">
        <v>0</v>
      </c>
      <c r="F1120" s="397">
        <v>0</v>
      </c>
    </row>
    <row r="1121" spans="2:6" outlineLevel="2">
      <c r="B1121" s="395" t="s">
        <v>1131</v>
      </c>
      <c r="C1121" s="395" t="s">
        <v>1130</v>
      </c>
      <c r="D1121" s="396" t="str">
        <f t="shared" si="35"/>
        <v>930</v>
      </c>
      <c r="E1121" s="397">
        <v>1452.27</v>
      </c>
      <c r="F1121" s="397">
        <v>2230.1</v>
      </c>
    </row>
    <row r="1122" spans="2:6" outlineLevel="2">
      <c r="B1122" s="395" t="s">
        <v>1129</v>
      </c>
      <c r="C1122" s="395" t="s">
        <v>1128</v>
      </c>
      <c r="D1122" s="396" t="str">
        <f t="shared" si="35"/>
        <v>923</v>
      </c>
      <c r="E1122" s="397">
        <v>50370.35</v>
      </c>
      <c r="F1122" s="397">
        <v>25372.07</v>
      </c>
    </row>
    <row r="1123" spans="2:6" outlineLevel="2">
      <c r="B1123" s="395" t="s">
        <v>1127</v>
      </c>
      <c r="C1123" s="395" t="s">
        <v>1126</v>
      </c>
      <c r="D1123" s="396" t="str">
        <f t="shared" si="35"/>
        <v>921</v>
      </c>
      <c r="E1123" s="397">
        <v>0</v>
      </c>
      <c r="F1123" s="397">
        <v>0</v>
      </c>
    </row>
    <row r="1124" spans="2:6" outlineLevel="2">
      <c r="B1124" s="395" t="s">
        <v>1125</v>
      </c>
      <c r="C1124" s="395" t="s">
        <v>1124</v>
      </c>
      <c r="D1124" s="396" t="str">
        <f t="shared" si="35"/>
        <v>921</v>
      </c>
      <c r="E1124" s="397">
        <v>0</v>
      </c>
      <c r="F1124" s="397">
        <v>0</v>
      </c>
    </row>
    <row r="1125" spans="2:6" outlineLevel="2">
      <c r="B1125" s="395" t="s">
        <v>1123</v>
      </c>
      <c r="C1125" s="395" t="s">
        <v>1122</v>
      </c>
      <c r="D1125" s="396" t="str">
        <f t="shared" si="35"/>
        <v>923</v>
      </c>
      <c r="E1125" s="397">
        <v>233526.21</v>
      </c>
      <c r="F1125" s="397">
        <v>196016.53</v>
      </c>
    </row>
    <row r="1126" spans="2:6" outlineLevel="2">
      <c r="B1126" s="395" t="s">
        <v>1121</v>
      </c>
      <c r="C1126" s="395" t="s">
        <v>1120</v>
      </c>
      <c r="D1126" s="396" t="str">
        <f t="shared" si="35"/>
        <v>923</v>
      </c>
      <c r="E1126" s="397">
        <v>0</v>
      </c>
      <c r="F1126" s="397">
        <v>0</v>
      </c>
    </row>
    <row r="1127" spans="2:6" outlineLevel="2">
      <c r="B1127" s="395" t="s">
        <v>1119</v>
      </c>
      <c r="C1127" s="395" t="s">
        <v>1118</v>
      </c>
      <c r="D1127" s="396" t="str">
        <f t="shared" si="35"/>
        <v>930</v>
      </c>
      <c r="E1127" s="397">
        <v>0</v>
      </c>
      <c r="F1127" s="397">
        <v>0</v>
      </c>
    </row>
    <row r="1128" spans="2:6" outlineLevel="2">
      <c r="B1128" s="395" t="s">
        <v>1117</v>
      </c>
      <c r="C1128" s="395" t="s">
        <v>1116</v>
      </c>
      <c r="D1128" s="396" t="str">
        <f t="shared" si="35"/>
        <v>921</v>
      </c>
      <c r="E1128" s="397">
        <v>8836.27</v>
      </c>
      <c r="F1128" s="397">
        <v>7910.71</v>
      </c>
    </row>
    <row r="1129" spans="2:6" outlineLevel="2">
      <c r="B1129" s="395" t="s">
        <v>1115</v>
      </c>
      <c r="C1129" s="395" t="s">
        <v>1114</v>
      </c>
      <c r="D1129" s="396" t="str">
        <f t="shared" si="35"/>
        <v>921</v>
      </c>
      <c r="E1129" s="397">
        <v>6028.06</v>
      </c>
      <c r="F1129" s="397">
        <v>7101.22</v>
      </c>
    </row>
    <row r="1130" spans="2:6" outlineLevel="2">
      <c r="B1130" s="395" t="s">
        <v>1113</v>
      </c>
      <c r="C1130" s="395" t="s">
        <v>1112</v>
      </c>
      <c r="D1130" s="396" t="str">
        <f t="shared" si="35"/>
        <v>923</v>
      </c>
      <c r="E1130" s="397">
        <v>4880.59</v>
      </c>
      <c r="F1130" s="397">
        <v>14131.93</v>
      </c>
    </row>
    <row r="1131" spans="2:6" outlineLevel="2">
      <c r="B1131" s="395" t="s">
        <v>1111</v>
      </c>
      <c r="C1131" s="395" t="s">
        <v>1110</v>
      </c>
      <c r="D1131" s="396" t="str">
        <f t="shared" si="35"/>
        <v>923</v>
      </c>
      <c r="E1131" s="397">
        <v>17647.04</v>
      </c>
      <c r="F1131" s="397">
        <v>13572.52</v>
      </c>
    </row>
    <row r="1132" spans="2:6" outlineLevel="2">
      <c r="B1132" s="395" t="s">
        <v>1109</v>
      </c>
      <c r="C1132" s="395" t="s">
        <v>1108</v>
      </c>
      <c r="D1132" s="396" t="str">
        <f t="shared" si="35"/>
        <v>923</v>
      </c>
      <c r="E1132" s="397">
        <v>1081.1199999999999</v>
      </c>
      <c r="F1132" s="397">
        <v>3257.41</v>
      </c>
    </row>
    <row r="1133" spans="2:6" outlineLevel="2">
      <c r="B1133" s="395" t="s">
        <v>1107</v>
      </c>
      <c r="C1133" s="395" t="s">
        <v>1106</v>
      </c>
      <c r="D1133" s="396" t="str">
        <f t="shared" si="35"/>
        <v>930</v>
      </c>
      <c r="E1133" s="397">
        <v>270300.45</v>
      </c>
      <c r="F1133" s="397">
        <v>259841.26</v>
      </c>
    </row>
    <row r="1134" spans="2:6" outlineLevel="2">
      <c r="B1134" s="395" t="s">
        <v>1105</v>
      </c>
      <c r="C1134" s="395" t="s">
        <v>1104</v>
      </c>
      <c r="D1134" s="396" t="str">
        <f t="shared" si="35"/>
        <v>930</v>
      </c>
      <c r="E1134" s="397">
        <v>7484.08</v>
      </c>
      <c r="F1134" s="397">
        <v>12429.35</v>
      </c>
    </row>
    <row r="1135" spans="2:6" outlineLevel="2">
      <c r="B1135" s="395" t="s">
        <v>1103</v>
      </c>
      <c r="C1135" s="395" t="s">
        <v>1102</v>
      </c>
      <c r="D1135" s="396" t="str">
        <f t="shared" si="35"/>
        <v>923</v>
      </c>
      <c r="E1135" s="397">
        <v>37167.51</v>
      </c>
      <c r="F1135" s="397">
        <v>55148.639999999999</v>
      </c>
    </row>
    <row r="1136" spans="2:6" outlineLevel="2">
      <c r="B1136" s="395" t="s">
        <v>1101</v>
      </c>
      <c r="C1136" s="395" t="s">
        <v>1100</v>
      </c>
      <c r="D1136" s="396" t="str">
        <f t="shared" si="35"/>
        <v>923</v>
      </c>
      <c r="E1136" s="397">
        <v>4700</v>
      </c>
      <c r="F1136" s="397">
        <v>10777</v>
      </c>
    </row>
    <row r="1137" spans="2:6" outlineLevel="2">
      <c r="B1137" s="395" t="s">
        <v>3377</v>
      </c>
      <c r="C1137" s="395" t="s">
        <v>3378</v>
      </c>
      <c r="D1137" s="396" t="str">
        <f t="shared" si="35"/>
        <v>923</v>
      </c>
      <c r="E1137" s="397">
        <v>0</v>
      </c>
      <c r="F1137" s="397">
        <v>0</v>
      </c>
    </row>
    <row r="1138" spans="2:6" outlineLevel="2">
      <c r="B1138" s="395" t="s">
        <v>1099</v>
      </c>
      <c r="C1138" s="395" t="s">
        <v>1098</v>
      </c>
      <c r="D1138" s="396" t="str">
        <f t="shared" si="35"/>
        <v>923</v>
      </c>
      <c r="E1138" s="397">
        <v>25230</v>
      </c>
      <c r="F1138" s="397">
        <v>23797.73</v>
      </c>
    </row>
    <row r="1139" spans="2:6" outlineLevel="2">
      <c r="B1139" s="395" t="s">
        <v>1097</v>
      </c>
      <c r="C1139" s="395" t="s">
        <v>1096</v>
      </c>
      <c r="D1139" s="396" t="str">
        <f t="shared" si="35"/>
        <v>910</v>
      </c>
      <c r="E1139" s="397">
        <v>0</v>
      </c>
      <c r="F1139" s="397">
        <v>15131.18</v>
      </c>
    </row>
    <row r="1140" spans="2:6" outlineLevel="2">
      <c r="B1140" s="395" t="s">
        <v>1095</v>
      </c>
      <c r="C1140" s="395" t="s">
        <v>1094</v>
      </c>
      <c r="D1140" s="396" t="str">
        <f t="shared" si="35"/>
        <v>921</v>
      </c>
      <c r="E1140" s="397">
        <v>32743.24</v>
      </c>
      <c r="F1140" s="397">
        <v>63341.56</v>
      </c>
    </row>
    <row r="1141" spans="2:6" outlineLevel="2">
      <c r="B1141" s="395" t="s">
        <v>1093</v>
      </c>
      <c r="C1141" s="395" t="s">
        <v>1092</v>
      </c>
      <c r="D1141" s="396" t="str">
        <f t="shared" si="35"/>
        <v>921</v>
      </c>
      <c r="E1141" s="397">
        <v>1188.6600000000001</v>
      </c>
      <c r="F1141" s="397">
        <v>1055.46</v>
      </c>
    </row>
    <row r="1142" spans="2:6" outlineLevel="2">
      <c r="B1142" s="395" t="s">
        <v>1091</v>
      </c>
      <c r="C1142" s="395" t="s">
        <v>1090</v>
      </c>
      <c r="D1142" s="396" t="str">
        <f t="shared" si="35"/>
        <v>923</v>
      </c>
      <c r="E1142" s="397">
        <v>44151.839999999997</v>
      </c>
      <c r="F1142" s="397">
        <v>107094.66</v>
      </c>
    </row>
    <row r="1143" spans="2:6" outlineLevel="2">
      <c r="B1143" s="395" t="s">
        <v>1089</v>
      </c>
      <c r="C1143" s="395" t="s">
        <v>1088</v>
      </c>
      <c r="D1143" s="396" t="str">
        <f t="shared" si="35"/>
        <v>923</v>
      </c>
      <c r="E1143" s="397">
        <v>2577</v>
      </c>
      <c r="F1143" s="397">
        <v>4654</v>
      </c>
    </row>
    <row r="1144" spans="2:6" outlineLevel="2">
      <c r="B1144" s="395" t="s">
        <v>1087</v>
      </c>
      <c r="C1144" s="395" t="s">
        <v>1086</v>
      </c>
      <c r="D1144" s="396" t="str">
        <f t="shared" si="35"/>
        <v>923</v>
      </c>
      <c r="E1144" s="397">
        <v>29839.67</v>
      </c>
      <c r="F1144" s="397">
        <v>17650.669999999998</v>
      </c>
    </row>
    <row r="1145" spans="2:6" outlineLevel="2">
      <c r="B1145" s="395" t="s">
        <v>1085</v>
      </c>
      <c r="C1145" s="395" t="s">
        <v>1084</v>
      </c>
      <c r="D1145" s="396" t="str">
        <f t="shared" si="35"/>
        <v>923</v>
      </c>
      <c r="E1145" s="397">
        <v>56344.58</v>
      </c>
      <c r="F1145" s="397">
        <v>52907.29</v>
      </c>
    </row>
    <row r="1146" spans="2:6" outlineLevel="2">
      <c r="B1146" s="395" t="s">
        <v>3379</v>
      </c>
      <c r="C1146" s="395" t="s">
        <v>3380</v>
      </c>
      <c r="D1146" s="396" t="str">
        <f t="shared" si="35"/>
        <v>923</v>
      </c>
      <c r="E1146" s="397">
        <v>8679.83</v>
      </c>
      <c r="F1146" s="397">
        <v>0</v>
      </c>
    </row>
    <row r="1147" spans="2:6" outlineLevel="2">
      <c r="B1147" s="395" t="s">
        <v>3381</v>
      </c>
      <c r="C1147" s="395" t="s">
        <v>3382</v>
      </c>
      <c r="D1147" s="396" t="str">
        <f t="shared" si="35"/>
        <v>923</v>
      </c>
      <c r="E1147" s="397">
        <v>878.77</v>
      </c>
      <c r="F1147" s="397">
        <v>0</v>
      </c>
    </row>
    <row r="1148" spans="2:6" outlineLevel="2">
      <c r="B1148" s="395" t="s">
        <v>1083</v>
      </c>
      <c r="C1148" s="395" t="s">
        <v>1082</v>
      </c>
      <c r="D1148" s="396" t="str">
        <f t="shared" si="35"/>
        <v>921</v>
      </c>
      <c r="E1148" s="397">
        <v>7845.51</v>
      </c>
      <c r="F1148" s="397">
        <v>10782.01</v>
      </c>
    </row>
    <row r="1149" spans="2:6" outlineLevel="2">
      <c r="B1149" s="395" t="s">
        <v>1081</v>
      </c>
      <c r="C1149" s="395" t="s">
        <v>1080</v>
      </c>
      <c r="D1149" s="396" t="str">
        <f t="shared" si="35"/>
        <v>921</v>
      </c>
      <c r="E1149" s="397">
        <v>9217.41</v>
      </c>
      <c r="F1149" s="397">
        <v>4862</v>
      </c>
    </row>
    <row r="1150" spans="2:6" outlineLevel="2">
      <c r="B1150" s="395" t="s">
        <v>1079</v>
      </c>
      <c r="C1150" s="395" t="s">
        <v>1078</v>
      </c>
      <c r="D1150" s="396" t="str">
        <f t="shared" si="35"/>
        <v>923</v>
      </c>
      <c r="E1150" s="397">
        <v>94989.75</v>
      </c>
      <c r="F1150" s="397">
        <v>165496.51999999999</v>
      </c>
    </row>
    <row r="1151" spans="2:6" outlineLevel="2">
      <c r="B1151" s="395" t="s">
        <v>1077</v>
      </c>
      <c r="C1151" s="395" t="s">
        <v>1076</v>
      </c>
      <c r="D1151" s="396" t="str">
        <f t="shared" si="35"/>
        <v>930</v>
      </c>
      <c r="E1151" s="397">
        <v>1060.01</v>
      </c>
      <c r="F1151" s="397">
        <v>794.17</v>
      </c>
    </row>
    <row r="1152" spans="2:6" outlineLevel="2">
      <c r="B1152" s="395" t="s">
        <v>1075</v>
      </c>
      <c r="C1152" s="395" t="s">
        <v>1074</v>
      </c>
      <c r="D1152" s="396" t="str">
        <f t="shared" si="35"/>
        <v>921</v>
      </c>
      <c r="E1152" s="397">
        <v>3459.83</v>
      </c>
      <c r="F1152" s="397">
        <v>3761.47</v>
      </c>
    </row>
    <row r="1153" spans="2:6" outlineLevel="2">
      <c r="B1153" s="395" t="s">
        <v>1073</v>
      </c>
      <c r="C1153" s="395" t="s">
        <v>1072</v>
      </c>
      <c r="D1153" s="396" t="str">
        <f t="shared" si="35"/>
        <v>921</v>
      </c>
      <c r="E1153" s="397">
        <v>10462.790000000001</v>
      </c>
      <c r="F1153" s="397">
        <v>7876.75</v>
      </c>
    </row>
    <row r="1154" spans="2:6" outlineLevel="2">
      <c r="B1154" s="395" t="s">
        <v>1071</v>
      </c>
      <c r="C1154" s="395" t="s">
        <v>1070</v>
      </c>
      <c r="D1154" s="396" t="str">
        <f t="shared" si="35"/>
        <v>921</v>
      </c>
      <c r="E1154" s="397">
        <v>12509.19</v>
      </c>
      <c r="F1154" s="397">
        <v>11231.92</v>
      </c>
    </row>
    <row r="1155" spans="2:6" outlineLevel="2">
      <c r="B1155" s="395" t="s">
        <v>1069</v>
      </c>
      <c r="C1155" s="395" t="s">
        <v>1068</v>
      </c>
      <c r="D1155" s="396" t="str">
        <f t="shared" si="35"/>
        <v>923</v>
      </c>
      <c r="E1155" s="397">
        <v>76179.75</v>
      </c>
      <c r="F1155" s="397">
        <v>67757.06</v>
      </c>
    </row>
    <row r="1156" spans="2:6" outlineLevel="2">
      <c r="B1156" s="395" t="s">
        <v>1067</v>
      </c>
      <c r="C1156" s="395" t="s">
        <v>1066</v>
      </c>
      <c r="D1156" s="396" t="str">
        <f t="shared" si="35"/>
        <v>923</v>
      </c>
      <c r="E1156" s="397">
        <v>27449.57</v>
      </c>
      <c r="F1156" s="397">
        <v>20672.54</v>
      </c>
    </row>
    <row r="1157" spans="2:6" outlineLevel="2">
      <c r="B1157" s="395" t="s">
        <v>1065</v>
      </c>
      <c r="C1157" s="395" t="s">
        <v>1064</v>
      </c>
      <c r="D1157" s="396" t="str">
        <f t="shared" si="35"/>
        <v>923</v>
      </c>
      <c r="E1157" s="397">
        <v>20514.810000000001</v>
      </c>
      <c r="F1157" s="397">
        <v>17714.169999999998</v>
      </c>
    </row>
    <row r="1158" spans="2:6" outlineLevel="2">
      <c r="B1158" s="395" t="s">
        <v>1063</v>
      </c>
      <c r="C1158" s="395" t="s">
        <v>1062</v>
      </c>
      <c r="D1158" s="396" t="str">
        <f t="shared" si="35"/>
        <v>930</v>
      </c>
      <c r="E1158" s="397">
        <v>0</v>
      </c>
      <c r="F1158" s="397">
        <v>0</v>
      </c>
    </row>
    <row r="1159" spans="2:6" outlineLevel="2">
      <c r="B1159" s="395" t="s">
        <v>1061</v>
      </c>
      <c r="C1159" s="395" t="s">
        <v>1060</v>
      </c>
      <c r="D1159" s="396" t="str">
        <f t="shared" si="35"/>
        <v>924</v>
      </c>
      <c r="E1159" s="397">
        <v>8408.76</v>
      </c>
      <c r="F1159" s="397">
        <v>9912</v>
      </c>
    </row>
    <row r="1160" spans="2:6" outlineLevel="2">
      <c r="B1160" s="395" t="s">
        <v>1059</v>
      </c>
      <c r="C1160" s="395" t="s">
        <v>1058</v>
      </c>
      <c r="D1160" s="396" t="str">
        <f t="shared" si="35"/>
        <v>924</v>
      </c>
      <c r="E1160" s="397">
        <v>0</v>
      </c>
      <c r="F1160" s="397">
        <v>0</v>
      </c>
    </row>
    <row r="1161" spans="2:6" outlineLevel="2">
      <c r="B1161" s="395" t="s">
        <v>1057</v>
      </c>
      <c r="C1161" s="395" t="s">
        <v>1056</v>
      </c>
      <c r="D1161" s="396" t="str">
        <f t="shared" si="35"/>
        <v>925</v>
      </c>
      <c r="E1161" s="397">
        <v>0</v>
      </c>
      <c r="F1161" s="397">
        <v>0</v>
      </c>
    </row>
    <row r="1162" spans="2:6" outlineLevel="2">
      <c r="B1162" s="395" t="s">
        <v>1055</v>
      </c>
      <c r="C1162" s="395" t="s">
        <v>1054</v>
      </c>
      <c r="D1162" s="396" t="str">
        <f t="shared" si="35"/>
        <v>920</v>
      </c>
      <c r="E1162" s="397">
        <v>2954412.53</v>
      </c>
      <c r="F1162" s="397">
        <v>2685529</v>
      </c>
    </row>
    <row r="1163" spans="2:6" outlineLevel="2">
      <c r="B1163" s="395" t="s">
        <v>1053</v>
      </c>
      <c r="C1163" s="395" t="s">
        <v>1052</v>
      </c>
      <c r="D1163" s="396" t="str">
        <f t="shared" si="35"/>
        <v>920</v>
      </c>
      <c r="E1163" s="397">
        <v>174303.13</v>
      </c>
      <c r="F1163" s="397">
        <v>171743.06</v>
      </c>
    </row>
    <row r="1164" spans="2:6" outlineLevel="2">
      <c r="B1164" s="395" t="s">
        <v>1051</v>
      </c>
      <c r="C1164" s="395" t="s">
        <v>1050</v>
      </c>
      <c r="D1164" s="396" t="str">
        <f t="shared" si="35"/>
        <v>923</v>
      </c>
      <c r="E1164" s="397">
        <v>251163.69</v>
      </c>
      <c r="F1164" s="397">
        <v>186282.65</v>
      </c>
    </row>
    <row r="1165" spans="2:6" outlineLevel="2">
      <c r="B1165" s="395" t="s">
        <v>1049</v>
      </c>
      <c r="C1165" s="395" t="s">
        <v>1048</v>
      </c>
      <c r="D1165" s="396" t="str">
        <f t="shared" si="35"/>
        <v>923</v>
      </c>
      <c r="E1165" s="397">
        <v>86117.28</v>
      </c>
      <c r="F1165" s="397">
        <v>91939.53</v>
      </c>
    </row>
    <row r="1166" spans="2:6" outlineLevel="2">
      <c r="B1166" s="395" t="s">
        <v>1047</v>
      </c>
      <c r="C1166" s="395" t="s">
        <v>1046</v>
      </c>
      <c r="D1166" s="396" t="str">
        <f t="shared" si="35"/>
        <v>925</v>
      </c>
      <c r="E1166" s="397">
        <v>56247.72</v>
      </c>
      <c r="F1166" s="397">
        <v>56784</v>
      </c>
    </row>
    <row r="1167" spans="2:6" outlineLevel="2">
      <c r="B1167" s="395" t="s">
        <v>1045</v>
      </c>
      <c r="C1167" s="395" t="s">
        <v>1044</v>
      </c>
      <c r="D1167" s="396" t="str">
        <f t="shared" si="35"/>
        <v>925</v>
      </c>
      <c r="E1167" s="397">
        <v>3100.44</v>
      </c>
      <c r="F1167" s="397">
        <v>4284</v>
      </c>
    </row>
    <row r="1168" spans="2:6" outlineLevel="2">
      <c r="B1168" s="395" t="s">
        <v>1043</v>
      </c>
      <c r="C1168" s="395" t="s">
        <v>1042</v>
      </c>
      <c r="D1168" s="396" t="str">
        <f t="shared" si="35"/>
        <v>925</v>
      </c>
      <c r="E1168" s="397">
        <v>129.08000000000001</v>
      </c>
      <c r="F1168" s="397">
        <v>4553.4799999999996</v>
      </c>
    </row>
    <row r="1169" spans="2:6" outlineLevel="2">
      <c r="B1169" s="395" t="s">
        <v>1041</v>
      </c>
      <c r="C1169" s="395" t="s">
        <v>1040</v>
      </c>
      <c r="D1169" s="396" t="str">
        <f t="shared" si="35"/>
        <v>925</v>
      </c>
      <c r="E1169" s="397">
        <v>11777.4</v>
      </c>
      <c r="F1169" s="397">
        <v>14657.95</v>
      </c>
    </row>
    <row r="1170" spans="2:6" outlineLevel="2">
      <c r="B1170" s="395" t="s">
        <v>1039</v>
      </c>
      <c r="C1170" s="395" t="s">
        <v>1038</v>
      </c>
      <c r="D1170" s="396" t="str">
        <f t="shared" si="35"/>
        <v>925</v>
      </c>
      <c r="E1170" s="397">
        <v>13881.33</v>
      </c>
      <c r="F1170" s="397">
        <v>21436</v>
      </c>
    </row>
    <row r="1171" spans="2:6" outlineLevel="2">
      <c r="B1171" s="395" t="s">
        <v>1037</v>
      </c>
      <c r="C1171" s="395" t="s">
        <v>1036</v>
      </c>
      <c r="D1171" s="396" t="str">
        <f t="shared" si="35"/>
        <v>925</v>
      </c>
      <c r="E1171" s="397">
        <v>0</v>
      </c>
      <c r="F1171" s="397">
        <v>0</v>
      </c>
    </row>
    <row r="1172" spans="2:6" outlineLevel="2">
      <c r="B1172" s="395" t="s">
        <v>1035</v>
      </c>
      <c r="C1172" s="395" t="s">
        <v>1034</v>
      </c>
      <c r="D1172" s="396" t="str">
        <f t="shared" si="35"/>
        <v>925</v>
      </c>
      <c r="E1172" s="397">
        <v>0</v>
      </c>
      <c r="F1172" s="397">
        <v>0</v>
      </c>
    </row>
    <row r="1173" spans="2:6" outlineLevel="2">
      <c r="B1173" s="395" t="s">
        <v>1033</v>
      </c>
      <c r="C1173" s="395" t="s">
        <v>1032</v>
      </c>
      <c r="D1173" s="396" t="str">
        <f t="shared" si="35"/>
        <v>925</v>
      </c>
      <c r="E1173" s="397">
        <v>0</v>
      </c>
      <c r="F1173" s="397">
        <v>0</v>
      </c>
    </row>
    <row r="1174" spans="2:6" outlineLevel="2">
      <c r="B1174" s="395" t="s">
        <v>1031</v>
      </c>
      <c r="C1174" s="395" t="s">
        <v>1030</v>
      </c>
      <c r="D1174" s="396" t="str">
        <f t="shared" si="35"/>
        <v>925</v>
      </c>
      <c r="E1174" s="397">
        <v>0</v>
      </c>
      <c r="F1174" s="397">
        <v>0</v>
      </c>
    </row>
    <row r="1175" spans="2:6" outlineLevel="2">
      <c r="B1175" s="395" t="s">
        <v>1029</v>
      </c>
      <c r="C1175" s="395" t="s">
        <v>1028</v>
      </c>
      <c r="D1175" s="396" t="str">
        <f t="shared" si="35"/>
        <v>926</v>
      </c>
      <c r="E1175" s="397">
        <v>340868.78</v>
      </c>
      <c r="F1175" s="397">
        <v>329759.63</v>
      </c>
    </row>
    <row r="1176" spans="2:6" outlineLevel="2">
      <c r="B1176" s="395" t="s">
        <v>1027</v>
      </c>
      <c r="C1176" s="395" t="s">
        <v>1026</v>
      </c>
      <c r="D1176" s="396" t="str">
        <f t="shared" si="35"/>
        <v>926</v>
      </c>
      <c r="E1176" s="397">
        <v>365533.31</v>
      </c>
      <c r="F1176" s="397">
        <v>378731.32</v>
      </c>
    </row>
    <row r="1177" spans="2:6" outlineLevel="2">
      <c r="B1177" s="395" t="s">
        <v>1025</v>
      </c>
      <c r="C1177" s="395" t="s">
        <v>1024</v>
      </c>
      <c r="D1177" s="396" t="str">
        <f t="shared" ref="D1177:D1180" si="36">RIGHT(C1177,3)</f>
        <v>925</v>
      </c>
      <c r="E1177" s="397">
        <v>7076.24</v>
      </c>
      <c r="F1177" s="397">
        <v>14014.63</v>
      </c>
    </row>
    <row r="1178" spans="2:6" outlineLevel="2">
      <c r="B1178" s="395" t="s">
        <v>1023</v>
      </c>
      <c r="C1178" s="395" t="s">
        <v>1022</v>
      </c>
      <c r="D1178" s="396" t="str">
        <f t="shared" si="36"/>
        <v>925</v>
      </c>
      <c r="E1178" s="397">
        <v>8222.75</v>
      </c>
      <c r="F1178" s="397">
        <v>16442</v>
      </c>
    </row>
    <row r="1179" spans="2:6" outlineLevel="2">
      <c r="B1179" s="395" t="s">
        <v>1021</v>
      </c>
      <c r="C1179" s="395" t="s">
        <v>1020</v>
      </c>
      <c r="D1179" s="396" t="str">
        <f t="shared" si="36"/>
        <v>925</v>
      </c>
      <c r="E1179" s="397">
        <v>5402.35</v>
      </c>
      <c r="F1179" s="397">
        <v>6240</v>
      </c>
    </row>
    <row r="1180" spans="2:6" outlineLevel="2">
      <c r="B1180" s="395" t="s">
        <v>1019</v>
      </c>
      <c r="C1180" s="395" t="s">
        <v>1018</v>
      </c>
      <c r="D1180" s="396" t="str">
        <f t="shared" si="36"/>
        <v>925</v>
      </c>
      <c r="E1180" s="397">
        <v>10177.56</v>
      </c>
      <c r="F1180" s="397">
        <v>10272</v>
      </c>
    </row>
    <row r="1181" spans="2:6" outlineLevel="2"/>
    <row r="1182" spans="2:6" outlineLevel="1">
      <c r="E1182" s="397">
        <v>21547260.589999992</v>
      </c>
      <c r="F1182" s="397">
        <v>12387786.799999997</v>
      </c>
    </row>
    <row r="1183" spans="2:6" outlineLevel="1">
      <c r="B1183" s="395" t="s">
        <v>398</v>
      </c>
      <c r="D1183" s="396" t="str">
        <f t="shared" ref="D1183:D1247" si="37">RIGHT(C1183,3)</f>
        <v/>
      </c>
    </row>
    <row r="1184" spans="2:6" outlineLevel="2">
      <c r="B1184" s="395" t="s">
        <v>1017</v>
      </c>
      <c r="C1184" s="395" t="s">
        <v>1016</v>
      </c>
      <c r="D1184" s="396" t="str">
        <f t="shared" si="37"/>
        <v>549</v>
      </c>
      <c r="E1184" s="397">
        <v>0</v>
      </c>
      <c r="F1184" s="397">
        <v>0</v>
      </c>
    </row>
    <row r="1185" spans="2:6" outlineLevel="2">
      <c r="B1185" s="395" t="s">
        <v>3383</v>
      </c>
      <c r="C1185" s="395" t="s">
        <v>3384</v>
      </c>
      <c r="D1185" s="396" t="str">
        <f t="shared" si="37"/>
        <v>554</v>
      </c>
      <c r="E1185" s="397">
        <v>-153.72999999999999</v>
      </c>
      <c r="F1185" s="397">
        <v>0</v>
      </c>
    </row>
    <row r="1186" spans="2:6" outlineLevel="2">
      <c r="B1186" s="395" t="s">
        <v>1015</v>
      </c>
      <c r="C1186" s="395" t="s">
        <v>1014</v>
      </c>
      <c r="D1186" s="396" t="str">
        <f t="shared" si="37"/>
        <v>510</v>
      </c>
      <c r="E1186" s="397">
        <v>1099507.43</v>
      </c>
      <c r="F1186" s="397">
        <v>891006.16</v>
      </c>
    </row>
    <row r="1187" spans="2:6" outlineLevel="2">
      <c r="B1187" s="395" t="s">
        <v>1013</v>
      </c>
      <c r="C1187" s="395" t="s">
        <v>1012</v>
      </c>
      <c r="D1187" s="396" t="str">
        <f t="shared" si="37"/>
        <v>510</v>
      </c>
      <c r="E1187" s="397">
        <v>341495.86</v>
      </c>
      <c r="F1187" s="397">
        <v>347045.35</v>
      </c>
    </row>
    <row r="1188" spans="2:6" outlineLevel="2">
      <c r="B1188" s="395" t="s">
        <v>1011</v>
      </c>
      <c r="C1188" s="395" t="s">
        <v>1010</v>
      </c>
      <c r="D1188" s="396" t="str">
        <f t="shared" si="37"/>
        <v>511</v>
      </c>
      <c r="E1188" s="397">
        <v>841780.68</v>
      </c>
      <c r="F1188" s="397">
        <v>815060.56</v>
      </c>
    </row>
    <row r="1189" spans="2:6" outlineLevel="2">
      <c r="B1189" s="395" t="s">
        <v>1009</v>
      </c>
      <c r="C1189" s="395" t="s">
        <v>1008</v>
      </c>
      <c r="D1189" s="396" t="str">
        <f t="shared" si="37"/>
        <v>512</v>
      </c>
      <c r="E1189" s="397">
        <v>2638260.79</v>
      </c>
      <c r="F1189" s="397">
        <v>1906861.02</v>
      </c>
    </row>
    <row r="1190" spans="2:6" outlineLevel="2">
      <c r="B1190" s="395" t="s">
        <v>1007</v>
      </c>
      <c r="C1190" s="395" t="s">
        <v>1006</v>
      </c>
      <c r="D1190" s="396" t="str">
        <f t="shared" si="37"/>
        <v>513</v>
      </c>
      <c r="E1190" s="397">
        <v>556617.34</v>
      </c>
      <c r="F1190" s="397">
        <v>229318.57</v>
      </c>
    </row>
    <row r="1191" spans="2:6" outlineLevel="2">
      <c r="B1191" s="395" t="s">
        <v>1005</v>
      </c>
      <c r="C1191" s="395" t="s">
        <v>1004</v>
      </c>
      <c r="D1191" s="396" t="str">
        <f t="shared" si="37"/>
        <v>514</v>
      </c>
      <c r="E1191" s="397">
        <v>2894234.75</v>
      </c>
      <c r="F1191" s="397">
        <v>926584.62</v>
      </c>
    </row>
    <row r="1192" spans="2:6" outlineLevel="2">
      <c r="B1192" s="395" t="s">
        <v>1003</v>
      </c>
      <c r="C1192" s="395" t="s">
        <v>1002</v>
      </c>
      <c r="D1192" s="396" t="str">
        <f t="shared" si="37"/>
        <v>514</v>
      </c>
      <c r="E1192" s="397">
        <v>144846.31</v>
      </c>
      <c r="F1192" s="397">
        <v>161290.04</v>
      </c>
    </row>
    <row r="1193" spans="2:6" outlineLevel="2">
      <c r="B1193" s="395" t="s">
        <v>1001</v>
      </c>
      <c r="C1193" s="395" t="s">
        <v>1000</v>
      </c>
      <c r="D1193" s="396" t="str">
        <f t="shared" si="37"/>
        <v>511</v>
      </c>
      <c r="E1193" s="397">
        <v>2085.8000000000002</v>
      </c>
      <c r="F1193" s="397">
        <v>2223</v>
      </c>
    </row>
    <row r="1194" spans="2:6" outlineLevel="2">
      <c r="B1194" s="395" t="s">
        <v>999</v>
      </c>
      <c r="C1194" s="395" t="s">
        <v>998</v>
      </c>
      <c r="D1194" s="396" t="str">
        <f t="shared" si="37"/>
        <v>510</v>
      </c>
      <c r="E1194" s="397">
        <v>225501.99</v>
      </c>
      <c r="F1194" s="397">
        <v>102748.84</v>
      </c>
    </row>
    <row r="1195" spans="2:6" outlineLevel="2">
      <c r="B1195" s="395" t="s">
        <v>997</v>
      </c>
      <c r="C1195" s="395" t="s">
        <v>996</v>
      </c>
      <c r="D1195" s="396" t="str">
        <f t="shared" si="37"/>
        <v>511</v>
      </c>
      <c r="E1195" s="397">
        <v>124041.45</v>
      </c>
      <c r="F1195" s="397">
        <v>112575.32</v>
      </c>
    </row>
    <row r="1196" spans="2:6" outlineLevel="2">
      <c r="B1196" s="395" t="s">
        <v>995</v>
      </c>
      <c r="C1196" s="395" t="s">
        <v>994</v>
      </c>
      <c r="D1196" s="396" t="str">
        <f t="shared" si="37"/>
        <v>512</v>
      </c>
      <c r="E1196" s="397">
        <v>1482580.21</v>
      </c>
      <c r="F1196" s="397">
        <v>972943.02</v>
      </c>
    </row>
    <row r="1197" spans="2:6" outlineLevel="2">
      <c r="B1197" s="395" t="s">
        <v>993</v>
      </c>
      <c r="C1197" s="395" t="s">
        <v>992</v>
      </c>
      <c r="D1197" s="396" t="str">
        <f t="shared" si="37"/>
        <v>512</v>
      </c>
      <c r="E1197" s="397">
        <v>0</v>
      </c>
      <c r="F1197" s="397">
        <v>0</v>
      </c>
    </row>
    <row r="1198" spans="2:6" outlineLevel="2">
      <c r="B1198" s="395" t="s">
        <v>991</v>
      </c>
      <c r="C1198" s="395" t="s">
        <v>990</v>
      </c>
      <c r="D1198" s="396" t="str">
        <f t="shared" si="37"/>
        <v>513</v>
      </c>
      <c r="E1198" s="397">
        <v>581249.87</v>
      </c>
      <c r="F1198" s="397">
        <v>127270.91</v>
      </c>
    </row>
    <row r="1199" spans="2:6" outlineLevel="2">
      <c r="B1199" s="395" t="s">
        <v>989</v>
      </c>
      <c r="C1199" s="395" t="s">
        <v>988</v>
      </c>
      <c r="D1199" s="396" t="str">
        <f t="shared" si="37"/>
        <v>514</v>
      </c>
      <c r="E1199" s="397">
        <v>98814.22</v>
      </c>
      <c r="F1199" s="397">
        <v>63817.57</v>
      </c>
    </row>
    <row r="1200" spans="2:6" outlineLevel="2">
      <c r="B1200" s="395" t="s">
        <v>987</v>
      </c>
      <c r="C1200" s="395" t="s">
        <v>986</v>
      </c>
      <c r="D1200" s="396" t="str">
        <f t="shared" si="37"/>
        <v>510</v>
      </c>
      <c r="E1200" s="397">
        <v>149238.23000000001</v>
      </c>
      <c r="F1200" s="397">
        <v>185948.2</v>
      </c>
    </row>
    <row r="1201" spans="2:6" outlineLevel="2">
      <c r="B1201" s="395" t="s">
        <v>985</v>
      </c>
      <c r="C1201" s="395" t="s">
        <v>984</v>
      </c>
      <c r="D1201" s="396" t="str">
        <f t="shared" si="37"/>
        <v>511</v>
      </c>
      <c r="E1201" s="397">
        <v>72162.490000000005</v>
      </c>
      <c r="F1201" s="397">
        <v>148839.82</v>
      </c>
    </row>
    <row r="1202" spans="2:6" outlineLevel="2">
      <c r="B1202" s="395" t="s">
        <v>983</v>
      </c>
      <c r="C1202" s="395" t="s">
        <v>982</v>
      </c>
      <c r="D1202" s="396" t="str">
        <f t="shared" si="37"/>
        <v>512</v>
      </c>
      <c r="E1202" s="397">
        <v>1350347.5</v>
      </c>
      <c r="F1202" s="397">
        <v>1238437.08</v>
      </c>
    </row>
    <row r="1203" spans="2:6" outlineLevel="2">
      <c r="B1203" s="395" t="s">
        <v>981</v>
      </c>
      <c r="C1203" s="395" t="s">
        <v>980</v>
      </c>
      <c r="D1203" s="396" t="str">
        <f t="shared" si="37"/>
        <v>512</v>
      </c>
      <c r="E1203" s="397">
        <v>0</v>
      </c>
      <c r="F1203" s="397">
        <v>0</v>
      </c>
    </row>
    <row r="1204" spans="2:6" outlineLevel="2">
      <c r="B1204" s="395" t="s">
        <v>979</v>
      </c>
      <c r="C1204" s="395" t="s">
        <v>978</v>
      </c>
      <c r="D1204" s="396" t="str">
        <f t="shared" si="37"/>
        <v>513</v>
      </c>
      <c r="E1204" s="397">
        <v>144087.35999999999</v>
      </c>
      <c r="F1204" s="397">
        <v>343378.73</v>
      </c>
    </row>
    <row r="1205" spans="2:6" outlineLevel="2">
      <c r="B1205" s="395" t="s">
        <v>977</v>
      </c>
      <c r="C1205" s="395" t="s">
        <v>976</v>
      </c>
      <c r="D1205" s="396" t="str">
        <f t="shared" si="37"/>
        <v>514</v>
      </c>
      <c r="E1205" s="397">
        <v>140323.91</v>
      </c>
      <c r="F1205" s="397">
        <v>89269.79</v>
      </c>
    </row>
    <row r="1206" spans="2:6" outlineLevel="2">
      <c r="B1206" s="395" t="s">
        <v>975</v>
      </c>
      <c r="C1206" s="395" t="s">
        <v>974</v>
      </c>
      <c r="D1206" s="396" t="str">
        <f t="shared" si="37"/>
        <v>554</v>
      </c>
      <c r="E1206" s="397">
        <v>10149.75</v>
      </c>
      <c r="F1206" s="397">
        <v>18919.57</v>
      </c>
    </row>
    <row r="1207" spans="2:6" outlineLevel="2">
      <c r="B1207" s="395" t="s">
        <v>973</v>
      </c>
      <c r="C1207" s="395" t="s">
        <v>972</v>
      </c>
      <c r="D1207" s="396" t="str">
        <f t="shared" si="37"/>
        <v>554</v>
      </c>
      <c r="E1207" s="397">
        <v>107704.11</v>
      </c>
      <c r="F1207" s="397">
        <v>139861.68</v>
      </c>
    </row>
    <row r="1208" spans="2:6" outlineLevel="2">
      <c r="B1208" s="395" t="s">
        <v>971</v>
      </c>
      <c r="C1208" s="395" t="s">
        <v>970</v>
      </c>
      <c r="D1208" s="396" t="str">
        <f t="shared" si="37"/>
        <v>554</v>
      </c>
      <c r="E1208" s="397">
        <v>44004</v>
      </c>
      <c r="F1208" s="397">
        <v>44004</v>
      </c>
    </row>
    <row r="1209" spans="2:6" outlineLevel="2">
      <c r="B1209" s="395" t="s">
        <v>969</v>
      </c>
      <c r="C1209" s="395" t="s">
        <v>968</v>
      </c>
      <c r="D1209" s="396" t="str">
        <f t="shared" si="37"/>
        <v>554</v>
      </c>
      <c r="E1209" s="397">
        <v>11200</v>
      </c>
      <c r="F1209" s="397">
        <v>11334.96</v>
      </c>
    </row>
    <row r="1210" spans="2:6" outlineLevel="2">
      <c r="B1210" s="395" t="s">
        <v>967</v>
      </c>
      <c r="C1210" s="395" t="s">
        <v>966</v>
      </c>
      <c r="D1210" s="396" t="str">
        <f t="shared" si="37"/>
        <v>554</v>
      </c>
      <c r="E1210" s="397">
        <v>0</v>
      </c>
      <c r="F1210" s="397">
        <v>95854.3</v>
      </c>
    </row>
    <row r="1211" spans="2:6" outlineLevel="2">
      <c r="B1211" s="395" t="s">
        <v>965</v>
      </c>
      <c r="C1211" s="395" t="s">
        <v>964</v>
      </c>
      <c r="D1211" s="396" t="str">
        <f t="shared" si="37"/>
        <v>554</v>
      </c>
      <c r="E1211" s="397">
        <v>2679</v>
      </c>
      <c r="F1211" s="397">
        <v>16915</v>
      </c>
    </row>
    <row r="1212" spans="2:6" outlineLevel="2">
      <c r="B1212" s="395" t="s">
        <v>963</v>
      </c>
      <c r="C1212" s="395" t="s">
        <v>962</v>
      </c>
      <c r="D1212" s="396" t="str">
        <f t="shared" si="37"/>
        <v>554</v>
      </c>
      <c r="E1212" s="397">
        <v>52445.21</v>
      </c>
      <c r="F1212" s="397">
        <v>55147.49</v>
      </c>
    </row>
    <row r="1213" spans="2:6" outlineLevel="2">
      <c r="B1213" s="395" t="s">
        <v>961</v>
      </c>
      <c r="C1213" s="395" t="s">
        <v>960</v>
      </c>
      <c r="D1213" s="396" t="str">
        <f t="shared" si="37"/>
        <v>554</v>
      </c>
      <c r="E1213" s="397">
        <v>3012</v>
      </c>
      <c r="F1213" s="397">
        <v>1820.13</v>
      </c>
    </row>
    <row r="1214" spans="2:6" outlineLevel="2">
      <c r="B1214" s="395" t="s">
        <v>959</v>
      </c>
      <c r="C1214" s="395" t="s">
        <v>958</v>
      </c>
      <c r="D1214" s="396" t="str">
        <f t="shared" si="37"/>
        <v>554</v>
      </c>
      <c r="E1214" s="397">
        <v>0</v>
      </c>
      <c r="F1214" s="397">
        <v>0</v>
      </c>
    </row>
    <row r="1215" spans="2:6" outlineLevel="2">
      <c r="B1215" s="395" t="s">
        <v>957</v>
      </c>
      <c r="C1215" s="395" t="s">
        <v>956</v>
      </c>
      <c r="D1215" s="396" t="str">
        <f t="shared" si="37"/>
        <v>554</v>
      </c>
      <c r="E1215" s="397">
        <v>1117.1300000000001</v>
      </c>
      <c r="F1215" s="397">
        <v>0</v>
      </c>
    </row>
    <row r="1216" spans="2:6" outlineLevel="2">
      <c r="B1216" s="395" t="s">
        <v>955</v>
      </c>
      <c r="C1216" s="395" t="s">
        <v>954</v>
      </c>
      <c r="D1216" s="396" t="str">
        <f t="shared" si="37"/>
        <v>554</v>
      </c>
      <c r="E1216" s="397">
        <v>0</v>
      </c>
      <c r="F1216" s="397">
        <v>0</v>
      </c>
    </row>
    <row r="1217" spans="2:6" outlineLevel="2">
      <c r="B1217" s="395" t="s">
        <v>953</v>
      </c>
      <c r="C1217" s="395" t="s">
        <v>952</v>
      </c>
      <c r="D1217" s="396" t="str">
        <f t="shared" si="37"/>
        <v>554</v>
      </c>
      <c r="E1217" s="397">
        <v>8004</v>
      </c>
      <c r="F1217" s="397">
        <v>8004</v>
      </c>
    </row>
    <row r="1218" spans="2:6" outlineLevel="2">
      <c r="B1218" s="395" t="s">
        <v>951</v>
      </c>
      <c r="C1218" s="395" t="s">
        <v>950</v>
      </c>
      <c r="D1218" s="396" t="str">
        <f t="shared" si="37"/>
        <v>554</v>
      </c>
      <c r="E1218" s="397">
        <v>8200</v>
      </c>
      <c r="F1218" s="397">
        <v>11334.95</v>
      </c>
    </row>
    <row r="1219" spans="2:6" outlineLevel="2">
      <c r="B1219" s="395" t="s">
        <v>949</v>
      </c>
      <c r="C1219" s="395" t="s">
        <v>948</v>
      </c>
      <c r="D1219" s="396" t="str">
        <f t="shared" si="37"/>
        <v>554</v>
      </c>
      <c r="E1219" s="397">
        <v>0</v>
      </c>
      <c r="F1219" s="397">
        <v>617.25</v>
      </c>
    </row>
    <row r="1220" spans="2:6" outlineLevel="2">
      <c r="B1220" s="395" t="s">
        <v>947</v>
      </c>
      <c r="C1220" s="395" t="s">
        <v>946</v>
      </c>
      <c r="D1220" s="396" t="str">
        <f t="shared" si="37"/>
        <v>554</v>
      </c>
      <c r="E1220" s="397">
        <v>0</v>
      </c>
      <c r="F1220" s="397">
        <v>0</v>
      </c>
    </row>
    <row r="1221" spans="2:6" outlineLevel="2">
      <c r="B1221" s="395" t="s">
        <v>945</v>
      </c>
      <c r="C1221" s="395" t="s">
        <v>944</v>
      </c>
      <c r="D1221" s="396" t="str">
        <f t="shared" si="37"/>
        <v>554</v>
      </c>
      <c r="E1221" s="397">
        <v>8768.2099999999991</v>
      </c>
      <c r="F1221" s="397">
        <v>18074.57</v>
      </c>
    </row>
    <row r="1222" spans="2:6" outlineLevel="2">
      <c r="B1222" s="395" t="s">
        <v>943</v>
      </c>
      <c r="C1222" s="395" t="s">
        <v>942</v>
      </c>
      <c r="D1222" s="396" t="str">
        <f t="shared" si="37"/>
        <v>554</v>
      </c>
      <c r="E1222" s="397">
        <v>422</v>
      </c>
      <c r="F1222" s="397">
        <v>2033.41</v>
      </c>
    </row>
    <row r="1223" spans="2:6" outlineLevel="2">
      <c r="B1223" s="395" t="s">
        <v>941</v>
      </c>
      <c r="C1223" s="395" t="s">
        <v>940</v>
      </c>
      <c r="D1223" s="396" t="str">
        <f t="shared" si="37"/>
        <v>554</v>
      </c>
      <c r="E1223" s="397">
        <v>0</v>
      </c>
      <c r="F1223" s="397">
        <v>0</v>
      </c>
    </row>
    <row r="1224" spans="2:6" outlineLevel="2">
      <c r="B1224" s="395" t="s">
        <v>939</v>
      </c>
      <c r="C1224" s="395" t="s">
        <v>938</v>
      </c>
      <c r="D1224" s="396" t="str">
        <f t="shared" si="37"/>
        <v>554</v>
      </c>
      <c r="E1224" s="397">
        <v>0</v>
      </c>
      <c r="F1224" s="397">
        <v>0</v>
      </c>
    </row>
    <row r="1225" spans="2:6" outlineLevel="2">
      <c r="B1225" s="395" t="s">
        <v>937</v>
      </c>
      <c r="C1225" s="395" t="s">
        <v>936</v>
      </c>
      <c r="D1225" s="396" t="str">
        <f t="shared" si="37"/>
        <v>510</v>
      </c>
      <c r="E1225" s="397">
        <v>39399.94</v>
      </c>
      <c r="F1225" s="397">
        <v>28253.23</v>
      </c>
    </row>
    <row r="1226" spans="2:6" outlineLevel="2">
      <c r="B1226" s="395" t="s">
        <v>935</v>
      </c>
      <c r="C1226" s="395" t="s">
        <v>934</v>
      </c>
      <c r="D1226" s="396" t="str">
        <f t="shared" si="37"/>
        <v>511</v>
      </c>
      <c r="E1226" s="397">
        <v>94897.4</v>
      </c>
      <c r="F1226" s="397">
        <v>79092.61</v>
      </c>
    </row>
    <row r="1227" spans="2:6" outlineLevel="2">
      <c r="B1227" s="395" t="s">
        <v>933</v>
      </c>
      <c r="C1227" s="395" t="s">
        <v>932</v>
      </c>
      <c r="D1227" s="396" t="str">
        <f t="shared" si="37"/>
        <v>512</v>
      </c>
      <c r="E1227" s="397">
        <v>3418100.97</v>
      </c>
      <c r="F1227" s="397">
        <v>3318711.75</v>
      </c>
    </row>
    <row r="1228" spans="2:6" outlineLevel="2">
      <c r="B1228" s="395" t="s">
        <v>931</v>
      </c>
      <c r="C1228" s="395" t="s">
        <v>930</v>
      </c>
      <c r="D1228" s="396" t="str">
        <f t="shared" si="37"/>
        <v>512</v>
      </c>
      <c r="E1228" s="397">
        <v>0</v>
      </c>
      <c r="F1228" s="397">
        <v>0</v>
      </c>
    </row>
    <row r="1229" spans="2:6" outlineLevel="2">
      <c r="B1229" s="395" t="s">
        <v>929</v>
      </c>
      <c r="C1229" s="395" t="s">
        <v>928</v>
      </c>
      <c r="D1229" s="396" t="str">
        <f t="shared" si="37"/>
        <v>513</v>
      </c>
      <c r="E1229" s="397">
        <v>523112.94</v>
      </c>
      <c r="F1229" s="397">
        <v>389826.67</v>
      </c>
    </row>
    <row r="1230" spans="2:6" outlineLevel="2">
      <c r="B1230" s="395" t="s">
        <v>927</v>
      </c>
      <c r="C1230" s="395" t="s">
        <v>926</v>
      </c>
      <c r="D1230" s="396" t="str">
        <f t="shared" si="37"/>
        <v>514</v>
      </c>
      <c r="E1230" s="397">
        <v>1551482.62</v>
      </c>
      <c r="F1230" s="397">
        <v>1487948.77</v>
      </c>
    </row>
    <row r="1231" spans="2:6" outlineLevel="2">
      <c r="B1231" s="395" t="s">
        <v>925</v>
      </c>
      <c r="C1231" s="395" t="s">
        <v>924</v>
      </c>
      <c r="D1231" s="396" t="str">
        <f t="shared" si="37"/>
        <v>510</v>
      </c>
      <c r="E1231" s="397">
        <v>39399.49</v>
      </c>
      <c r="F1231" s="397">
        <v>28252.99</v>
      </c>
    </row>
    <row r="1232" spans="2:6" outlineLevel="2">
      <c r="B1232" s="395" t="s">
        <v>923</v>
      </c>
      <c r="C1232" s="395" t="s">
        <v>922</v>
      </c>
      <c r="D1232" s="396" t="str">
        <f t="shared" si="37"/>
        <v>511</v>
      </c>
      <c r="E1232" s="397">
        <v>71585.23</v>
      </c>
      <c r="F1232" s="397">
        <v>77430.929999999993</v>
      </c>
    </row>
    <row r="1233" spans="2:6" outlineLevel="2">
      <c r="B1233" s="395" t="s">
        <v>921</v>
      </c>
      <c r="C1233" s="395" t="s">
        <v>920</v>
      </c>
      <c r="D1233" s="396" t="str">
        <f t="shared" si="37"/>
        <v>512</v>
      </c>
      <c r="E1233" s="397">
        <v>3154796.98</v>
      </c>
      <c r="F1233" s="397">
        <v>4998716.4800000004</v>
      </c>
    </row>
    <row r="1234" spans="2:6" outlineLevel="2">
      <c r="B1234" s="395" t="s">
        <v>919</v>
      </c>
      <c r="C1234" s="395" t="s">
        <v>918</v>
      </c>
      <c r="D1234" s="396" t="str">
        <f t="shared" si="37"/>
        <v>512</v>
      </c>
      <c r="E1234" s="397">
        <v>0</v>
      </c>
      <c r="F1234" s="397">
        <v>0</v>
      </c>
    </row>
    <row r="1235" spans="2:6" outlineLevel="2">
      <c r="B1235" s="395" t="s">
        <v>917</v>
      </c>
      <c r="C1235" s="395" t="s">
        <v>916</v>
      </c>
      <c r="D1235" s="396" t="str">
        <f t="shared" si="37"/>
        <v>513</v>
      </c>
      <c r="E1235" s="397">
        <v>503496.56</v>
      </c>
      <c r="F1235" s="397">
        <v>431351.15</v>
      </c>
    </row>
    <row r="1236" spans="2:6" outlineLevel="2">
      <c r="B1236" s="395" t="s">
        <v>915</v>
      </c>
      <c r="C1236" s="395" t="s">
        <v>914</v>
      </c>
      <c r="D1236" s="396" t="str">
        <f t="shared" si="37"/>
        <v>514</v>
      </c>
      <c r="E1236" s="397">
        <v>1254782.46</v>
      </c>
      <c r="F1236" s="397">
        <v>1726225.97</v>
      </c>
    </row>
    <row r="1237" spans="2:6" outlineLevel="2">
      <c r="B1237" s="395" t="s">
        <v>913</v>
      </c>
      <c r="C1237" s="395" t="s">
        <v>912</v>
      </c>
      <c r="D1237" s="396" t="str">
        <f t="shared" si="37"/>
        <v>569</v>
      </c>
      <c r="E1237" s="397">
        <v>159000</v>
      </c>
      <c r="F1237" s="397">
        <v>131000</v>
      </c>
    </row>
    <row r="1238" spans="2:6" outlineLevel="2">
      <c r="B1238" s="395" t="s">
        <v>911</v>
      </c>
      <c r="C1238" s="395" t="s">
        <v>910</v>
      </c>
      <c r="D1238" s="396" t="str">
        <f t="shared" si="37"/>
        <v>570</v>
      </c>
      <c r="E1238" s="397">
        <v>1233457.4099999999</v>
      </c>
      <c r="F1238" s="397">
        <v>927016.64</v>
      </c>
    </row>
    <row r="1239" spans="2:6" outlineLevel="2">
      <c r="B1239" s="395" t="s">
        <v>909</v>
      </c>
      <c r="C1239" s="395" t="s">
        <v>908</v>
      </c>
      <c r="D1239" s="396" t="str">
        <f t="shared" si="37"/>
        <v>571</v>
      </c>
      <c r="E1239" s="397">
        <v>851000</v>
      </c>
      <c r="F1239" s="397">
        <v>797000</v>
      </c>
    </row>
    <row r="1240" spans="2:6" outlineLevel="2">
      <c r="B1240" s="395" t="s">
        <v>907</v>
      </c>
      <c r="C1240" s="395" t="s">
        <v>906</v>
      </c>
      <c r="D1240" s="396" t="str">
        <f t="shared" si="37"/>
        <v>572</v>
      </c>
      <c r="E1240" s="397">
        <v>0</v>
      </c>
      <c r="F1240" s="397">
        <v>0</v>
      </c>
    </row>
    <row r="1241" spans="2:6" outlineLevel="2">
      <c r="B1241" s="395" t="s">
        <v>905</v>
      </c>
      <c r="C1241" s="395" t="s">
        <v>904</v>
      </c>
      <c r="D1241" s="396" t="str">
        <f t="shared" si="37"/>
        <v>592</v>
      </c>
      <c r="E1241" s="397">
        <v>61000</v>
      </c>
      <c r="F1241" s="397">
        <v>53000</v>
      </c>
    </row>
    <row r="1242" spans="2:6" outlineLevel="2">
      <c r="B1242" s="395" t="s">
        <v>903</v>
      </c>
      <c r="C1242" s="395" t="s">
        <v>902</v>
      </c>
      <c r="D1242" s="396" t="str">
        <f t="shared" si="37"/>
        <v>593</v>
      </c>
      <c r="E1242" s="397">
        <v>12000</v>
      </c>
      <c r="F1242" s="397">
        <v>15000</v>
      </c>
    </row>
    <row r="1243" spans="2:6" outlineLevel="2">
      <c r="B1243" s="395" t="s">
        <v>901</v>
      </c>
      <c r="C1243" s="395" t="s">
        <v>900</v>
      </c>
      <c r="D1243" s="396" t="str">
        <f t="shared" si="37"/>
        <v>597</v>
      </c>
      <c r="E1243" s="397">
        <v>2000</v>
      </c>
      <c r="F1243" s="397">
        <v>3000</v>
      </c>
    </row>
    <row r="1244" spans="2:6" outlineLevel="2">
      <c r="B1244" s="395" t="s">
        <v>899</v>
      </c>
      <c r="C1244" s="395" t="s">
        <v>898</v>
      </c>
      <c r="D1244" s="396" t="str">
        <f t="shared" si="37"/>
        <v>514</v>
      </c>
      <c r="E1244" s="397">
        <v>23004</v>
      </c>
      <c r="F1244" s="397">
        <v>23004</v>
      </c>
    </row>
    <row r="1245" spans="2:6" outlineLevel="2">
      <c r="B1245" s="395" t="s">
        <v>897</v>
      </c>
      <c r="C1245" s="395" t="s">
        <v>896</v>
      </c>
      <c r="D1245" s="396" t="str">
        <f t="shared" si="37"/>
        <v>510</v>
      </c>
      <c r="E1245" s="397">
        <v>0</v>
      </c>
      <c r="F1245" s="397">
        <v>0</v>
      </c>
    </row>
    <row r="1246" spans="2:6" outlineLevel="2">
      <c r="B1246" s="395" t="s">
        <v>895</v>
      </c>
      <c r="C1246" s="395" t="s">
        <v>894</v>
      </c>
      <c r="D1246" s="396" t="str">
        <f t="shared" si="37"/>
        <v>511</v>
      </c>
      <c r="E1246" s="397">
        <v>33576.79</v>
      </c>
      <c r="F1246" s="397">
        <v>31329.07</v>
      </c>
    </row>
    <row r="1247" spans="2:6" outlineLevel="2">
      <c r="B1247" s="395" t="s">
        <v>893</v>
      </c>
      <c r="C1247" s="395" t="s">
        <v>892</v>
      </c>
      <c r="D1247" s="396" t="str">
        <f t="shared" si="37"/>
        <v>512</v>
      </c>
      <c r="E1247" s="397">
        <v>275494.23</v>
      </c>
      <c r="F1247" s="397">
        <v>412285.14</v>
      </c>
    </row>
    <row r="1248" spans="2:6" outlineLevel="2">
      <c r="B1248" s="395" t="s">
        <v>891</v>
      </c>
      <c r="C1248" s="395" t="s">
        <v>890</v>
      </c>
      <c r="D1248" s="396" t="str">
        <f t="shared" ref="D1248:D1250" si="38">RIGHT(C1248,3)</f>
        <v>513</v>
      </c>
      <c r="E1248" s="397">
        <v>469259.27</v>
      </c>
      <c r="F1248" s="397">
        <v>1217886.17</v>
      </c>
    </row>
    <row r="1249" spans="2:6" outlineLevel="2">
      <c r="B1249" s="395" t="s">
        <v>889</v>
      </c>
      <c r="C1249" s="395" t="s">
        <v>888</v>
      </c>
      <c r="D1249" s="396" t="str">
        <f t="shared" si="38"/>
        <v>514</v>
      </c>
      <c r="E1249" s="397">
        <v>14531.18</v>
      </c>
      <c r="F1249" s="397">
        <v>19156.060000000001</v>
      </c>
    </row>
    <row r="1250" spans="2:6" outlineLevel="2">
      <c r="B1250" s="395" t="s">
        <v>887</v>
      </c>
      <c r="C1250" s="395" t="s">
        <v>886</v>
      </c>
      <c r="D1250" s="396" t="str">
        <f t="shared" si="38"/>
        <v>554</v>
      </c>
      <c r="E1250" s="397">
        <v>289338.87</v>
      </c>
      <c r="F1250" s="397">
        <v>187315.83</v>
      </c>
    </row>
    <row r="1251" spans="2:6" outlineLevel="2"/>
    <row r="1252" spans="2:6" outlineLevel="1">
      <c r="E1252" s="397">
        <v>27219444.210000001</v>
      </c>
      <c r="F1252" s="397">
        <v>25471343.370000001</v>
      </c>
    </row>
    <row r="1253" spans="2:6" outlineLevel="1">
      <c r="B1253" s="395" t="s">
        <v>885</v>
      </c>
      <c r="D1253" s="396" t="str">
        <f t="shared" ref="D1253:D1312" si="39">RIGHT(C1253,3)</f>
        <v/>
      </c>
    </row>
    <row r="1254" spans="2:6" outlineLevel="2">
      <c r="B1254" s="395" t="s">
        <v>884</v>
      </c>
      <c r="C1254" s="395" t="s">
        <v>883</v>
      </c>
      <c r="D1254" s="396" t="str">
        <f t="shared" si="39"/>
        <v>403</v>
      </c>
      <c r="E1254" s="397">
        <v>26948.45</v>
      </c>
      <c r="F1254" s="397">
        <v>7372.5</v>
      </c>
    </row>
    <row r="1255" spans="2:6" outlineLevel="2">
      <c r="B1255" s="395" t="s">
        <v>882</v>
      </c>
      <c r="C1255" s="395" t="s">
        <v>881</v>
      </c>
      <c r="D1255" s="396" t="str">
        <f t="shared" si="39"/>
        <v>403</v>
      </c>
      <c r="E1255" s="397">
        <v>0</v>
      </c>
      <c r="F1255" s="397">
        <v>0</v>
      </c>
    </row>
    <row r="1256" spans="2:6" outlineLevel="2">
      <c r="B1256" s="395" t="s">
        <v>880</v>
      </c>
      <c r="C1256" s="395" t="s">
        <v>879</v>
      </c>
      <c r="D1256" s="396" t="str">
        <f t="shared" si="39"/>
        <v>403</v>
      </c>
      <c r="E1256" s="397">
        <v>436400.13</v>
      </c>
      <c r="F1256" s="397">
        <v>420002.55</v>
      </c>
    </row>
    <row r="1257" spans="2:6" outlineLevel="2">
      <c r="B1257" s="395" t="s">
        <v>878</v>
      </c>
      <c r="C1257" s="395" t="s">
        <v>877</v>
      </c>
      <c r="D1257" s="396" t="str">
        <f t="shared" si="39"/>
        <v>403</v>
      </c>
      <c r="E1257" s="397">
        <v>34334.43</v>
      </c>
      <c r="F1257" s="397">
        <v>34525.68</v>
      </c>
    </row>
    <row r="1258" spans="2:6" outlineLevel="2">
      <c r="B1258" s="395" t="s">
        <v>876</v>
      </c>
      <c r="C1258" s="395" t="s">
        <v>875</v>
      </c>
      <c r="D1258" s="396" t="str">
        <f t="shared" si="39"/>
        <v>403</v>
      </c>
      <c r="E1258" s="397">
        <v>49677.98</v>
      </c>
      <c r="F1258" s="397">
        <v>44015.13</v>
      </c>
    </row>
    <row r="1259" spans="2:6" outlineLevel="2">
      <c r="B1259" s="395" t="s">
        <v>874</v>
      </c>
      <c r="C1259" s="395" t="s">
        <v>873</v>
      </c>
      <c r="D1259" s="396" t="str">
        <f t="shared" si="39"/>
        <v>403</v>
      </c>
      <c r="E1259" s="397">
        <v>35973.379999999997</v>
      </c>
      <c r="F1259" s="397">
        <v>31757.53</v>
      </c>
    </row>
    <row r="1260" spans="2:6" outlineLevel="2">
      <c r="B1260" s="395" t="s">
        <v>872</v>
      </c>
      <c r="C1260" s="395" t="s">
        <v>871</v>
      </c>
      <c r="D1260" s="396" t="str">
        <f t="shared" si="39"/>
        <v>403</v>
      </c>
      <c r="E1260" s="397">
        <v>530.23</v>
      </c>
      <c r="F1260" s="397">
        <v>530.23</v>
      </c>
    </row>
    <row r="1261" spans="2:6" outlineLevel="2">
      <c r="B1261" s="395" t="s">
        <v>870</v>
      </c>
      <c r="C1261" s="395" t="s">
        <v>869</v>
      </c>
      <c r="D1261" s="396" t="str">
        <f t="shared" si="39"/>
        <v>403</v>
      </c>
      <c r="E1261" s="397">
        <v>0</v>
      </c>
      <c r="F1261" s="397">
        <v>0</v>
      </c>
    </row>
    <row r="1262" spans="2:6" outlineLevel="2">
      <c r="B1262" s="395" t="s">
        <v>868</v>
      </c>
      <c r="C1262" s="395" t="s">
        <v>867</v>
      </c>
      <c r="D1262" s="396" t="str">
        <f t="shared" si="39"/>
        <v>403</v>
      </c>
      <c r="E1262" s="397">
        <v>155926.76</v>
      </c>
      <c r="F1262" s="397">
        <v>142640.03</v>
      </c>
    </row>
    <row r="1263" spans="2:6" outlineLevel="2">
      <c r="B1263" s="395" t="s">
        <v>3385</v>
      </c>
      <c r="C1263" s="395" t="s">
        <v>3386</v>
      </c>
      <c r="D1263" s="396" t="str">
        <f t="shared" si="39"/>
        <v>403</v>
      </c>
      <c r="E1263" s="397">
        <v>10400.299999999999</v>
      </c>
      <c r="F1263" s="397">
        <v>0</v>
      </c>
    </row>
    <row r="1264" spans="2:6" outlineLevel="2">
      <c r="B1264" s="395" t="s">
        <v>866</v>
      </c>
      <c r="C1264" s="395" t="s">
        <v>865</v>
      </c>
      <c r="D1264" s="396" t="str">
        <f t="shared" si="39"/>
        <v>403</v>
      </c>
      <c r="E1264" s="397">
        <v>0</v>
      </c>
      <c r="F1264" s="397">
        <v>0</v>
      </c>
    </row>
    <row r="1265" spans="2:6" outlineLevel="2">
      <c r="B1265" s="395" t="s">
        <v>864</v>
      </c>
      <c r="C1265" s="395" t="s">
        <v>863</v>
      </c>
      <c r="D1265" s="396" t="str">
        <f t="shared" si="39"/>
        <v>403</v>
      </c>
      <c r="E1265" s="397">
        <v>157957.62</v>
      </c>
      <c r="F1265" s="397">
        <v>157957.62</v>
      </c>
    </row>
    <row r="1266" spans="2:6" outlineLevel="2">
      <c r="B1266" s="395" t="s">
        <v>862</v>
      </c>
      <c r="C1266" s="395" t="s">
        <v>861</v>
      </c>
      <c r="D1266" s="396" t="str">
        <f t="shared" si="39"/>
        <v>403</v>
      </c>
      <c r="E1266" s="397">
        <v>13888.32</v>
      </c>
      <c r="F1266" s="397">
        <v>13888.32</v>
      </c>
    </row>
    <row r="1267" spans="2:6" outlineLevel="2">
      <c r="B1267" s="395" t="s">
        <v>860</v>
      </c>
      <c r="C1267" s="395" t="s">
        <v>859</v>
      </c>
      <c r="D1267" s="396" t="str">
        <f t="shared" si="39"/>
        <v>403</v>
      </c>
      <c r="E1267" s="397">
        <v>0</v>
      </c>
      <c r="F1267" s="397">
        <v>0</v>
      </c>
    </row>
    <row r="1268" spans="2:6" outlineLevel="2">
      <c r="B1268" s="395" t="s">
        <v>858</v>
      </c>
      <c r="C1268" s="395" t="s">
        <v>857</v>
      </c>
      <c r="D1268" s="396" t="str">
        <f t="shared" si="39"/>
        <v>403</v>
      </c>
      <c r="E1268" s="397">
        <v>5160.2700000000004</v>
      </c>
      <c r="F1268" s="397">
        <v>5160.2700000000004</v>
      </c>
    </row>
    <row r="1269" spans="2:6" outlineLevel="2">
      <c r="B1269" s="395" t="s">
        <v>856</v>
      </c>
      <c r="C1269" s="395" t="s">
        <v>855</v>
      </c>
      <c r="D1269" s="396" t="str">
        <f t="shared" si="39"/>
        <v>403</v>
      </c>
      <c r="E1269" s="397">
        <v>0</v>
      </c>
      <c r="F1269" s="397">
        <v>0</v>
      </c>
    </row>
    <row r="1270" spans="2:6" outlineLevel="2">
      <c r="B1270" s="395" t="s">
        <v>854</v>
      </c>
      <c r="C1270" s="395" t="s">
        <v>853</v>
      </c>
      <c r="D1270" s="396" t="str">
        <f t="shared" si="39"/>
        <v>403</v>
      </c>
      <c r="E1270" s="397">
        <v>2852784.56</v>
      </c>
      <c r="F1270" s="397">
        <v>3866807.99</v>
      </c>
    </row>
    <row r="1271" spans="2:6" outlineLevel="2">
      <c r="B1271" s="395" t="s">
        <v>852</v>
      </c>
      <c r="C1271" s="395" t="s">
        <v>851</v>
      </c>
      <c r="D1271" s="396" t="str">
        <f t="shared" si="39"/>
        <v>403</v>
      </c>
      <c r="E1271" s="397">
        <v>14704.7</v>
      </c>
      <c r="F1271" s="397">
        <v>19606.11</v>
      </c>
    </row>
    <row r="1272" spans="2:6" outlineLevel="2">
      <c r="B1272" s="395" t="s">
        <v>850</v>
      </c>
      <c r="C1272" s="395" t="s">
        <v>849</v>
      </c>
      <c r="D1272" s="396" t="str">
        <f t="shared" si="39"/>
        <v>403</v>
      </c>
      <c r="E1272" s="397">
        <v>972436.01</v>
      </c>
      <c r="F1272" s="397">
        <v>803921.86</v>
      </c>
    </row>
    <row r="1273" spans="2:6" outlineLevel="2">
      <c r="B1273" s="395" t="s">
        <v>848</v>
      </c>
      <c r="C1273" s="395" t="s">
        <v>847</v>
      </c>
      <c r="D1273" s="396" t="str">
        <f t="shared" si="39"/>
        <v>403</v>
      </c>
      <c r="E1273" s="397">
        <v>52288.75</v>
      </c>
      <c r="F1273" s="397">
        <v>66631.42</v>
      </c>
    </row>
    <row r="1274" spans="2:6" outlineLevel="2">
      <c r="B1274" s="395" t="s">
        <v>846</v>
      </c>
      <c r="C1274" s="395" t="s">
        <v>845</v>
      </c>
      <c r="D1274" s="396" t="str">
        <f t="shared" si="39"/>
        <v>403</v>
      </c>
      <c r="E1274" s="397">
        <v>8487.17</v>
      </c>
      <c r="F1274" s="397">
        <v>8487.17</v>
      </c>
    </row>
    <row r="1275" spans="2:6" outlineLevel="2">
      <c r="B1275" s="395" t="s">
        <v>844</v>
      </c>
      <c r="C1275" s="395" t="s">
        <v>843</v>
      </c>
      <c r="D1275" s="396" t="str">
        <f t="shared" si="39"/>
        <v>403</v>
      </c>
      <c r="E1275" s="397">
        <v>64913.79</v>
      </c>
      <c r="F1275" s="397">
        <v>64913.79</v>
      </c>
    </row>
    <row r="1276" spans="2:6" outlineLevel="2">
      <c r="B1276" s="395" t="s">
        <v>842</v>
      </c>
      <c r="C1276" s="395" t="s">
        <v>841</v>
      </c>
      <c r="D1276" s="396" t="str">
        <f t="shared" si="39"/>
        <v>403</v>
      </c>
      <c r="E1276" s="397">
        <v>3049819.71</v>
      </c>
      <c r="F1276" s="397">
        <v>2813369.83</v>
      </c>
    </row>
    <row r="1277" spans="2:6" outlineLevel="2">
      <c r="B1277" s="395" t="s">
        <v>840</v>
      </c>
      <c r="C1277" s="395" t="s">
        <v>839</v>
      </c>
      <c r="D1277" s="396" t="str">
        <f t="shared" si="39"/>
        <v>403</v>
      </c>
      <c r="E1277" s="397">
        <v>28850.95</v>
      </c>
      <c r="F1277" s="397">
        <v>28850.95</v>
      </c>
    </row>
    <row r="1278" spans="2:6" outlineLevel="2">
      <c r="B1278" s="395" t="s">
        <v>838</v>
      </c>
      <c r="C1278" s="395" t="s">
        <v>837</v>
      </c>
      <c r="D1278" s="396" t="str">
        <f t="shared" si="39"/>
        <v>403</v>
      </c>
      <c r="E1278" s="397">
        <v>400763.09</v>
      </c>
      <c r="F1278" s="397">
        <v>743770.18</v>
      </c>
    </row>
    <row r="1279" spans="2:6" outlineLevel="2">
      <c r="B1279" s="395" t="s">
        <v>836</v>
      </c>
      <c r="C1279" s="395" t="s">
        <v>835</v>
      </c>
      <c r="D1279" s="396" t="str">
        <f t="shared" si="39"/>
        <v>403</v>
      </c>
      <c r="E1279" s="397">
        <v>2434.71</v>
      </c>
      <c r="F1279" s="397">
        <v>2434.71</v>
      </c>
    </row>
    <row r="1280" spans="2:6" outlineLevel="2">
      <c r="B1280" s="395" t="s">
        <v>834</v>
      </c>
      <c r="C1280" s="395" t="s">
        <v>833</v>
      </c>
      <c r="D1280" s="396" t="str">
        <f t="shared" si="39"/>
        <v>403</v>
      </c>
      <c r="E1280" s="397">
        <v>0</v>
      </c>
      <c r="F1280" s="397">
        <v>0</v>
      </c>
    </row>
    <row r="1281" spans="2:6" outlineLevel="2">
      <c r="B1281" s="395" t="s">
        <v>832</v>
      </c>
      <c r="C1281" s="395" t="s">
        <v>831</v>
      </c>
      <c r="D1281" s="396" t="str">
        <f t="shared" si="39"/>
        <v>403</v>
      </c>
      <c r="E1281" s="397">
        <v>0</v>
      </c>
      <c r="F1281" s="397">
        <v>0</v>
      </c>
    </row>
    <row r="1282" spans="2:6" outlineLevel="2">
      <c r="B1282" s="395" t="s">
        <v>830</v>
      </c>
      <c r="C1282" s="395" t="s">
        <v>829</v>
      </c>
      <c r="D1282" s="396" t="str">
        <f t="shared" si="39"/>
        <v>403</v>
      </c>
      <c r="E1282" s="397">
        <v>4376405.9800000004</v>
      </c>
      <c r="F1282" s="397">
        <v>4358303.66</v>
      </c>
    </row>
    <row r="1283" spans="2:6" outlineLevel="2">
      <c r="B1283" s="395" t="s">
        <v>828</v>
      </c>
      <c r="C1283" s="395" t="s">
        <v>827</v>
      </c>
      <c r="D1283" s="396" t="str">
        <f t="shared" si="39"/>
        <v>403</v>
      </c>
      <c r="E1283" s="397">
        <v>621436.63</v>
      </c>
      <c r="F1283" s="397">
        <v>621436.63</v>
      </c>
    </row>
    <row r="1284" spans="2:6" outlineLevel="2">
      <c r="B1284" s="395" t="s">
        <v>826</v>
      </c>
      <c r="C1284" s="395" t="s">
        <v>825</v>
      </c>
      <c r="D1284" s="396" t="str">
        <f t="shared" si="39"/>
        <v>403</v>
      </c>
      <c r="E1284" s="397">
        <v>593439.5</v>
      </c>
      <c r="F1284" s="397">
        <v>1101355.6000000001</v>
      </c>
    </row>
    <row r="1285" spans="2:6" outlineLevel="2">
      <c r="B1285" s="395" t="s">
        <v>824</v>
      </c>
      <c r="C1285" s="395" t="s">
        <v>823</v>
      </c>
      <c r="D1285" s="396" t="str">
        <f t="shared" si="39"/>
        <v>403</v>
      </c>
      <c r="E1285" s="397">
        <v>49616.24</v>
      </c>
      <c r="F1285" s="397">
        <v>49616.24</v>
      </c>
    </row>
    <row r="1286" spans="2:6" outlineLevel="2">
      <c r="B1286" s="395" t="s">
        <v>822</v>
      </c>
      <c r="C1286" s="395" t="s">
        <v>821</v>
      </c>
      <c r="D1286" s="396" t="str">
        <f t="shared" si="39"/>
        <v>403</v>
      </c>
      <c r="E1286" s="397">
        <v>30281.08</v>
      </c>
      <c r="F1286" s="397">
        <v>30281.08</v>
      </c>
    </row>
    <row r="1287" spans="2:6" outlineLevel="2">
      <c r="B1287" s="395" t="s">
        <v>820</v>
      </c>
      <c r="C1287" s="395" t="s">
        <v>819</v>
      </c>
      <c r="D1287" s="396" t="str">
        <f t="shared" si="39"/>
        <v>403</v>
      </c>
      <c r="E1287" s="397">
        <v>1742794.29</v>
      </c>
      <c r="F1287" s="397">
        <v>1717939.07</v>
      </c>
    </row>
    <row r="1288" spans="2:6" outlineLevel="2">
      <c r="B1288" s="395" t="s">
        <v>818</v>
      </c>
      <c r="C1288" s="395" t="s">
        <v>817</v>
      </c>
      <c r="D1288" s="396" t="str">
        <f t="shared" si="39"/>
        <v>403</v>
      </c>
      <c r="E1288" s="397">
        <v>50620.17</v>
      </c>
      <c r="F1288" s="397">
        <v>121488.48</v>
      </c>
    </row>
    <row r="1289" spans="2:6" outlineLevel="2">
      <c r="B1289" s="395" t="s">
        <v>816</v>
      </c>
      <c r="C1289" s="395" t="s">
        <v>815</v>
      </c>
      <c r="D1289" s="396" t="str">
        <f t="shared" si="39"/>
        <v>403</v>
      </c>
      <c r="E1289" s="397">
        <v>122859.71</v>
      </c>
      <c r="F1289" s="397">
        <v>122859.71</v>
      </c>
    </row>
    <row r="1290" spans="2:6" outlineLevel="2">
      <c r="B1290" s="395" t="s">
        <v>814</v>
      </c>
      <c r="C1290" s="395" t="s">
        <v>813</v>
      </c>
      <c r="D1290" s="396" t="str">
        <f t="shared" si="39"/>
        <v>403</v>
      </c>
      <c r="E1290" s="397">
        <v>1755843.64</v>
      </c>
      <c r="F1290" s="397">
        <v>2473123.1800000002</v>
      </c>
    </row>
    <row r="1291" spans="2:6" outlineLevel="2">
      <c r="B1291" s="395" t="s">
        <v>812</v>
      </c>
      <c r="C1291" s="395" t="s">
        <v>811</v>
      </c>
      <c r="D1291" s="396" t="str">
        <f t="shared" si="39"/>
        <v>403</v>
      </c>
      <c r="E1291" s="397">
        <v>0</v>
      </c>
      <c r="F1291" s="397">
        <v>0</v>
      </c>
    </row>
    <row r="1292" spans="2:6" outlineLevel="2">
      <c r="B1292" s="395" t="s">
        <v>810</v>
      </c>
      <c r="C1292" s="395" t="s">
        <v>809</v>
      </c>
      <c r="D1292" s="396" t="str">
        <f t="shared" si="39"/>
        <v>403</v>
      </c>
      <c r="E1292" s="397">
        <v>38786.71</v>
      </c>
      <c r="F1292" s="397">
        <v>116360.42</v>
      </c>
    </row>
    <row r="1293" spans="2:6" outlineLevel="2">
      <c r="B1293" s="395" t="s">
        <v>808</v>
      </c>
      <c r="C1293" s="395" t="s">
        <v>807</v>
      </c>
      <c r="D1293" s="396" t="str">
        <f t="shared" si="39"/>
        <v>403</v>
      </c>
      <c r="E1293" s="397">
        <v>464499.59</v>
      </c>
      <c r="F1293" s="397">
        <v>1256481.06</v>
      </c>
    </row>
    <row r="1294" spans="2:6" outlineLevel="2">
      <c r="B1294" s="395" t="s">
        <v>806</v>
      </c>
      <c r="C1294" s="395" t="s">
        <v>805</v>
      </c>
      <c r="D1294" s="396" t="str">
        <f t="shared" si="39"/>
        <v>403</v>
      </c>
      <c r="E1294" s="397">
        <v>0</v>
      </c>
      <c r="F1294" s="397">
        <v>0</v>
      </c>
    </row>
    <row r="1295" spans="2:6" outlineLevel="2">
      <c r="B1295" s="395" t="s">
        <v>804</v>
      </c>
      <c r="C1295" s="395" t="s">
        <v>803</v>
      </c>
      <c r="D1295" s="396" t="str">
        <f t="shared" si="39"/>
        <v>403</v>
      </c>
      <c r="E1295" s="397">
        <v>7668628.8399999999</v>
      </c>
      <c r="F1295" s="397">
        <v>7661712.1200000001</v>
      </c>
    </row>
    <row r="1296" spans="2:6" outlineLevel="2">
      <c r="B1296" s="395" t="s">
        <v>802</v>
      </c>
      <c r="C1296" s="395" t="s">
        <v>801</v>
      </c>
      <c r="D1296" s="396" t="str">
        <f t="shared" si="39"/>
        <v>403</v>
      </c>
      <c r="E1296" s="397">
        <v>1548708.72</v>
      </c>
      <c r="F1296" s="397">
        <v>1548708.72</v>
      </c>
    </row>
    <row r="1297" spans="2:9" outlineLevel="2">
      <c r="B1297" s="395" t="s">
        <v>800</v>
      </c>
      <c r="C1297" s="395" t="s">
        <v>799</v>
      </c>
      <c r="D1297" s="396" t="str">
        <f t="shared" si="39"/>
        <v>403</v>
      </c>
      <c r="E1297" s="397">
        <v>80528.990000000005</v>
      </c>
      <c r="F1297" s="397">
        <v>94243.17</v>
      </c>
    </row>
    <row r="1298" spans="2:9" outlineLevel="2">
      <c r="B1298" s="395" t="s">
        <v>798</v>
      </c>
      <c r="C1298" s="395" t="s">
        <v>797</v>
      </c>
      <c r="D1298" s="396" t="str">
        <f t="shared" si="39"/>
        <v>403</v>
      </c>
      <c r="E1298" s="397">
        <v>945436.1</v>
      </c>
      <c r="F1298" s="397">
        <v>944004.93</v>
      </c>
    </row>
    <row r="1299" spans="2:9" outlineLevel="2">
      <c r="B1299" s="395" t="s">
        <v>796</v>
      </c>
      <c r="C1299" s="395" t="s">
        <v>795</v>
      </c>
      <c r="D1299" s="396" t="str">
        <f t="shared" si="39"/>
        <v>403</v>
      </c>
      <c r="E1299" s="397">
        <v>0</v>
      </c>
      <c r="F1299" s="397">
        <v>0</v>
      </c>
    </row>
    <row r="1300" spans="2:9" outlineLevel="2">
      <c r="B1300" s="395" t="s">
        <v>794</v>
      </c>
      <c r="C1300" s="395" t="s">
        <v>793</v>
      </c>
      <c r="D1300" s="396" t="str">
        <f t="shared" si="39"/>
        <v>403</v>
      </c>
      <c r="E1300" s="397">
        <v>7055848.29</v>
      </c>
      <c r="F1300" s="397">
        <v>7025829.9500000002</v>
      </c>
    </row>
    <row r="1301" spans="2:9" outlineLevel="2">
      <c r="B1301" s="395" t="s">
        <v>792</v>
      </c>
      <c r="C1301" s="395" t="s">
        <v>791</v>
      </c>
      <c r="D1301" s="396" t="str">
        <f t="shared" si="39"/>
        <v>403</v>
      </c>
      <c r="E1301" s="397">
        <v>1737317.15</v>
      </c>
      <c r="F1301" s="397">
        <v>1737317.15</v>
      </c>
    </row>
    <row r="1302" spans="2:9" outlineLevel="2">
      <c r="B1302" s="395" t="s">
        <v>790</v>
      </c>
      <c r="C1302" s="395" t="s">
        <v>789</v>
      </c>
      <c r="D1302" s="396" t="str">
        <f t="shared" si="39"/>
        <v>403</v>
      </c>
      <c r="E1302" s="397">
        <v>80528.990000000005</v>
      </c>
      <c r="F1302" s="397">
        <v>94243.06</v>
      </c>
    </row>
    <row r="1303" spans="2:9" outlineLevel="2">
      <c r="B1303" s="395" t="s">
        <v>788</v>
      </c>
      <c r="C1303" s="395" t="s">
        <v>787</v>
      </c>
      <c r="D1303" s="396" t="str">
        <f t="shared" si="39"/>
        <v>403</v>
      </c>
      <c r="E1303" s="397">
        <v>945436.06</v>
      </c>
      <c r="F1303" s="397">
        <v>944004.88</v>
      </c>
    </row>
    <row r="1304" spans="2:9" outlineLevel="2">
      <c r="B1304" s="395" t="s">
        <v>786</v>
      </c>
      <c r="C1304" s="395" t="s">
        <v>785</v>
      </c>
      <c r="D1304" s="396" t="str">
        <f t="shared" si="39"/>
        <v>403</v>
      </c>
      <c r="E1304" s="397">
        <v>0</v>
      </c>
      <c r="F1304" s="397">
        <v>0</v>
      </c>
    </row>
    <row r="1305" spans="2:9" outlineLevel="2">
      <c r="B1305" s="395" t="s">
        <v>784</v>
      </c>
      <c r="C1305" s="395" t="s">
        <v>783</v>
      </c>
      <c r="D1305" s="396" t="str">
        <f t="shared" si="39"/>
        <v>403</v>
      </c>
      <c r="E1305" s="397">
        <v>0</v>
      </c>
      <c r="F1305" s="397">
        <v>0</v>
      </c>
    </row>
    <row r="1306" spans="2:9" outlineLevel="2">
      <c r="B1306" s="395" t="s">
        <v>782</v>
      </c>
      <c r="C1306" s="395" t="s">
        <v>781</v>
      </c>
      <c r="D1306" s="396" t="str">
        <f t="shared" si="39"/>
        <v>403</v>
      </c>
      <c r="E1306" s="397">
        <v>25752.63</v>
      </c>
      <c r="F1306" s="397">
        <v>25752.73</v>
      </c>
    </row>
    <row r="1307" spans="2:9" outlineLevel="2">
      <c r="B1307" s="395" t="s">
        <v>780</v>
      </c>
      <c r="C1307" s="395" t="s">
        <v>779</v>
      </c>
      <c r="D1307" s="396" t="str">
        <f t="shared" si="39"/>
        <v>403</v>
      </c>
      <c r="E1307" s="397">
        <v>603196.85</v>
      </c>
      <c r="F1307" s="397">
        <v>603207.25</v>
      </c>
    </row>
    <row r="1308" spans="2:9" outlineLevel="2">
      <c r="B1308" s="395" t="s">
        <v>778</v>
      </c>
      <c r="C1308" s="395" t="s">
        <v>777</v>
      </c>
      <c r="D1308" s="396" t="str">
        <f t="shared" si="39"/>
        <v>403</v>
      </c>
      <c r="E1308" s="397">
        <v>0</v>
      </c>
      <c r="F1308" s="397">
        <v>0</v>
      </c>
    </row>
    <row r="1309" spans="2:9" outlineLevel="2">
      <c r="B1309" s="395" t="s">
        <v>776</v>
      </c>
      <c r="C1309" s="395" t="s">
        <v>775</v>
      </c>
      <c r="D1309" s="396" t="str">
        <f t="shared" si="39"/>
        <v>403</v>
      </c>
      <c r="E1309" s="397">
        <v>22137.18</v>
      </c>
      <c r="F1309" s="397">
        <v>22139.05</v>
      </c>
    </row>
    <row r="1310" spans="2:9" outlineLevel="2">
      <c r="B1310" s="395" t="s">
        <v>774</v>
      </c>
      <c r="C1310" s="395" t="s">
        <v>773</v>
      </c>
      <c r="D1310" s="396" t="str">
        <f t="shared" si="39"/>
        <v>403</v>
      </c>
      <c r="E1310" s="397">
        <v>15350.34</v>
      </c>
      <c r="F1310" s="397">
        <v>15350.34</v>
      </c>
      <c r="G1310" s="265"/>
      <c r="H1310" s="241"/>
    </row>
    <row r="1311" spans="2:9" outlineLevel="2">
      <c r="B1311" s="395" t="s">
        <v>772</v>
      </c>
      <c r="C1311" s="395" t="s">
        <v>771</v>
      </c>
      <c r="D1311" s="396" t="str">
        <f t="shared" si="39"/>
        <v>403</v>
      </c>
      <c r="E1311" s="397">
        <v>54107.94</v>
      </c>
      <c r="F1311" s="397">
        <v>54108.02</v>
      </c>
      <c r="G1311" s="415" t="s">
        <v>3015</v>
      </c>
      <c r="H1311" s="259"/>
    </row>
    <row r="1312" spans="2:9" outlineLevel="2">
      <c r="B1312" s="395" t="s">
        <v>770</v>
      </c>
      <c r="C1312" s="395" t="s">
        <v>769</v>
      </c>
      <c r="D1312" s="396" t="str">
        <f t="shared" si="39"/>
        <v>403</v>
      </c>
      <c r="E1312" s="397">
        <v>2107303.1</v>
      </c>
      <c r="F1312" s="397">
        <v>1658331.29</v>
      </c>
      <c r="G1312" s="259" t="s">
        <v>3016</v>
      </c>
      <c r="H1312" s="260">
        <f>E1326</f>
        <v>43677473.730000012</v>
      </c>
      <c r="I1312" s="241"/>
    </row>
    <row r="1313" spans="2:10" outlineLevel="2">
      <c r="B1313" s="395" t="s">
        <v>768</v>
      </c>
      <c r="C1313" s="395" t="s">
        <v>767</v>
      </c>
      <c r="D1313" s="396" t="str">
        <f t="shared" ref="D1313:D1324" si="40">RIGHT(C1313,3)</f>
        <v>403</v>
      </c>
      <c r="E1313" s="397">
        <v>22438.68</v>
      </c>
      <c r="F1313" s="397">
        <v>24534.01</v>
      </c>
      <c r="G1313" s="259" t="s">
        <v>3187</v>
      </c>
      <c r="H1313" s="260">
        <f>VLOOKUP(J1313,$C:$F,3,FALSE)</f>
        <v>0</v>
      </c>
      <c r="I1313" s="241"/>
      <c r="J1313" s="240" t="s">
        <v>1230</v>
      </c>
    </row>
    <row r="1314" spans="2:10" outlineLevel="2">
      <c r="B1314" s="395" t="s">
        <v>766</v>
      </c>
      <c r="C1314" s="395" t="s">
        <v>765</v>
      </c>
      <c r="D1314" s="396" t="str">
        <f t="shared" si="40"/>
        <v>403</v>
      </c>
      <c r="E1314" s="397">
        <v>1239.04</v>
      </c>
      <c r="F1314" s="397">
        <v>1297.47</v>
      </c>
      <c r="G1314" s="259" t="s">
        <v>3017</v>
      </c>
      <c r="H1314" s="260">
        <f>VLOOKUP(J1314,$C:$F,3,FALSE)</f>
        <v>1242658.17</v>
      </c>
      <c r="I1314" s="241"/>
      <c r="J1314" s="240" t="s">
        <v>1226</v>
      </c>
    </row>
    <row r="1315" spans="2:10" outlineLevel="2">
      <c r="B1315" s="395" t="s">
        <v>764</v>
      </c>
      <c r="C1315" s="395" t="s">
        <v>763</v>
      </c>
      <c r="D1315" s="396" t="str">
        <f t="shared" si="40"/>
        <v>403</v>
      </c>
      <c r="E1315" s="397">
        <v>16042.37</v>
      </c>
      <c r="F1315" s="397">
        <v>16042.37</v>
      </c>
      <c r="G1315" s="259" t="s">
        <v>3018</v>
      </c>
      <c r="H1315" s="260">
        <f>VLOOKUP(J1315,$C:$F,3,FALSE)</f>
        <v>735533.23</v>
      </c>
      <c r="I1315" s="241"/>
      <c r="J1315" s="240" t="s">
        <v>1222</v>
      </c>
    </row>
    <row r="1316" spans="2:10" outlineLevel="2">
      <c r="B1316" s="395" t="s">
        <v>762</v>
      </c>
      <c r="C1316" s="395" t="s">
        <v>761</v>
      </c>
      <c r="D1316" s="396" t="str">
        <f t="shared" si="40"/>
        <v>403</v>
      </c>
      <c r="E1316" s="397">
        <v>223171.09</v>
      </c>
      <c r="F1316" s="397">
        <v>218011.86</v>
      </c>
      <c r="G1316" s="259" t="s">
        <v>3019</v>
      </c>
      <c r="H1316" s="260">
        <f>VLOOKUP(J1316,$C:$F,3,FALSE)</f>
        <v>954784.41</v>
      </c>
      <c r="I1316" s="241"/>
      <c r="J1316" s="240" t="s">
        <v>1218</v>
      </c>
    </row>
    <row r="1317" spans="2:10" outlineLevel="2">
      <c r="B1317" s="395" t="s">
        <v>760</v>
      </c>
      <c r="C1317" s="395" t="s">
        <v>759</v>
      </c>
      <c r="D1317" s="396" t="str">
        <f t="shared" si="40"/>
        <v>403</v>
      </c>
      <c r="E1317" s="397">
        <v>319383.84999999998</v>
      </c>
      <c r="F1317" s="397">
        <v>304532.09000000003</v>
      </c>
      <c r="G1317" s="259" t="s">
        <v>3020</v>
      </c>
      <c r="H1317" s="260">
        <f>VLOOKUP(J1317,$C:$F,3,FALSE)</f>
        <v>6128300.7400000002</v>
      </c>
      <c r="I1317" s="241"/>
      <c r="J1317" s="240" t="s">
        <v>1204</v>
      </c>
    </row>
    <row r="1318" spans="2:10" outlineLevel="2">
      <c r="B1318" s="395" t="s">
        <v>758</v>
      </c>
      <c r="C1318" s="395" t="s">
        <v>757</v>
      </c>
      <c r="D1318" s="396" t="str">
        <f t="shared" si="40"/>
        <v>403</v>
      </c>
      <c r="E1318" s="397">
        <v>247642.47</v>
      </c>
      <c r="F1318" s="397">
        <v>137346.38</v>
      </c>
      <c r="G1318" s="259" t="s">
        <v>3021</v>
      </c>
      <c r="H1318" s="260">
        <f t="shared" ref="H1318:H1326" si="41">VLOOKUP(J1318,$C:$F,3,FALSE)</f>
        <v>0</v>
      </c>
      <c r="I1318" s="241"/>
      <c r="J1318" s="240" t="s">
        <v>1200</v>
      </c>
    </row>
    <row r="1319" spans="2:10" outlineLevel="2">
      <c r="B1319" s="395" t="s">
        <v>756</v>
      </c>
      <c r="C1319" s="395" t="s">
        <v>755</v>
      </c>
      <c r="D1319" s="396" t="str">
        <f t="shared" si="40"/>
        <v>403</v>
      </c>
      <c r="E1319" s="397">
        <v>13326</v>
      </c>
      <c r="F1319" s="397">
        <v>13326</v>
      </c>
      <c r="G1319" s="259" t="s">
        <v>3022</v>
      </c>
      <c r="H1319" s="260">
        <f t="shared" si="41"/>
        <v>0</v>
      </c>
      <c r="I1319" s="241"/>
      <c r="J1319" s="240" t="s">
        <v>1214</v>
      </c>
    </row>
    <row r="1320" spans="2:10" outlineLevel="2">
      <c r="B1320" s="395" t="s">
        <v>754</v>
      </c>
      <c r="C1320" s="395" t="s">
        <v>753</v>
      </c>
      <c r="D1320" s="396" t="str">
        <f t="shared" si="40"/>
        <v>403</v>
      </c>
      <c r="E1320" s="397">
        <v>312913.46000000002</v>
      </c>
      <c r="F1320" s="397">
        <v>157431.48000000001</v>
      </c>
      <c r="G1320" s="259" t="s">
        <v>3024</v>
      </c>
      <c r="H1320" s="260">
        <f t="shared" si="41"/>
        <v>0</v>
      </c>
      <c r="I1320" s="241"/>
      <c r="J1320" s="240" t="s">
        <v>1210</v>
      </c>
    </row>
    <row r="1321" spans="2:10" outlineLevel="2">
      <c r="B1321" s="395" t="s">
        <v>752</v>
      </c>
      <c r="C1321" s="395" t="s">
        <v>751</v>
      </c>
      <c r="D1321" s="396" t="str">
        <f t="shared" si="40"/>
        <v>403</v>
      </c>
      <c r="E1321" s="397">
        <v>0</v>
      </c>
      <c r="F1321" s="397">
        <v>0</v>
      </c>
      <c r="G1321" s="259" t="s">
        <v>3023</v>
      </c>
      <c r="H1321" s="260">
        <f t="shared" si="41"/>
        <v>0</v>
      </c>
      <c r="I1321" s="241"/>
      <c r="J1321" s="240" t="s">
        <v>1206</v>
      </c>
    </row>
    <row r="1322" spans="2:10" outlineLevel="2">
      <c r="B1322" s="395" t="s">
        <v>750</v>
      </c>
      <c r="C1322" s="395" t="s">
        <v>749</v>
      </c>
      <c r="D1322" s="396" t="str">
        <f t="shared" si="40"/>
        <v>403</v>
      </c>
      <c r="E1322" s="397">
        <v>0</v>
      </c>
      <c r="F1322" s="397">
        <v>0</v>
      </c>
      <c r="G1322" s="259" t="s">
        <v>3025</v>
      </c>
      <c r="H1322" s="260">
        <f t="shared" si="41"/>
        <v>0</v>
      </c>
      <c r="I1322" s="241"/>
      <c r="J1322" s="240" t="s">
        <v>1354</v>
      </c>
    </row>
    <row r="1323" spans="2:10" outlineLevel="2">
      <c r="B1323" s="395" t="s">
        <v>748</v>
      </c>
      <c r="C1323" s="395" t="s">
        <v>747</v>
      </c>
      <c r="D1323" s="396" t="str">
        <f t="shared" si="40"/>
        <v>403</v>
      </c>
      <c r="E1323" s="397">
        <v>0</v>
      </c>
      <c r="F1323" s="397">
        <v>0</v>
      </c>
      <c r="G1323" s="259" t="s">
        <v>3026</v>
      </c>
      <c r="H1323" s="260">
        <f t="shared" si="41"/>
        <v>0</v>
      </c>
      <c r="I1323" s="412" t="s">
        <v>3415</v>
      </c>
      <c r="J1323" s="240" t="s">
        <v>1194</v>
      </c>
    </row>
    <row r="1324" spans="2:10" outlineLevel="2">
      <c r="B1324" s="395" t="s">
        <v>746</v>
      </c>
      <c r="C1324" s="395" t="s">
        <v>745</v>
      </c>
      <c r="D1324" s="396" t="str">
        <f t="shared" si="40"/>
        <v>403</v>
      </c>
      <c r="E1324" s="397">
        <v>1409770.74</v>
      </c>
      <c r="F1324" s="397">
        <v>1206454.26</v>
      </c>
      <c r="G1324" s="259" t="s">
        <v>3112</v>
      </c>
      <c r="H1324" s="260">
        <f t="shared" si="41"/>
        <v>-8425</v>
      </c>
      <c r="I1324" s="241"/>
      <c r="J1324" s="240" t="s">
        <v>1352</v>
      </c>
    </row>
    <row r="1325" spans="2:10" outlineLevel="2">
      <c r="G1325" s="259" t="s">
        <v>3027</v>
      </c>
      <c r="H1325" s="260">
        <f t="shared" si="41"/>
        <v>0</v>
      </c>
      <c r="J1325" s="240" t="s">
        <v>1192</v>
      </c>
    </row>
    <row r="1326" spans="2:10" outlineLevel="1">
      <c r="E1326" s="397">
        <v>43677473.730000012</v>
      </c>
      <c r="F1326" s="397">
        <v>45753817.580000006</v>
      </c>
      <c r="G1326" s="259" t="s">
        <v>3028</v>
      </c>
      <c r="H1326" s="260">
        <f t="shared" si="41"/>
        <v>0</v>
      </c>
      <c r="J1326" s="240" t="s">
        <v>1190</v>
      </c>
    </row>
    <row r="1327" spans="2:10" outlineLevel="1">
      <c r="B1327" s="395" t="s">
        <v>744</v>
      </c>
      <c r="D1327" s="396" t="str">
        <f t="shared" ref="D1327:D1377" si="42">RIGHT(C1327,3)</f>
        <v/>
      </c>
      <c r="G1327" s="259"/>
      <c r="H1327" s="261">
        <f>SUM(H1312:H1326)</f>
        <v>52730325.280000009</v>
      </c>
    </row>
    <row r="1328" spans="2:10" outlineLevel="2">
      <c r="B1328" s="395" t="s">
        <v>743</v>
      </c>
      <c r="C1328" s="395" t="s">
        <v>742</v>
      </c>
      <c r="D1328" s="396" t="str">
        <f t="shared" si="42"/>
        <v>403</v>
      </c>
      <c r="E1328" s="397">
        <v>-547360.99</v>
      </c>
      <c r="F1328" s="397">
        <v>-505915.86</v>
      </c>
    </row>
    <row r="1329" spans="2:6" outlineLevel="2">
      <c r="B1329" s="395" t="s">
        <v>741</v>
      </c>
      <c r="C1329" s="395" t="s">
        <v>740</v>
      </c>
      <c r="D1329" s="396" t="str">
        <f t="shared" si="42"/>
        <v>428</v>
      </c>
      <c r="E1329" s="397">
        <v>6220143.5499999998</v>
      </c>
      <c r="F1329" s="397">
        <v>6365555.1900000004</v>
      </c>
    </row>
    <row r="1330" spans="2:6" outlineLevel="2">
      <c r="B1330" s="395" t="s">
        <v>739</v>
      </c>
      <c r="C1330" s="395" t="s">
        <v>738</v>
      </c>
      <c r="D1330" s="396" t="str">
        <f t="shared" si="42"/>
        <v>426</v>
      </c>
      <c r="E1330" s="397">
        <v>-1294282.27</v>
      </c>
      <c r="F1330" s="397">
        <v>-2602251.41</v>
      </c>
    </row>
    <row r="1331" spans="2:6" outlineLevel="2">
      <c r="B1331" s="395" t="s">
        <v>737</v>
      </c>
      <c r="C1331" s="395" t="s">
        <v>736</v>
      </c>
      <c r="D1331" s="396" t="str">
        <f t="shared" si="42"/>
        <v>428</v>
      </c>
      <c r="E1331" s="397">
        <v>0</v>
      </c>
      <c r="F1331" s="397">
        <v>0</v>
      </c>
    </row>
    <row r="1332" spans="2:6" outlineLevel="2">
      <c r="B1332" s="395" t="s">
        <v>735</v>
      </c>
      <c r="C1332" s="395" t="s">
        <v>734</v>
      </c>
      <c r="D1332" s="396" t="str">
        <f t="shared" si="42"/>
        <v>419</v>
      </c>
      <c r="E1332" s="397">
        <v>4367.38</v>
      </c>
      <c r="F1332" s="397">
        <v>-593573.72</v>
      </c>
    </row>
    <row r="1333" spans="2:6" outlineLevel="2">
      <c r="B1333" s="395" t="s">
        <v>733</v>
      </c>
      <c r="C1333" s="395" t="s">
        <v>732</v>
      </c>
      <c r="D1333" s="396" t="str">
        <f t="shared" si="42"/>
        <v>419</v>
      </c>
      <c r="E1333" s="397">
        <v>0</v>
      </c>
      <c r="F1333" s="397">
        <v>0</v>
      </c>
    </row>
    <row r="1334" spans="2:6" outlineLevel="2">
      <c r="B1334" s="395" t="s">
        <v>731</v>
      </c>
      <c r="C1334" s="395" t="s">
        <v>730</v>
      </c>
      <c r="D1334" s="396" t="str">
        <f t="shared" si="42"/>
        <v>403</v>
      </c>
      <c r="E1334" s="397">
        <v>0</v>
      </c>
      <c r="F1334" s="397">
        <v>0</v>
      </c>
    </row>
    <row r="1335" spans="2:6" outlineLevel="2">
      <c r="B1335" s="395" t="s">
        <v>729</v>
      </c>
      <c r="C1335" s="395" t="s">
        <v>728</v>
      </c>
      <c r="D1335" s="396" t="str">
        <f t="shared" si="42"/>
        <v>447</v>
      </c>
      <c r="E1335" s="397">
        <v>0</v>
      </c>
      <c r="F1335" s="397">
        <v>0</v>
      </c>
    </row>
    <row r="1336" spans="2:6" outlineLevel="2">
      <c r="B1336" s="395" t="s">
        <v>727</v>
      </c>
      <c r="C1336" s="395" t="s">
        <v>726</v>
      </c>
      <c r="D1336" s="396" t="str">
        <f t="shared" si="42"/>
        <v>555</v>
      </c>
      <c r="E1336" s="397">
        <v>0</v>
      </c>
      <c r="F1336" s="397">
        <v>0</v>
      </c>
    </row>
    <row r="1337" spans="2:6" outlineLevel="2">
      <c r="B1337" s="395" t="s">
        <v>725</v>
      </c>
      <c r="C1337" s="395" t="s">
        <v>724</v>
      </c>
      <c r="D1337" s="396" t="str">
        <f t="shared" si="42"/>
        <v>419</v>
      </c>
      <c r="E1337" s="397">
        <v>386376</v>
      </c>
      <c r="F1337" s="397">
        <v>0</v>
      </c>
    </row>
    <row r="1338" spans="2:6" outlineLevel="2">
      <c r="B1338" s="395" t="s">
        <v>3387</v>
      </c>
      <c r="C1338" s="395" t="s">
        <v>3388</v>
      </c>
      <c r="D1338" s="396" t="str">
        <f t="shared" si="42"/>
        <v>230</v>
      </c>
      <c r="E1338" s="397">
        <v>0</v>
      </c>
      <c r="F1338" s="397">
        <v>0</v>
      </c>
    </row>
    <row r="1339" spans="2:6" outlineLevel="2">
      <c r="B1339" s="395" t="s">
        <v>723</v>
      </c>
      <c r="C1339" s="395" t="s">
        <v>722</v>
      </c>
      <c r="D1339" s="396" t="str">
        <f t="shared" si="42"/>
        <v>403</v>
      </c>
      <c r="E1339" s="397">
        <v>-223379.89</v>
      </c>
      <c r="F1339" s="397">
        <v>-208763.74</v>
      </c>
    </row>
    <row r="1340" spans="2:6" outlineLevel="2">
      <c r="B1340" s="395" t="s">
        <v>721</v>
      </c>
      <c r="C1340" s="395" t="s">
        <v>720</v>
      </c>
      <c r="D1340" s="396" t="str">
        <f t="shared" si="42"/>
        <v>403</v>
      </c>
      <c r="E1340" s="397">
        <v>0</v>
      </c>
      <c r="F1340" s="397">
        <v>-60280.08</v>
      </c>
    </row>
    <row r="1341" spans="2:6" outlineLevel="2">
      <c r="B1341" s="395" t="s">
        <v>719</v>
      </c>
      <c r="C1341" s="395" t="s">
        <v>718</v>
      </c>
      <c r="D1341" s="396" t="str">
        <f t="shared" si="42"/>
        <v>403</v>
      </c>
      <c r="E1341" s="397">
        <v>-3904839.06</v>
      </c>
      <c r="F1341" s="397">
        <v>-4755249.75</v>
      </c>
    </row>
    <row r="1342" spans="2:6" outlineLevel="2">
      <c r="B1342" s="395" t="s">
        <v>717</v>
      </c>
      <c r="C1342" s="395" t="s">
        <v>716</v>
      </c>
      <c r="D1342" s="396" t="str">
        <f t="shared" si="42"/>
        <v>403</v>
      </c>
      <c r="E1342" s="397">
        <v>-1242658.17</v>
      </c>
      <c r="F1342" s="397">
        <v>-50128.49</v>
      </c>
    </row>
    <row r="1343" spans="2:6" outlineLevel="2">
      <c r="B1343" s="395" t="s">
        <v>715</v>
      </c>
      <c r="C1343" s="395" t="s">
        <v>714</v>
      </c>
      <c r="D1343" s="396" t="str">
        <f t="shared" si="42"/>
        <v>403</v>
      </c>
      <c r="E1343" s="397">
        <v>745144.51</v>
      </c>
      <c r="F1343" s="397">
        <v>747996</v>
      </c>
    </row>
    <row r="1344" spans="2:6" outlineLevel="2">
      <c r="B1344" s="395" t="s">
        <v>713</v>
      </c>
      <c r="C1344" s="395" t="s">
        <v>712</v>
      </c>
      <c r="D1344" s="396" t="str">
        <f t="shared" si="42"/>
        <v>447</v>
      </c>
      <c r="E1344" s="397">
        <v>1652004</v>
      </c>
      <c r="F1344" s="397">
        <v>2004996</v>
      </c>
    </row>
    <row r="1345" spans="2:6" outlineLevel="2">
      <c r="B1345" s="395" t="s">
        <v>711</v>
      </c>
      <c r="C1345" s="395" t="s">
        <v>710</v>
      </c>
      <c r="D1345" s="396" t="str">
        <f t="shared" si="42"/>
        <v>427</v>
      </c>
      <c r="E1345" s="397">
        <v>0</v>
      </c>
      <c r="F1345" s="397">
        <v>0</v>
      </c>
    </row>
    <row r="1346" spans="2:6" outlineLevel="2">
      <c r="B1346" s="395" t="s">
        <v>709</v>
      </c>
      <c r="C1346" s="395" t="s">
        <v>708</v>
      </c>
      <c r="D1346" s="396" t="str">
        <f t="shared" si="42"/>
        <v>403</v>
      </c>
      <c r="E1346" s="397">
        <v>-3081105.37</v>
      </c>
      <c r="F1346" s="397">
        <v>-2844655.49</v>
      </c>
    </row>
    <row r="1347" spans="2:6" outlineLevel="2">
      <c r="B1347" s="395" t="s">
        <v>707</v>
      </c>
      <c r="C1347" s="395" t="s">
        <v>706</v>
      </c>
      <c r="D1347" s="396" t="str">
        <f t="shared" si="42"/>
        <v>403</v>
      </c>
      <c r="E1347" s="397">
        <v>-735533.23</v>
      </c>
      <c r="F1347" s="397">
        <v>-101317</v>
      </c>
    </row>
    <row r="1348" spans="2:6" outlineLevel="2">
      <c r="B1348" s="395" t="s">
        <v>705</v>
      </c>
      <c r="C1348" s="395" t="s">
        <v>704</v>
      </c>
      <c r="D1348" s="396" t="str">
        <f t="shared" si="42"/>
        <v>403</v>
      </c>
      <c r="E1348" s="397">
        <v>343406.01</v>
      </c>
      <c r="F1348" s="397">
        <v>255000</v>
      </c>
    </row>
    <row r="1349" spans="2:6" outlineLevel="2">
      <c r="B1349" s="395" t="s">
        <v>703</v>
      </c>
      <c r="C1349" s="395" t="s">
        <v>702</v>
      </c>
      <c r="D1349" s="396" t="str">
        <f t="shared" si="42"/>
        <v>447</v>
      </c>
      <c r="E1349" s="397">
        <v>2024004</v>
      </c>
      <c r="F1349" s="397">
        <v>1899000</v>
      </c>
    </row>
    <row r="1350" spans="2:6" outlineLevel="2">
      <c r="B1350" s="395" t="s">
        <v>701</v>
      </c>
      <c r="C1350" s="395" t="s">
        <v>700</v>
      </c>
      <c r="D1350" s="396" t="str">
        <f t="shared" si="42"/>
        <v>427</v>
      </c>
      <c r="E1350" s="397">
        <v>0</v>
      </c>
      <c r="F1350" s="397">
        <v>0</v>
      </c>
    </row>
    <row r="1351" spans="2:6" outlineLevel="2">
      <c r="B1351" s="395" t="s">
        <v>699</v>
      </c>
      <c r="C1351" s="395" t="s">
        <v>698</v>
      </c>
      <c r="D1351" s="396" t="str">
        <f t="shared" si="42"/>
        <v>403</v>
      </c>
      <c r="E1351" s="397">
        <v>-5077739.93</v>
      </c>
      <c r="F1351" s="397">
        <v>-5059637.6100000003</v>
      </c>
    </row>
    <row r="1352" spans="2:6" outlineLevel="2">
      <c r="B1352" s="395" t="s">
        <v>697</v>
      </c>
      <c r="C1352" s="395" t="s">
        <v>696</v>
      </c>
      <c r="D1352" s="396" t="str">
        <f t="shared" si="42"/>
        <v>403</v>
      </c>
      <c r="E1352" s="397">
        <v>-954784.41</v>
      </c>
      <c r="F1352" s="397">
        <v>-192624.74</v>
      </c>
    </row>
    <row r="1353" spans="2:6" outlineLevel="2">
      <c r="B1353" s="395" t="s">
        <v>695</v>
      </c>
      <c r="C1353" s="395" t="s">
        <v>694</v>
      </c>
      <c r="D1353" s="396" t="str">
        <f t="shared" si="42"/>
        <v>403</v>
      </c>
      <c r="E1353" s="397">
        <v>177057.19</v>
      </c>
      <c r="F1353" s="397">
        <v>177000</v>
      </c>
    </row>
    <row r="1354" spans="2:6" outlineLevel="2">
      <c r="B1354" s="395" t="s">
        <v>693</v>
      </c>
      <c r="C1354" s="395" t="s">
        <v>692</v>
      </c>
      <c r="D1354" s="396" t="str">
        <f t="shared" si="42"/>
        <v>447</v>
      </c>
      <c r="E1354" s="397">
        <v>4791996</v>
      </c>
      <c r="F1354" s="397">
        <v>4140996</v>
      </c>
    </row>
    <row r="1355" spans="2:6" outlineLevel="2">
      <c r="B1355" s="395" t="s">
        <v>691</v>
      </c>
      <c r="C1355" s="395" t="s">
        <v>690</v>
      </c>
      <c r="D1355" s="396" t="str">
        <f t="shared" si="42"/>
        <v>427</v>
      </c>
      <c r="E1355" s="397">
        <v>0</v>
      </c>
      <c r="F1355" s="397">
        <v>0</v>
      </c>
    </row>
    <row r="1356" spans="2:6" outlineLevel="2">
      <c r="B1356" s="395" t="s">
        <v>689</v>
      </c>
      <c r="C1356" s="395" t="s">
        <v>688</v>
      </c>
      <c r="D1356" s="396" t="str">
        <f t="shared" si="42"/>
        <v>403</v>
      </c>
      <c r="E1356" s="397">
        <v>-1742794.29</v>
      </c>
      <c r="F1356" s="397">
        <v>-1717939.07</v>
      </c>
    </row>
    <row r="1357" spans="2:6" outlineLevel="2">
      <c r="B1357" s="395" t="s">
        <v>687</v>
      </c>
      <c r="C1357" s="395" t="s">
        <v>686</v>
      </c>
      <c r="D1357" s="396" t="str">
        <f t="shared" si="42"/>
        <v>403</v>
      </c>
      <c r="E1357" s="397">
        <v>12641.25</v>
      </c>
      <c r="F1357" s="397">
        <v>12000</v>
      </c>
    </row>
    <row r="1358" spans="2:6" outlineLevel="2">
      <c r="B1358" s="395" t="s">
        <v>685</v>
      </c>
      <c r="C1358" s="395" t="s">
        <v>684</v>
      </c>
      <c r="D1358" s="396" t="str">
        <f t="shared" si="42"/>
        <v>447</v>
      </c>
      <c r="E1358" s="397">
        <v>1034004</v>
      </c>
      <c r="F1358" s="397">
        <v>878004</v>
      </c>
    </row>
    <row r="1359" spans="2:6" outlineLevel="2">
      <c r="B1359" s="395" t="s">
        <v>683</v>
      </c>
      <c r="C1359" s="395" t="s">
        <v>682</v>
      </c>
      <c r="D1359" s="396" t="str">
        <f t="shared" si="42"/>
        <v>427</v>
      </c>
      <c r="E1359" s="397">
        <v>0</v>
      </c>
      <c r="F1359" s="397">
        <v>0</v>
      </c>
    </row>
    <row r="1360" spans="2:6" outlineLevel="2">
      <c r="B1360" s="395" t="s">
        <v>681</v>
      </c>
      <c r="C1360" s="395" t="s">
        <v>680</v>
      </c>
      <c r="D1360" s="396" t="str">
        <f t="shared" si="42"/>
        <v>403</v>
      </c>
      <c r="E1360" s="397">
        <v>-1929323.52</v>
      </c>
      <c r="F1360" s="397">
        <v>-2717471.37</v>
      </c>
    </row>
    <row r="1361" spans="2:6" outlineLevel="2">
      <c r="B1361" s="395" t="s">
        <v>679</v>
      </c>
      <c r="C1361" s="395" t="s">
        <v>678</v>
      </c>
      <c r="D1361" s="396" t="str">
        <f t="shared" si="42"/>
        <v>403</v>
      </c>
      <c r="E1361" s="397">
        <v>40856.910000000003</v>
      </c>
      <c r="F1361" s="397">
        <v>39996</v>
      </c>
    </row>
    <row r="1362" spans="2:6" outlineLevel="2">
      <c r="B1362" s="395" t="s">
        <v>677</v>
      </c>
      <c r="C1362" s="395" t="s">
        <v>676</v>
      </c>
      <c r="D1362" s="396" t="str">
        <f t="shared" si="42"/>
        <v>447</v>
      </c>
      <c r="E1362" s="397">
        <v>482004</v>
      </c>
      <c r="F1362" s="397">
        <v>474996</v>
      </c>
    </row>
    <row r="1363" spans="2:6" outlineLevel="2">
      <c r="B1363" s="395" t="s">
        <v>675</v>
      </c>
      <c r="C1363" s="395" t="s">
        <v>674</v>
      </c>
      <c r="D1363" s="396" t="str">
        <f t="shared" si="42"/>
        <v>427</v>
      </c>
      <c r="E1363" s="397">
        <v>0</v>
      </c>
      <c r="F1363" s="397">
        <v>0</v>
      </c>
    </row>
    <row r="1364" spans="2:6" outlineLevel="2">
      <c r="B1364" s="395" t="s">
        <v>673</v>
      </c>
      <c r="C1364" s="395" t="s">
        <v>672</v>
      </c>
      <c r="D1364" s="396" t="str">
        <f t="shared" si="42"/>
        <v>403</v>
      </c>
      <c r="E1364" s="397">
        <v>-503286.3</v>
      </c>
      <c r="F1364" s="397">
        <v>-1372841.48</v>
      </c>
    </row>
    <row r="1365" spans="2:6" outlineLevel="2">
      <c r="B1365" s="395" t="s">
        <v>671</v>
      </c>
      <c r="C1365" s="395" t="s">
        <v>670</v>
      </c>
      <c r="D1365" s="396" t="str">
        <f t="shared" si="42"/>
        <v>403</v>
      </c>
      <c r="E1365" s="397">
        <v>37935.75</v>
      </c>
      <c r="F1365" s="397">
        <v>36996</v>
      </c>
    </row>
    <row r="1366" spans="2:6" outlineLevel="2">
      <c r="B1366" s="395" t="s">
        <v>669</v>
      </c>
      <c r="C1366" s="395" t="s">
        <v>668</v>
      </c>
      <c r="D1366" s="396" t="str">
        <f t="shared" si="42"/>
        <v>447</v>
      </c>
      <c r="E1366" s="397">
        <v>23004</v>
      </c>
      <c r="F1366" s="397">
        <v>32004</v>
      </c>
    </row>
    <row r="1367" spans="2:6" outlineLevel="2">
      <c r="B1367" s="395" t="s">
        <v>667</v>
      </c>
      <c r="C1367" s="395" t="s">
        <v>666</v>
      </c>
      <c r="D1367" s="396" t="str">
        <f t="shared" si="42"/>
        <v>427</v>
      </c>
      <c r="E1367" s="397">
        <v>0</v>
      </c>
      <c r="F1367" s="397">
        <v>0</v>
      </c>
    </row>
    <row r="1368" spans="2:6" outlineLevel="2">
      <c r="B1368" s="395" t="s">
        <v>665</v>
      </c>
      <c r="C1368" s="395" t="s">
        <v>664</v>
      </c>
      <c r="D1368" s="396" t="str">
        <f t="shared" si="42"/>
        <v>403</v>
      </c>
      <c r="E1368" s="397">
        <v>-10162773.66</v>
      </c>
      <c r="F1368" s="397">
        <v>-10154425.77</v>
      </c>
    </row>
    <row r="1369" spans="2:6" outlineLevel="2">
      <c r="B1369" s="395" t="s">
        <v>663</v>
      </c>
      <c r="C1369" s="395" t="s">
        <v>662</v>
      </c>
      <c r="D1369" s="396" t="str">
        <f t="shared" si="42"/>
        <v>403</v>
      </c>
      <c r="E1369" s="397">
        <v>-6128300.7400000002</v>
      </c>
      <c r="F1369" s="397">
        <v>-86893.440000000002</v>
      </c>
    </row>
    <row r="1370" spans="2:6" outlineLevel="2">
      <c r="B1370" s="395" t="s">
        <v>661</v>
      </c>
      <c r="C1370" s="395" t="s">
        <v>660</v>
      </c>
      <c r="D1370" s="396" t="str">
        <f t="shared" si="42"/>
        <v>419</v>
      </c>
      <c r="E1370" s="397">
        <v>0</v>
      </c>
      <c r="F1370" s="397">
        <v>0</v>
      </c>
    </row>
    <row r="1371" spans="2:6" outlineLevel="2">
      <c r="B1371" s="395" t="s">
        <v>659</v>
      </c>
      <c r="C1371" s="395" t="s">
        <v>658</v>
      </c>
      <c r="D1371" s="396" t="str">
        <f t="shared" si="42"/>
        <v>427</v>
      </c>
      <c r="E1371" s="397">
        <v>0</v>
      </c>
      <c r="F1371" s="397">
        <v>0</v>
      </c>
    </row>
    <row r="1372" spans="2:6" outlineLevel="2">
      <c r="B1372" s="395" t="s">
        <v>657</v>
      </c>
      <c r="C1372" s="395" t="s">
        <v>656</v>
      </c>
      <c r="D1372" s="396" t="str">
        <f t="shared" si="42"/>
        <v>403</v>
      </c>
      <c r="E1372" s="397">
        <v>1521425.86</v>
      </c>
      <c r="F1372" s="397">
        <v>1727004</v>
      </c>
    </row>
    <row r="1373" spans="2:6" outlineLevel="2">
      <c r="B1373" s="395" t="s">
        <v>655</v>
      </c>
      <c r="C1373" s="395" t="s">
        <v>654</v>
      </c>
      <c r="D1373" s="396" t="str">
        <f t="shared" si="42"/>
        <v>447</v>
      </c>
      <c r="E1373" s="397">
        <v>7578000</v>
      </c>
      <c r="F1373" s="397">
        <v>7473000</v>
      </c>
    </row>
    <row r="1374" spans="2:6" outlineLevel="2">
      <c r="B1374" s="395" t="s">
        <v>653</v>
      </c>
      <c r="C1374" s="395" t="s">
        <v>652</v>
      </c>
      <c r="D1374" s="396" t="str">
        <f t="shared" si="42"/>
        <v>427</v>
      </c>
      <c r="E1374" s="397">
        <v>0</v>
      </c>
      <c r="F1374" s="397">
        <v>0</v>
      </c>
    </row>
    <row r="1375" spans="2:6" outlineLevel="2">
      <c r="B1375" s="395" t="s">
        <v>651</v>
      </c>
      <c r="C1375" s="395" t="s">
        <v>650</v>
      </c>
      <c r="D1375" s="396" t="str">
        <f t="shared" si="42"/>
        <v>419</v>
      </c>
      <c r="E1375" s="397">
        <v>0</v>
      </c>
      <c r="F1375" s="397">
        <v>0</v>
      </c>
    </row>
    <row r="1376" spans="2:6" outlineLevel="2">
      <c r="B1376" s="395" t="s">
        <v>649</v>
      </c>
      <c r="C1376" s="395" t="s">
        <v>648</v>
      </c>
      <c r="D1376" s="396" t="str">
        <f t="shared" si="42"/>
        <v>403</v>
      </c>
      <c r="E1376" s="397">
        <v>-9738601.5</v>
      </c>
      <c r="F1376" s="397">
        <v>-9707151.9800000004</v>
      </c>
    </row>
    <row r="1377" spans="2:6" outlineLevel="2">
      <c r="B1377" s="395" t="s">
        <v>647</v>
      </c>
      <c r="C1377" s="395" t="s">
        <v>646</v>
      </c>
      <c r="D1377" s="396" t="str">
        <f t="shared" si="42"/>
        <v>403</v>
      </c>
      <c r="E1377" s="397">
        <v>0</v>
      </c>
      <c r="F1377" s="397">
        <v>18687.5</v>
      </c>
    </row>
    <row r="1378" spans="2:6" outlineLevel="2">
      <c r="B1378" s="395" t="s">
        <v>645</v>
      </c>
      <c r="C1378" s="395" t="s">
        <v>644</v>
      </c>
      <c r="D1378" s="396" t="str">
        <f t="shared" ref="D1378:D1408" si="43">RIGHT(C1378,3)</f>
        <v>403</v>
      </c>
      <c r="E1378" s="397">
        <v>1521425.86</v>
      </c>
      <c r="F1378" s="397">
        <v>1726068</v>
      </c>
    </row>
    <row r="1379" spans="2:6" outlineLevel="2">
      <c r="B1379" s="395" t="s">
        <v>643</v>
      </c>
      <c r="C1379" s="395" t="s">
        <v>642</v>
      </c>
      <c r="D1379" s="396" t="str">
        <f t="shared" si="43"/>
        <v>447</v>
      </c>
      <c r="E1379" s="397">
        <v>7578000</v>
      </c>
      <c r="F1379" s="397">
        <v>7473996</v>
      </c>
    </row>
    <row r="1380" spans="2:6" outlineLevel="2">
      <c r="B1380" s="395" t="s">
        <v>641</v>
      </c>
      <c r="C1380" s="395" t="s">
        <v>640</v>
      </c>
      <c r="D1380" s="396" t="str">
        <f t="shared" si="43"/>
        <v>427</v>
      </c>
      <c r="E1380" s="397">
        <v>0</v>
      </c>
      <c r="F1380" s="397">
        <v>0</v>
      </c>
    </row>
    <row r="1381" spans="2:6" outlineLevel="2">
      <c r="B1381" s="395" t="s">
        <v>639</v>
      </c>
      <c r="C1381" s="395" t="s">
        <v>638</v>
      </c>
      <c r="D1381" s="396" t="str">
        <f t="shared" si="43"/>
        <v>419</v>
      </c>
      <c r="E1381" s="397">
        <v>0</v>
      </c>
      <c r="F1381" s="397">
        <v>0</v>
      </c>
    </row>
    <row r="1382" spans="2:6" outlineLevel="2">
      <c r="B1382" s="395" t="s">
        <v>637</v>
      </c>
      <c r="C1382" s="395" t="s">
        <v>636</v>
      </c>
      <c r="D1382" s="396" t="str">
        <f t="shared" si="43"/>
        <v>403</v>
      </c>
      <c r="E1382" s="397">
        <v>-2747987.47</v>
      </c>
      <c r="F1382" s="397">
        <v>-2299027.9300000002</v>
      </c>
    </row>
    <row r="1383" spans="2:6" outlineLevel="2">
      <c r="B1383" s="395" t="s">
        <v>635</v>
      </c>
      <c r="C1383" s="395" t="s">
        <v>634</v>
      </c>
      <c r="D1383" s="396" t="str">
        <f t="shared" si="43"/>
        <v>403</v>
      </c>
      <c r="E1383" s="397">
        <v>0</v>
      </c>
      <c r="F1383" s="397">
        <v>0</v>
      </c>
    </row>
    <row r="1384" spans="2:6" outlineLevel="2">
      <c r="B1384" s="395" t="s">
        <v>633</v>
      </c>
      <c r="C1384" s="395" t="s">
        <v>632</v>
      </c>
      <c r="D1384" s="396" t="str">
        <f t="shared" si="43"/>
        <v>403</v>
      </c>
      <c r="E1384" s="397">
        <v>1022399.11</v>
      </c>
      <c r="F1384" s="397">
        <v>1167000</v>
      </c>
    </row>
    <row r="1385" spans="2:6" outlineLevel="2">
      <c r="B1385" s="395" t="s">
        <v>631</v>
      </c>
      <c r="C1385" s="395" t="s">
        <v>630</v>
      </c>
      <c r="D1385" s="396" t="str">
        <f t="shared" si="43"/>
        <v>447</v>
      </c>
      <c r="E1385" s="397">
        <v>813996</v>
      </c>
      <c r="F1385" s="397">
        <v>1085004</v>
      </c>
    </row>
    <row r="1386" spans="2:6" outlineLevel="2">
      <c r="B1386" s="395" t="s">
        <v>629</v>
      </c>
      <c r="C1386" s="395" t="s">
        <v>628</v>
      </c>
      <c r="D1386" s="396" t="str">
        <f t="shared" si="43"/>
        <v>427</v>
      </c>
      <c r="E1386" s="397">
        <v>0</v>
      </c>
      <c r="F1386" s="397">
        <v>0</v>
      </c>
    </row>
    <row r="1387" spans="2:6" outlineLevel="2">
      <c r="B1387" s="395" t="s">
        <v>627</v>
      </c>
      <c r="C1387" s="395" t="s">
        <v>626</v>
      </c>
      <c r="D1387" s="396" t="str">
        <f t="shared" si="43"/>
        <v>403</v>
      </c>
      <c r="E1387" s="397">
        <v>-262891.18</v>
      </c>
      <c r="F1387" s="397">
        <v>-259885.71</v>
      </c>
    </row>
    <row r="1388" spans="2:6" outlineLevel="2">
      <c r="B1388" s="395" t="s">
        <v>625</v>
      </c>
      <c r="C1388" s="395" t="s">
        <v>624</v>
      </c>
      <c r="D1388" s="396" t="str">
        <f t="shared" si="43"/>
        <v>403</v>
      </c>
      <c r="E1388" s="397">
        <v>103118.57</v>
      </c>
      <c r="F1388" s="397">
        <v>128004</v>
      </c>
    </row>
    <row r="1389" spans="2:6" outlineLevel="2">
      <c r="B1389" s="395" t="s">
        <v>623</v>
      </c>
      <c r="C1389" s="395" t="s">
        <v>622</v>
      </c>
      <c r="D1389" s="396" t="str">
        <f t="shared" si="43"/>
        <v>447</v>
      </c>
      <c r="E1389" s="397">
        <v>83004</v>
      </c>
      <c r="F1389" s="397">
        <v>120000</v>
      </c>
    </row>
    <row r="1390" spans="2:6" outlineLevel="2">
      <c r="B1390" s="395" t="s">
        <v>621</v>
      </c>
      <c r="C1390" s="395" t="s">
        <v>620</v>
      </c>
      <c r="D1390" s="396" t="str">
        <f t="shared" si="43"/>
        <v>427</v>
      </c>
      <c r="E1390" s="397">
        <v>0</v>
      </c>
      <c r="F1390" s="397">
        <v>0</v>
      </c>
    </row>
    <row r="1391" spans="2:6" outlineLevel="2">
      <c r="B1391" s="395" t="s">
        <v>619</v>
      </c>
      <c r="C1391" s="395" t="s">
        <v>618</v>
      </c>
      <c r="D1391" s="396" t="str">
        <f t="shared" si="43"/>
        <v>403</v>
      </c>
      <c r="E1391" s="397">
        <v>-319383.84999999998</v>
      </c>
      <c r="F1391" s="397">
        <v>-304532.09000000003</v>
      </c>
    </row>
    <row r="1392" spans="2:6" outlineLevel="2">
      <c r="B1392" s="395" t="s">
        <v>617</v>
      </c>
      <c r="C1392" s="395" t="s">
        <v>616</v>
      </c>
      <c r="D1392" s="396" t="str">
        <f t="shared" si="43"/>
        <v>403</v>
      </c>
      <c r="E1392" s="397">
        <v>-573881.93000000005</v>
      </c>
      <c r="F1392" s="397">
        <v>-308103.86</v>
      </c>
    </row>
    <row r="1393" spans="2:6" outlineLevel="2">
      <c r="B1393" s="395" t="s">
        <v>615</v>
      </c>
      <c r="C1393" s="395" t="s">
        <v>614</v>
      </c>
      <c r="D1393" s="396" t="str">
        <f t="shared" si="43"/>
        <v>403</v>
      </c>
      <c r="E1393" s="397">
        <v>241244.02</v>
      </c>
      <c r="F1393" s="397">
        <v>197004</v>
      </c>
    </row>
    <row r="1394" spans="2:6" outlineLevel="2">
      <c r="B1394" s="395" t="s">
        <v>613</v>
      </c>
      <c r="C1394" s="395" t="s">
        <v>612</v>
      </c>
      <c r="D1394" s="396" t="str">
        <f t="shared" si="43"/>
        <v>447</v>
      </c>
      <c r="E1394" s="397">
        <v>0</v>
      </c>
      <c r="F1394" s="397">
        <v>0</v>
      </c>
    </row>
    <row r="1395" spans="2:6" outlineLevel="2">
      <c r="B1395" s="395" t="s">
        <v>611</v>
      </c>
      <c r="C1395" s="395" t="s">
        <v>610</v>
      </c>
      <c r="D1395" s="396" t="str">
        <f t="shared" si="43"/>
        <v>555</v>
      </c>
      <c r="E1395" s="397">
        <v>0</v>
      </c>
      <c r="F1395" s="397">
        <v>0</v>
      </c>
    </row>
    <row r="1396" spans="2:6" outlineLevel="2">
      <c r="B1396" s="395" t="s">
        <v>609</v>
      </c>
      <c r="C1396" s="395" t="s">
        <v>608</v>
      </c>
      <c r="D1396" s="396" t="str">
        <f t="shared" si="43"/>
        <v>403</v>
      </c>
      <c r="E1396" s="397">
        <v>0</v>
      </c>
      <c r="F1396" s="397">
        <v>0</v>
      </c>
    </row>
    <row r="1397" spans="2:6" outlineLevel="2">
      <c r="B1397" s="395" t="s">
        <v>607</v>
      </c>
      <c r="C1397" s="395" t="s">
        <v>606</v>
      </c>
      <c r="D1397" s="396" t="str">
        <f t="shared" si="43"/>
        <v>447</v>
      </c>
      <c r="E1397" s="397">
        <v>0</v>
      </c>
      <c r="F1397" s="397">
        <v>0</v>
      </c>
    </row>
    <row r="1398" spans="2:6" outlineLevel="2">
      <c r="B1398" s="395" t="s">
        <v>605</v>
      </c>
      <c r="C1398" s="395" t="s">
        <v>604</v>
      </c>
      <c r="D1398" s="396" t="str">
        <f t="shared" si="43"/>
        <v>403</v>
      </c>
      <c r="E1398" s="397">
        <v>0</v>
      </c>
      <c r="F1398" s="397">
        <v>0</v>
      </c>
    </row>
    <row r="1399" spans="2:6" outlineLevel="2">
      <c r="B1399" s="395" t="s">
        <v>603</v>
      </c>
      <c r="C1399" s="395" t="s">
        <v>602</v>
      </c>
      <c r="D1399" s="396" t="str">
        <f t="shared" si="43"/>
        <v>403</v>
      </c>
      <c r="E1399" s="397">
        <v>0</v>
      </c>
      <c r="F1399" s="397">
        <v>0</v>
      </c>
    </row>
    <row r="1400" spans="2:6" outlineLevel="2">
      <c r="B1400" s="395" t="s">
        <v>601</v>
      </c>
      <c r="C1400" s="395" t="s">
        <v>600</v>
      </c>
      <c r="D1400" s="396" t="str">
        <f t="shared" si="43"/>
        <v>447</v>
      </c>
      <c r="E1400" s="397">
        <v>0</v>
      </c>
      <c r="F1400" s="397">
        <v>0</v>
      </c>
    </row>
    <row r="1401" spans="2:6" outlineLevel="2">
      <c r="B1401" s="395" t="s">
        <v>599</v>
      </c>
      <c r="C1401" s="395" t="s">
        <v>598</v>
      </c>
      <c r="D1401" s="396" t="str">
        <f t="shared" si="43"/>
        <v>403</v>
      </c>
      <c r="E1401" s="397">
        <v>0</v>
      </c>
      <c r="F1401" s="397">
        <v>0</v>
      </c>
    </row>
    <row r="1402" spans="2:6" outlineLevel="2">
      <c r="B1402" s="395" t="s">
        <v>597</v>
      </c>
      <c r="C1402" s="395" t="s">
        <v>596</v>
      </c>
      <c r="D1402" s="396" t="str">
        <f t="shared" si="43"/>
        <v>403</v>
      </c>
      <c r="E1402" s="397">
        <v>0</v>
      </c>
      <c r="F1402" s="397">
        <v>0</v>
      </c>
    </row>
    <row r="1403" spans="2:6" outlineLevel="2">
      <c r="B1403" s="395" t="s">
        <v>595</v>
      </c>
      <c r="C1403" s="395" t="s">
        <v>594</v>
      </c>
      <c r="D1403" s="396" t="str">
        <f t="shared" si="43"/>
        <v>447</v>
      </c>
      <c r="E1403" s="397">
        <v>0</v>
      </c>
      <c r="F1403" s="397">
        <v>0</v>
      </c>
    </row>
    <row r="1404" spans="2:6" outlineLevel="2">
      <c r="B1404" s="395" t="s">
        <v>593</v>
      </c>
      <c r="C1404" s="395" t="s">
        <v>592</v>
      </c>
      <c r="D1404" s="396" t="str">
        <f t="shared" si="43"/>
        <v>403</v>
      </c>
      <c r="E1404" s="397">
        <v>0</v>
      </c>
      <c r="F1404" s="397">
        <v>0</v>
      </c>
    </row>
    <row r="1405" spans="2:6" outlineLevel="2">
      <c r="B1405" s="395" t="s">
        <v>591</v>
      </c>
      <c r="C1405" s="395" t="s">
        <v>590</v>
      </c>
      <c r="D1405" s="396" t="str">
        <f t="shared" si="43"/>
        <v>403</v>
      </c>
      <c r="E1405" s="397">
        <v>-1409770.74</v>
      </c>
      <c r="F1405" s="397">
        <v>-1206454.26</v>
      </c>
    </row>
    <row r="1406" spans="2:6" outlineLevel="2">
      <c r="B1406" s="395" t="s">
        <v>589</v>
      </c>
      <c r="C1406" s="395" t="s">
        <v>588</v>
      </c>
      <c r="D1406" s="396" t="str">
        <f t="shared" si="43"/>
        <v>403</v>
      </c>
      <c r="E1406" s="397">
        <v>1278248.96</v>
      </c>
      <c r="F1406" s="397">
        <v>743004</v>
      </c>
    </row>
    <row r="1407" spans="2:6" outlineLevel="2">
      <c r="B1407" s="395" t="s">
        <v>587</v>
      </c>
      <c r="C1407" s="395" t="s">
        <v>586</v>
      </c>
      <c r="D1407" s="396" t="str">
        <f t="shared" si="43"/>
        <v>447</v>
      </c>
      <c r="E1407" s="397">
        <v>0</v>
      </c>
      <c r="F1407" s="397">
        <v>0</v>
      </c>
    </row>
    <row r="1408" spans="2:6" outlineLevel="2">
      <c r="B1408" s="395" t="s">
        <v>585</v>
      </c>
      <c r="C1408" s="395" t="s">
        <v>584</v>
      </c>
      <c r="D1408" s="396" t="str">
        <f t="shared" si="43"/>
        <v>403</v>
      </c>
      <c r="E1408" s="397">
        <v>0</v>
      </c>
      <c r="F1408" s="397">
        <v>0</v>
      </c>
    </row>
    <row r="1409" spans="1:6" outlineLevel="2"/>
    <row r="1410" spans="1:6" outlineLevel="1">
      <c r="E1410" s="397">
        <v>-12864871.570000004</v>
      </c>
      <c r="F1410" s="397">
        <v>-8185814.1600000001</v>
      </c>
    </row>
    <row r="1411" spans="1:6" outlineLevel="1">
      <c r="E1411" s="397">
        <v>352484038.94</v>
      </c>
      <c r="F1411" s="397">
        <v>373500726.67999989</v>
      </c>
    </row>
    <row r="1412" spans="1:6" outlineLevel="1">
      <c r="D1412" s="396" t="str">
        <f t="shared" ref="D1412:D1439" si="44">RIGHT(C1412,3)</f>
        <v/>
      </c>
    </row>
    <row r="1413" spans="1:6" outlineLevel="1">
      <c r="A1413" s="395" t="s">
        <v>583</v>
      </c>
      <c r="D1413" s="396" t="str">
        <f t="shared" si="44"/>
        <v/>
      </c>
      <c r="E1413" s="397">
        <v>70896276.889999986</v>
      </c>
      <c r="F1413" s="397">
        <v>79178648.810000122</v>
      </c>
    </row>
    <row r="1414" spans="1:6" outlineLevel="1">
      <c r="D1414" s="396" t="str">
        <f t="shared" si="44"/>
        <v/>
      </c>
    </row>
    <row r="1415" spans="1:6" outlineLevel="1">
      <c r="A1415" s="395" t="s">
        <v>582</v>
      </c>
      <c r="D1415" s="396" t="str">
        <f t="shared" si="44"/>
        <v/>
      </c>
    </row>
    <row r="1416" spans="1:6" outlineLevel="2">
      <c r="B1416" s="395" t="s">
        <v>581</v>
      </c>
      <c r="D1416" s="396" t="str">
        <f t="shared" si="44"/>
        <v/>
      </c>
    </row>
    <row r="1417" spans="1:6" outlineLevel="2">
      <c r="B1417" s="395" t="s">
        <v>580</v>
      </c>
      <c r="C1417" s="395" t="s">
        <v>579</v>
      </c>
      <c r="D1417" s="396" t="str">
        <f t="shared" si="44"/>
        <v>427</v>
      </c>
      <c r="E1417" s="397">
        <v>3834567</v>
      </c>
      <c r="F1417" s="397">
        <v>4662060</v>
      </c>
    </row>
    <row r="1418" spans="1:6" outlineLevel="2">
      <c r="B1418" s="395" t="s">
        <v>578</v>
      </c>
      <c r="C1418" s="395" t="s">
        <v>577</v>
      </c>
      <c r="D1418" s="396" t="str">
        <f t="shared" si="44"/>
        <v>427</v>
      </c>
      <c r="E1418" s="397">
        <v>4342083</v>
      </c>
      <c r="F1418" s="397">
        <v>4150371</v>
      </c>
    </row>
    <row r="1419" spans="1:6" outlineLevel="2">
      <c r="B1419" s="395" t="s">
        <v>576</v>
      </c>
      <c r="C1419" s="395" t="s">
        <v>575</v>
      </c>
      <c r="D1419" s="396" t="str">
        <f t="shared" si="44"/>
        <v>427</v>
      </c>
      <c r="E1419" s="397">
        <v>9924762</v>
      </c>
      <c r="F1419" s="397">
        <v>8869288</v>
      </c>
    </row>
    <row r="1420" spans="1:6" outlineLevel="2">
      <c r="B1420" s="395" t="s">
        <v>574</v>
      </c>
      <c r="C1420" s="395" t="s">
        <v>573</v>
      </c>
      <c r="D1420" s="396" t="str">
        <f t="shared" si="44"/>
        <v>427</v>
      </c>
      <c r="E1420" s="397">
        <v>2142844</v>
      </c>
      <c r="F1420" s="397">
        <v>1876193</v>
      </c>
    </row>
    <row r="1421" spans="1:6" outlineLevel="2">
      <c r="B1421" s="395" t="s">
        <v>572</v>
      </c>
      <c r="C1421" s="395" t="s">
        <v>571</v>
      </c>
      <c r="D1421" s="396" t="str">
        <f t="shared" si="44"/>
        <v>427</v>
      </c>
      <c r="E1421" s="397">
        <v>1015032</v>
      </c>
      <c r="F1421" s="397">
        <v>1023380</v>
      </c>
    </row>
    <row r="1422" spans="1:6" outlineLevel="2">
      <c r="B1422" s="395" t="s">
        <v>570</v>
      </c>
      <c r="C1422" s="395" t="s">
        <v>569</v>
      </c>
      <c r="D1422" s="396" t="str">
        <f t="shared" si="44"/>
        <v>427</v>
      </c>
      <c r="E1422" s="397">
        <v>56390</v>
      </c>
      <c r="F1422" s="397">
        <v>113649.02</v>
      </c>
    </row>
    <row r="1423" spans="1:6" outlineLevel="2">
      <c r="B1423" s="395" t="s">
        <v>568</v>
      </c>
      <c r="C1423" s="395" t="s">
        <v>567</v>
      </c>
      <c r="D1423" s="396" t="str">
        <f t="shared" si="44"/>
        <v>427</v>
      </c>
      <c r="E1423" s="397">
        <v>15789395</v>
      </c>
      <c r="F1423" s="397">
        <v>16146654</v>
      </c>
    </row>
    <row r="1424" spans="1:6" outlineLevel="2">
      <c r="B1424" s="395" t="s">
        <v>566</v>
      </c>
      <c r="C1424" s="395" t="s">
        <v>565</v>
      </c>
      <c r="D1424" s="396" t="str">
        <f t="shared" si="44"/>
        <v>427</v>
      </c>
      <c r="E1424" s="397">
        <v>0</v>
      </c>
      <c r="F1424" s="397">
        <v>0</v>
      </c>
    </row>
    <row r="1425" spans="2:9" outlineLevel="2">
      <c r="B1425" s="395" t="s">
        <v>564</v>
      </c>
      <c r="C1425" s="395" t="s">
        <v>563</v>
      </c>
      <c r="D1425" s="396" t="str">
        <f t="shared" si="44"/>
        <v>427</v>
      </c>
      <c r="E1425" s="397">
        <v>15789395</v>
      </c>
      <c r="F1425" s="397">
        <v>16146654</v>
      </c>
    </row>
    <row r="1426" spans="2:9" outlineLevel="2">
      <c r="B1426" s="395" t="s">
        <v>562</v>
      </c>
      <c r="C1426" s="395" t="s">
        <v>561</v>
      </c>
      <c r="D1426" s="396" t="str">
        <f t="shared" si="44"/>
        <v>427</v>
      </c>
      <c r="E1426" s="397">
        <v>2312019</v>
      </c>
      <c r="F1426" s="397">
        <v>3013284</v>
      </c>
    </row>
    <row r="1427" spans="2:9" outlineLevel="2">
      <c r="B1427" s="395" t="s">
        <v>560</v>
      </c>
      <c r="C1427" s="395" t="s">
        <v>559</v>
      </c>
      <c r="D1427" s="396" t="str">
        <f t="shared" si="44"/>
        <v>427</v>
      </c>
      <c r="E1427" s="397">
        <v>225562</v>
      </c>
      <c r="F1427" s="397">
        <v>341128</v>
      </c>
    </row>
    <row r="1428" spans="2:9" outlineLevel="2">
      <c r="B1428" s="395" t="s">
        <v>558</v>
      </c>
      <c r="C1428" s="395" t="s">
        <v>557</v>
      </c>
      <c r="D1428" s="396" t="str">
        <f t="shared" si="44"/>
        <v>427</v>
      </c>
      <c r="E1428" s="397">
        <v>169170</v>
      </c>
      <c r="F1428" s="397">
        <v>56854</v>
      </c>
    </row>
    <row r="1429" spans="2:9" outlineLevel="2">
      <c r="B1429" s="395" t="s">
        <v>556</v>
      </c>
      <c r="C1429" s="395" t="s">
        <v>555</v>
      </c>
      <c r="D1429" s="396" t="str">
        <f t="shared" si="44"/>
        <v>427</v>
      </c>
      <c r="E1429" s="397">
        <v>0</v>
      </c>
      <c r="F1429" s="397">
        <v>0</v>
      </c>
    </row>
    <row r="1430" spans="2:9" outlineLevel="2">
      <c r="B1430" s="395" t="s">
        <v>554</v>
      </c>
      <c r="C1430" s="395" t="s">
        <v>553</v>
      </c>
      <c r="D1430" s="396" t="str">
        <f t="shared" si="44"/>
        <v>427</v>
      </c>
      <c r="E1430" s="397">
        <v>0</v>
      </c>
      <c r="F1430" s="397">
        <v>0</v>
      </c>
    </row>
    <row r="1431" spans="2:9" outlineLevel="2">
      <c r="B1431" s="395" t="s">
        <v>552</v>
      </c>
      <c r="C1431" s="395" t="s">
        <v>551</v>
      </c>
      <c r="D1431" s="396" t="str">
        <f t="shared" si="44"/>
        <v>427</v>
      </c>
      <c r="E1431" s="397">
        <v>0</v>
      </c>
      <c r="F1431" s="397">
        <v>0</v>
      </c>
    </row>
    <row r="1432" spans="2:9" outlineLevel="2">
      <c r="B1432" s="395" t="s">
        <v>550</v>
      </c>
      <c r="C1432" s="395" t="s">
        <v>549</v>
      </c>
      <c r="D1432" s="396" t="str">
        <f t="shared" si="44"/>
        <v>427</v>
      </c>
      <c r="E1432" s="397">
        <v>789476.63</v>
      </c>
      <c r="F1432" s="397">
        <v>454864.46</v>
      </c>
      <c r="G1432" s="259"/>
      <c r="H1432" s="419">
        <v>2017</v>
      </c>
      <c r="I1432" s="419">
        <v>2016</v>
      </c>
    </row>
    <row r="1433" spans="2:9" outlineLevel="2">
      <c r="G1433" s="259" t="s">
        <v>3120</v>
      </c>
      <c r="H1433" s="260">
        <f>E472</f>
        <v>26060000</v>
      </c>
      <c r="I1433" s="260">
        <f>F472</f>
        <v>25585000</v>
      </c>
    </row>
    <row r="1434" spans="2:9" outlineLevel="1">
      <c r="E1434" s="397">
        <v>56390695.630000003</v>
      </c>
      <c r="F1434" s="397">
        <v>56854379.479999997</v>
      </c>
      <c r="G1434" s="259" t="s">
        <v>3121</v>
      </c>
      <c r="H1434" s="260">
        <f>E1434</f>
        <v>56390695.630000003</v>
      </c>
      <c r="I1434" s="260">
        <f>F1434</f>
        <v>56854379.479999997</v>
      </c>
    </row>
    <row r="1435" spans="2:9" outlineLevel="1">
      <c r="B1435" s="395" t="s">
        <v>548</v>
      </c>
      <c r="G1435" s="423" t="s">
        <v>3119</v>
      </c>
      <c r="H1435" s="424">
        <f>SUM(H1433:H1434)</f>
        <v>82450695.629999995</v>
      </c>
      <c r="I1435" s="424">
        <f>SUM(I1433:I1434)</f>
        <v>82439379.479999989</v>
      </c>
    </row>
    <row r="1436" spans="2:9" outlineLevel="2">
      <c r="B1436" s="395" t="s">
        <v>547</v>
      </c>
      <c r="C1436" s="395" t="s">
        <v>546</v>
      </c>
      <c r="D1436" s="396" t="str">
        <f t="shared" si="44"/>
        <v>428</v>
      </c>
      <c r="E1436" s="397">
        <v>2408909.73</v>
      </c>
      <c r="F1436" s="397">
        <v>2521932.81</v>
      </c>
    </row>
    <row r="1437" spans="2:9" outlineLevel="2">
      <c r="B1437" s="395" t="s">
        <v>545</v>
      </c>
      <c r="C1437" s="395" t="s">
        <v>544</v>
      </c>
      <c r="D1437" s="396" t="str">
        <f t="shared" si="44"/>
        <v>428</v>
      </c>
      <c r="E1437" s="397">
        <v>-8629053.2799999993</v>
      </c>
      <c r="F1437" s="397">
        <v>-8887488</v>
      </c>
    </row>
    <row r="1438" spans="2:9" outlineLevel="2">
      <c r="B1438" s="395" t="s">
        <v>543</v>
      </c>
      <c r="C1438" s="395" t="s">
        <v>542</v>
      </c>
      <c r="D1438" s="396" t="str">
        <f t="shared" si="44"/>
        <v>428</v>
      </c>
      <c r="E1438" s="397">
        <v>0</v>
      </c>
      <c r="F1438" s="397">
        <v>0</v>
      </c>
    </row>
    <row r="1439" spans="2:9" outlineLevel="2">
      <c r="B1439" s="395" t="s">
        <v>541</v>
      </c>
      <c r="C1439" s="395" t="s">
        <v>540</v>
      </c>
      <c r="D1439" s="396" t="str">
        <f t="shared" si="44"/>
        <v>428</v>
      </c>
      <c r="E1439" s="397">
        <v>0</v>
      </c>
      <c r="F1439" s="397">
        <v>0</v>
      </c>
    </row>
    <row r="1440" spans="2:9" outlineLevel="2"/>
    <row r="1441" spans="2:6" outlineLevel="1">
      <c r="E1441" s="397">
        <v>-6220143.5499999989</v>
      </c>
      <c r="F1441" s="397">
        <v>-6365555.1899999995</v>
      </c>
    </row>
    <row r="1442" spans="2:6" outlineLevel="1">
      <c r="B1442" s="395" t="s">
        <v>539</v>
      </c>
      <c r="D1442" s="396" t="str">
        <f t="shared" ref="D1442:D1512" si="45">RIGHT(C1442,3)</f>
        <v/>
      </c>
    </row>
    <row r="1443" spans="2:6" outlineLevel="2">
      <c r="B1443" s="395" t="s">
        <v>538</v>
      </c>
      <c r="C1443" s="395" t="s">
        <v>537</v>
      </c>
      <c r="D1443" s="396" t="str">
        <f t="shared" si="45"/>
        <v/>
      </c>
    </row>
    <row r="1444" spans="2:6" outlineLevel="2">
      <c r="D1444" s="396" t="str">
        <f t="shared" si="45"/>
        <v/>
      </c>
    </row>
    <row r="1445" spans="2:6" outlineLevel="1">
      <c r="D1445" s="396" t="str">
        <f t="shared" si="45"/>
        <v/>
      </c>
      <c r="E1445" s="397">
        <v>0</v>
      </c>
      <c r="F1445" s="397">
        <v>0</v>
      </c>
    </row>
    <row r="1446" spans="2:6" outlineLevel="1">
      <c r="B1446" s="395" t="s">
        <v>536</v>
      </c>
      <c r="D1446" s="396" t="str">
        <f t="shared" si="45"/>
        <v/>
      </c>
    </row>
    <row r="1447" spans="2:6" outlineLevel="2">
      <c r="B1447" s="395" t="s">
        <v>535</v>
      </c>
      <c r="C1447" s="395" t="s">
        <v>534</v>
      </c>
      <c r="D1447" s="396" t="str">
        <f t="shared" si="45"/>
        <v>419</v>
      </c>
      <c r="E1447" s="397">
        <v>151666</v>
      </c>
      <c r="F1447" s="397">
        <v>830676.59</v>
      </c>
    </row>
    <row r="1448" spans="2:6" outlineLevel="2">
      <c r="B1448" s="395" t="s">
        <v>533</v>
      </c>
      <c r="C1448" s="395" t="s">
        <v>532</v>
      </c>
      <c r="D1448" s="396" t="str">
        <f t="shared" si="45"/>
        <v>419</v>
      </c>
      <c r="E1448" s="397">
        <v>0</v>
      </c>
      <c r="F1448" s="397">
        <v>0</v>
      </c>
    </row>
    <row r="1449" spans="2:6" outlineLevel="2">
      <c r="B1449" s="395" t="s">
        <v>531</v>
      </c>
      <c r="C1449" s="395" t="s">
        <v>530</v>
      </c>
      <c r="D1449" s="396" t="str">
        <f t="shared" si="45"/>
        <v>419</v>
      </c>
      <c r="E1449" s="397">
        <v>0</v>
      </c>
      <c r="F1449" s="397">
        <v>0</v>
      </c>
    </row>
    <row r="1450" spans="2:6" outlineLevel="2">
      <c r="B1450" s="395" t="s">
        <v>529</v>
      </c>
      <c r="C1450" s="395" t="s">
        <v>528</v>
      </c>
      <c r="D1450" s="396" t="str">
        <f t="shared" si="45"/>
        <v>419</v>
      </c>
      <c r="E1450" s="397">
        <v>-141732.21</v>
      </c>
      <c r="F1450" s="397">
        <v>-118804</v>
      </c>
    </row>
    <row r="1451" spans="2:6" outlineLevel="2">
      <c r="B1451" s="395" t="s">
        <v>527</v>
      </c>
      <c r="C1451" s="395" t="s">
        <v>526</v>
      </c>
      <c r="D1451" s="396" t="str">
        <f t="shared" si="45"/>
        <v>419</v>
      </c>
      <c r="E1451" s="397">
        <v>-158255.57999999999</v>
      </c>
      <c r="F1451" s="397">
        <v>-104673.99</v>
      </c>
    </row>
    <row r="1452" spans="2:6" outlineLevel="2">
      <c r="B1452" s="395" t="s">
        <v>525</v>
      </c>
      <c r="C1452" s="395" t="s">
        <v>524</v>
      </c>
      <c r="D1452" s="396" t="str">
        <f t="shared" si="45"/>
        <v>419</v>
      </c>
      <c r="E1452" s="397">
        <v>-360502.8</v>
      </c>
      <c r="F1452" s="397">
        <v>-224810.16</v>
      </c>
    </row>
    <row r="1453" spans="2:6" outlineLevel="2">
      <c r="B1453" s="395" t="s">
        <v>523</v>
      </c>
      <c r="C1453" s="395" t="s">
        <v>522</v>
      </c>
      <c r="D1453" s="396" t="str">
        <f t="shared" si="45"/>
        <v>419</v>
      </c>
      <c r="E1453" s="397">
        <v>-77759.360000000001</v>
      </c>
      <c r="F1453" s="397">
        <v>-47779.22</v>
      </c>
    </row>
    <row r="1454" spans="2:6" outlineLevel="2">
      <c r="B1454" s="395" t="s">
        <v>521</v>
      </c>
      <c r="C1454" s="395" t="s">
        <v>520</v>
      </c>
      <c r="D1454" s="396" t="str">
        <f t="shared" si="45"/>
        <v>419</v>
      </c>
      <c r="E1454" s="397">
        <v>-37100.35</v>
      </c>
      <c r="F1454" s="397">
        <v>-26036.79</v>
      </c>
    </row>
    <row r="1455" spans="2:6" outlineLevel="2">
      <c r="B1455" s="395" t="s">
        <v>519</v>
      </c>
      <c r="C1455" s="395" t="s">
        <v>518</v>
      </c>
      <c r="D1455" s="396" t="str">
        <f t="shared" si="45"/>
        <v>419</v>
      </c>
      <c r="E1455" s="397">
        <v>-2174.39</v>
      </c>
      <c r="F1455" s="397">
        <v>-2847.7</v>
      </c>
    </row>
    <row r="1456" spans="2:6" outlineLevel="2">
      <c r="B1456" s="395" t="s">
        <v>517</v>
      </c>
      <c r="C1456" s="395" t="s">
        <v>516</v>
      </c>
      <c r="D1456" s="396" t="str">
        <f t="shared" si="45"/>
        <v>419</v>
      </c>
      <c r="E1456" s="397">
        <v>-577561.15</v>
      </c>
      <c r="F1456" s="397">
        <v>-406803.29</v>
      </c>
    </row>
    <row r="1457" spans="2:6" outlineLevel="2">
      <c r="B1457" s="395" t="s">
        <v>515</v>
      </c>
      <c r="C1457" s="395" t="s">
        <v>514</v>
      </c>
      <c r="D1457" s="396" t="str">
        <f t="shared" si="45"/>
        <v>419</v>
      </c>
      <c r="E1457" s="397">
        <v>0</v>
      </c>
      <c r="F1457" s="397">
        <v>0</v>
      </c>
    </row>
    <row r="1458" spans="2:6" outlineLevel="2">
      <c r="B1458" s="395" t="s">
        <v>513</v>
      </c>
      <c r="C1458" s="395" t="s">
        <v>512</v>
      </c>
      <c r="D1458" s="396" t="str">
        <f t="shared" si="45"/>
        <v>419</v>
      </c>
      <c r="E1458" s="397">
        <v>-577561.15</v>
      </c>
      <c r="F1458" s="397">
        <v>-406803.29</v>
      </c>
    </row>
    <row r="1459" spans="2:6" outlineLevel="2">
      <c r="B1459" s="395" t="s">
        <v>511</v>
      </c>
      <c r="C1459" s="395" t="s">
        <v>510</v>
      </c>
      <c r="D1459" s="396" t="str">
        <f t="shared" si="45"/>
        <v>419</v>
      </c>
      <c r="E1459" s="397">
        <v>-85857.56</v>
      </c>
      <c r="F1459" s="397">
        <v>-75619.14</v>
      </c>
    </row>
    <row r="1460" spans="2:6" outlineLevel="2">
      <c r="B1460" s="395" t="s">
        <v>509</v>
      </c>
      <c r="C1460" s="395" t="s">
        <v>508</v>
      </c>
      <c r="D1460" s="396" t="str">
        <f t="shared" si="45"/>
        <v>419</v>
      </c>
      <c r="E1460" s="397">
        <v>-8469.7800000000007</v>
      </c>
      <c r="F1460" s="397">
        <v>-8565.51</v>
      </c>
    </row>
    <row r="1461" spans="2:6" outlineLevel="2">
      <c r="B1461" s="395" t="s">
        <v>507</v>
      </c>
      <c r="C1461" s="395" t="s">
        <v>506</v>
      </c>
      <c r="D1461" s="396" t="str">
        <f t="shared" si="45"/>
        <v>419</v>
      </c>
      <c r="E1461" s="397">
        <v>-5958.66</v>
      </c>
      <c r="F1461" s="397">
        <v>-1322.29</v>
      </c>
    </row>
    <row r="1462" spans="2:6" outlineLevel="2">
      <c r="B1462" s="395" t="s">
        <v>505</v>
      </c>
      <c r="C1462" s="395" t="s">
        <v>504</v>
      </c>
      <c r="D1462" s="396" t="str">
        <f t="shared" si="45"/>
        <v>419</v>
      </c>
      <c r="E1462" s="397">
        <v>0</v>
      </c>
      <c r="F1462" s="397">
        <v>0</v>
      </c>
    </row>
    <row r="1463" spans="2:6" outlineLevel="2">
      <c r="B1463" s="395" t="s">
        <v>503</v>
      </c>
      <c r="C1463" s="395" t="s">
        <v>502</v>
      </c>
      <c r="D1463" s="396" t="str">
        <f t="shared" si="45"/>
        <v>419</v>
      </c>
      <c r="E1463" s="397">
        <v>-28176.78</v>
      </c>
      <c r="F1463" s="397">
        <v>-11058.75</v>
      </c>
    </row>
    <row r="1464" spans="2:6" outlineLevel="2">
      <c r="B1464" s="395" t="s">
        <v>3389</v>
      </c>
      <c r="C1464" s="395" t="s">
        <v>3390</v>
      </c>
      <c r="D1464" s="396" t="str">
        <f t="shared" si="45"/>
        <v>419</v>
      </c>
      <c r="E1464" s="397">
        <v>0</v>
      </c>
      <c r="F1464" s="397">
        <v>0</v>
      </c>
    </row>
    <row r="1465" spans="2:6" outlineLevel="2">
      <c r="B1465" s="395" t="s">
        <v>3391</v>
      </c>
      <c r="C1465" s="395" t="s">
        <v>3392</v>
      </c>
      <c r="D1465" s="396" t="str">
        <f t="shared" si="45"/>
        <v>419</v>
      </c>
      <c r="E1465" s="397">
        <v>0</v>
      </c>
      <c r="F1465" s="397">
        <v>0</v>
      </c>
    </row>
    <row r="1466" spans="2:6" outlineLevel="2">
      <c r="B1466" s="395" t="s">
        <v>3393</v>
      </c>
      <c r="C1466" s="395" t="s">
        <v>3394</v>
      </c>
      <c r="D1466" s="396" t="str">
        <f t="shared" si="45"/>
        <v>419</v>
      </c>
      <c r="E1466" s="397">
        <v>0</v>
      </c>
      <c r="F1466" s="397">
        <v>0</v>
      </c>
    </row>
    <row r="1467" spans="2:6" outlineLevel="2">
      <c r="B1467" s="395" t="s">
        <v>3395</v>
      </c>
      <c r="C1467" s="395" t="s">
        <v>3396</v>
      </c>
      <c r="D1467" s="396" t="str">
        <f t="shared" si="45"/>
        <v>419</v>
      </c>
      <c r="E1467" s="397">
        <v>0</v>
      </c>
      <c r="F1467" s="397">
        <v>0</v>
      </c>
    </row>
    <row r="1468" spans="2:6" outlineLevel="2">
      <c r="B1468" s="395" t="s">
        <v>3397</v>
      </c>
      <c r="C1468" s="395" t="s">
        <v>3398</v>
      </c>
      <c r="D1468" s="396" t="str">
        <f t="shared" si="45"/>
        <v>419</v>
      </c>
      <c r="E1468" s="397">
        <v>0</v>
      </c>
      <c r="F1468" s="397">
        <v>0</v>
      </c>
    </row>
    <row r="1469" spans="2:6" outlineLevel="2">
      <c r="B1469" s="395" t="s">
        <v>3399</v>
      </c>
      <c r="C1469" s="395" t="s">
        <v>3400</v>
      </c>
      <c r="D1469" s="396" t="str">
        <f t="shared" si="45"/>
        <v>419</v>
      </c>
      <c r="E1469" s="397">
        <v>0</v>
      </c>
      <c r="F1469" s="397">
        <v>0</v>
      </c>
    </row>
    <row r="1470" spans="2:6" outlineLevel="2">
      <c r="B1470" s="395" t="s">
        <v>3401</v>
      </c>
      <c r="C1470" s="395" t="s">
        <v>3402</v>
      </c>
      <c r="D1470" s="396" t="str">
        <f t="shared" si="45"/>
        <v>419</v>
      </c>
      <c r="E1470" s="397">
        <v>0</v>
      </c>
      <c r="F1470" s="397">
        <v>0</v>
      </c>
    </row>
    <row r="1471" spans="2:6" outlineLevel="2">
      <c r="B1471" s="395" t="s">
        <v>3403</v>
      </c>
      <c r="C1471" s="395" t="s">
        <v>3404</v>
      </c>
      <c r="D1471" s="396" t="str">
        <f t="shared" si="45"/>
        <v>419</v>
      </c>
      <c r="E1471" s="397">
        <v>0</v>
      </c>
      <c r="F1471" s="397">
        <v>0</v>
      </c>
    </row>
    <row r="1472" spans="2:6" outlineLevel="2">
      <c r="B1472" s="395" t="s">
        <v>3405</v>
      </c>
      <c r="C1472" s="395" t="s">
        <v>3406</v>
      </c>
      <c r="D1472" s="396" t="str">
        <f t="shared" si="45"/>
        <v>419</v>
      </c>
      <c r="E1472" s="397">
        <v>0</v>
      </c>
      <c r="F1472" s="397">
        <v>0</v>
      </c>
    </row>
    <row r="1473" spans="2:6" outlineLevel="2">
      <c r="B1473" s="395" t="s">
        <v>3407</v>
      </c>
      <c r="C1473" s="395" t="s">
        <v>3408</v>
      </c>
      <c r="D1473" s="396" t="str">
        <f t="shared" si="45"/>
        <v>419</v>
      </c>
      <c r="E1473" s="397">
        <v>0</v>
      </c>
      <c r="F1473" s="397">
        <v>0</v>
      </c>
    </row>
    <row r="1474" spans="2:6" outlineLevel="2">
      <c r="B1474" s="395" t="s">
        <v>3409</v>
      </c>
      <c r="C1474" s="395" t="s">
        <v>3410</v>
      </c>
      <c r="D1474" s="396" t="str">
        <f t="shared" si="45"/>
        <v>419</v>
      </c>
      <c r="E1474" s="397">
        <v>0</v>
      </c>
      <c r="F1474" s="397">
        <v>0</v>
      </c>
    </row>
    <row r="1475" spans="2:6" outlineLevel="2">
      <c r="B1475" s="395" t="s">
        <v>3411</v>
      </c>
      <c r="C1475" s="395" t="s">
        <v>3412</v>
      </c>
      <c r="D1475" s="396" t="str">
        <f t="shared" si="45"/>
        <v>419</v>
      </c>
      <c r="E1475" s="397">
        <v>0</v>
      </c>
      <c r="F1475" s="397">
        <v>0</v>
      </c>
    </row>
    <row r="1476" spans="2:6" outlineLevel="2"/>
    <row r="1477" spans="2:6" outlineLevel="1">
      <c r="E1477" s="397">
        <v>-1909443.7699999998</v>
      </c>
      <c r="F1477" s="397">
        <v>-604447.54</v>
      </c>
    </row>
    <row r="1478" spans="2:6" outlineLevel="1">
      <c r="B1478" s="395" t="s">
        <v>501</v>
      </c>
      <c r="D1478" s="396" t="str">
        <f t="shared" si="45"/>
        <v/>
      </c>
    </row>
    <row r="1479" spans="2:6" outlineLevel="2">
      <c r="B1479" s="395" t="s">
        <v>500</v>
      </c>
      <c r="C1479" s="395" t="s">
        <v>499</v>
      </c>
      <c r="D1479" s="396" t="str">
        <f t="shared" si="45"/>
        <v>431</v>
      </c>
      <c r="E1479" s="397">
        <v>176640.72</v>
      </c>
      <c r="F1479" s="397">
        <v>368331.7</v>
      </c>
    </row>
    <row r="1480" spans="2:6" outlineLevel="2">
      <c r="B1480" s="395" t="s">
        <v>498</v>
      </c>
      <c r="C1480" s="395" t="s">
        <v>497</v>
      </c>
      <c r="D1480" s="396" t="str">
        <f t="shared" si="45"/>
        <v>426</v>
      </c>
      <c r="E1480" s="397">
        <v>0</v>
      </c>
      <c r="F1480" s="397">
        <v>0</v>
      </c>
    </row>
    <row r="1481" spans="2:6" outlineLevel="2">
      <c r="B1481" s="395" t="s">
        <v>496</v>
      </c>
      <c r="C1481" s="395" t="s">
        <v>495</v>
      </c>
      <c r="D1481" s="396" t="str">
        <f t="shared" si="45"/>
        <v>426</v>
      </c>
      <c r="E1481" s="397">
        <v>1294282.27</v>
      </c>
      <c r="F1481" s="397">
        <v>2437502.41</v>
      </c>
    </row>
    <row r="1482" spans="2:6" outlineLevel="2">
      <c r="B1482" s="395" t="s">
        <v>494</v>
      </c>
      <c r="C1482" s="395" t="s">
        <v>493</v>
      </c>
      <c r="D1482" s="396" t="str">
        <f t="shared" si="45"/>
        <v>428</v>
      </c>
      <c r="E1482" s="397">
        <v>0</v>
      </c>
      <c r="F1482" s="397">
        <v>0</v>
      </c>
    </row>
    <row r="1483" spans="2:6" outlineLevel="2">
      <c r="B1483" s="395" t="s">
        <v>492</v>
      </c>
      <c r="C1483" s="395" t="s">
        <v>491</v>
      </c>
      <c r="D1483" s="396" t="str">
        <f t="shared" si="45"/>
        <v>431</v>
      </c>
      <c r="E1483" s="397">
        <v>59663.01</v>
      </c>
      <c r="F1483" s="397">
        <v>56573.9</v>
      </c>
    </row>
    <row r="1484" spans="2:6" outlineLevel="2">
      <c r="B1484" s="395" t="s">
        <v>490</v>
      </c>
      <c r="C1484" s="395" t="s">
        <v>489</v>
      </c>
      <c r="D1484" s="396" t="str">
        <f t="shared" si="45"/>
        <v>431</v>
      </c>
      <c r="E1484" s="397">
        <v>0</v>
      </c>
      <c r="F1484" s="397">
        <v>0</v>
      </c>
    </row>
    <row r="1485" spans="2:6" outlineLevel="2">
      <c r="B1485" s="395" t="s">
        <v>488</v>
      </c>
      <c r="C1485" s="395" t="s">
        <v>487</v>
      </c>
      <c r="D1485" s="396" t="str">
        <f t="shared" si="45"/>
        <v>419</v>
      </c>
      <c r="E1485" s="397">
        <v>592515.26</v>
      </c>
      <c r="F1485" s="397">
        <v>658850.43000000005</v>
      </c>
    </row>
    <row r="1486" spans="2:6" outlineLevel="2">
      <c r="B1486" s="395" t="s">
        <v>486</v>
      </c>
      <c r="C1486" s="395" t="s">
        <v>485</v>
      </c>
      <c r="D1486" s="396" t="str">
        <f t="shared" si="45"/>
        <v>419</v>
      </c>
      <c r="E1486" s="397">
        <v>-592515.26</v>
      </c>
      <c r="F1486" s="397">
        <v>-658547.16</v>
      </c>
    </row>
    <row r="1487" spans="2:6" outlineLevel="2">
      <c r="B1487" s="395" t="s">
        <v>484</v>
      </c>
      <c r="C1487" s="395" t="s">
        <v>483</v>
      </c>
      <c r="D1487" s="396" t="str">
        <f t="shared" si="45"/>
        <v>426</v>
      </c>
      <c r="E1487" s="397">
        <v>0</v>
      </c>
      <c r="F1487" s="397">
        <v>0</v>
      </c>
    </row>
    <row r="1488" spans="2:6" outlineLevel="2">
      <c r="B1488" s="395" t="s">
        <v>482</v>
      </c>
      <c r="C1488" s="395" t="s">
        <v>481</v>
      </c>
      <c r="D1488" s="396" t="str">
        <f t="shared" si="45"/>
        <v>417</v>
      </c>
      <c r="E1488" s="397">
        <v>0</v>
      </c>
      <c r="F1488" s="397">
        <v>0</v>
      </c>
    </row>
    <row r="1489" spans="2:6" outlineLevel="2">
      <c r="B1489" s="395" t="s">
        <v>480</v>
      </c>
      <c r="C1489" s="395" t="s">
        <v>479</v>
      </c>
      <c r="D1489" s="396" t="str">
        <f t="shared" si="45"/>
        <v>426</v>
      </c>
      <c r="E1489" s="397">
        <v>0</v>
      </c>
      <c r="F1489" s="397">
        <v>0</v>
      </c>
    </row>
    <row r="1490" spans="2:6" outlineLevel="2">
      <c r="B1490" s="395" t="s">
        <v>478</v>
      </c>
      <c r="C1490" s="395" t="s">
        <v>477</v>
      </c>
      <c r="D1490" s="396" t="str">
        <f t="shared" si="45"/>
        <v>426</v>
      </c>
      <c r="E1490" s="397">
        <v>0</v>
      </c>
      <c r="F1490" s="397">
        <v>100500</v>
      </c>
    </row>
    <row r="1491" spans="2:6" outlineLevel="2">
      <c r="B1491" s="395" t="s">
        <v>476</v>
      </c>
      <c r="C1491" s="395" t="s">
        <v>475</v>
      </c>
      <c r="D1491" s="396" t="str">
        <f t="shared" si="45"/>
        <v>426</v>
      </c>
      <c r="E1491" s="397">
        <v>0</v>
      </c>
      <c r="F1491" s="397">
        <v>64250</v>
      </c>
    </row>
    <row r="1492" spans="2:6" outlineLevel="2">
      <c r="B1492" s="395" t="s">
        <v>474</v>
      </c>
      <c r="C1492" s="395" t="s">
        <v>473</v>
      </c>
      <c r="D1492" s="396" t="str">
        <f t="shared" si="45"/>
        <v>431</v>
      </c>
      <c r="E1492" s="397">
        <v>0</v>
      </c>
      <c r="F1492" s="397">
        <v>0</v>
      </c>
    </row>
    <row r="1493" spans="2:6" outlineLevel="2">
      <c r="B1493" s="395" t="s">
        <v>472</v>
      </c>
      <c r="C1493" s="395" t="s">
        <v>471</v>
      </c>
      <c r="D1493" s="396" t="str">
        <f t="shared" si="45"/>
        <v>431</v>
      </c>
      <c r="E1493" s="397">
        <v>0</v>
      </c>
      <c r="F1493" s="397">
        <v>0</v>
      </c>
    </row>
    <row r="1494" spans="2:6" outlineLevel="2">
      <c r="B1494" s="395" t="s">
        <v>470</v>
      </c>
      <c r="C1494" s="395" t="s">
        <v>469</v>
      </c>
      <c r="D1494" s="396" t="str">
        <f t="shared" si="45"/>
        <v>431</v>
      </c>
      <c r="E1494" s="397">
        <v>0</v>
      </c>
      <c r="F1494" s="397">
        <v>0</v>
      </c>
    </row>
    <row r="1495" spans="2:6" outlineLevel="2">
      <c r="B1495" s="395" t="s">
        <v>468</v>
      </c>
      <c r="C1495" s="395" t="s">
        <v>467</v>
      </c>
      <c r="D1495" s="396" t="str">
        <f t="shared" si="45"/>
        <v>431</v>
      </c>
      <c r="E1495" s="397">
        <v>0</v>
      </c>
      <c r="F1495" s="397">
        <v>4108.8100000000004</v>
      </c>
    </row>
    <row r="1496" spans="2:6" outlineLevel="2">
      <c r="B1496" s="395" t="s">
        <v>466</v>
      </c>
      <c r="C1496" s="395" t="s">
        <v>465</v>
      </c>
      <c r="D1496" s="396" t="str">
        <f t="shared" si="45"/>
        <v>431</v>
      </c>
      <c r="E1496" s="397">
        <v>119742.36</v>
      </c>
      <c r="F1496" s="397">
        <v>112739.24</v>
      </c>
    </row>
    <row r="1497" spans="2:6" outlineLevel="2">
      <c r="B1497" s="395" t="s">
        <v>464</v>
      </c>
      <c r="C1497" s="395" t="s">
        <v>463</v>
      </c>
      <c r="D1497" s="396" t="str">
        <f t="shared" si="45"/>
        <v>431</v>
      </c>
      <c r="E1497" s="397">
        <v>0</v>
      </c>
      <c r="F1497" s="397">
        <v>0</v>
      </c>
    </row>
    <row r="1498" spans="2:6" outlineLevel="2">
      <c r="B1498" s="395" t="s">
        <v>462</v>
      </c>
      <c r="C1498" s="395" t="s">
        <v>461</v>
      </c>
      <c r="D1498" s="396" t="str">
        <f t="shared" si="45"/>
        <v>426</v>
      </c>
      <c r="E1498" s="397">
        <v>84526.95</v>
      </c>
      <c r="F1498" s="397">
        <v>99023.679999999993</v>
      </c>
    </row>
    <row r="1499" spans="2:6" outlineLevel="2">
      <c r="B1499" s="395" t="s">
        <v>460</v>
      </c>
      <c r="C1499" s="395" t="s">
        <v>459</v>
      </c>
      <c r="D1499" s="396" t="str">
        <f t="shared" si="45"/>
        <v>417</v>
      </c>
      <c r="E1499" s="397">
        <v>0</v>
      </c>
      <c r="F1499" s="397">
        <v>0</v>
      </c>
    </row>
    <row r="1500" spans="2:6" outlineLevel="2">
      <c r="B1500" s="395" t="s">
        <v>458</v>
      </c>
      <c r="C1500" s="395" t="s">
        <v>457</v>
      </c>
      <c r="D1500" s="396" t="str">
        <f t="shared" si="45"/>
        <v>417</v>
      </c>
      <c r="E1500" s="397">
        <v>0</v>
      </c>
      <c r="F1500" s="397">
        <v>0</v>
      </c>
    </row>
    <row r="1501" spans="2:6" outlineLevel="2">
      <c r="B1501" s="395" t="s">
        <v>456</v>
      </c>
      <c r="C1501" s="395" t="s">
        <v>455</v>
      </c>
      <c r="D1501" s="396" t="str">
        <f t="shared" si="45"/>
        <v>431</v>
      </c>
      <c r="E1501" s="397">
        <v>0</v>
      </c>
      <c r="F1501" s="397">
        <v>0</v>
      </c>
    </row>
    <row r="1502" spans="2:6" outlineLevel="2">
      <c r="B1502" s="395" t="s">
        <v>454</v>
      </c>
      <c r="C1502" s="395" t="s">
        <v>453</v>
      </c>
      <c r="D1502" s="396" t="str">
        <f t="shared" si="45"/>
        <v>431</v>
      </c>
      <c r="E1502" s="397">
        <v>0</v>
      </c>
      <c r="F1502" s="397">
        <v>0</v>
      </c>
    </row>
    <row r="1503" spans="2:6" outlineLevel="2">
      <c r="B1503" s="395" t="s">
        <v>452</v>
      </c>
      <c r="C1503" s="395" t="s">
        <v>451</v>
      </c>
      <c r="D1503" s="396" t="str">
        <f t="shared" si="45"/>
        <v>431</v>
      </c>
      <c r="E1503" s="397">
        <v>0</v>
      </c>
      <c r="F1503" s="397">
        <v>0</v>
      </c>
    </row>
    <row r="1504" spans="2:6" outlineLevel="2">
      <c r="B1504" s="395" t="s">
        <v>450</v>
      </c>
      <c r="C1504" s="395" t="s">
        <v>449</v>
      </c>
      <c r="D1504" s="396" t="str">
        <f t="shared" si="45"/>
        <v>431</v>
      </c>
      <c r="E1504" s="397">
        <v>0</v>
      </c>
      <c r="F1504" s="397">
        <v>0</v>
      </c>
    </row>
    <row r="1505" spans="1:6" outlineLevel="2">
      <c r="B1505" s="395" t="s">
        <v>448</v>
      </c>
      <c r="C1505" s="395" t="s">
        <v>447</v>
      </c>
      <c r="D1505" s="396" t="str">
        <f t="shared" si="45"/>
        <v>431</v>
      </c>
      <c r="E1505" s="397">
        <v>0</v>
      </c>
      <c r="F1505" s="397">
        <v>0</v>
      </c>
    </row>
    <row r="1506" spans="1:6" outlineLevel="2">
      <c r="B1506" s="395" t="s">
        <v>446</v>
      </c>
      <c r="C1506" s="395" t="s">
        <v>445</v>
      </c>
      <c r="D1506" s="396" t="str">
        <f t="shared" si="45"/>
        <v>431</v>
      </c>
      <c r="E1506" s="397">
        <v>0</v>
      </c>
      <c r="F1506" s="397">
        <v>0</v>
      </c>
    </row>
    <row r="1507" spans="1:6" outlineLevel="2">
      <c r="B1507" s="395" t="s">
        <v>444</v>
      </c>
      <c r="C1507" s="395" t="s">
        <v>443</v>
      </c>
      <c r="D1507" s="396" t="str">
        <f t="shared" si="45"/>
        <v>431</v>
      </c>
      <c r="E1507" s="397">
        <v>0</v>
      </c>
      <c r="F1507" s="397">
        <v>0</v>
      </c>
    </row>
    <row r="1508" spans="1:6" outlineLevel="2">
      <c r="B1508" s="395" t="s">
        <v>442</v>
      </c>
      <c r="C1508" s="395" t="s">
        <v>441</v>
      </c>
      <c r="D1508" s="396" t="str">
        <f t="shared" si="45"/>
        <v>419</v>
      </c>
      <c r="E1508" s="397">
        <v>-1128673.55</v>
      </c>
      <c r="F1508" s="397">
        <v>-1127462.43</v>
      </c>
    </row>
    <row r="1509" spans="1:6" outlineLevel="2">
      <c r="B1509" s="395" t="s">
        <v>440</v>
      </c>
      <c r="C1509" s="395" t="s">
        <v>439</v>
      </c>
      <c r="D1509" s="396" t="str">
        <f t="shared" si="45"/>
        <v>431</v>
      </c>
      <c r="E1509" s="397">
        <v>0</v>
      </c>
      <c r="F1509" s="397">
        <v>0</v>
      </c>
    </row>
    <row r="1510" spans="1:6" outlineLevel="2">
      <c r="B1510" s="395" t="s">
        <v>438</v>
      </c>
      <c r="C1510" s="395" t="s">
        <v>437</v>
      </c>
      <c r="D1510" s="396" t="str">
        <f t="shared" si="45"/>
        <v>419</v>
      </c>
      <c r="E1510" s="397">
        <v>-1128673.55</v>
      </c>
      <c r="F1510" s="397">
        <v>-1127462.44</v>
      </c>
    </row>
    <row r="1511" spans="1:6" outlineLevel="2">
      <c r="B1511" s="395" t="s">
        <v>436</v>
      </c>
      <c r="C1511" s="395" t="s">
        <v>435</v>
      </c>
      <c r="D1511" s="396" t="str">
        <f t="shared" si="45"/>
        <v>431</v>
      </c>
      <c r="E1511" s="397">
        <v>0</v>
      </c>
      <c r="F1511" s="397">
        <v>0</v>
      </c>
    </row>
    <row r="1512" spans="1:6" outlineLevel="2">
      <c r="B1512" s="395" t="s">
        <v>434</v>
      </c>
      <c r="C1512" s="395" t="s">
        <v>433</v>
      </c>
      <c r="D1512" s="396" t="str">
        <f t="shared" si="45"/>
        <v>431</v>
      </c>
      <c r="E1512" s="397">
        <v>0</v>
      </c>
      <c r="F1512" s="397">
        <v>0</v>
      </c>
    </row>
    <row r="1513" spans="1:6" outlineLevel="2"/>
    <row r="1514" spans="1:6" outlineLevel="1">
      <c r="E1514" s="397">
        <v>-522491.79000000027</v>
      </c>
      <c r="F1514" s="397">
        <v>988408.14000000106</v>
      </c>
    </row>
    <row r="1515" spans="1:6" outlineLevel="1">
      <c r="E1515" s="397">
        <v>47738616.520000003</v>
      </c>
      <c r="F1515" s="397">
        <v>50872784.890000001</v>
      </c>
    </row>
    <row r="1516" spans="1:6" outlineLevel="1"/>
    <row r="1517" spans="1:6">
      <c r="A1517" s="395" t="s">
        <v>432</v>
      </c>
      <c r="E1517" s="397">
        <v>23157660.369999982</v>
      </c>
      <c r="F1517" s="397">
        <v>28305863.920000121</v>
      </c>
    </row>
    <row r="1520" spans="1:6">
      <c r="A1520" s="395" t="s">
        <v>431</v>
      </c>
      <c r="E1520" s="397">
        <v>323016197.07999998</v>
      </c>
      <c r="F1520" s="397">
        <v>299858536.71000016</v>
      </c>
    </row>
  </sheetData>
  <autoFilter ref="A1:F1512"/>
  <pageMargins left="0.7" right="0.7" top="0.75" bottom="0.75" header="0.3" footer="0.3"/>
  <pageSetup scale="61" orientation="landscape" r:id="rId1"/>
  <headerFooter>
    <oddFooter>&amp;L&amp;"Calibri,Regular"&amp;8&amp;Z&amp;F
Tab:  &amp;A</oddFooter>
  </headerFooter>
  <rowBreaks count="5" manualBreakCount="5">
    <brk id="83" max="16383" man="1"/>
    <brk id="163" max="16383" man="1"/>
    <brk id="333" max="13" man="1"/>
    <brk id="618" max="13" man="1"/>
    <brk id="7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76"/>
  <sheetViews>
    <sheetView zoomScale="80" zoomScaleNormal="80" zoomScaleSheetLayoutView="80" workbookViewId="0">
      <pane ySplit="8" topLeftCell="A33" activePane="bottomLeft" state="frozen"/>
      <selection activeCell="D146" sqref="D146"/>
      <selection pane="bottomLeft" activeCell="D146" sqref="D146"/>
    </sheetView>
  </sheetViews>
  <sheetFormatPr defaultRowHeight="12.75"/>
  <cols>
    <col min="1" max="1" width="5.21875" style="117" customWidth="1"/>
    <col min="2" max="2" width="30.88671875" style="117" customWidth="1"/>
    <col min="3" max="3" width="13" style="117" customWidth="1"/>
    <col min="4" max="4" width="5.21875" style="117" customWidth="1"/>
    <col min="5" max="5" width="30.88671875" style="117" customWidth="1"/>
    <col min="6" max="6" width="13.88671875" style="117" customWidth="1"/>
    <col min="7" max="8" width="9.5546875" style="117" bestFit="1" customWidth="1"/>
    <col min="9" max="9" width="11.6640625" style="117" bestFit="1" customWidth="1"/>
    <col min="10" max="10" width="16.77734375" style="117" bestFit="1" customWidth="1"/>
    <col min="11" max="252" width="8.88671875" style="117"/>
    <col min="253" max="253" width="5.21875" style="117" customWidth="1"/>
    <col min="254" max="254" width="30.88671875" style="117" customWidth="1"/>
    <col min="255" max="255" width="13" style="117" customWidth="1"/>
    <col min="256" max="256" width="5.21875" style="117" customWidth="1"/>
    <col min="257" max="257" width="30.88671875" style="117" customWidth="1"/>
    <col min="258" max="258" width="13" style="117" customWidth="1"/>
    <col min="259" max="508" width="8.88671875" style="117"/>
    <col min="509" max="509" width="5.21875" style="117" customWidth="1"/>
    <col min="510" max="510" width="30.88671875" style="117" customWidth="1"/>
    <col min="511" max="511" width="13" style="117" customWidth="1"/>
    <col min="512" max="512" width="5.21875" style="117" customWidth="1"/>
    <col min="513" max="513" width="30.88671875" style="117" customWidth="1"/>
    <col min="514" max="514" width="13" style="117" customWidth="1"/>
    <col min="515" max="764" width="8.88671875" style="117"/>
    <col min="765" max="765" width="5.21875" style="117" customWidth="1"/>
    <col min="766" max="766" width="30.88671875" style="117" customWidth="1"/>
    <col min="767" max="767" width="13" style="117" customWidth="1"/>
    <col min="768" max="768" width="5.21875" style="117" customWidth="1"/>
    <col min="769" max="769" width="30.88671875" style="117" customWidth="1"/>
    <col min="770" max="770" width="13" style="117" customWidth="1"/>
    <col min="771" max="1020" width="8.88671875" style="117"/>
    <col min="1021" max="1021" width="5.21875" style="117" customWidth="1"/>
    <col min="1022" max="1022" width="30.88671875" style="117" customWidth="1"/>
    <col min="1023" max="1023" width="13" style="117" customWidth="1"/>
    <col min="1024" max="1024" width="5.21875" style="117" customWidth="1"/>
    <col min="1025" max="1025" width="30.88671875" style="117" customWidth="1"/>
    <col min="1026" max="1026" width="13" style="117" customWidth="1"/>
    <col min="1027" max="1276" width="8.88671875" style="117"/>
    <col min="1277" max="1277" width="5.21875" style="117" customWidth="1"/>
    <col min="1278" max="1278" width="30.88671875" style="117" customWidth="1"/>
    <col min="1279" max="1279" width="13" style="117" customWidth="1"/>
    <col min="1280" max="1280" width="5.21875" style="117" customWidth="1"/>
    <col min="1281" max="1281" width="30.88671875" style="117" customWidth="1"/>
    <col min="1282" max="1282" width="13" style="117" customWidth="1"/>
    <col min="1283" max="1532" width="8.88671875" style="117"/>
    <col min="1533" max="1533" width="5.21875" style="117" customWidth="1"/>
    <col min="1534" max="1534" width="30.88671875" style="117" customWidth="1"/>
    <col min="1535" max="1535" width="13" style="117" customWidth="1"/>
    <col min="1536" max="1536" width="5.21875" style="117" customWidth="1"/>
    <col min="1537" max="1537" width="30.88671875" style="117" customWidth="1"/>
    <col min="1538" max="1538" width="13" style="117" customWidth="1"/>
    <col min="1539" max="1788" width="8.88671875" style="117"/>
    <col min="1789" max="1789" width="5.21875" style="117" customWidth="1"/>
    <col min="1790" max="1790" width="30.88671875" style="117" customWidth="1"/>
    <col min="1791" max="1791" width="13" style="117" customWidth="1"/>
    <col min="1792" max="1792" width="5.21875" style="117" customWidth="1"/>
    <col min="1793" max="1793" width="30.88671875" style="117" customWidth="1"/>
    <col min="1794" max="1794" width="13" style="117" customWidth="1"/>
    <col min="1795" max="2044" width="8.88671875" style="117"/>
    <col min="2045" max="2045" width="5.21875" style="117" customWidth="1"/>
    <col min="2046" max="2046" width="30.88671875" style="117" customWidth="1"/>
    <col min="2047" max="2047" width="13" style="117" customWidth="1"/>
    <col min="2048" max="2048" width="5.21875" style="117" customWidth="1"/>
    <col min="2049" max="2049" width="30.88671875" style="117" customWidth="1"/>
    <col min="2050" max="2050" width="13" style="117" customWidth="1"/>
    <col min="2051" max="2300" width="8.88671875" style="117"/>
    <col min="2301" max="2301" width="5.21875" style="117" customWidth="1"/>
    <col min="2302" max="2302" width="30.88671875" style="117" customWidth="1"/>
    <col min="2303" max="2303" width="13" style="117" customWidth="1"/>
    <col min="2304" max="2304" width="5.21875" style="117" customWidth="1"/>
    <col min="2305" max="2305" width="30.88671875" style="117" customWidth="1"/>
    <col min="2306" max="2306" width="13" style="117" customWidth="1"/>
    <col min="2307" max="2556" width="8.88671875" style="117"/>
    <col min="2557" max="2557" width="5.21875" style="117" customWidth="1"/>
    <col min="2558" max="2558" width="30.88671875" style="117" customWidth="1"/>
    <col min="2559" max="2559" width="13" style="117" customWidth="1"/>
    <col min="2560" max="2560" width="5.21875" style="117" customWidth="1"/>
    <col min="2561" max="2561" width="30.88671875" style="117" customWidth="1"/>
    <col min="2562" max="2562" width="13" style="117" customWidth="1"/>
    <col min="2563" max="2812" width="8.88671875" style="117"/>
    <col min="2813" max="2813" width="5.21875" style="117" customWidth="1"/>
    <col min="2814" max="2814" width="30.88671875" style="117" customWidth="1"/>
    <col min="2815" max="2815" width="13" style="117" customWidth="1"/>
    <col min="2816" max="2816" width="5.21875" style="117" customWidth="1"/>
    <col min="2817" max="2817" width="30.88671875" style="117" customWidth="1"/>
    <col min="2818" max="2818" width="13" style="117" customWidth="1"/>
    <col min="2819" max="3068" width="8.88671875" style="117"/>
    <col min="3069" max="3069" width="5.21875" style="117" customWidth="1"/>
    <col min="3070" max="3070" width="30.88671875" style="117" customWidth="1"/>
    <col min="3071" max="3071" width="13" style="117" customWidth="1"/>
    <col min="3072" max="3072" width="5.21875" style="117" customWidth="1"/>
    <col min="3073" max="3073" width="30.88671875" style="117" customWidth="1"/>
    <col min="3074" max="3074" width="13" style="117" customWidth="1"/>
    <col min="3075" max="3324" width="8.88671875" style="117"/>
    <col min="3325" max="3325" width="5.21875" style="117" customWidth="1"/>
    <col min="3326" max="3326" width="30.88671875" style="117" customWidth="1"/>
    <col min="3327" max="3327" width="13" style="117" customWidth="1"/>
    <col min="3328" max="3328" width="5.21875" style="117" customWidth="1"/>
    <col min="3329" max="3329" width="30.88671875" style="117" customWidth="1"/>
    <col min="3330" max="3330" width="13" style="117" customWidth="1"/>
    <col min="3331" max="3580" width="8.88671875" style="117"/>
    <col min="3581" max="3581" width="5.21875" style="117" customWidth="1"/>
    <col min="3582" max="3582" width="30.88671875" style="117" customWidth="1"/>
    <col min="3583" max="3583" width="13" style="117" customWidth="1"/>
    <col min="3584" max="3584" width="5.21875" style="117" customWidth="1"/>
    <col min="3585" max="3585" width="30.88671875" style="117" customWidth="1"/>
    <col min="3586" max="3586" width="13" style="117" customWidth="1"/>
    <col min="3587" max="3836" width="8.88671875" style="117"/>
    <col min="3837" max="3837" width="5.21875" style="117" customWidth="1"/>
    <col min="3838" max="3838" width="30.88671875" style="117" customWidth="1"/>
    <col min="3839" max="3839" width="13" style="117" customWidth="1"/>
    <col min="3840" max="3840" width="5.21875" style="117" customWidth="1"/>
    <col min="3841" max="3841" width="30.88671875" style="117" customWidth="1"/>
    <col min="3842" max="3842" width="13" style="117" customWidth="1"/>
    <col min="3843" max="4092" width="8.88671875" style="117"/>
    <col min="4093" max="4093" width="5.21875" style="117" customWidth="1"/>
    <col min="4094" max="4094" width="30.88671875" style="117" customWidth="1"/>
    <col min="4095" max="4095" width="13" style="117" customWidth="1"/>
    <col min="4096" max="4096" width="5.21875" style="117" customWidth="1"/>
    <col min="4097" max="4097" width="30.88671875" style="117" customWidth="1"/>
    <col min="4098" max="4098" width="13" style="117" customWidth="1"/>
    <col min="4099" max="4348" width="8.88671875" style="117"/>
    <col min="4349" max="4349" width="5.21875" style="117" customWidth="1"/>
    <col min="4350" max="4350" width="30.88671875" style="117" customWidth="1"/>
    <col min="4351" max="4351" width="13" style="117" customWidth="1"/>
    <col min="4352" max="4352" width="5.21875" style="117" customWidth="1"/>
    <col min="4353" max="4353" width="30.88671875" style="117" customWidth="1"/>
    <col min="4354" max="4354" width="13" style="117" customWidth="1"/>
    <col min="4355" max="4604" width="8.88671875" style="117"/>
    <col min="4605" max="4605" width="5.21875" style="117" customWidth="1"/>
    <col min="4606" max="4606" width="30.88671875" style="117" customWidth="1"/>
    <col min="4607" max="4607" width="13" style="117" customWidth="1"/>
    <col min="4608" max="4608" width="5.21875" style="117" customWidth="1"/>
    <col min="4609" max="4609" width="30.88671875" style="117" customWidth="1"/>
    <col min="4610" max="4610" width="13" style="117" customWidth="1"/>
    <col min="4611" max="4860" width="8.88671875" style="117"/>
    <col min="4861" max="4861" width="5.21875" style="117" customWidth="1"/>
    <col min="4862" max="4862" width="30.88671875" style="117" customWidth="1"/>
    <col min="4863" max="4863" width="13" style="117" customWidth="1"/>
    <col min="4864" max="4864" width="5.21875" style="117" customWidth="1"/>
    <col min="4865" max="4865" width="30.88671875" style="117" customWidth="1"/>
    <col min="4866" max="4866" width="13" style="117" customWidth="1"/>
    <col min="4867" max="5116" width="8.88671875" style="117"/>
    <col min="5117" max="5117" width="5.21875" style="117" customWidth="1"/>
    <col min="5118" max="5118" width="30.88671875" style="117" customWidth="1"/>
    <col min="5119" max="5119" width="13" style="117" customWidth="1"/>
    <col min="5120" max="5120" width="5.21875" style="117" customWidth="1"/>
    <col min="5121" max="5121" width="30.88671875" style="117" customWidth="1"/>
    <col min="5122" max="5122" width="13" style="117" customWidth="1"/>
    <col min="5123" max="5372" width="8.88671875" style="117"/>
    <col min="5373" max="5373" width="5.21875" style="117" customWidth="1"/>
    <col min="5374" max="5374" width="30.88671875" style="117" customWidth="1"/>
    <col min="5375" max="5375" width="13" style="117" customWidth="1"/>
    <col min="5376" max="5376" width="5.21875" style="117" customWidth="1"/>
    <col min="5377" max="5377" width="30.88671875" style="117" customWidth="1"/>
    <col min="5378" max="5378" width="13" style="117" customWidth="1"/>
    <col min="5379" max="5628" width="8.88671875" style="117"/>
    <col min="5629" max="5629" width="5.21875" style="117" customWidth="1"/>
    <col min="5630" max="5630" width="30.88671875" style="117" customWidth="1"/>
    <col min="5631" max="5631" width="13" style="117" customWidth="1"/>
    <col min="5632" max="5632" width="5.21875" style="117" customWidth="1"/>
    <col min="5633" max="5633" width="30.88671875" style="117" customWidth="1"/>
    <col min="5634" max="5634" width="13" style="117" customWidth="1"/>
    <col min="5635" max="5884" width="8.88671875" style="117"/>
    <col min="5885" max="5885" width="5.21875" style="117" customWidth="1"/>
    <col min="5886" max="5886" width="30.88671875" style="117" customWidth="1"/>
    <col min="5887" max="5887" width="13" style="117" customWidth="1"/>
    <col min="5888" max="5888" width="5.21875" style="117" customWidth="1"/>
    <col min="5889" max="5889" width="30.88671875" style="117" customWidth="1"/>
    <col min="5890" max="5890" width="13" style="117" customWidth="1"/>
    <col min="5891" max="6140" width="8.88671875" style="117"/>
    <col min="6141" max="6141" width="5.21875" style="117" customWidth="1"/>
    <col min="6142" max="6142" width="30.88671875" style="117" customWidth="1"/>
    <col min="6143" max="6143" width="13" style="117" customWidth="1"/>
    <col min="6144" max="6144" width="5.21875" style="117" customWidth="1"/>
    <col min="6145" max="6145" width="30.88671875" style="117" customWidth="1"/>
    <col min="6146" max="6146" width="13" style="117" customWidth="1"/>
    <col min="6147" max="6396" width="8.88671875" style="117"/>
    <col min="6397" max="6397" width="5.21875" style="117" customWidth="1"/>
    <col min="6398" max="6398" width="30.88671875" style="117" customWidth="1"/>
    <col min="6399" max="6399" width="13" style="117" customWidth="1"/>
    <col min="6400" max="6400" width="5.21875" style="117" customWidth="1"/>
    <col min="6401" max="6401" width="30.88671875" style="117" customWidth="1"/>
    <col min="6402" max="6402" width="13" style="117" customWidth="1"/>
    <col min="6403" max="6652" width="8.88671875" style="117"/>
    <col min="6653" max="6653" width="5.21875" style="117" customWidth="1"/>
    <col min="6654" max="6654" width="30.88671875" style="117" customWidth="1"/>
    <col min="6655" max="6655" width="13" style="117" customWidth="1"/>
    <col min="6656" max="6656" width="5.21875" style="117" customWidth="1"/>
    <col min="6657" max="6657" width="30.88671875" style="117" customWidth="1"/>
    <col min="6658" max="6658" width="13" style="117" customWidth="1"/>
    <col min="6659" max="6908" width="8.88671875" style="117"/>
    <col min="6909" max="6909" width="5.21875" style="117" customWidth="1"/>
    <col min="6910" max="6910" width="30.88671875" style="117" customWidth="1"/>
    <col min="6911" max="6911" width="13" style="117" customWidth="1"/>
    <col min="6912" max="6912" width="5.21875" style="117" customWidth="1"/>
    <col min="6913" max="6913" width="30.88671875" style="117" customWidth="1"/>
    <col min="6914" max="6914" width="13" style="117" customWidth="1"/>
    <col min="6915" max="7164" width="8.88671875" style="117"/>
    <col min="7165" max="7165" width="5.21875" style="117" customWidth="1"/>
    <col min="7166" max="7166" width="30.88671875" style="117" customWidth="1"/>
    <col min="7167" max="7167" width="13" style="117" customWidth="1"/>
    <col min="7168" max="7168" width="5.21875" style="117" customWidth="1"/>
    <col min="7169" max="7169" width="30.88671875" style="117" customWidth="1"/>
    <col min="7170" max="7170" width="13" style="117" customWidth="1"/>
    <col min="7171" max="7420" width="8.88671875" style="117"/>
    <col min="7421" max="7421" width="5.21875" style="117" customWidth="1"/>
    <col min="7422" max="7422" width="30.88671875" style="117" customWidth="1"/>
    <col min="7423" max="7423" width="13" style="117" customWidth="1"/>
    <col min="7424" max="7424" width="5.21875" style="117" customWidth="1"/>
    <col min="7425" max="7425" width="30.88671875" style="117" customWidth="1"/>
    <col min="7426" max="7426" width="13" style="117" customWidth="1"/>
    <col min="7427" max="7676" width="8.88671875" style="117"/>
    <col min="7677" max="7677" width="5.21875" style="117" customWidth="1"/>
    <col min="7678" max="7678" width="30.88671875" style="117" customWidth="1"/>
    <col min="7679" max="7679" width="13" style="117" customWidth="1"/>
    <col min="7680" max="7680" width="5.21875" style="117" customWidth="1"/>
    <col min="7681" max="7681" width="30.88671875" style="117" customWidth="1"/>
    <col min="7682" max="7682" width="13" style="117" customWidth="1"/>
    <col min="7683" max="7932" width="8.88671875" style="117"/>
    <col min="7933" max="7933" width="5.21875" style="117" customWidth="1"/>
    <col min="7934" max="7934" width="30.88671875" style="117" customWidth="1"/>
    <col min="7935" max="7935" width="13" style="117" customWidth="1"/>
    <col min="7936" max="7936" width="5.21875" style="117" customWidth="1"/>
    <col min="7937" max="7937" width="30.88671875" style="117" customWidth="1"/>
    <col min="7938" max="7938" width="13" style="117" customWidth="1"/>
    <col min="7939" max="8188" width="8.88671875" style="117"/>
    <col min="8189" max="8189" width="5.21875" style="117" customWidth="1"/>
    <col min="8190" max="8190" width="30.88671875" style="117" customWidth="1"/>
    <col min="8191" max="8191" width="13" style="117" customWidth="1"/>
    <col min="8192" max="8192" width="5.21875" style="117" customWidth="1"/>
    <col min="8193" max="8193" width="30.88671875" style="117" customWidth="1"/>
    <col min="8194" max="8194" width="13" style="117" customWidth="1"/>
    <col min="8195" max="8444" width="8.88671875" style="117"/>
    <col min="8445" max="8445" width="5.21875" style="117" customWidth="1"/>
    <col min="8446" max="8446" width="30.88671875" style="117" customWidth="1"/>
    <col min="8447" max="8447" width="13" style="117" customWidth="1"/>
    <col min="8448" max="8448" width="5.21875" style="117" customWidth="1"/>
    <col min="8449" max="8449" width="30.88671875" style="117" customWidth="1"/>
    <col min="8450" max="8450" width="13" style="117" customWidth="1"/>
    <col min="8451" max="8700" width="8.88671875" style="117"/>
    <col min="8701" max="8701" width="5.21875" style="117" customWidth="1"/>
    <col min="8702" max="8702" width="30.88671875" style="117" customWidth="1"/>
    <col min="8703" max="8703" width="13" style="117" customWidth="1"/>
    <col min="8704" max="8704" width="5.21875" style="117" customWidth="1"/>
    <col min="8705" max="8705" width="30.88671875" style="117" customWidth="1"/>
    <col min="8706" max="8706" width="13" style="117" customWidth="1"/>
    <col min="8707" max="8956" width="8.88671875" style="117"/>
    <col min="8957" max="8957" width="5.21875" style="117" customWidth="1"/>
    <col min="8958" max="8958" width="30.88671875" style="117" customWidth="1"/>
    <col min="8959" max="8959" width="13" style="117" customWidth="1"/>
    <col min="8960" max="8960" width="5.21875" style="117" customWidth="1"/>
    <col min="8961" max="8961" width="30.88671875" style="117" customWidth="1"/>
    <col min="8962" max="8962" width="13" style="117" customWidth="1"/>
    <col min="8963" max="9212" width="8.88671875" style="117"/>
    <col min="9213" max="9213" width="5.21875" style="117" customWidth="1"/>
    <col min="9214" max="9214" width="30.88671875" style="117" customWidth="1"/>
    <col min="9215" max="9215" width="13" style="117" customWidth="1"/>
    <col min="9216" max="9216" width="5.21875" style="117" customWidth="1"/>
    <col min="9217" max="9217" width="30.88671875" style="117" customWidth="1"/>
    <col min="9218" max="9218" width="13" style="117" customWidth="1"/>
    <col min="9219" max="9468" width="8.88671875" style="117"/>
    <col min="9469" max="9469" width="5.21875" style="117" customWidth="1"/>
    <col min="9470" max="9470" width="30.88671875" style="117" customWidth="1"/>
    <col min="9471" max="9471" width="13" style="117" customWidth="1"/>
    <col min="9472" max="9472" width="5.21875" style="117" customWidth="1"/>
    <col min="9473" max="9473" width="30.88671875" style="117" customWidth="1"/>
    <col min="9474" max="9474" width="13" style="117" customWidth="1"/>
    <col min="9475" max="9724" width="8.88671875" style="117"/>
    <col min="9725" max="9725" width="5.21875" style="117" customWidth="1"/>
    <col min="9726" max="9726" width="30.88671875" style="117" customWidth="1"/>
    <col min="9727" max="9727" width="13" style="117" customWidth="1"/>
    <col min="9728" max="9728" width="5.21875" style="117" customWidth="1"/>
    <col min="9729" max="9729" width="30.88671875" style="117" customWidth="1"/>
    <col min="9730" max="9730" width="13" style="117" customWidth="1"/>
    <col min="9731" max="9980" width="8.88671875" style="117"/>
    <col min="9981" max="9981" width="5.21875" style="117" customWidth="1"/>
    <col min="9982" max="9982" width="30.88671875" style="117" customWidth="1"/>
    <col min="9983" max="9983" width="13" style="117" customWidth="1"/>
    <col min="9984" max="9984" width="5.21875" style="117" customWidth="1"/>
    <col min="9985" max="9985" width="30.88671875" style="117" customWidth="1"/>
    <col min="9986" max="9986" width="13" style="117" customWidth="1"/>
    <col min="9987" max="10236" width="8.88671875" style="117"/>
    <col min="10237" max="10237" width="5.21875" style="117" customWidth="1"/>
    <col min="10238" max="10238" width="30.88671875" style="117" customWidth="1"/>
    <col min="10239" max="10239" width="13" style="117" customWidth="1"/>
    <col min="10240" max="10240" width="5.21875" style="117" customWidth="1"/>
    <col min="10241" max="10241" width="30.88671875" style="117" customWidth="1"/>
    <col min="10242" max="10242" width="13" style="117" customWidth="1"/>
    <col min="10243" max="10492" width="8.88671875" style="117"/>
    <col min="10493" max="10493" width="5.21875" style="117" customWidth="1"/>
    <col min="10494" max="10494" width="30.88671875" style="117" customWidth="1"/>
    <col min="10495" max="10495" width="13" style="117" customWidth="1"/>
    <col min="10496" max="10496" width="5.21875" style="117" customWidth="1"/>
    <col min="10497" max="10497" width="30.88671875" style="117" customWidth="1"/>
    <col min="10498" max="10498" width="13" style="117" customWidth="1"/>
    <col min="10499" max="10748" width="8.88671875" style="117"/>
    <col min="10749" max="10749" width="5.21875" style="117" customWidth="1"/>
    <col min="10750" max="10750" width="30.88671875" style="117" customWidth="1"/>
    <col min="10751" max="10751" width="13" style="117" customWidth="1"/>
    <col min="10752" max="10752" width="5.21875" style="117" customWidth="1"/>
    <col min="10753" max="10753" width="30.88671875" style="117" customWidth="1"/>
    <col min="10754" max="10754" width="13" style="117" customWidth="1"/>
    <col min="10755" max="11004" width="8.88671875" style="117"/>
    <col min="11005" max="11005" width="5.21875" style="117" customWidth="1"/>
    <col min="11006" max="11006" width="30.88671875" style="117" customWidth="1"/>
    <col min="11007" max="11007" width="13" style="117" customWidth="1"/>
    <col min="11008" max="11008" width="5.21875" style="117" customWidth="1"/>
    <col min="11009" max="11009" width="30.88671875" style="117" customWidth="1"/>
    <col min="11010" max="11010" width="13" style="117" customWidth="1"/>
    <col min="11011" max="11260" width="8.88671875" style="117"/>
    <col min="11261" max="11261" width="5.21875" style="117" customWidth="1"/>
    <col min="11262" max="11262" width="30.88671875" style="117" customWidth="1"/>
    <col min="11263" max="11263" width="13" style="117" customWidth="1"/>
    <col min="11264" max="11264" width="5.21875" style="117" customWidth="1"/>
    <col min="11265" max="11265" width="30.88671875" style="117" customWidth="1"/>
    <col min="11266" max="11266" width="13" style="117" customWidth="1"/>
    <col min="11267" max="11516" width="8.88671875" style="117"/>
    <col min="11517" max="11517" width="5.21875" style="117" customWidth="1"/>
    <col min="11518" max="11518" width="30.88671875" style="117" customWidth="1"/>
    <col min="11519" max="11519" width="13" style="117" customWidth="1"/>
    <col min="11520" max="11520" width="5.21875" style="117" customWidth="1"/>
    <col min="11521" max="11521" width="30.88671875" style="117" customWidth="1"/>
    <col min="11522" max="11522" width="13" style="117" customWidth="1"/>
    <col min="11523" max="11772" width="8.88671875" style="117"/>
    <col min="11773" max="11773" width="5.21875" style="117" customWidth="1"/>
    <col min="11774" max="11774" width="30.88671875" style="117" customWidth="1"/>
    <col min="11775" max="11775" width="13" style="117" customWidth="1"/>
    <col min="11776" max="11776" width="5.21875" style="117" customWidth="1"/>
    <col min="11777" max="11777" width="30.88671875" style="117" customWidth="1"/>
    <col min="11778" max="11778" width="13" style="117" customWidth="1"/>
    <col min="11779" max="12028" width="8.88671875" style="117"/>
    <col min="12029" max="12029" width="5.21875" style="117" customWidth="1"/>
    <col min="12030" max="12030" width="30.88671875" style="117" customWidth="1"/>
    <col min="12031" max="12031" width="13" style="117" customWidth="1"/>
    <col min="12032" max="12032" width="5.21875" style="117" customWidth="1"/>
    <col min="12033" max="12033" width="30.88671875" style="117" customWidth="1"/>
    <col min="12034" max="12034" width="13" style="117" customWidth="1"/>
    <col min="12035" max="12284" width="8.88671875" style="117"/>
    <col min="12285" max="12285" width="5.21875" style="117" customWidth="1"/>
    <col min="12286" max="12286" width="30.88671875" style="117" customWidth="1"/>
    <col min="12287" max="12287" width="13" style="117" customWidth="1"/>
    <col min="12288" max="12288" width="5.21875" style="117" customWidth="1"/>
    <col min="12289" max="12289" width="30.88671875" style="117" customWidth="1"/>
    <col min="12290" max="12290" width="13" style="117" customWidth="1"/>
    <col min="12291" max="12540" width="8.88671875" style="117"/>
    <col min="12541" max="12541" width="5.21875" style="117" customWidth="1"/>
    <col min="12542" max="12542" width="30.88671875" style="117" customWidth="1"/>
    <col min="12543" max="12543" width="13" style="117" customWidth="1"/>
    <col min="12544" max="12544" width="5.21875" style="117" customWidth="1"/>
    <col min="12545" max="12545" width="30.88671875" style="117" customWidth="1"/>
    <col min="12546" max="12546" width="13" style="117" customWidth="1"/>
    <col min="12547" max="12796" width="8.88671875" style="117"/>
    <col min="12797" max="12797" width="5.21875" style="117" customWidth="1"/>
    <col min="12798" max="12798" width="30.88671875" style="117" customWidth="1"/>
    <col min="12799" max="12799" width="13" style="117" customWidth="1"/>
    <col min="12800" max="12800" width="5.21875" style="117" customWidth="1"/>
    <col min="12801" max="12801" width="30.88671875" style="117" customWidth="1"/>
    <col min="12802" max="12802" width="13" style="117" customWidth="1"/>
    <col min="12803" max="13052" width="8.88671875" style="117"/>
    <col min="13053" max="13053" width="5.21875" style="117" customWidth="1"/>
    <col min="13054" max="13054" width="30.88671875" style="117" customWidth="1"/>
    <col min="13055" max="13055" width="13" style="117" customWidth="1"/>
    <col min="13056" max="13056" width="5.21875" style="117" customWidth="1"/>
    <col min="13057" max="13057" width="30.88671875" style="117" customWidth="1"/>
    <col min="13058" max="13058" width="13" style="117" customWidth="1"/>
    <col min="13059" max="13308" width="8.88671875" style="117"/>
    <col min="13309" max="13309" width="5.21875" style="117" customWidth="1"/>
    <col min="13310" max="13310" width="30.88671875" style="117" customWidth="1"/>
    <col min="13311" max="13311" width="13" style="117" customWidth="1"/>
    <col min="13312" max="13312" width="5.21875" style="117" customWidth="1"/>
    <col min="13313" max="13313" width="30.88671875" style="117" customWidth="1"/>
    <col min="13314" max="13314" width="13" style="117" customWidth="1"/>
    <col min="13315" max="13564" width="8.88671875" style="117"/>
    <col min="13565" max="13565" width="5.21875" style="117" customWidth="1"/>
    <col min="13566" max="13566" width="30.88671875" style="117" customWidth="1"/>
    <col min="13567" max="13567" width="13" style="117" customWidth="1"/>
    <col min="13568" max="13568" width="5.21875" style="117" customWidth="1"/>
    <col min="13569" max="13569" width="30.88671875" style="117" customWidth="1"/>
    <col min="13570" max="13570" width="13" style="117" customWidth="1"/>
    <col min="13571" max="13820" width="8.88671875" style="117"/>
    <col min="13821" max="13821" width="5.21875" style="117" customWidth="1"/>
    <col min="13822" max="13822" width="30.88671875" style="117" customWidth="1"/>
    <col min="13823" max="13823" width="13" style="117" customWidth="1"/>
    <col min="13824" max="13824" width="5.21875" style="117" customWidth="1"/>
    <col min="13825" max="13825" width="30.88671875" style="117" customWidth="1"/>
    <col min="13826" max="13826" width="13" style="117" customWidth="1"/>
    <col min="13827" max="14076" width="8.88671875" style="117"/>
    <col min="14077" max="14077" width="5.21875" style="117" customWidth="1"/>
    <col min="14078" max="14078" width="30.88671875" style="117" customWidth="1"/>
    <col min="14079" max="14079" width="13" style="117" customWidth="1"/>
    <col min="14080" max="14080" width="5.21875" style="117" customWidth="1"/>
    <col min="14081" max="14081" width="30.88671875" style="117" customWidth="1"/>
    <col min="14082" max="14082" width="13" style="117" customWidth="1"/>
    <col min="14083" max="14332" width="8.88671875" style="117"/>
    <col min="14333" max="14333" width="5.21875" style="117" customWidth="1"/>
    <col min="14334" max="14334" width="30.88671875" style="117" customWidth="1"/>
    <col min="14335" max="14335" width="13" style="117" customWidth="1"/>
    <col min="14336" max="14336" width="5.21875" style="117" customWidth="1"/>
    <col min="14337" max="14337" width="30.88671875" style="117" customWidth="1"/>
    <col min="14338" max="14338" width="13" style="117" customWidth="1"/>
    <col min="14339" max="14588" width="8.88671875" style="117"/>
    <col min="14589" max="14589" width="5.21875" style="117" customWidth="1"/>
    <col min="14590" max="14590" width="30.88671875" style="117" customWidth="1"/>
    <col min="14591" max="14591" width="13" style="117" customWidth="1"/>
    <col min="14592" max="14592" width="5.21875" style="117" customWidth="1"/>
    <col min="14593" max="14593" width="30.88671875" style="117" customWidth="1"/>
    <col min="14594" max="14594" width="13" style="117" customWidth="1"/>
    <col min="14595" max="14844" width="8.88671875" style="117"/>
    <col min="14845" max="14845" width="5.21875" style="117" customWidth="1"/>
    <col min="14846" max="14846" width="30.88671875" style="117" customWidth="1"/>
    <col min="14847" max="14847" width="13" style="117" customWidth="1"/>
    <col min="14848" max="14848" width="5.21875" style="117" customWidth="1"/>
    <col min="14849" max="14849" width="30.88671875" style="117" customWidth="1"/>
    <col min="14850" max="14850" width="13" style="117" customWidth="1"/>
    <col min="14851" max="15100" width="8.88671875" style="117"/>
    <col min="15101" max="15101" width="5.21875" style="117" customWidth="1"/>
    <col min="15102" max="15102" width="30.88671875" style="117" customWidth="1"/>
    <col min="15103" max="15103" width="13" style="117" customWidth="1"/>
    <col min="15104" max="15104" width="5.21875" style="117" customWidth="1"/>
    <col min="15105" max="15105" width="30.88671875" style="117" customWidth="1"/>
    <col min="15106" max="15106" width="13" style="117" customWidth="1"/>
    <col min="15107" max="15356" width="8.88671875" style="117"/>
    <col min="15357" max="15357" width="5.21875" style="117" customWidth="1"/>
    <col min="15358" max="15358" width="30.88671875" style="117" customWidth="1"/>
    <col min="15359" max="15359" width="13" style="117" customWidth="1"/>
    <col min="15360" max="15360" width="5.21875" style="117" customWidth="1"/>
    <col min="15361" max="15361" width="30.88671875" style="117" customWidth="1"/>
    <col min="15362" max="15362" width="13" style="117" customWidth="1"/>
    <col min="15363" max="15612" width="8.88671875" style="117"/>
    <col min="15613" max="15613" width="5.21875" style="117" customWidth="1"/>
    <col min="15614" max="15614" width="30.88671875" style="117" customWidth="1"/>
    <col min="15615" max="15615" width="13" style="117" customWidth="1"/>
    <col min="15616" max="15616" width="5.21875" style="117" customWidth="1"/>
    <col min="15617" max="15617" width="30.88671875" style="117" customWidth="1"/>
    <col min="15618" max="15618" width="13" style="117" customWidth="1"/>
    <col min="15619" max="15868" width="8.88671875" style="117"/>
    <col min="15869" max="15869" width="5.21875" style="117" customWidth="1"/>
    <col min="15870" max="15870" width="30.88671875" style="117" customWidth="1"/>
    <col min="15871" max="15871" width="13" style="117" customWidth="1"/>
    <col min="15872" max="15872" width="5.21875" style="117" customWidth="1"/>
    <col min="15873" max="15873" width="30.88671875" style="117" customWidth="1"/>
    <col min="15874" max="15874" width="13" style="117" customWidth="1"/>
    <col min="15875" max="16124" width="8.88671875" style="117"/>
    <col min="16125" max="16125" width="5.21875" style="117" customWidth="1"/>
    <col min="16126" max="16126" width="30.88671875" style="117" customWidth="1"/>
    <col min="16127" max="16127" width="13" style="117" customWidth="1"/>
    <col min="16128" max="16128" width="5.21875" style="117" customWidth="1"/>
    <col min="16129" max="16129" width="30.88671875" style="117" customWidth="1"/>
    <col min="16130" max="16130" width="13" style="117" customWidth="1"/>
    <col min="16131" max="16384" width="8.88671875" style="117"/>
  </cols>
  <sheetData>
    <row r="1" spans="1:6" ht="15.75">
      <c r="A1" s="509" t="s">
        <v>430</v>
      </c>
      <c r="B1" s="509"/>
      <c r="C1" s="509"/>
      <c r="D1" s="509"/>
      <c r="E1" s="509"/>
      <c r="F1" s="509"/>
    </row>
    <row r="2" spans="1:6" ht="15">
      <c r="A2" s="510" t="s">
        <v>249</v>
      </c>
      <c r="B2" s="510"/>
      <c r="C2" s="510"/>
      <c r="D2" s="510"/>
      <c r="E2" s="510"/>
      <c r="F2" s="510"/>
    </row>
    <row r="3" spans="1:6" ht="15">
      <c r="A3" s="510" t="s">
        <v>250</v>
      </c>
      <c r="B3" s="510"/>
      <c r="C3" s="510"/>
      <c r="D3" s="510"/>
      <c r="E3" s="510"/>
      <c r="F3" s="510"/>
    </row>
    <row r="4" spans="1:6" ht="15.75">
      <c r="A4" s="511">
        <v>43100</v>
      </c>
      <c r="B4" s="511"/>
      <c r="C4" s="511"/>
      <c r="D4" s="511"/>
      <c r="E4" s="511"/>
      <c r="F4" s="511"/>
    </row>
    <row r="6" spans="1:6" ht="15">
      <c r="A6" s="512" t="s">
        <v>251</v>
      </c>
      <c r="B6" s="512"/>
      <c r="C6" s="512"/>
      <c r="D6" s="512"/>
      <c r="E6" s="512"/>
      <c r="F6" s="512"/>
    </row>
    <row r="7" spans="1:6">
      <c r="A7" s="118" t="s">
        <v>4</v>
      </c>
      <c r="B7" s="119"/>
      <c r="C7" s="120" t="s">
        <v>252</v>
      </c>
      <c r="D7" s="120" t="s">
        <v>4</v>
      </c>
      <c r="E7" s="119"/>
      <c r="F7" s="120" t="s">
        <v>252</v>
      </c>
    </row>
    <row r="8" spans="1:6">
      <c r="A8" s="121" t="s">
        <v>6</v>
      </c>
      <c r="B8" s="122" t="s">
        <v>253</v>
      </c>
      <c r="C8" s="122" t="s">
        <v>254</v>
      </c>
      <c r="D8" s="122" t="s">
        <v>255</v>
      </c>
      <c r="E8" s="122" t="s">
        <v>256</v>
      </c>
      <c r="F8" s="122" t="s">
        <v>254</v>
      </c>
    </row>
    <row r="9" spans="1:6" ht="15">
      <c r="A9" s="123"/>
      <c r="B9" s="124" t="s">
        <v>257</v>
      </c>
      <c r="C9" s="125"/>
      <c r="D9" s="118"/>
      <c r="E9" s="124" t="s">
        <v>258</v>
      </c>
      <c r="F9" s="125"/>
    </row>
    <row r="10" spans="1:6" ht="15">
      <c r="A10" s="123">
        <v>1</v>
      </c>
      <c r="B10" s="126" t="s">
        <v>259</v>
      </c>
      <c r="C10" s="127"/>
      <c r="D10" s="123"/>
      <c r="E10" s="126"/>
      <c r="F10" s="127"/>
    </row>
    <row r="11" spans="1:6">
      <c r="A11" s="121"/>
      <c r="B11" s="128" t="s">
        <v>260</v>
      </c>
      <c r="C11" s="129">
        <f>'Trial Balance'!E83</f>
        <v>1653227947.1099999</v>
      </c>
      <c r="D11" s="121">
        <v>29</v>
      </c>
      <c r="E11" s="130" t="s">
        <v>261</v>
      </c>
      <c r="F11" s="257">
        <f>SUMIF('Trial Balance'!$C:$C,"****-***-****-**-208",'Trial Balance'!$E:$E)</f>
        <v>0</v>
      </c>
    </row>
    <row r="12" spans="1:6">
      <c r="A12" s="131">
        <v>2</v>
      </c>
      <c r="B12" s="132" t="s">
        <v>262</v>
      </c>
      <c r="C12" s="242">
        <f>SUMIF('Trial Balance'!$C:$C,"****-***-****-**-107",'Trial Balance'!$E:$E)</f>
        <v>62136249.229999982</v>
      </c>
      <c r="D12" s="131">
        <v>30</v>
      </c>
      <c r="E12" s="133" t="s">
        <v>263</v>
      </c>
      <c r="F12" s="399">
        <f>SUMIF('Trial Balance'!$C:$C,"****-***-****-**-211",'Trial Balance'!$E:$E)+SUMIF('Trial Balance'!$C:$C,"****-***-****-**-219",'Trial Balance'!$E:$E)</f>
        <v>0</v>
      </c>
    </row>
    <row r="13" spans="1:6" ht="15">
      <c r="A13" s="123">
        <v>3</v>
      </c>
      <c r="B13" s="126" t="s">
        <v>264</v>
      </c>
      <c r="C13" s="127"/>
      <c r="D13" s="123"/>
      <c r="E13" s="126"/>
      <c r="F13" s="127"/>
    </row>
    <row r="14" spans="1:6" ht="15">
      <c r="A14" s="123"/>
      <c r="B14" s="134" t="s">
        <v>265</v>
      </c>
      <c r="C14" s="127"/>
      <c r="D14" s="123">
        <v>31</v>
      </c>
      <c r="E14" s="126" t="s">
        <v>266</v>
      </c>
      <c r="F14" s="127"/>
    </row>
    <row r="15" spans="1:6" ht="13.5" thickBot="1">
      <c r="A15" s="121"/>
      <c r="B15" s="128" t="s">
        <v>267</v>
      </c>
      <c r="C15" s="243">
        <f>-'Trial Balance'!E162</f>
        <v>484130063.15000004</v>
      </c>
      <c r="D15" s="121"/>
      <c r="E15" s="128" t="s">
        <v>268</v>
      </c>
      <c r="F15" s="243">
        <f>'Trial Balance'!I431</f>
        <v>323016197.08000004</v>
      </c>
    </row>
    <row r="16" spans="1:6" ht="13.5" thickBot="1">
      <c r="A16" s="131">
        <v>4</v>
      </c>
      <c r="B16" s="135" t="s">
        <v>269</v>
      </c>
      <c r="C16" s="136">
        <f>+C11+C12-C15</f>
        <v>1231234133.1899998</v>
      </c>
      <c r="D16" s="137">
        <v>32</v>
      </c>
      <c r="E16" s="138" t="s">
        <v>270</v>
      </c>
      <c r="F16" s="136">
        <f>+F15+F11+F12</f>
        <v>323016197.08000004</v>
      </c>
    </row>
    <row r="17" spans="1:6" ht="15">
      <c r="A17" s="139">
        <v>5</v>
      </c>
      <c r="B17" s="140" t="s">
        <v>271</v>
      </c>
      <c r="C17" s="245">
        <v>0</v>
      </c>
      <c r="D17" s="123"/>
      <c r="E17" s="141" t="s">
        <v>272</v>
      </c>
      <c r="F17" s="127"/>
    </row>
    <row r="18" spans="1:6" ht="15">
      <c r="A18" s="142">
        <v>6</v>
      </c>
      <c r="B18" s="143" t="s">
        <v>264</v>
      </c>
      <c r="C18" s="127"/>
      <c r="D18" s="120"/>
      <c r="E18" s="126"/>
      <c r="F18" s="127"/>
    </row>
    <row r="19" spans="1:6" ht="15">
      <c r="A19" s="123"/>
      <c r="B19" s="134" t="s">
        <v>273</v>
      </c>
      <c r="C19" s="127"/>
      <c r="D19" s="123"/>
      <c r="E19" s="126"/>
      <c r="F19" s="127"/>
    </row>
    <row r="20" spans="1:6">
      <c r="A20" s="123"/>
      <c r="B20" s="134" t="s">
        <v>274</v>
      </c>
      <c r="C20" s="246">
        <v>0</v>
      </c>
      <c r="D20" s="121">
        <v>33</v>
      </c>
      <c r="E20" s="130" t="s">
        <v>275</v>
      </c>
      <c r="F20" s="258">
        <f>SUMIF('Trial Balance'!$C:$C,"****-***-****-**-221",'Trial Balance'!$E:$E)+SUMIF('Trial Balance'!$C:$C,"****-***-****-**-222",'Trial Balance'!$E:$E)</f>
        <v>1249485000</v>
      </c>
    </row>
    <row r="21" spans="1:6" ht="15.75" thickBot="1">
      <c r="A21" s="144">
        <v>7</v>
      </c>
      <c r="B21" s="145" t="s">
        <v>276</v>
      </c>
      <c r="C21" s="146"/>
      <c r="D21" s="120">
        <v>34</v>
      </c>
      <c r="E21" s="140" t="s">
        <v>277</v>
      </c>
      <c r="F21" s="127"/>
    </row>
    <row r="22" spans="1:6" ht="13.5" thickBot="1">
      <c r="A22" s="121"/>
      <c r="B22" s="147" t="s">
        <v>278</v>
      </c>
      <c r="C22" s="136">
        <f>+C16+C17-C20</f>
        <v>1231234133.1899998</v>
      </c>
      <c r="D22" s="122"/>
      <c r="E22" s="128" t="s">
        <v>279</v>
      </c>
      <c r="F22" s="264">
        <f>SUMIF('Trial Balance'!$C:$C,"****-***-****-**-223",'Trial Balance'!$E:$E)+SUMIF('Trial Balance'!$C:$C,"****-***-****-**-224",'Trial Balance'!$E:$E)</f>
        <v>0</v>
      </c>
    </row>
    <row r="23" spans="1:6" ht="15">
      <c r="A23" s="123"/>
      <c r="B23" s="148" t="s">
        <v>280</v>
      </c>
      <c r="C23" s="127"/>
      <c r="D23" s="123">
        <v>35</v>
      </c>
      <c r="E23" s="140" t="s">
        <v>281</v>
      </c>
      <c r="F23" s="127"/>
    </row>
    <row r="24" spans="1:6">
      <c r="A24" s="121">
        <v>8</v>
      </c>
      <c r="B24" s="130" t="s">
        <v>282</v>
      </c>
      <c r="C24" s="244">
        <v>0</v>
      </c>
      <c r="D24" s="121"/>
      <c r="E24" s="150" t="s">
        <v>283</v>
      </c>
      <c r="F24" s="244">
        <f>SUMIF('Trial Balance'!$C:$C,"****-***-****-**-225",'Trial Balance'!$E:$E)</f>
        <v>143771056.68000001</v>
      </c>
    </row>
    <row r="25" spans="1:6" ht="15">
      <c r="A25" s="123">
        <v>9</v>
      </c>
      <c r="B25" s="126" t="s">
        <v>264</v>
      </c>
      <c r="C25" s="151"/>
      <c r="D25" s="123">
        <v>36</v>
      </c>
      <c r="E25" s="140" t="s">
        <v>284</v>
      </c>
      <c r="F25" s="151"/>
    </row>
    <row r="26" spans="1:6">
      <c r="A26" s="121"/>
      <c r="B26" s="128" t="s">
        <v>285</v>
      </c>
      <c r="C26" s="244">
        <v>0</v>
      </c>
      <c r="D26" s="121"/>
      <c r="E26" s="128" t="s">
        <v>286</v>
      </c>
      <c r="F26" s="244">
        <f>SUMIF('Trial Balance'!$C:$C,"****-***-****-**-226",'Trial Balance'!$E:$E)</f>
        <v>0</v>
      </c>
    </row>
    <row r="27" spans="1:6" ht="15.75" thickBot="1">
      <c r="A27" s="123">
        <v>10</v>
      </c>
      <c r="B27" s="126" t="s">
        <v>287</v>
      </c>
      <c r="C27" s="151"/>
      <c r="D27" s="123"/>
      <c r="E27" s="140"/>
      <c r="F27" s="151"/>
    </row>
    <row r="28" spans="1:6" ht="13.5" thickBot="1">
      <c r="A28" s="121"/>
      <c r="B28" s="128" t="s">
        <v>288</v>
      </c>
      <c r="C28" s="244">
        <v>0</v>
      </c>
      <c r="D28" s="121">
        <v>37</v>
      </c>
      <c r="E28" s="152" t="s">
        <v>289</v>
      </c>
      <c r="F28" s="153">
        <f>+F20+F22+F24-F26</f>
        <v>1393256056.6800001</v>
      </c>
    </row>
    <row r="29" spans="1:6" ht="15.75" thickBot="1">
      <c r="A29" s="131">
        <v>11</v>
      </c>
      <c r="B29" s="132" t="s">
        <v>290</v>
      </c>
      <c r="C29" s="247">
        <f>'Trial Balance'!E237+'Trial Balance'!E285+'Trial Balance'!E315-'Trial Balance'!E306-'Trial Balance'!E229</f>
        <v>205158718.04000002</v>
      </c>
      <c r="D29" s="121"/>
      <c r="E29" s="130"/>
      <c r="F29" s="154"/>
    </row>
    <row r="30" spans="1:6" ht="15.75" thickBot="1">
      <c r="A30" s="131">
        <v>12</v>
      </c>
      <c r="B30" s="155" t="s">
        <v>291</v>
      </c>
      <c r="C30" s="153">
        <f>+C24+C26+C28+C29</f>
        <v>205158718.04000002</v>
      </c>
      <c r="D30" s="122"/>
      <c r="E30" s="156" t="s">
        <v>292</v>
      </c>
      <c r="F30" s="154"/>
    </row>
    <row r="31" spans="1:6" ht="15">
      <c r="A31" s="123"/>
      <c r="B31" s="148" t="s">
        <v>293</v>
      </c>
      <c r="C31" s="151"/>
      <c r="D31" s="131">
        <v>38</v>
      </c>
      <c r="E31" s="133" t="s">
        <v>294</v>
      </c>
      <c r="F31" s="249">
        <f>SUMIF('Trial Balance'!$C:$C,"****-***-****-**-228",'Trial Balance'!$E:$E)</f>
        <v>12404311.210000001</v>
      </c>
    </row>
    <row r="32" spans="1:6" ht="15.75" thickBot="1">
      <c r="A32" s="123">
        <v>13</v>
      </c>
      <c r="B32" s="126" t="s">
        <v>295</v>
      </c>
      <c r="C32" s="151"/>
      <c r="D32" s="131">
        <v>39</v>
      </c>
      <c r="E32" s="133" t="s">
        <v>296</v>
      </c>
      <c r="F32" s="247">
        <v>0</v>
      </c>
    </row>
    <row r="33" spans="1:11" ht="13.5" thickBot="1">
      <c r="A33" s="121"/>
      <c r="B33" s="128" t="s">
        <v>297</v>
      </c>
      <c r="C33" s="244">
        <f>'Trial Balance'!E304+'Trial Balance'!E229+'Trial Balance'!E306</f>
        <v>145045089.66000003</v>
      </c>
      <c r="D33" s="121">
        <v>40</v>
      </c>
      <c r="E33" s="158" t="s">
        <v>298</v>
      </c>
      <c r="F33" s="153">
        <f>SUM(F31:F32)</f>
        <v>12404311.210000001</v>
      </c>
    </row>
    <row r="34" spans="1:11" ht="15">
      <c r="A34" s="123">
        <v>14</v>
      </c>
      <c r="B34" s="126" t="s">
        <v>299</v>
      </c>
      <c r="C34" s="151"/>
      <c r="D34" s="123"/>
      <c r="E34" s="126"/>
      <c r="F34" s="151"/>
      <c r="H34" s="169"/>
      <c r="I34" s="169"/>
      <c r="J34" s="169"/>
      <c r="K34" s="169"/>
    </row>
    <row r="35" spans="1:11" ht="15">
      <c r="A35" s="121"/>
      <c r="B35" s="128" t="s">
        <v>300</v>
      </c>
      <c r="C35" s="244">
        <f>SUMIF('Trial Balance'!$C:$C,"****-***-****-**-143",'Trial Balance'!$E:$E)</f>
        <v>28854845.720000003</v>
      </c>
      <c r="D35" s="121"/>
      <c r="E35" s="156" t="s">
        <v>301</v>
      </c>
      <c r="F35" s="154"/>
      <c r="H35" s="478"/>
      <c r="I35" s="478"/>
      <c r="J35" s="169"/>
      <c r="K35" s="169"/>
    </row>
    <row r="36" spans="1:11">
      <c r="A36" s="131">
        <v>15</v>
      </c>
      <c r="B36" s="132" t="s">
        <v>302</v>
      </c>
      <c r="C36" s="249">
        <f>'Trial Balance'!E319</f>
        <v>68632733.010000005</v>
      </c>
      <c r="D36" s="121">
        <v>41</v>
      </c>
      <c r="E36" s="130" t="s">
        <v>303</v>
      </c>
      <c r="F36" s="244">
        <f>SUMIF('Trial Balance'!$C:$C,"****-***-****-**-231",'Trial Balance'!$E:$E)</f>
        <v>0</v>
      </c>
      <c r="H36" s="476"/>
      <c r="I36" s="477"/>
      <c r="J36" s="169"/>
      <c r="K36" s="169"/>
    </row>
    <row r="37" spans="1:11" ht="15">
      <c r="A37" s="123">
        <v>16</v>
      </c>
      <c r="B37" s="126" t="s">
        <v>264</v>
      </c>
      <c r="C37" s="151"/>
      <c r="D37" s="123"/>
      <c r="E37" s="126"/>
      <c r="F37" s="151"/>
      <c r="H37" s="476"/>
      <c r="I37" s="477"/>
      <c r="J37" s="169"/>
      <c r="K37" s="169"/>
    </row>
    <row r="38" spans="1:11">
      <c r="A38" s="121"/>
      <c r="B38" s="128" t="s">
        <v>304</v>
      </c>
      <c r="C38" s="250">
        <v>0</v>
      </c>
      <c r="D38" s="121">
        <v>42</v>
      </c>
      <c r="E38" s="130" t="s">
        <v>305</v>
      </c>
      <c r="F38" s="244">
        <f>SUMIF('Trial Balance'!$C:$C,"****-***-****-**-232",'Trial Balance'!$E:$E)</f>
        <v>33448020.399999999</v>
      </c>
      <c r="H38" s="476"/>
      <c r="I38" s="477"/>
      <c r="J38" s="169"/>
      <c r="K38" s="169"/>
    </row>
    <row r="39" spans="1:11" ht="15">
      <c r="A39" s="123">
        <v>17</v>
      </c>
      <c r="B39" s="126" t="s">
        <v>306</v>
      </c>
      <c r="C39" s="151" t="s">
        <v>2</v>
      </c>
      <c r="D39" s="123">
        <v>43</v>
      </c>
      <c r="E39" s="140" t="s">
        <v>307</v>
      </c>
      <c r="F39" s="151"/>
      <c r="H39" s="476"/>
      <c r="I39" s="477"/>
      <c r="J39" s="169"/>
      <c r="K39" s="169"/>
    </row>
    <row r="40" spans="1:11">
      <c r="A40" s="121"/>
      <c r="B40" s="128" t="s">
        <v>308</v>
      </c>
      <c r="C40" s="244">
        <f>SUMIF('Trial Balance'!$C:$C,"****-***-****-**-151",'Trial Balance'!$E:$E)+SUMIF('Trial Balance'!$C:$C,"****-***-****-**-152",'Trial Balance'!$E:$E)</f>
        <v>12054675.85</v>
      </c>
      <c r="D40" s="121"/>
      <c r="E40" s="128" t="s">
        <v>309</v>
      </c>
      <c r="F40" s="244">
        <f>SUMIF('Trial Balance'!$C:$C,"****-***-****-**-233",'Trial Balance'!$E:$E)+SUMIF('Trial Balance'!$C:$C,"****-***-****-**-234",'Trial Balance'!$E:$E)</f>
        <v>0</v>
      </c>
      <c r="H40" s="476"/>
      <c r="I40" s="477"/>
      <c r="J40" s="169"/>
      <c r="K40" s="169"/>
    </row>
    <row r="41" spans="1:11">
      <c r="A41" s="131">
        <v>18</v>
      </c>
      <c r="B41" s="132" t="s">
        <v>310</v>
      </c>
      <c r="C41" s="249">
        <f>SUMIF('Trial Balance'!$C:$C,"****-***-****-**-154",'Trial Balance'!$E:$E)</f>
        <v>7277807.2299999995</v>
      </c>
      <c r="D41" s="121">
        <v>44</v>
      </c>
      <c r="E41" s="130" t="s">
        <v>311</v>
      </c>
      <c r="F41" s="250">
        <f>SUMIF('Trial Balance'!$C:$C,"****-***-****-**-235",'Trial Balance'!$E:$E)</f>
        <v>0</v>
      </c>
      <c r="H41" s="476"/>
      <c r="I41" s="477"/>
      <c r="J41" s="169"/>
      <c r="K41" s="169"/>
    </row>
    <row r="42" spans="1:11">
      <c r="A42" s="131">
        <v>19</v>
      </c>
      <c r="B42" s="132" t="s">
        <v>312</v>
      </c>
      <c r="C42" s="249">
        <f>SUMIF('Trial Balance'!$C:$C,"****-***-****-**-153",'Trial Balance'!$E:$E)+SUMIF('Trial Balance'!$C:$C,"****-***-****-**-155",'Trial Balance'!$E:$E)+SUMIF('Trial Balance'!$C:$C,"****-***-****-**-156",'Trial Balance'!$E:$E)+SUMIF('Trial Balance'!$C:$C,"****-***-****-**-157",'Trial Balance'!$E:$E)+SUMIF('Trial Balance'!$C:$C,"****-***-****-**-158",'Trial Balance'!$E:$E)+SUMIF('Trial Balance'!$C:$C,"****-***-****-**-159",'Trial Balance'!$E:$E)+SUMIF('Trial Balance'!$C:$C,"****-***-****-**-160",'Trial Balance'!$E:$E)+SUMIF('Trial Balance'!$C:$C,"****-***-****-**-161",'Trial Balance'!$E:$E)+SUMIF('Trial Balance'!$C:$C,"****-***-****-**-162",'Trial Balance'!$E:$E)+SUMIF('Trial Balance'!$C:$C,"****-***-****-**-163",'Trial Balance'!$E:$E)</f>
        <v>0</v>
      </c>
      <c r="D42" s="121">
        <v>45</v>
      </c>
      <c r="E42" s="130" t="s">
        <v>313</v>
      </c>
      <c r="F42" s="244">
        <f>SUMIF('Trial Balance'!$C:$C,"****-***-****-**-236",'Trial Balance'!$E:$E)</f>
        <v>2672363.89</v>
      </c>
      <c r="H42" s="476"/>
      <c r="I42" s="477"/>
      <c r="J42" s="169"/>
      <c r="K42" s="169"/>
    </row>
    <row r="43" spans="1:11">
      <c r="A43" s="131">
        <v>20</v>
      </c>
      <c r="B43" s="132" t="s">
        <v>314</v>
      </c>
      <c r="C43" s="249">
        <f>SUMIF('Trial Balance'!$C:$C,"****-***-****-**-165",'Trial Balance'!$E:$E)</f>
        <v>1838493.46</v>
      </c>
      <c r="D43" s="121">
        <v>46</v>
      </c>
      <c r="E43" s="130" t="s">
        <v>315</v>
      </c>
      <c r="F43" s="244">
        <f>SUMIF('Trial Balance'!$C:$C,"****-***-****-**-237",'Trial Balance'!$E:$E)</f>
        <v>24934041.649999999</v>
      </c>
      <c r="H43" s="476"/>
      <c r="I43" s="479"/>
      <c r="J43" s="480"/>
      <c r="K43" s="169"/>
    </row>
    <row r="44" spans="1:11" ht="13.5" thickBot="1">
      <c r="A44" s="159">
        <v>21</v>
      </c>
      <c r="B44" s="132" t="s">
        <v>316</v>
      </c>
      <c r="C44" s="249">
        <f>SUMIF('Trial Balance'!$C:$C,"****-***-****-**-173",'Trial Balance'!$E:$E)+'Trial Balance'!E356+'Trial Balance'!E357</f>
        <v>1151872.3599999999</v>
      </c>
      <c r="D44" s="121">
        <v>47</v>
      </c>
      <c r="E44" s="130" t="s">
        <v>317</v>
      </c>
      <c r="F44" s="252">
        <f>SUMIF('Trial Balance'!$C:$C,"****-***-****-**-239",'Trial Balance'!$E:$E)+SUMIF('Trial Balance'!$C:$C,"****-***-****-**-240",'Trial Balance'!$E:$E)+SUMIF('Trial Balance'!$C:$C,"****-***-****-**-241",'Trial Balance'!$E:$E)+SUMIF('Trial Balance'!$C:$C,"****-***-****-**-242",'Trial Balance'!$E:$E)+SUMIF('Trial Balance'!$C:$C,"****-***-****-**-243",'Trial Balance'!$E:$E)+SUMIF('Trial Balance'!$C:$C,"****-***-****-**-244",'Trial Balance'!$E:$E)+SUMIF('Trial Balance'!$C:$C,"****-***-****-**-245",'Trial Balance'!$E:$E)</f>
        <v>16470228.030000001</v>
      </c>
      <c r="H44" s="479"/>
      <c r="I44" s="479"/>
      <c r="J44" s="169"/>
      <c r="K44" s="169"/>
    </row>
    <row r="45" spans="1:11" ht="13.5" thickBot="1">
      <c r="A45" s="159">
        <v>22</v>
      </c>
      <c r="B45" s="132" t="s">
        <v>318</v>
      </c>
      <c r="C45" s="251">
        <f>+SUMIF('Trial Balance'!$C:$C,"****-***-****-**-171",'Trial Balance'!$E:$E)+SUMIF('Trial Balance'!$C:$C,"****-***-****-**-174",'Trial Balance'!$E:$E)</f>
        <v>492604.36</v>
      </c>
      <c r="D45" s="121">
        <v>48</v>
      </c>
      <c r="E45" s="158" t="s">
        <v>319</v>
      </c>
      <c r="F45" s="153">
        <f>+F44+F43+F42+F41+F40+F38+F36</f>
        <v>77524653.969999999</v>
      </c>
      <c r="H45" s="169"/>
      <c r="I45" s="477"/>
      <c r="J45" s="169"/>
      <c r="K45" s="169"/>
    </row>
    <row r="46" spans="1:11" ht="15.75" thickBot="1">
      <c r="A46" s="159">
        <v>23</v>
      </c>
      <c r="B46" s="155" t="s">
        <v>320</v>
      </c>
      <c r="C46" s="153">
        <f>+C33+C35+C36-C38+C40+C42+C43+C44+C45+C41</f>
        <v>265348121.65000007</v>
      </c>
      <c r="D46" s="122"/>
      <c r="E46" s="156" t="s">
        <v>321</v>
      </c>
      <c r="F46" s="154"/>
      <c r="H46" s="476"/>
      <c r="I46" s="477"/>
      <c r="J46" s="169"/>
      <c r="K46" s="169"/>
    </row>
    <row r="47" spans="1:11" ht="15">
      <c r="A47" s="126"/>
      <c r="B47" s="148" t="s">
        <v>322</v>
      </c>
      <c r="C47" s="151"/>
      <c r="D47" s="142">
        <v>49</v>
      </c>
      <c r="E47" s="140" t="s">
        <v>323</v>
      </c>
      <c r="F47" s="151"/>
      <c r="H47" s="169"/>
      <c r="I47" s="477"/>
      <c r="J47" s="169"/>
      <c r="K47" s="169"/>
    </row>
    <row r="48" spans="1:11">
      <c r="A48" s="161">
        <v>24</v>
      </c>
      <c r="B48" s="130" t="s">
        <v>324</v>
      </c>
      <c r="C48" s="244">
        <f>SUMIF('Trial Balance'!$C:$C,"****-***-****-**-181",'Trial Balance'!$E:$E)</f>
        <v>0</v>
      </c>
      <c r="D48" s="121"/>
      <c r="E48" s="162" t="s">
        <v>325</v>
      </c>
      <c r="F48" s="244">
        <f>SUMIF('Trial Balance'!$C:$C,"****-***-****-**-252",'Trial Balance'!$E:$E)</f>
        <v>0</v>
      </c>
      <c r="H48" s="169"/>
      <c r="I48" s="477"/>
      <c r="J48" s="169"/>
      <c r="K48" s="169"/>
    </row>
    <row r="49" spans="1:11" ht="15">
      <c r="A49" s="142">
        <v>25</v>
      </c>
      <c r="B49" s="126" t="s">
        <v>326</v>
      </c>
      <c r="C49" s="151"/>
      <c r="D49" s="142">
        <v>50</v>
      </c>
      <c r="E49" s="126" t="s">
        <v>327</v>
      </c>
      <c r="F49" s="151"/>
      <c r="H49" s="169"/>
      <c r="I49" s="477"/>
      <c r="J49" s="169"/>
      <c r="K49" s="169"/>
    </row>
    <row r="50" spans="1:11">
      <c r="A50" s="130"/>
      <c r="B50" s="128" t="s">
        <v>328</v>
      </c>
      <c r="C50" s="244">
        <f>SUMIF('Trial Balance'!$C:$C,"****-***-****-**-182",'Trial Balance'!$E:$E)+SUMIF('Trial Balance'!$C:$C,"****-***-****-**-183",'Trial Balance'!$E:$E)</f>
        <v>0</v>
      </c>
      <c r="D50" s="121"/>
      <c r="E50" s="128" t="s">
        <v>329</v>
      </c>
      <c r="F50" s="244">
        <f>SUMIF('Trial Balance'!$C:$C,"****-***-****-**-253",'Trial Balance'!$E:$E)+SUMIF('Trial Balance'!$C:$C,"****-***-****-**-256",'Trial Balance'!$E:$E)+SUMIF('Trial Balance'!$C:$C,"****-***-****-**-281",'Trial Balance'!$E:$E)+SUMIF('Trial Balance'!$C:$C,"****-***-****-**-282",'Trial Balance'!$E:$E)+SUMIF('Trial Balance'!$C:$C,"****-***-****-**-283",'Trial Balance'!$E:$E)+'Trial Balance'!I457</f>
        <v>76824062.379999995</v>
      </c>
      <c r="H50" s="169"/>
      <c r="I50" s="477"/>
      <c r="J50" s="169"/>
      <c r="K50" s="169"/>
    </row>
    <row r="51" spans="1:11" ht="15">
      <c r="A51" s="142">
        <v>26</v>
      </c>
      <c r="B51" s="126" t="s">
        <v>330</v>
      </c>
      <c r="C51" s="151"/>
      <c r="D51" s="123"/>
      <c r="E51" s="126"/>
      <c r="F51" s="151"/>
      <c r="H51" s="478"/>
      <c r="I51" s="478"/>
      <c r="J51" s="169"/>
      <c r="K51" s="169"/>
    </row>
    <row r="52" spans="1:11" ht="15">
      <c r="A52" s="123"/>
      <c r="B52" s="134" t="s">
        <v>331</v>
      </c>
      <c r="C52" s="151"/>
      <c r="D52" s="123">
        <v>51</v>
      </c>
      <c r="E52" s="126" t="s">
        <v>332</v>
      </c>
      <c r="F52" s="151"/>
      <c r="H52" s="476"/>
      <c r="I52" s="477"/>
      <c r="J52" s="169"/>
      <c r="K52" s="169"/>
    </row>
    <row r="53" spans="1:11" ht="13.5" thickBot="1">
      <c r="A53" s="121"/>
      <c r="B53" s="128" t="s">
        <v>333</v>
      </c>
      <c r="C53" s="252">
        <f>SUMIF('Trial Balance'!$C:$C,"****-***-****-**-184",'Trial Balance'!$E:$E)+SUMIF('Trial Balance'!$C:$C,"****-***-****-**-185",'Trial Balance'!$E:$E)+SUMIF('Trial Balance'!$C:$C,"****-***-****-**-186",'Trial Balance'!$E:$E)+SUMIF('Trial Balance'!$C:$C,"****-***-****-**-187",'Trial Balance'!$E:$E)+SUMIF('Trial Balance'!$C:$C,"****-***-****-**-188",'Trial Balance'!$E:$E)+SUMIF('Trial Balance'!$C:$C,"****-***-****-**-189",'Trial Balance'!$E:$E)+SUMIF('Trial Balance'!$C:$C,"****-***-****-**-190",'Trial Balance'!$E:$E)+SUMIF('Trial Balance'!$C:$C,"****-***-****-**-191",'Trial Balance'!$E:$E)+'Trial Balance'!E400-'Trial Balance'!E357</f>
        <v>181284308.43999997</v>
      </c>
      <c r="D53" s="121"/>
      <c r="E53" s="162" t="s">
        <v>334</v>
      </c>
      <c r="F53" s="252">
        <f>SUMIF('Trial Balance'!$C:$C,"****-***-****-**-257",'Trial Balance'!$E:$E)</f>
        <v>0</v>
      </c>
      <c r="H53" s="476"/>
      <c r="I53" s="477"/>
      <c r="J53" s="169"/>
      <c r="K53" s="169"/>
    </row>
    <row r="54" spans="1:11" ht="13.5" thickBot="1">
      <c r="A54" s="131">
        <v>27</v>
      </c>
      <c r="B54" s="155" t="s">
        <v>335</v>
      </c>
      <c r="C54" s="153">
        <f>C48+C50+C53</f>
        <v>181284308.43999997</v>
      </c>
      <c r="D54" s="122">
        <v>52</v>
      </c>
      <c r="E54" s="158" t="s">
        <v>336</v>
      </c>
      <c r="F54" s="153">
        <f>+F53+F50+F48</f>
        <v>76824062.379999995</v>
      </c>
      <c r="H54" s="476"/>
      <c r="I54" s="477"/>
      <c r="J54" s="169"/>
      <c r="K54" s="169"/>
    </row>
    <row r="55" spans="1:11" ht="15.75" thickBot="1">
      <c r="A55" s="123"/>
      <c r="B55" s="163"/>
      <c r="C55" s="164"/>
      <c r="D55" s="123"/>
      <c r="E55" s="126"/>
      <c r="F55" s="151"/>
      <c r="H55" s="476"/>
      <c r="I55" s="477"/>
      <c r="J55" s="169"/>
      <c r="K55" s="169"/>
    </row>
    <row r="56" spans="1:11" ht="13.5" thickBot="1">
      <c r="A56" s="165">
        <v>28</v>
      </c>
      <c r="B56" s="166" t="s">
        <v>337</v>
      </c>
      <c r="C56" s="167">
        <f>+C54+C46+C21+C22+C30</f>
        <v>1883025281.3199997</v>
      </c>
      <c r="D56" s="168">
        <v>53</v>
      </c>
      <c r="E56" s="166" t="s">
        <v>338</v>
      </c>
      <c r="F56" s="167">
        <f>+F54+F45+F28+F16+F33</f>
        <v>1883025281.3200002</v>
      </c>
      <c r="H56" s="476"/>
      <c r="I56" s="477"/>
      <c r="J56" s="169"/>
      <c r="K56" s="169"/>
    </row>
    <row r="57" spans="1:11" ht="15">
      <c r="A57" s="169"/>
      <c r="B57" s="169"/>
      <c r="C57" s="170"/>
      <c r="D57" s="169"/>
      <c r="E57" s="169"/>
      <c r="F57" s="171">
        <f>+C56-F56</f>
        <v>0</v>
      </c>
      <c r="H57" s="169"/>
      <c r="I57" s="477"/>
      <c r="J57" s="169"/>
      <c r="K57" s="169"/>
    </row>
    <row r="58" spans="1:11" ht="15">
      <c r="A58" s="169"/>
      <c r="B58" s="253"/>
      <c r="C58" s="254"/>
      <c r="D58" s="169"/>
      <c r="E58" s="169"/>
      <c r="F58" s="238"/>
      <c r="H58" s="169"/>
      <c r="I58" s="477"/>
      <c r="J58" s="169"/>
      <c r="K58" s="169"/>
    </row>
    <row r="59" spans="1:11">
      <c r="A59" s="169"/>
      <c r="B59" s="219"/>
      <c r="C59" s="263"/>
      <c r="D59" s="169"/>
      <c r="E59" s="169"/>
      <c r="F59" s="263"/>
      <c r="H59" s="169"/>
      <c r="I59" s="477"/>
      <c r="J59" s="169"/>
      <c r="K59" s="169"/>
    </row>
    <row r="60" spans="1:11" ht="15">
      <c r="A60" s="169"/>
      <c r="B60" s="169"/>
      <c r="C60" s="172"/>
      <c r="D60" s="169"/>
      <c r="E60" s="169"/>
      <c r="F60" s="171"/>
      <c r="H60" s="169"/>
      <c r="I60" s="479"/>
      <c r="J60" s="169"/>
      <c r="K60" s="169"/>
    </row>
    <row r="61" spans="1:11" ht="15">
      <c r="A61" s="169"/>
      <c r="B61" s="169"/>
      <c r="C61" s="172"/>
      <c r="D61" s="169"/>
      <c r="E61" s="169"/>
      <c r="F61" s="171"/>
      <c r="H61" s="169"/>
      <c r="I61" s="479"/>
      <c r="J61" s="169"/>
      <c r="K61" s="169"/>
    </row>
    <row r="62" spans="1:11" ht="15">
      <c r="A62" s="169"/>
      <c r="B62" s="169"/>
      <c r="C62" s="172"/>
      <c r="D62" s="169"/>
      <c r="E62" s="169"/>
      <c r="F62" s="171"/>
      <c r="H62" s="169"/>
      <c r="I62" s="479"/>
      <c r="J62" s="169"/>
      <c r="K62" s="169"/>
    </row>
    <row r="63" spans="1:11" ht="15">
      <c r="A63" s="169"/>
      <c r="B63" s="169"/>
      <c r="C63" s="172"/>
      <c r="D63" s="169"/>
      <c r="E63" s="169"/>
      <c r="F63" s="171"/>
    </row>
    <row r="64" spans="1:11">
      <c r="A64" s="169"/>
      <c r="B64" s="169"/>
      <c r="C64" s="172"/>
      <c r="D64" s="169"/>
      <c r="E64" s="169"/>
      <c r="F64" s="169"/>
    </row>
    <row r="65" spans="1:9">
      <c r="A65" s="169"/>
      <c r="B65" s="169"/>
      <c r="C65" s="172"/>
      <c r="D65" s="169"/>
      <c r="E65" s="169"/>
      <c r="F65" s="169"/>
      <c r="I65" s="248"/>
    </row>
    <row r="66" spans="1:9">
      <c r="A66" s="169"/>
      <c r="B66" s="169"/>
      <c r="C66" s="172"/>
      <c r="D66" s="169"/>
      <c r="E66" s="169"/>
      <c r="F66" s="169"/>
    </row>
    <row r="67" spans="1:9">
      <c r="A67" s="169"/>
      <c r="B67" s="169"/>
      <c r="C67" s="172"/>
      <c r="D67" s="169"/>
      <c r="E67" s="169"/>
      <c r="F67" s="169"/>
    </row>
    <row r="68" spans="1:9">
      <c r="A68" s="169"/>
      <c r="B68" s="169"/>
      <c r="C68" s="172"/>
      <c r="D68" s="169"/>
      <c r="E68" s="169"/>
      <c r="F68" s="169"/>
    </row>
    <row r="69" spans="1:9">
      <c r="A69" s="169"/>
      <c r="B69" s="169"/>
      <c r="C69" s="169"/>
      <c r="D69" s="169"/>
      <c r="E69" s="169"/>
      <c r="F69" s="169"/>
    </row>
    <row r="70" spans="1:9">
      <c r="A70" s="169"/>
      <c r="B70" s="169"/>
      <c r="C70" s="169"/>
      <c r="D70" s="169"/>
      <c r="E70" s="169"/>
      <c r="F70" s="169"/>
    </row>
    <row r="71" spans="1:9">
      <c r="A71" s="169"/>
      <c r="B71" s="169"/>
      <c r="C71" s="169"/>
      <c r="D71" s="169"/>
      <c r="E71" s="169"/>
      <c r="F71" s="169"/>
    </row>
    <row r="72" spans="1:9">
      <c r="A72" s="169"/>
      <c r="B72" s="169"/>
      <c r="C72" s="169"/>
      <c r="D72" s="169"/>
      <c r="E72" s="169"/>
      <c r="F72" s="169"/>
    </row>
    <row r="73" spans="1:9">
      <c r="A73" s="169"/>
      <c r="B73" s="169"/>
      <c r="C73" s="169"/>
      <c r="D73" s="169"/>
      <c r="E73" s="169"/>
      <c r="F73" s="169"/>
    </row>
    <row r="74" spans="1:9">
      <c r="A74" s="169"/>
      <c r="B74" s="169"/>
      <c r="C74" s="169"/>
      <c r="D74" s="169"/>
      <c r="E74" s="169"/>
      <c r="F74" s="169"/>
    </row>
    <row r="75" spans="1:9">
      <c r="A75" s="169"/>
      <c r="B75" s="169"/>
      <c r="C75" s="169"/>
      <c r="D75" s="169"/>
      <c r="E75" s="169"/>
      <c r="F75" s="169"/>
    </row>
    <row r="76" spans="1:9">
      <c r="A76" s="169"/>
      <c r="B76" s="169"/>
      <c r="C76" s="169"/>
      <c r="D76" s="169"/>
      <c r="E76" s="169"/>
      <c r="F76" s="169"/>
    </row>
  </sheetData>
  <mergeCells count="5">
    <mergeCell ref="A1:F1"/>
    <mergeCell ref="A2:F2"/>
    <mergeCell ref="A3:F3"/>
    <mergeCell ref="A4:F4"/>
    <mergeCell ref="A6:F6"/>
  </mergeCells>
  <pageMargins left="0.47" right="0.45" top="1" bottom="0.5" header="0.5" footer="0.5"/>
  <pageSetup scale="81" orientation="portrait"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53"/>
  <sheetViews>
    <sheetView zoomScale="90" zoomScaleNormal="90" workbookViewId="0">
      <selection activeCell="D146" sqref="D146"/>
    </sheetView>
  </sheetViews>
  <sheetFormatPr defaultRowHeight="12.75"/>
  <cols>
    <col min="1" max="1" width="5.21875" style="117" customWidth="1"/>
    <col min="2" max="2" width="60" style="117" customWidth="1"/>
    <col min="3" max="3" width="13" style="117" customWidth="1"/>
    <col min="4" max="4" width="11.21875" style="117" bestFit="1" customWidth="1"/>
    <col min="5" max="255" width="8.88671875" style="117"/>
    <col min="256" max="256" width="5.21875" style="117" customWidth="1"/>
    <col min="257" max="257" width="60" style="117" customWidth="1"/>
    <col min="258" max="258" width="13" style="117" customWidth="1"/>
    <col min="259" max="511" width="8.88671875" style="117"/>
    <col min="512" max="512" width="5.21875" style="117" customWidth="1"/>
    <col min="513" max="513" width="60" style="117" customWidth="1"/>
    <col min="514" max="514" width="13" style="117" customWidth="1"/>
    <col min="515" max="767" width="8.88671875" style="117"/>
    <col min="768" max="768" width="5.21875" style="117" customWidth="1"/>
    <col min="769" max="769" width="60" style="117" customWidth="1"/>
    <col min="770" max="770" width="13" style="117" customWidth="1"/>
    <col min="771" max="1023" width="8.88671875" style="117"/>
    <col min="1024" max="1024" width="5.21875" style="117" customWidth="1"/>
    <col min="1025" max="1025" width="60" style="117" customWidth="1"/>
    <col min="1026" max="1026" width="13" style="117" customWidth="1"/>
    <col min="1027" max="1279" width="8.88671875" style="117"/>
    <col min="1280" max="1280" width="5.21875" style="117" customWidth="1"/>
    <col min="1281" max="1281" width="60" style="117" customWidth="1"/>
    <col min="1282" max="1282" width="13" style="117" customWidth="1"/>
    <col min="1283" max="1535" width="8.88671875" style="117"/>
    <col min="1536" max="1536" width="5.21875" style="117" customWidth="1"/>
    <col min="1537" max="1537" width="60" style="117" customWidth="1"/>
    <col min="1538" max="1538" width="13" style="117" customWidth="1"/>
    <col min="1539" max="1791" width="8.88671875" style="117"/>
    <col min="1792" max="1792" width="5.21875" style="117" customWidth="1"/>
    <col min="1793" max="1793" width="60" style="117" customWidth="1"/>
    <col min="1794" max="1794" width="13" style="117" customWidth="1"/>
    <col min="1795" max="2047" width="8.88671875" style="117"/>
    <col min="2048" max="2048" width="5.21875" style="117" customWidth="1"/>
    <col min="2049" max="2049" width="60" style="117" customWidth="1"/>
    <col min="2050" max="2050" width="13" style="117" customWidth="1"/>
    <col min="2051" max="2303" width="8.88671875" style="117"/>
    <col min="2304" max="2304" width="5.21875" style="117" customWidth="1"/>
    <col min="2305" max="2305" width="60" style="117" customWidth="1"/>
    <col min="2306" max="2306" width="13" style="117" customWidth="1"/>
    <col min="2307" max="2559" width="8.88671875" style="117"/>
    <col min="2560" max="2560" width="5.21875" style="117" customWidth="1"/>
    <col min="2561" max="2561" width="60" style="117" customWidth="1"/>
    <col min="2562" max="2562" width="13" style="117" customWidth="1"/>
    <col min="2563" max="2815" width="8.88671875" style="117"/>
    <col min="2816" max="2816" width="5.21875" style="117" customWidth="1"/>
    <col min="2817" max="2817" width="60" style="117" customWidth="1"/>
    <col min="2818" max="2818" width="13" style="117" customWidth="1"/>
    <col min="2819" max="3071" width="8.88671875" style="117"/>
    <col min="3072" max="3072" width="5.21875" style="117" customWidth="1"/>
    <col min="3073" max="3073" width="60" style="117" customWidth="1"/>
    <col min="3074" max="3074" width="13" style="117" customWidth="1"/>
    <col min="3075" max="3327" width="8.88671875" style="117"/>
    <col min="3328" max="3328" width="5.21875" style="117" customWidth="1"/>
    <col min="3329" max="3329" width="60" style="117" customWidth="1"/>
    <col min="3330" max="3330" width="13" style="117" customWidth="1"/>
    <col min="3331" max="3583" width="8.88671875" style="117"/>
    <col min="3584" max="3584" width="5.21875" style="117" customWidth="1"/>
    <col min="3585" max="3585" width="60" style="117" customWidth="1"/>
    <col min="3586" max="3586" width="13" style="117" customWidth="1"/>
    <col min="3587" max="3839" width="8.88671875" style="117"/>
    <col min="3840" max="3840" width="5.21875" style="117" customWidth="1"/>
    <col min="3841" max="3841" width="60" style="117" customWidth="1"/>
    <col min="3842" max="3842" width="13" style="117" customWidth="1"/>
    <col min="3843" max="4095" width="8.88671875" style="117"/>
    <col min="4096" max="4096" width="5.21875" style="117" customWidth="1"/>
    <col min="4097" max="4097" width="60" style="117" customWidth="1"/>
    <col min="4098" max="4098" width="13" style="117" customWidth="1"/>
    <col min="4099" max="4351" width="8.88671875" style="117"/>
    <col min="4352" max="4352" width="5.21875" style="117" customWidth="1"/>
    <col min="4353" max="4353" width="60" style="117" customWidth="1"/>
    <col min="4354" max="4354" width="13" style="117" customWidth="1"/>
    <col min="4355" max="4607" width="8.88671875" style="117"/>
    <col min="4608" max="4608" width="5.21875" style="117" customWidth="1"/>
    <col min="4609" max="4609" width="60" style="117" customWidth="1"/>
    <col min="4610" max="4610" width="13" style="117" customWidth="1"/>
    <col min="4611" max="4863" width="8.88671875" style="117"/>
    <col min="4864" max="4864" width="5.21875" style="117" customWidth="1"/>
    <col min="4865" max="4865" width="60" style="117" customWidth="1"/>
    <col min="4866" max="4866" width="13" style="117" customWidth="1"/>
    <col min="4867" max="5119" width="8.88671875" style="117"/>
    <col min="5120" max="5120" width="5.21875" style="117" customWidth="1"/>
    <col min="5121" max="5121" width="60" style="117" customWidth="1"/>
    <col min="5122" max="5122" width="13" style="117" customWidth="1"/>
    <col min="5123" max="5375" width="8.88671875" style="117"/>
    <col min="5376" max="5376" width="5.21875" style="117" customWidth="1"/>
    <col min="5377" max="5377" width="60" style="117" customWidth="1"/>
    <col min="5378" max="5378" width="13" style="117" customWidth="1"/>
    <col min="5379" max="5631" width="8.88671875" style="117"/>
    <col min="5632" max="5632" width="5.21875" style="117" customWidth="1"/>
    <col min="5633" max="5633" width="60" style="117" customWidth="1"/>
    <col min="5634" max="5634" width="13" style="117" customWidth="1"/>
    <col min="5635" max="5887" width="8.88671875" style="117"/>
    <col min="5888" max="5888" width="5.21875" style="117" customWidth="1"/>
    <col min="5889" max="5889" width="60" style="117" customWidth="1"/>
    <col min="5890" max="5890" width="13" style="117" customWidth="1"/>
    <col min="5891" max="6143" width="8.88671875" style="117"/>
    <col min="6144" max="6144" width="5.21875" style="117" customWidth="1"/>
    <col min="6145" max="6145" width="60" style="117" customWidth="1"/>
    <col min="6146" max="6146" width="13" style="117" customWidth="1"/>
    <col min="6147" max="6399" width="8.88671875" style="117"/>
    <col min="6400" max="6400" width="5.21875" style="117" customWidth="1"/>
    <col min="6401" max="6401" width="60" style="117" customWidth="1"/>
    <col min="6402" max="6402" width="13" style="117" customWidth="1"/>
    <col min="6403" max="6655" width="8.88671875" style="117"/>
    <col min="6656" max="6656" width="5.21875" style="117" customWidth="1"/>
    <col min="6657" max="6657" width="60" style="117" customWidth="1"/>
    <col min="6658" max="6658" width="13" style="117" customWidth="1"/>
    <col min="6659" max="6911" width="8.88671875" style="117"/>
    <col min="6912" max="6912" width="5.21875" style="117" customWidth="1"/>
    <col min="6913" max="6913" width="60" style="117" customWidth="1"/>
    <col min="6914" max="6914" width="13" style="117" customWidth="1"/>
    <col min="6915" max="7167" width="8.88671875" style="117"/>
    <col min="7168" max="7168" width="5.21875" style="117" customWidth="1"/>
    <col min="7169" max="7169" width="60" style="117" customWidth="1"/>
    <col min="7170" max="7170" width="13" style="117" customWidth="1"/>
    <col min="7171" max="7423" width="8.88671875" style="117"/>
    <col min="7424" max="7424" width="5.21875" style="117" customWidth="1"/>
    <col min="7425" max="7425" width="60" style="117" customWidth="1"/>
    <col min="7426" max="7426" width="13" style="117" customWidth="1"/>
    <col min="7427" max="7679" width="8.88671875" style="117"/>
    <col min="7680" max="7680" width="5.21875" style="117" customWidth="1"/>
    <col min="7681" max="7681" width="60" style="117" customWidth="1"/>
    <col min="7682" max="7682" width="13" style="117" customWidth="1"/>
    <col min="7683" max="7935" width="8.88671875" style="117"/>
    <col min="7936" max="7936" width="5.21875" style="117" customWidth="1"/>
    <col min="7937" max="7937" width="60" style="117" customWidth="1"/>
    <col min="7938" max="7938" width="13" style="117" customWidth="1"/>
    <col min="7939" max="8191" width="8.88671875" style="117"/>
    <col min="8192" max="8192" width="5.21875" style="117" customWidth="1"/>
    <col min="8193" max="8193" width="60" style="117" customWidth="1"/>
    <col min="8194" max="8194" width="13" style="117" customWidth="1"/>
    <col min="8195" max="8447" width="8.88671875" style="117"/>
    <col min="8448" max="8448" width="5.21875" style="117" customWidth="1"/>
    <col min="8449" max="8449" width="60" style="117" customWidth="1"/>
    <col min="8450" max="8450" width="13" style="117" customWidth="1"/>
    <col min="8451" max="8703" width="8.88671875" style="117"/>
    <col min="8704" max="8704" width="5.21875" style="117" customWidth="1"/>
    <col min="8705" max="8705" width="60" style="117" customWidth="1"/>
    <col min="8706" max="8706" width="13" style="117" customWidth="1"/>
    <col min="8707" max="8959" width="8.88671875" style="117"/>
    <col min="8960" max="8960" width="5.21875" style="117" customWidth="1"/>
    <col min="8961" max="8961" width="60" style="117" customWidth="1"/>
    <col min="8962" max="8962" width="13" style="117" customWidth="1"/>
    <col min="8963" max="9215" width="8.88671875" style="117"/>
    <col min="9216" max="9216" width="5.21875" style="117" customWidth="1"/>
    <col min="9217" max="9217" width="60" style="117" customWidth="1"/>
    <col min="9218" max="9218" width="13" style="117" customWidth="1"/>
    <col min="9219" max="9471" width="8.88671875" style="117"/>
    <col min="9472" max="9472" width="5.21875" style="117" customWidth="1"/>
    <col min="9473" max="9473" width="60" style="117" customWidth="1"/>
    <col min="9474" max="9474" width="13" style="117" customWidth="1"/>
    <col min="9475" max="9727" width="8.88671875" style="117"/>
    <col min="9728" max="9728" width="5.21875" style="117" customWidth="1"/>
    <col min="9729" max="9729" width="60" style="117" customWidth="1"/>
    <col min="9730" max="9730" width="13" style="117" customWidth="1"/>
    <col min="9731" max="9983" width="8.88671875" style="117"/>
    <col min="9984" max="9984" width="5.21875" style="117" customWidth="1"/>
    <col min="9985" max="9985" width="60" style="117" customWidth="1"/>
    <col min="9986" max="9986" width="13" style="117" customWidth="1"/>
    <col min="9987" max="10239" width="8.88671875" style="117"/>
    <col min="10240" max="10240" width="5.21875" style="117" customWidth="1"/>
    <col min="10241" max="10241" width="60" style="117" customWidth="1"/>
    <col min="10242" max="10242" width="13" style="117" customWidth="1"/>
    <col min="10243" max="10495" width="8.88671875" style="117"/>
    <col min="10496" max="10496" width="5.21875" style="117" customWidth="1"/>
    <col min="10497" max="10497" width="60" style="117" customWidth="1"/>
    <col min="10498" max="10498" width="13" style="117" customWidth="1"/>
    <col min="10499" max="10751" width="8.88671875" style="117"/>
    <col min="10752" max="10752" width="5.21875" style="117" customWidth="1"/>
    <col min="10753" max="10753" width="60" style="117" customWidth="1"/>
    <col min="10754" max="10754" width="13" style="117" customWidth="1"/>
    <col min="10755" max="11007" width="8.88671875" style="117"/>
    <col min="11008" max="11008" width="5.21875" style="117" customWidth="1"/>
    <col min="11009" max="11009" width="60" style="117" customWidth="1"/>
    <col min="11010" max="11010" width="13" style="117" customWidth="1"/>
    <col min="11011" max="11263" width="8.88671875" style="117"/>
    <col min="11264" max="11264" width="5.21875" style="117" customWidth="1"/>
    <col min="11265" max="11265" width="60" style="117" customWidth="1"/>
    <col min="11266" max="11266" width="13" style="117" customWidth="1"/>
    <col min="11267" max="11519" width="8.88671875" style="117"/>
    <col min="11520" max="11520" width="5.21875" style="117" customWidth="1"/>
    <col min="11521" max="11521" width="60" style="117" customWidth="1"/>
    <col min="11522" max="11522" width="13" style="117" customWidth="1"/>
    <col min="11523" max="11775" width="8.88671875" style="117"/>
    <col min="11776" max="11776" width="5.21875" style="117" customWidth="1"/>
    <col min="11777" max="11777" width="60" style="117" customWidth="1"/>
    <col min="11778" max="11778" width="13" style="117" customWidth="1"/>
    <col min="11779" max="12031" width="8.88671875" style="117"/>
    <col min="12032" max="12032" width="5.21875" style="117" customWidth="1"/>
    <col min="12033" max="12033" width="60" style="117" customWidth="1"/>
    <col min="12034" max="12034" width="13" style="117" customWidth="1"/>
    <col min="12035" max="12287" width="8.88671875" style="117"/>
    <col min="12288" max="12288" width="5.21875" style="117" customWidth="1"/>
    <col min="12289" max="12289" width="60" style="117" customWidth="1"/>
    <col min="12290" max="12290" width="13" style="117" customWidth="1"/>
    <col min="12291" max="12543" width="8.88671875" style="117"/>
    <col min="12544" max="12544" width="5.21875" style="117" customWidth="1"/>
    <col min="12545" max="12545" width="60" style="117" customWidth="1"/>
    <col min="12546" max="12546" width="13" style="117" customWidth="1"/>
    <col min="12547" max="12799" width="8.88671875" style="117"/>
    <col min="12800" max="12800" width="5.21875" style="117" customWidth="1"/>
    <col min="12801" max="12801" width="60" style="117" customWidth="1"/>
    <col min="12802" max="12802" width="13" style="117" customWidth="1"/>
    <col min="12803" max="13055" width="8.88671875" style="117"/>
    <col min="13056" max="13056" width="5.21875" style="117" customWidth="1"/>
    <col min="13057" max="13057" width="60" style="117" customWidth="1"/>
    <col min="13058" max="13058" width="13" style="117" customWidth="1"/>
    <col min="13059" max="13311" width="8.88671875" style="117"/>
    <col min="13312" max="13312" width="5.21875" style="117" customWidth="1"/>
    <col min="13313" max="13313" width="60" style="117" customWidth="1"/>
    <col min="13314" max="13314" width="13" style="117" customWidth="1"/>
    <col min="13315" max="13567" width="8.88671875" style="117"/>
    <col min="13568" max="13568" width="5.21875" style="117" customWidth="1"/>
    <col min="13569" max="13569" width="60" style="117" customWidth="1"/>
    <col min="13570" max="13570" width="13" style="117" customWidth="1"/>
    <col min="13571" max="13823" width="8.88671875" style="117"/>
    <col min="13824" max="13824" width="5.21875" style="117" customWidth="1"/>
    <col min="13825" max="13825" width="60" style="117" customWidth="1"/>
    <col min="13826" max="13826" width="13" style="117" customWidth="1"/>
    <col min="13827" max="14079" width="8.88671875" style="117"/>
    <col min="14080" max="14080" width="5.21875" style="117" customWidth="1"/>
    <col min="14081" max="14081" width="60" style="117" customWidth="1"/>
    <col min="14082" max="14082" width="13" style="117" customWidth="1"/>
    <col min="14083" max="14335" width="8.88671875" style="117"/>
    <col min="14336" max="14336" width="5.21875" style="117" customWidth="1"/>
    <col min="14337" max="14337" width="60" style="117" customWidth="1"/>
    <col min="14338" max="14338" width="13" style="117" customWidth="1"/>
    <col min="14339" max="14591" width="8.88671875" style="117"/>
    <col min="14592" max="14592" width="5.21875" style="117" customWidth="1"/>
    <col min="14593" max="14593" width="60" style="117" customWidth="1"/>
    <col min="14594" max="14594" width="13" style="117" customWidth="1"/>
    <col min="14595" max="14847" width="8.88671875" style="117"/>
    <col min="14848" max="14848" width="5.21875" style="117" customWidth="1"/>
    <col min="14849" max="14849" width="60" style="117" customWidth="1"/>
    <col min="14850" max="14850" width="13" style="117" customWidth="1"/>
    <col min="14851" max="15103" width="8.88671875" style="117"/>
    <col min="15104" max="15104" width="5.21875" style="117" customWidth="1"/>
    <col min="15105" max="15105" width="60" style="117" customWidth="1"/>
    <col min="15106" max="15106" width="13" style="117" customWidth="1"/>
    <col min="15107" max="15359" width="8.88671875" style="117"/>
    <col min="15360" max="15360" width="5.21875" style="117" customWidth="1"/>
    <col min="15361" max="15361" width="60" style="117" customWidth="1"/>
    <col min="15362" max="15362" width="13" style="117" customWidth="1"/>
    <col min="15363" max="15615" width="8.88671875" style="117"/>
    <col min="15616" max="15616" width="5.21875" style="117" customWidth="1"/>
    <col min="15617" max="15617" width="60" style="117" customWidth="1"/>
    <col min="15618" max="15618" width="13" style="117" customWidth="1"/>
    <col min="15619" max="15871" width="8.88671875" style="117"/>
    <col min="15872" max="15872" width="5.21875" style="117" customWidth="1"/>
    <col min="15873" max="15873" width="60" style="117" customWidth="1"/>
    <col min="15874" max="15874" width="13" style="117" customWidth="1"/>
    <col min="15875" max="16127" width="8.88671875" style="117"/>
    <col min="16128" max="16128" width="5.21875" style="117" customWidth="1"/>
    <col min="16129" max="16129" width="60" style="117" customWidth="1"/>
    <col min="16130" max="16130" width="13" style="117" customWidth="1"/>
    <col min="16131" max="16384" width="8.88671875" style="117"/>
  </cols>
  <sheetData>
    <row r="1" spans="1:5" ht="15.75">
      <c r="A1" s="509" t="str">
        <f>+'Balance sheet'!A1:F1</f>
        <v>INDIANA MUNICIPAL POWER AGENCY</v>
      </c>
      <c r="B1" s="509"/>
      <c r="C1" s="509"/>
      <c r="D1" s="173"/>
      <c r="E1" s="173"/>
    </row>
    <row r="2" spans="1:5" ht="15">
      <c r="A2" s="510" t="s">
        <v>249</v>
      </c>
      <c r="B2" s="510"/>
      <c r="C2" s="510"/>
      <c r="D2" s="173"/>
      <c r="E2" s="173"/>
    </row>
    <row r="3" spans="1:5" ht="15">
      <c r="A3" s="510" t="s">
        <v>339</v>
      </c>
      <c r="B3" s="510"/>
      <c r="C3" s="510"/>
      <c r="D3" s="173"/>
      <c r="E3" s="173"/>
    </row>
    <row r="4" spans="1:5" ht="15.75">
      <c r="A4" s="511">
        <f>+'Balance sheet'!A4:F4</f>
        <v>43100</v>
      </c>
      <c r="B4" s="511"/>
      <c r="C4" s="511"/>
      <c r="D4" s="174"/>
      <c r="E4" s="174"/>
    </row>
    <row r="5" spans="1:5">
      <c r="A5" s="175"/>
      <c r="B5" s="175"/>
      <c r="C5" s="175"/>
      <c r="D5" s="175"/>
      <c r="E5" s="175"/>
    </row>
    <row r="6" spans="1:5" ht="15">
      <c r="A6" s="512" t="s">
        <v>340</v>
      </c>
      <c r="B6" s="512"/>
      <c r="C6" s="512"/>
      <c r="D6" s="176"/>
      <c r="E6" s="176"/>
    </row>
    <row r="7" spans="1:5">
      <c r="A7" s="177" t="s">
        <v>4</v>
      </c>
      <c r="B7" s="178"/>
      <c r="C7" s="179" t="s">
        <v>7</v>
      </c>
    </row>
    <row r="8" spans="1:5">
      <c r="A8" s="130" t="s">
        <v>6</v>
      </c>
      <c r="B8" s="180"/>
      <c r="C8" s="122" t="s">
        <v>254</v>
      </c>
    </row>
    <row r="9" spans="1:5">
      <c r="A9" s="121">
        <v>1</v>
      </c>
      <c r="B9" s="180" t="s">
        <v>341</v>
      </c>
      <c r="C9" s="181">
        <f>'Trial Balance'!E533</f>
        <v>418471786.56</v>
      </c>
    </row>
    <row r="10" spans="1:5">
      <c r="A10" s="121">
        <v>2</v>
      </c>
      <c r="B10" s="180" t="s">
        <v>342</v>
      </c>
      <c r="C10" s="182">
        <f>+'Trial Balance'!E720+'Trial Balance'!E756+'Trial Balance'!E904+'Trial Balance'!E998+'Trial Balance'!E1182-C14-SUM('Trial Balance'!H1313:H1326)</f>
        <v>282245524.92999995</v>
      </c>
    </row>
    <row r="11" spans="1:5">
      <c r="A11" s="121">
        <v>3</v>
      </c>
      <c r="B11" s="180" t="s">
        <v>343</v>
      </c>
      <c r="C11" s="182">
        <f>'Trial Balance'!E1252</f>
        <v>27219444.210000001</v>
      </c>
    </row>
    <row r="12" spans="1:5">
      <c r="A12" s="131">
        <v>4</v>
      </c>
      <c r="B12" s="183" t="s">
        <v>344</v>
      </c>
      <c r="C12" s="184">
        <f>'Trial Balance'!H1327</f>
        <v>52730325.280000009</v>
      </c>
    </row>
    <row r="13" spans="1:5">
      <c r="A13" s="121">
        <v>5</v>
      </c>
      <c r="B13" s="180" t="s">
        <v>345</v>
      </c>
      <c r="C13" s="185">
        <v>0</v>
      </c>
    </row>
    <row r="14" spans="1:5" ht="13.5" thickBot="1">
      <c r="A14" s="123">
        <v>6</v>
      </c>
      <c r="B14" s="119" t="s">
        <v>346</v>
      </c>
      <c r="C14" s="185">
        <f>SUMIF('Trial Balance'!$C:$C,"****-***-****-**-408",'Trial Balance'!$E:$E)+SUMIF('Trial Balance'!$C:$C,"****-***-****-**-409",'Trial Balance'!$E:$E)</f>
        <v>3153616.0900000003</v>
      </c>
    </row>
    <row r="15" spans="1:5" ht="13.5" thickBot="1">
      <c r="A15" s="186">
        <v>7</v>
      </c>
      <c r="B15" s="187" t="s">
        <v>347</v>
      </c>
      <c r="C15" s="188">
        <f>SUM(C10:C14)</f>
        <v>365348910.50999993</v>
      </c>
    </row>
    <row r="16" spans="1:5" ht="13.5" thickBot="1">
      <c r="A16" s="186">
        <v>8</v>
      </c>
      <c r="B16" s="189" t="s">
        <v>348</v>
      </c>
      <c r="C16" s="188">
        <f>+C9-C15</f>
        <v>53122876.050000072</v>
      </c>
    </row>
    <row r="17" spans="1:4" ht="13.5" thickBot="1">
      <c r="A17" s="123">
        <v>9</v>
      </c>
      <c r="B17" s="119" t="s">
        <v>349</v>
      </c>
      <c r="C17" s="190"/>
    </row>
    <row r="18" spans="1:4" ht="13.5" thickBot="1">
      <c r="A18" s="191">
        <v>10</v>
      </c>
      <c r="B18" s="192" t="s">
        <v>350</v>
      </c>
      <c r="C18" s="188">
        <f>+C17+C16</f>
        <v>53122876.050000072</v>
      </c>
      <c r="D18" s="262"/>
    </row>
    <row r="19" spans="1:4">
      <c r="A19" s="121">
        <v>11</v>
      </c>
      <c r="B19" s="180" t="s">
        <v>351</v>
      </c>
      <c r="C19" s="193">
        <f>'Trial Balance'!E574-'Trial Balance'!E1477</f>
        <v>6817973.0399999991</v>
      </c>
      <c r="D19" s="248"/>
    </row>
    <row r="20" spans="1:4">
      <c r="A20" s="121">
        <v>12</v>
      </c>
      <c r="B20" s="180" t="s">
        <v>352</v>
      </c>
      <c r="C20" s="193">
        <f>'Trial Balance'!E1410</f>
        <v>-12864871.570000004</v>
      </c>
    </row>
    <row r="21" spans="1:4">
      <c r="A21" s="121">
        <v>13</v>
      </c>
      <c r="B21" s="180" t="s">
        <v>353</v>
      </c>
      <c r="C21" s="193"/>
    </row>
    <row r="22" spans="1:4" ht="13.5" thickBot="1">
      <c r="A22" s="123">
        <v>14</v>
      </c>
      <c r="B22" s="119" t="s">
        <v>354</v>
      </c>
      <c r="C22" s="190"/>
    </row>
    <row r="23" spans="1:4" ht="13.5" thickBot="1">
      <c r="A23" s="186">
        <v>15</v>
      </c>
      <c r="B23" s="187" t="s">
        <v>355</v>
      </c>
      <c r="C23" s="188">
        <f>+C18+C19-C20-C21-C22</f>
        <v>72805720.660000071</v>
      </c>
    </row>
    <row r="24" spans="1:4">
      <c r="A24" s="121">
        <v>16</v>
      </c>
      <c r="B24" s="180" t="s">
        <v>356</v>
      </c>
      <c r="C24" s="193">
        <f>'Trial Balance'!E1434</f>
        <v>56390695.630000003</v>
      </c>
    </row>
    <row r="25" spans="1:4">
      <c r="A25" s="121">
        <v>17</v>
      </c>
      <c r="B25" s="180" t="s">
        <v>357</v>
      </c>
      <c r="C25" s="193">
        <f>'Trial Balance'!E1441+'Trial Balance'!E1514</f>
        <v>-6742635.3399999989</v>
      </c>
    </row>
    <row r="26" spans="1:4" ht="13.5" thickBot="1">
      <c r="A26" s="123">
        <v>18</v>
      </c>
      <c r="B26" s="119" t="s">
        <v>358</v>
      </c>
      <c r="C26" s="190">
        <v>0</v>
      </c>
    </row>
    <row r="27" spans="1:4" ht="13.5" thickBot="1">
      <c r="A27" s="186">
        <v>19</v>
      </c>
      <c r="B27" s="187" t="s">
        <v>359</v>
      </c>
      <c r="C27" s="188">
        <f>SUM(C24:C26)</f>
        <v>49648060.290000007</v>
      </c>
    </row>
    <row r="28" spans="1:4" ht="13.5" thickBot="1">
      <c r="A28" s="186">
        <v>20</v>
      </c>
      <c r="B28" s="187" t="s">
        <v>360</v>
      </c>
      <c r="C28" s="188">
        <f>+C23-C27</f>
        <v>23157660.370000064</v>
      </c>
    </row>
    <row r="29" spans="1:4">
      <c r="A29" s="121">
        <v>21</v>
      </c>
      <c r="B29" s="180" t="s">
        <v>361</v>
      </c>
      <c r="C29" s="193">
        <v>0</v>
      </c>
    </row>
    <row r="30" spans="1:4" ht="13.5" thickBot="1">
      <c r="A30" s="123">
        <v>22</v>
      </c>
      <c r="B30" s="119" t="s">
        <v>362</v>
      </c>
      <c r="C30" s="190">
        <v>0</v>
      </c>
    </row>
    <row r="31" spans="1:4" ht="13.5" thickBot="1">
      <c r="A31" s="186">
        <v>23</v>
      </c>
      <c r="B31" s="189" t="s">
        <v>363</v>
      </c>
      <c r="C31" s="194">
        <f>SUM(C28:C30)</f>
        <v>23157660.370000064</v>
      </c>
    </row>
    <row r="32" spans="1:4">
      <c r="A32" s="169"/>
      <c r="B32" s="169"/>
      <c r="C32" s="172"/>
    </row>
    <row r="33" spans="1:3">
      <c r="A33" s="169"/>
      <c r="B33" s="169"/>
      <c r="C33" s="172"/>
    </row>
    <row r="34" spans="1:3">
      <c r="A34" s="169"/>
      <c r="B34" s="169"/>
      <c r="C34" s="172"/>
    </row>
    <row r="35" spans="1:3">
      <c r="A35" s="169"/>
      <c r="B35" s="169"/>
      <c r="C35" s="172"/>
    </row>
    <row r="36" spans="1:3">
      <c r="A36" s="169"/>
      <c r="B36" s="169"/>
      <c r="C36" s="172"/>
    </row>
    <row r="37" spans="1:3">
      <c r="A37" s="169"/>
      <c r="B37" s="169"/>
      <c r="C37" s="172"/>
    </row>
    <row r="38" spans="1:3">
      <c r="A38" s="169"/>
      <c r="B38" s="169"/>
      <c r="C38" s="172"/>
    </row>
    <row r="39" spans="1:3">
      <c r="A39" s="169"/>
      <c r="B39" s="169"/>
      <c r="C39" s="172"/>
    </row>
    <row r="40" spans="1:3">
      <c r="A40" s="169"/>
      <c r="B40" s="169"/>
      <c r="C40" s="172"/>
    </row>
    <row r="41" spans="1:3">
      <c r="A41" s="169"/>
      <c r="B41" s="169"/>
      <c r="C41" s="172"/>
    </row>
    <row r="42" spans="1:3">
      <c r="A42" s="169"/>
      <c r="B42" s="169"/>
      <c r="C42" s="172"/>
    </row>
    <row r="43" spans="1:3">
      <c r="A43" s="169"/>
      <c r="B43" s="169"/>
      <c r="C43" s="172"/>
    </row>
    <row r="44" spans="1:3">
      <c r="C44" s="195"/>
    </row>
    <row r="45" spans="1:3">
      <c r="C45" s="195"/>
    </row>
    <row r="46" spans="1:3">
      <c r="C46" s="195"/>
    </row>
    <row r="47" spans="1:3">
      <c r="C47" s="195"/>
    </row>
    <row r="48" spans="1:3">
      <c r="C48" s="195"/>
    </row>
    <row r="49" spans="3:3">
      <c r="C49" s="195"/>
    </row>
    <row r="50" spans="3:3">
      <c r="C50" s="195"/>
    </row>
    <row r="51" spans="3:3">
      <c r="C51" s="195"/>
    </row>
    <row r="52" spans="3:3">
      <c r="C52" s="195"/>
    </row>
    <row r="53" spans="3:3">
      <c r="C53" s="195"/>
    </row>
  </sheetData>
  <mergeCells count="5">
    <mergeCell ref="A1:C1"/>
    <mergeCell ref="A2:C2"/>
    <mergeCell ref="A3:C3"/>
    <mergeCell ref="A4:C4"/>
    <mergeCell ref="A6:C6"/>
  </mergeCells>
  <pageMargins left="0.75" right="0.75" top="1" bottom="1" header="0.5" footer="0.5"/>
  <pageSetup scale="95" orientation="portrait" horizontalDpi="4294967293" r:id="rId1"/>
  <headerFooter alignWithMargins="0">
    <oddFooter>&amp;L&amp;Z&amp;F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33"/>
  <sheetViews>
    <sheetView zoomScale="90" zoomScaleNormal="90" workbookViewId="0">
      <selection sqref="A1:J1"/>
    </sheetView>
  </sheetViews>
  <sheetFormatPr defaultRowHeight="12.75"/>
  <cols>
    <col min="1" max="1" width="5.21875" style="117" customWidth="1"/>
    <col min="2" max="2" width="22.77734375" style="117" customWidth="1"/>
    <col min="3" max="9" width="12.21875" style="117" customWidth="1"/>
    <col min="10" max="10" width="13" style="117" customWidth="1"/>
    <col min="11" max="257" width="8.88671875" style="117"/>
    <col min="258" max="258" width="5.21875" style="117" customWidth="1"/>
    <col min="259" max="259" width="22.77734375" style="117" customWidth="1"/>
    <col min="260" max="264" width="12.21875" style="117" customWidth="1"/>
    <col min="265" max="513" width="8.88671875" style="117"/>
    <col min="514" max="514" width="5.21875" style="117" customWidth="1"/>
    <col min="515" max="515" width="22.77734375" style="117" customWidth="1"/>
    <col min="516" max="520" width="12.21875" style="117" customWidth="1"/>
    <col min="521" max="769" width="8.88671875" style="117"/>
    <col min="770" max="770" width="5.21875" style="117" customWidth="1"/>
    <col min="771" max="771" width="22.77734375" style="117" customWidth="1"/>
    <col min="772" max="776" width="12.21875" style="117" customWidth="1"/>
    <col min="777" max="1025" width="8.88671875" style="117"/>
    <col min="1026" max="1026" width="5.21875" style="117" customWidth="1"/>
    <col min="1027" max="1027" width="22.77734375" style="117" customWidth="1"/>
    <col min="1028" max="1032" width="12.21875" style="117" customWidth="1"/>
    <col min="1033" max="1281" width="8.88671875" style="117"/>
    <col min="1282" max="1282" width="5.21875" style="117" customWidth="1"/>
    <col min="1283" max="1283" width="22.77734375" style="117" customWidth="1"/>
    <col min="1284" max="1288" width="12.21875" style="117" customWidth="1"/>
    <col min="1289" max="1537" width="8.88671875" style="117"/>
    <col min="1538" max="1538" width="5.21875" style="117" customWidth="1"/>
    <col min="1539" max="1539" width="22.77734375" style="117" customWidth="1"/>
    <col min="1540" max="1544" width="12.21875" style="117" customWidth="1"/>
    <col min="1545" max="1793" width="8.88671875" style="117"/>
    <col min="1794" max="1794" width="5.21875" style="117" customWidth="1"/>
    <col min="1795" max="1795" width="22.77734375" style="117" customWidth="1"/>
    <col min="1796" max="1800" width="12.21875" style="117" customWidth="1"/>
    <col min="1801" max="2049" width="8.88671875" style="117"/>
    <col min="2050" max="2050" width="5.21875" style="117" customWidth="1"/>
    <col min="2051" max="2051" width="22.77734375" style="117" customWidth="1"/>
    <col min="2052" max="2056" width="12.21875" style="117" customWidth="1"/>
    <col min="2057" max="2305" width="8.88671875" style="117"/>
    <col min="2306" max="2306" width="5.21875" style="117" customWidth="1"/>
    <col min="2307" max="2307" width="22.77734375" style="117" customWidth="1"/>
    <col min="2308" max="2312" width="12.21875" style="117" customWidth="1"/>
    <col min="2313" max="2561" width="8.88671875" style="117"/>
    <col min="2562" max="2562" width="5.21875" style="117" customWidth="1"/>
    <col min="2563" max="2563" width="22.77734375" style="117" customWidth="1"/>
    <col min="2564" max="2568" width="12.21875" style="117" customWidth="1"/>
    <col min="2569" max="2817" width="8.88671875" style="117"/>
    <col min="2818" max="2818" width="5.21875" style="117" customWidth="1"/>
    <col min="2819" max="2819" width="22.77734375" style="117" customWidth="1"/>
    <col min="2820" max="2824" width="12.21875" style="117" customWidth="1"/>
    <col min="2825" max="3073" width="8.88671875" style="117"/>
    <col min="3074" max="3074" width="5.21875" style="117" customWidth="1"/>
    <col min="3075" max="3075" width="22.77734375" style="117" customWidth="1"/>
    <col min="3076" max="3080" width="12.21875" style="117" customWidth="1"/>
    <col min="3081" max="3329" width="8.88671875" style="117"/>
    <col min="3330" max="3330" width="5.21875" style="117" customWidth="1"/>
    <col min="3331" max="3331" width="22.77734375" style="117" customWidth="1"/>
    <col min="3332" max="3336" width="12.21875" style="117" customWidth="1"/>
    <col min="3337" max="3585" width="8.88671875" style="117"/>
    <col min="3586" max="3586" width="5.21875" style="117" customWidth="1"/>
    <col min="3587" max="3587" width="22.77734375" style="117" customWidth="1"/>
    <col min="3588" max="3592" width="12.21875" style="117" customWidth="1"/>
    <col min="3593" max="3841" width="8.88671875" style="117"/>
    <col min="3842" max="3842" width="5.21875" style="117" customWidth="1"/>
    <col min="3843" max="3843" width="22.77734375" style="117" customWidth="1"/>
    <col min="3844" max="3848" width="12.21875" style="117" customWidth="1"/>
    <col min="3849" max="4097" width="8.88671875" style="117"/>
    <col min="4098" max="4098" width="5.21875" style="117" customWidth="1"/>
    <col min="4099" max="4099" width="22.77734375" style="117" customWidth="1"/>
    <col min="4100" max="4104" width="12.21875" style="117" customWidth="1"/>
    <col min="4105" max="4353" width="8.88671875" style="117"/>
    <col min="4354" max="4354" width="5.21875" style="117" customWidth="1"/>
    <col min="4355" max="4355" width="22.77734375" style="117" customWidth="1"/>
    <col min="4356" max="4360" width="12.21875" style="117" customWidth="1"/>
    <col min="4361" max="4609" width="8.88671875" style="117"/>
    <col min="4610" max="4610" width="5.21875" style="117" customWidth="1"/>
    <col min="4611" max="4611" width="22.77734375" style="117" customWidth="1"/>
    <col min="4612" max="4616" width="12.21875" style="117" customWidth="1"/>
    <col min="4617" max="4865" width="8.88671875" style="117"/>
    <col min="4866" max="4866" width="5.21875" style="117" customWidth="1"/>
    <col min="4867" max="4867" width="22.77734375" style="117" customWidth="1"/>
    <col min="4868" max="4872" width="12.21875" style="117" customWidth="1"/>
    <col min="4873" max="5121" width="8.88671875" style="117"/>
    <col min="5122" max="5122" width="5.21875" style="117" customWidth="1"/>
    <col min="5123" max="5123" width="22.77734375" style="117" customWidth="1"/>
    <col min="5124" max="5128" width="12.21875" style="117" customWidth="1"/>
    <col min="5129" max="5377" width="8.88671875" style="117"/>
    <col min="5378" max="5378" width="5.21875" style="117" customWidth="1"/>
    <col min="5379" max="5379" width="22.77734375" style="117" customWidth="1"/>
    <col min="5380" max="5384" width="12.21875" style="117" customWidth="1"/>
    <col min="5385" max="5633" width="8.88671875" style="117"/>
    <col min="5634" max="5634" width="5.21875" style="117" customWidth="1"/>
    <col min="5635" max="5635" width="22.77734375" style="117" customWidth="1"/>
    <col min="5636" max="5640" width="12.21875" style="117" customWidth="1"/>
    <col min="5641" max="5889" width="8.88671875" style="117"/>
    <col min="5890" max="5890" width="5.21875" style="117" customWidth="1"/>
    <col min="5891" max="5891" width="22.77734375" style="117" customWidth="1"/>
    <col min="5892" max="5896" width="12.21875" style="117" customWidth="1"/>
    <col min="5897" max="6145" width="8.88671875" style="117"/>
    <col min="6146" max="6146" width="5.21875" style="117" customWidth="1"/>
    <col min="6147" max="6147" width="22.77734375" style="117" customWidth="1"/>
    <col min="6148" max="6152" width="12.21875" style="117" customWidth="1"/>
    <col min="6153" max="6401" width="8.88671875" style="117"/>
    <col min="6402" max="6402" width="5.21875" style="117" customWidth="1"/>
    <col min="6403" max="6403" width="22.77734375" style="117" customWidth="1"/>
    <col min="6404" max="6408" width="12.21875" style="117" customWidth="1"/>
    <col min="6409" max="6657" width="8.88671875" style="117"/>
    <col min="6658" max="6658" width="5.21875" style="117" customWidth="1"/>
    <col min="6659" max="6659" width="22.77734375" style="117" customWidth="1"/>
    <col min="6660" max="6664" width="12.21875" style="117" customWidth="1"/>
    <col min="6665" max="6913" width="8.88671875" style="117"/>
    <col min="6914" max="6914" width="5.21875" style="117" customWidth="1"/>
    <col min="6915" max="6915" width="22.77734375" style="117" customWidth="1"/>
    <col min="6916" max="6920" width="12.21875" style="117" customWidth="1"/>
    <col min="6921" max="7169" width="8.88671875" style="117"/>
    <col min="7170" max="7170" width="5.21875" style="117" customWidth="1"/>
    <col min="7171" max="7171" width="22.77734375" style="117" customWidth="1"/>
    <col min="7172" max="7176" width="12.21875" style="117" customWidth="1"/>
    <col min="7177" max="7425" width="8.88671875" style="117"/>
    <col min="7426" max="7426" width="5.21875" style="117" customWidth="1"/>
    <col min="7427" max="7427" width="22.77734375" style="117" customWidth="1"/>
    <col min="7428" max="7432" width="12.21875" style="117" customWidth="1"/>
    <col min="7433" max="7681" width="8.88671875" style="117"/>
    <col min="7682" max="7682" width="5.21875" style="117" customWidth="1"/>
    <col min="7683" max="7683" width="22.77734375" style="117" customWidth="1"/>
    <col min="7684" max="7688" width="12.21875" style="117" customWidth="1"/>
    <col min="7689" max="7937" width="8.88671875" style="117"/>
    <col min="7938" max="7938" width="5.21875" style="117" customWidth="1"/>
    <col min="7939" max="7939" width="22.77734375" style="117" customWidth="1"/>
    <col min="7940" max="7944" width="12.21875" style="117" customWidth="1"/>
    <col min="7945" max="8193" width="8.88671875" style="117"/>
    <col min="8194" max="8194" width="5.21875" style="117" customWidth="1"/>
    <col min="8195" max="8195" width="22.77734375" style="117" customWidth="1"/>
    <col min="8196" max="8200" width="12.21875" style="117" customWidth="1"/>
    <col min="8201" max="8449" width="8.88671875" style="117"/>
    <col min="8450" max="8450" width="5.21875" style="117" customWidth="1"/>
    <col min="8451" max="8451" width="22.77734375" style="117" customWidth="1"/>
    <col min="8452" max="8456" width="12.21875" style="117" customWidth="1"/>
    <col min="8457" max="8705" width="8.88671875" style="117"/>
    <col min="8706" max="8706" width="5.21875" style="117" customWidth="1"/>
    <col min="8707" max="8707" width="22.77734375" style="117" customWidth="1"/>
    <col min="8708" max="8712" width="12.21875" style="117" customWidth="1"/>
    <col min="8713" max="8961" width="8.88671875" style="117"/>
    <col min="8962" max="8962" width="5.21875" style="117" customWidth="1"/>
    <col min="8963" max="8963" width="22.77734375" style="117" customWidth="1"/>
    <col min="8964" max="8968" width="12.21875" style="117" customWidth="1"/>
    <col min="8969" max="9217" width="8.88671875" style="117"/>
    <col min="9218" max="9218" width="5.21875" style="117" customWidth="1"/>
    <col min="9219" max="9219" width="22.77734375" style="117" customWidth="1"/>
    <col min="9220" max="9224" width="12.21875" style="117" customWidth="1"/>
    <col min="9225" max="9473" width="8.88671875" style="117"/>
    <col min="9474" max="9474" width="5.21875" style="117" customWidth="1"/>
    <col min="9475" max="9475" width="22.77734375" style="117" customWidth="1"/>
    <col min="9476" max="9480" width="12.21875" style="117" customWidth="1"/>
    <col min="9481" max="9729" width="8.88671875" style="117"/>
    <col min="9730" max="9730" width="5.21875" style="117" customWidth="1"/>
    <col min="9731" max="9731" width="22.77734375" style="117" customWidth="1"/>
    <col min="9732" max="9736" width="12.21875" style="117" customWidth="1"/>
    <col min="9737" max="9985" width="8.88671875" style="117"/>
    <col min="9986" max="9986" width="5.21875" style="117" customWidth="1"/>
    <col min="9987" max="9987" width="22.77734375" style="117" customWidth="1"/>
    <col min="9988" max="9992" width="12.21875" style="117" customWidth="1"/>
    <col min="9993" max="10241" width="8.88671875" style="117"/>
    <col min="10242" max="10242" width="5.21875" style="117" customWidth="1"/>
    <col min="10243" max="10243" width="22.77734375" style="117" customWidth="1"/>
    <col min="10244" max="10248" width="12.21875" style="117" customWidth="1"/>
    <col min="10249" max="10497" width="8.88671875" style="117"/>
    <col min="10498" max="10498" width="5.21875" style="117" customWidth="1"/>
    <col min="10499" max="10499" width="22.77734375" style="117" customWidth="1"/>
    <col min="10500" max="10504" width="12.21875" style="117" customWidth="1"/>
    <col min="10505" max="10753" width="8.88671875" style="117"/>
    <col min="10754" max="10754" width="5.21875" style="117" customWidth="1"/>
    <col min="10755" max="10755" width="22.77734375" style="117" customWidth="1"/>
    <col min="10756" max="10760" width="12.21875" style="117" customWidth="1"/>
    <col min="10761" max="11009" width="8.88671875" style="117"/>
    <col min="11010" max="11010" width="5.21875" style="117" customWidth="1"/>
    <col min="11011" max="11011" width="22.77734375" style="117" customWidth="1"/>
    <col min="11012" max="11016" width="12.21875" style="117" customWidth="1"/>
    <col min="11017" max="11265" width="8.88671875" style="117"/>
    <col min="11266" max="11266" width="5.21875" style="117" customWidth="1"/>
    <col min="11267" max="11267" width="22.77734375" style="117" customWidth="1"/>
    <col min="11268" max="11272" width="12.21875" style="117" customWidth="1"/>
    <col min="11273" max="11521" width="8.88671875" style="117"/>
    <col min="11522" max="11522" width="5.21875" style="117" customWidth="1"/>
    <col min="11523" max="11523" width="22.77734375" style="117" customWidth="1"/>
    <col min="11524" max="11528" width="12.21875" style="117" customWidth="1"/>
    <col min="11529" max="11777" width="8.88671875" style="117"/>
    <col min="11778" max="11778" width="5.21875" style="117" customWidth="1"/>
    <col min="11779" max="11779" width="22.77734375" style="117" customWidth="1"/>
    <col min="11780" max="11784" width="12.21875" style="117" customWidth="1"/>
    <col min="11785" max="12033" width="8.88671875" style="117"/>
    <col min="12034" max="12034" width="5.21875" style="117" customWidth="1"/>
    <col min="12035" max="12035" width="22.77734375" style="117" customWidth="1"/>
    <col min="12036" max="12040" width="12.21875" style="117" customWidth="1"/>
    <col min="12041" max="12289" width="8.88671875" style="117"/>
    <col min="12290" max="12290" width="5.21875" style="117" customWidth="1"/>
    <col min="12291" max="12291" width="22.77734375" style="117" customWidth="1"/>
    <col min="12292" max="12296" width="12.21875" style="117" customWidth="1"/>
    <col min="12297" max="12545" width="8.88671875" style="117"/>
    <col min="12546" max="12546" width="5.21875" style="117" customWidth="1"/>
    <col min="12547" max="12547" width="22.77734375" style="117" customWidth="1"/>
    <col min="12548" max="12552" width="12.21875" style="117" customWidth="1"/>
    <col min="12553" max="12801" width="8.88671875" style="117"/>
    <col min="12802" max="12802" width="5.21875" style="117" customWidth="1"/>
    <col min="12803" max="12803" width="22.77734375" style="117" customWidth="1"/>
    <col min="12804" max="12808" width="12.21875" style="117" customWidth="1"/>
    <col min="12809" max="13057" width="8.88671875" style="117"/>
    <col min="13058" max="13058" width="5.21875" style="117" customWidth="1"/>
    <col min="13059" max="13059" width="22.77734375" style="117" customWidth="1"/>
    <col min="13060" max="13064" width="12.21875" style="117" customWidth="1"/>
    <col min="13065" max="13313" width="8.88671875" style="117"/>
    <col min="13314" max="13314" width="5.21875" style="117" customWidth="1"/>
    <col min="13315" max="13315" width="22.77734375" style="117" customWidth="1"/>
    <col min="13316" max="13320" width="12.21875" style="117" customWidth="1"/>
    <col min="13321" max="13569" width="8.88671875" style="117"/>
    <col min="13570" max="13570" width="5.21875" style="117" customWidth="1"/>
    <col min="13571" max="13571" width="22.77734375" style="117" customWidth="1"/>
    <col min="13572" max="13576" width="12.21875" style="117" customWidth="1"/>
    <col min="13577" max="13825" width="8.88671875" style="117"/>
    <col min="13826" max="13826" width="5.21875" style="117" customWidth="1"/>
    <col min="13827" max="13827" width="22.77734375" style="117" customWidth="1"/>
    <col min="13828" max="13832" width="12.21875" style="117" customWidth="1"/>
    <col min="13833" max="14081" width="8.88671875" style="117"/>
    <col min="14082" max="14082" width="5.21875" style="117" customWidth="1"/>
    <col min="14083" max="14083" width="22.77734375" style="117" customWidth="1"/>
    <col min="14084" max="14088" width="12.21875" style="117" customWidth="1"/>
    <col min="14089" max="14337" width="8.88671875" style="117"/>
    <col min="14338" max="14338" width="5.21875" style="117" customWidth="1"/>
    <col min="14339" max="14339" width="22.77734375" style="117" customWidth="1"/>
    <col min="14340" max="14344" width="12.21875" style="117" customWidth="1"/>
    <col min="14345" max="14593" width="8.88671875" style="117"/>
    <col min="14594" max="14594" width="5.21875" style="117" customWidth="1"/>
    <col min="14595" max="14595" width="22.77734375" style="117" customWidth="1"/>
    <col min="14596" max="14600" width="12.21875" style="117" customWidth="1"/>
    <col min="14601" max="14849" width="8.88671875" style="117"/>
    <col min="14850" max="14850" width="5.21875" style="117" customWidth="1"/>
    <col min="14851" max="14851" width="22.77734375" style="117" customWidth="1"/>
    <col min="14852" max="14856" width="12.21875" style="117" customWidth="1"/>
    <col min="14857" max="15105" width="8.88671875" style="117"/>
    <col min="15106" max="15106" width="5.21875" style="117" customWidth="1"/>
    <col min="15107" max="15107" width="22.77734375" style="117" customWidth="1"/>
    <col min="15108" max="15112" width="12.21875" style="117" customWidth="1"/>
    <col min="15113" max="15361" width="8.88671875" style="117"/>
    <col min="15362" max="15362" width="5.21875" style="117" customWidth="1"/>
    <col min="15363" max="15363" width="22.77734375" style="117" customWidth="1"/>
    <col min="15364" max="15368" width="12.21875" style="117" customWidth="1"/>
    <col min="15369" max="15617" width="8.88671875" style="117"/>
    <col min="15618" max="15618" width="5.21875" style="117" customWidth="1"/>
    <col min="15619" max="15619" width="22.77734375" style="117" customWidth="1"/>
    <col min="15620" max="15624" width="12.21875" style="117" customWidth="1"/>
    <col min="15625" max="15873" width="8.88671875" style="117"/>
    <col min="15874" max="15874" width="5.21875" style="117" customWidth="1"/>
    <col min="15875" max="15875" width="22.77734375" style="117" customWidth="1"/>
    <col min="15876" max="15880" width="12.21875" style="117" customWidth="1"/>
    <col min="15881" max="16129" width="8.88671875" style="117"/>
    <col min="16130" max="16130" width="5.21875" style="117" customWidth="1"/>
    <col min="16131" max="16131" width="22.77734375" style="117" customWidth="1"/>
    <col min="16132" max="16136" width="12.21875" style="117" customWidth="1"/>
    <col min="16137" max="16384" width="8.88671875" style="117"/>
  </cols>
  <sheetData>
    <row r="1" spans="1:11" ht="15.75">
      <c r="A1" s="509" t="str">
        <f>+'Balance sheet'!A1:F1</f>
        <v>INDIANA MUNICIPAL POWER AGENCY</v>
      </c>
      <c r="B1" s="509"/>
      <c r="C1" s="509"/>
      <c r="D1" s="509"/>
      <c r="E1" s="509"/>
      <c r="F1" s="509"/>
      <c r="G1" s="509"/>
      <c r="H1" s="509"/>
      <c r="I1" s="509"/>
      <c r="J1" s="509"/>
      <c r="K1" s="498">
        <v>43202</v>
      </c>
    </row>
    <row r="2" spans="1:11" ht="15">
      <c r="A2" s="510" t="s">
        <v>249</v>
      </c>
      <c r="B2" s="510"/>
      <c r="C2" s="510"/>
      <c r="D2" s="510"/>
      <c r="E2" s="510"/>
      <c r="F2" s="510"/>
      <c r="G2" s="510"/>
      <c r="H2" s="510"/>
      <c r="I2" s="510"/>
      <c r="J2" s="510"/>
    </row>
    <row r="3" spans="1:11" ht="15">
      <c r="A3" s="510" t="s">
        <v>364</v>
      </c>
      <c r="B3" s="510"/>
      <c r="C3" s="510"/>
      <c r="D3" s="510"/>
      <c r="E3" s="510"/>
      <c r="F3" s="510"/>
      <c r="G3" s="510"/>
      <c r="H3" s="510"/>
      <c r="I3" s="510"/>
      <c r="J3" s="510"/>
    </row>
    <row r="4" spans="1:11" ht="15.75">
      <c r="A4" s="511">
        <f>+'Balance sheet'!A4:F4</f>
        <v>43100</v>
      </c>
      <c r="B4" s="511"/>
      <c r="C4" s="511"/>
      <c r="D4" s="511"/>
      <c r="E4" s="511"/>
      <c r="F4" s="511"/>
      <c r="G4" s="511"/>
      <c r="H4" s="511"/>
      <c r="I4" s="511"/>
      <c r="J4" s="511"/>
    </row>
    <row r="5" spans="1:11">
      <c r="A5" s="175"/>
      <c r="B5" s="175"/>
      <c r="C5" s="175"/>
    </row>
    <row r="6" spans="1:11" ht="15">
      <c r="A6" s="512" t="s">
        <v>257</v>
      </c>
      <c r="B6" s="512"/>
      <c r="C6" s="512"/>
      <c r="D6" s="512"/>
      <c r="E6" s="512"/>
      <c r="F6" s="512"/>
      <c r="G6" s="512"/>
      <c r="H6" s="512"/>
    </row>
    <row r="7" spans="1:11">
      <c r="A7" s="118" t="s">
        <v>4</v>
      </c>
      <c r="B7" s="179"/>
      <c r="C7" s="179" t="s">
        <v>365</v>
      </c>
      <c r="D7" s="179"/>
      <c r="E7" s="179"/>
      <c r="F7" s="179"/>
      <c r="G7" s="179"/>
      <c r="H7" s="179" t="s">
        <v>366</v>
      </c>
      <c r="I7" s="179" t="s">
        <v>3126</v>
      </c>
      <c r="J7" s="179" t="s">
        <v>3128</v>
      </c>
    </row>
    <row r="8" spans="1:11">
      <c r="A8" s="121" t="s">
        <v>6</v>
      </c>
      <c r="B8" s="122"/>
      <c r="C8" s="122" t="s">
        <v>367</v>
      </c>
      <c r="D8" s="122" t="s">
        <v>368</v>
      </c>
      <c r="E8" s="122" t="s">
        <v>369</v>
      </c>
      <c r="F8" s="122" t="s">
        <v>370</v>
      </c>
      <c r="G8" s="122" t="s">
        <v>2314</v>
      </c>
      <c r="H8" s="122" t="s">
        <v>367</v>
      </c>
      <c r="I8" s="122" t="s">
        <v>3127</v>
      </c>
      <c r="J8" s="122" t="s">
        <v>3129</v>
      </c>
    </row>
    <row r="9" spans="1:11" ht="20.100000000000001" customHeight="1">
      <c r="A9" s="131">
        <v>1</v>
      </c>
      <c r="B9" s="132" t="s">
        <v>371</v>
      </c>
      <c r="C9" s="196">
        <v>0</v>
      </c>
      <c r="D9" s="196">
        <v>0</v>
      </c>
      <c r="E9" s="196">
        <v>0</v>
      </c>
      <c r="F9" s="196">
        <v>0</v>
      </c>
      <c r="G9" s="196"/>
      <c r="H9" s="197">
        <f t="shared" ref="H9" si="0">+C9+D9-E9-F9</f>
        <v>0</v>
      </c>
      <c r="I9" s="197"/>
      <c r="J9" s="197">
        <f>H9-I9</f>
        <v>0</v>
      </c>
    </row>
    <row r="10" spans="1:11" ht="12.75" customHeight="1">
      <c r="A10" s="131"/>
      <c r="B10" s="132"/>
      <c r="C10" s="198"/>
      <c r="D10" s="198"/>
      <c r="E10" s="198"/>
      <c r="F10" s="198"/>
      <c r="G10" s="198"/>
      <c r="H10" s="197"/>
      <c r="I10" s="197"/>
      <c r="J10" s="197"/>
    </row>
    <row r="11" spans="1:11" ht="20.100000000000001" customHeight="1">
      <c r="A11" s="131">
        <v>2</v>
      </c>
      <c r="B11" s="132" t="s">
        <v>372</v>
      </c>
      <c r="C11" s="199">
        <v>1264655106</v>
      </c>
      <c r="D11" s="199">
        <v>119444</v>
      </c>
      <c r="E11" s="199">
        <v>18852115</v>
      </c>
      <c r="F11" s="199">
        <v>40639907</v>
      </c>
      <c r="G11" s="199">
        <v>-327981</v>
      </c>
      <c r="H11" s="200">
        <f>+C11+D11-E11+F11+G11</f>
        <v>1286234361</v>
      </c>
      <c r="I11" s="436">
        <f>ROUND('Trial Balance'!G41,0)</f>
        <v>12718911</v>
      </c>
      <c r="J11" s="200">
        <f t="shared" ref="J11:J28" si="1">H11-I11</f>
        <v>1273515450</v>
      </c>
      <c r="K11" s="435"/>
    </row>
    <row r="12" spans="1:11" ht="20.100000000000001" customHeight="1">
      <c r="A12" s="131">
        <v>3</v>
      </c>
      <c r="B12" s="132" t="s">
        <v>373</v>
      </c>
      <c r="C12" s="199">
        <v>0</v>
      </c>
      <c r="D12" s="199">
        <v>0</v>
      </c>
      <c r="E12" s="199">
        <v>0</v>
      </c>
      <c r="F12" s="199">
        <v>0</v>
      </c>
      <c r="G12" s="199"/>
      <c r="H12" s="200">
        <f t="shared" ref="H12:H14" si="2">+C12+D12-E12+F12+G12</f>
        <v>0</v>
      </c>
      <c r="I12" s="436"/>
      <c r="J12" s="200">
        <f t="shared" si="1"/>
        <v>0</v>
      </c>
    </row>
    <row r="13" spans="1:11" ht="20.100000000000001" customHeight="1">
      <c r="A13" s="131">
        <v>4</v>
      </c>
      <c r="B13" s="132" t="s">
        <v>374</v>
      </c>
      <c r="C13" s="199">
        <v>0</v>
      </c>
      <c r="D13" s="199">
        <v>0</v>
      </c>
      <c r="E13" s="199">
        <v>0</v>
      </c>
      <c r="F13" s="199">
        <v>0</v>
      </c>
      <c r="G13" s="199"/>
      <c r="H13" s="200">
        <f t="shared" si="2"/>
        <v>0</v>
      </c>
      <c r="I13" s="436"/>
      <c r="J13" s="200">
        <f t="shared" si="1"/>
        <v>0</v>
      </c>
    </row>
    <row r="14" spans="1:11" ht="20.100000000000001" customHeight="1" thickBot="1">
      <c r="A14" s="131">
        <v>5</v>
      </c>
      <c r="B14" s="132" t="s">
        <v>375</v>
      </c>
      <c r="C14" s="201">
        <v>182114577</v>
      </c>
      <c r="D14" s="201">
        <v>845</v>
      </c>
      <c r="E14" s="201">
        <v>0</v>
      </c>
      <c r="F14" s="201">
        <v>700000</v>
      </c>
      <c r="G14" s="201">
        <v>6655</v>
      </c>
      <c r="H14" s="200">
        <f t="shared" si="2"/>
        <v>182822077</v>
      </c>
      <c r="I14" s="437"/>
      <c r="J14" s="428">
        <f t="shared" si="1"/>
        <v>182822077</v>
      </c>
      <c r="K14" s="435"/>
    </row>
    <row r="15" spans="1:11" ht="20.100000000000001" customHeight="1" thickBot="1">
      <c r="A15" s="131">
        <v>6</v>
      </c>
      <c r="B15" s="155" t="s">
        <v>376</v>
      </c>
      <c r="C15" s="203">
        <f>SUM(C11:C14)</f>
        <v>1446769683</v>
      </c>
      <c r="D15" s="204">
        <f>SUM(D11:D14)</f>
        <v>120289</v>
      </c>
      <c r="E15" s="204">
        <f>SUM(E11:E14)</f>
        <v>18852115</v>
      </c>
      <c r="F15" s="204">
        <f>SUM(F11:F14)</f>
        <v>41339907</v>
      </c>
      <c r="G15" s="204">
        <f>SUM(G11:G14)</f>
        <v>-321326</v>
      </c>
      <c r="H15" s="194">
        <f>+C15+D15-E15+F15+G15</f>
        <v>1469056438</v>
      </c>
      <c r="I15" s="194">
        <f>SUM(I11:I14)</f>
        <v>12718911</v>
      </c>
      <c r="J15" s="194">
        <f t="shared" si="1"/>
        <v>1456337527</v>
      </c>
    </row>
    <row r="16" spans="1:11" ht="12" customHeight="1">
      <c r="A16" s="131"/>
      <c r="B16" s="205"/>
      <c r="C16" s="206"/>
      <c r="D16" s="206"/>
      <c r="E16" s="206"/>
      <c r="F16" s="206"/>
      <c r="G16" s="206"/>
      <c r="H16" s="206"/>
      <c r="I16" s="206"/>
      <c r="J16" s="206"/>
    </row>
    <row r="17" spans="1:11" ht="20.100000000000001" customHeight="1">
      <c r="A17" s="131">
        <v>7</v>
      </c>
      <c r="B17" s="132" t="s">
        <v>377</v>
      </c>
      <c r="C17" s="199">
        <v>122212995</v>
      </c>
      <c r="D17" s="199">
        <v>732271</v>
      </c>
      <c r="E17" s="199">
        <v>0</v>
      </c>
      <c r="F17" s="199">
        <v>30224027</v>
      </c>
      <c r="G17" s="199">
        <v>0</v>
      </c>
      <c r="H17" s="200">
        <f t="shared" ref="H17:H19" si="3">+C17+D17-E17+F17+G17</f>
        <v>153169293</v>
      </c>
      <c r="I17" s="436"/>
      <c r="J17" s="429">
        <f t="shared" si="1"/>
        <v>153169293</v>
      </c>
    </row>
    <row r="18" spans="1:11" ht="20.100000000000001" customHeight="1">
      <c r="A18" s="131">
        <v>8</v>
      </c>
      <c r="B18" s="132" t="s">
        <v>378</v>
      </c>
      <c r="C18" s="199">
        <v>12109944</v>
      </c>
      <c r="D18" s="199">
        <v>0</v>
      </c>
      <c r="E18" s="199">
        <v>0</v>
      </c>
      <c r="F18" s="199">
        <v>1127530</v>
      </c>
      <c r="G18" s="199">
        <v>0</v>
      </c>
      <c r="H18" s="200">
        <f t="shared" si="3"/>
        <v>13237474</v>
      </c>
      <c r="I18" s="436"/>
      <c r="J18" s="429">
        <f t="shared" si="1"/>
        <v>13237474</v>
      </c>
      <c r="K18" s="435"/>
    </row>
    <row r="19" spans="1:11" ht="20.100000000000001" customHeight="1" thickBot="1">
      <c r="A19" s="131">
        <v>9</v>
      </c>
      <c r="B19" s="132" t="s">
        <v>379</v>
      </c>
      <c r="C19" s="201">
        <v>17108563</v>
      </c>
      <c r="D19" s="201">
        <v>406762</v>
      </c>
      <c r="E19" s="201">
        <v>90273</v>
      </c>
      <c r="F19" s="201">
        <v>339689</v>
      </c>
      <c r="G19" s="201">
        <v>0</v>
      </c>
      <c r="H19" s="200">
        <f t="shared" si="3"/>
        <v>17764741</v>
      </c>
      <c r="I19" s="437"/>
      <c r="J19" s="428">
        <f t="shared" si="1"/>
        <v>17764741</v>
      </c>
    </row>
    <row r="20" spans="1:11" ht="20.100000000000001" customHeight="1" thickBot="1">
      <c r="A20" s="131">
        <v>10</v>
      </c>
      <c r="B20" s="155" t="s">
        <v>380</v>
      </c>
      <c r="C20" s="203">
        <f>SUM(C15:C19)+C9</f>
        <v>1598201185</v>
      </c>
      <c r="D20" s="203">
        <f>SUM(D15:D19)+D9</f>
        <v>1259322</v>
      </c>
      <c r="E20" s="203">
        <f>SUM(E15:E19)+E9</f>
        <v>18942388</v>
      </c>
      <c r="F20" s="203">
        <f>SUM(F15:F19)+F9</f>
        <v>73031153</v>
      </c>
      <c r="G20" s="203">
        <f>SUM(G15:G19)+G9</f>
        <v>-321326</v>
      </c>
      <c r="H20" s="194">
        <f>+C20+D20-E20+F20+G20</f>
        <v>1653227946</v>
      </c>
      <c r="I20" s="194">
        <f>SUM(I15:I19)</f>
        <v>12718911</v>
      </c>
      <c r="J20" s="194">
        <f t="shared" si="1"/>
        <v>1640509035</v>
      </c>
    </row>
    <row r="21" spans="1:11" ht="11.25" customHeight="1">
      <c r="A21" s="131"/>
      <c r="B21" s="205"/>
      <c r="C21" s="206"/>
      <c r="D21" s="206"/>
      <c r="E21" s="206"/>
      <c r="F21" s="206"/>
      <c r="G21" s="206"/>
      <c r="H21" s="206"/>
      <c r="I21" s="206"/>
      <c r="J21" s="206"/>
    </row>
    <row r="22" spans="1:11" ht="20.100000000000001" customHeight="1">
      <c r="A22" s="131">
        <v>11</v>
      </c>
      <c r="B22" s="132" t="s">
        <v>381</v>
      </c>
      <c r="C22" s="199">
        <v>0</v>
      </c>
      <c r="D22" s="199">
        <v>0</v>
      </c>
      <c r="E22" s="199">
        <v>0</v>
      </c>
      <c r="F22" s="199">
        <v>0</v>
      </c>
      <c r="G22" s="199"/>
      <c r="H22" s="200">
        <f>+C22+D22-E22-F22+G22</f>
        <v>0</v>
      </c>
      <c r="I22" s="436"/>
      <c r="J22" s="429">
        <f t="shared" si="1"/>
        <v>0</v>
      </c>
    </row>
    <row r="23" spans="1:11" ht="20.100000000000001" customHeight="1">
      <c r="A23" s="131">
        <v>12</v>
      </c>
      <c r="B23" s="132" t="s">
        <v>382</v>
      </c>
      <c r="C23" s="199">
        <v>0</v>
      </c>
      <c r="D23" s="199">
        <v>0</v>
      </c>
      <c r="E23" s="199">
        <v>0</v>
      </c>
      <c r="F23" s="199">
        <v>0</v>
      </c>
      <c r="G23" s="199"/>
      <c r="H23" s="200">
        <f>+C23+D23-E23-F23+G23</f>
        <v>0</v>
      </c>
      <c r="I23" s="436"/>
      <c r="J23" s="429">
        <f t="shared" si="1"/>
        <v>0</v>
      </c>
    </row>
    <row r="24" spans="1:11" ht="20.100000000000001" customHeight="1" thickBot="1">
      <c r="A24" s="131">
        <v>13</v>
      </c>
      <c r="B24" s="132" t="s">
        <v>383</v>
      </c>
      <c r="C24" s="201">
        <v>0</v>
      </c>
      <c r="D24" s="201">
        <v>0</v>
      </c>
      <c r="E24" s="201">
        <v>0</v>
      </c>
      <c r="F24" s="201">
        <v>0</v>
      </c>
      <c r="G24" s="201"/>
      <c r="H24" s="200">
        <f>+C24+D24-E24-F24+G24</f>
        <v>0</v>
      </c>
      <c r="I24" s="437"/>
      <c r="J24" s="428">
        <f t="shared" si="1"/>
        <v>0</v>
      </c>
    </row>
    <row r="25" spans="1:11" ht="20.100000000000001" customHeight="1" thickBot="1">
      <c r="A25" s="131">
        <v>14</v>
      </c>
      <c r="B25" s="155" t="s">
        <v>259</v>
      </c>
      <c r="C25" s="203">
        <f>SUM(C20:C24)</f>
        <v>1598201185</v>
      </c>
      <c r="D25" s="204">
        <f>SUM(D20:D24)</f>
        <v>1259322</v>
      </c>
      <c r="E25" s="204">
        <f>SUM(E20:E24)</f>
        <v>18942388</v>
      </c>
      <c r="F25" s="204">
        <f>SUM(F20:F24)</f>
        <v>73031153</v>
      </c>
      <c r="G25" s="204">
        <f>SUM(G20:G24)</f>
        <v>-321326</v>
      </c>
      <c r="H25" s="194">
        <f>+C25+D25-E25+F25+G25</f>
        <v>1653227946</v>
      </c>
      <c r="I25" s="194">
        <f>SUM(I20:I24)</f>
        <v>12718911</v>
      </c>
      <c r="J25" s="194">
        <f t="shared" si="1"/>
        <v>1640509035</v>
      </c>
    </row>
    <row r="26" spans="1:11" ht="11.25" customHeight="1">
      <c r="A26" s="131"/>
      <c r="B26" s="205"/>
      <c r="C26" s="207"/>
      <c r="D26" s="207"/>
      <c r="E26" s="207"/>
      <c r="F26" s="207"/>
      <c r="G26" s="207"/>
      <c r="H26" s="207"/>
      <c r="I26" s="207"/>
      <c r="J26" s="207"/>
    </row>
    <row r="27" spans="1:11" ht="20.100000000000001" customHeight="1" thickBot="1">
      <c r="A27" s="131">
        <v>15</v>
      </c>
      <c r="B27" s="132" t="s">
        <v>384</v>
      </c>
      <c r="C27" s="201">
        <v>78666593</v>
      </c>
      <c r="D27" s="201">
        <v>81067296</v>
      </c>
      <c r="E27" s="201">
        <v>24559831</v>
      </c>
      <c r="F27" s="201">
        <v>-73031153</v>
      </c>
      <c r="G27" s="201">
        <v>-6655</v>
      </c>
      <c r="H27" s="202">
        <f>+C27+D27-E27+F27+G27</f>
        <v>62136250</v>
      </c>
      <c r="I27" s="437"/>
      <c r="J27" s="428">
        <f t="shared" si="1"/>
        <v>62136250</v>
      </c>
    </row>
    <row r="28" spans="1:11" ht="20.100000000000001" customHeight="1" thickBot="1">
      <c r="A28" s="131">
        <v>16</v>
      </c>
      <c r="B28" s="155" t="s">
        <v>385</v>
      </c>
      <c r="C28" s="203">
        <f>SUM(C25:C27)</f>
        <v>1676867778</v>
      </c>
      <c r="D28" s="204">
        <f>SUM(D25:D27)</f>
        <v>82326618</v>
      </c>
      <c r="E28" s="204">
        <f>SUM(E25:E27)</f>
        <v>43502219</v>
      </c>
      <c r="F28" s="204">
        <f>SUM(F25:F27)</f>
        <v>0</v>
      </c>
      <c r="G28" s="204">
        <f>SUM(G25:G27)</f>
        <v>-327981</v>
      </c>
      <c r="H28" s="194">
        <f>+C28+D28-E28+F28+G28</f>
        <v>1715364196</v>
      </c>
      <c r="I28" s="194">
        <f>SUM(I25:I27)</f>
        <v>12718911</v>
      </c>
      <c r="J28" s="194">
        <f t="shared" si="1"/>
        <v>1702645285</v>
      </c>
    </row>
    <row r="29" spans="1:11" ht="20.100000000000001" customHeight="1">
      <c r="B29" s="117" t="s">
        <v>386</v>
      </c>
      <c r="H29" s="195" t="s">
        <v>2</v>
      </c>
      <c r="I29" s="195"/>
      <c r="J29" s="195"/>
    </row>
    <row r="31" spans="1:11">
      <c r="H31" s="434"/>
      <c r="I31" s="195"/>
      <c r="J31" s="195"/>
    </row>
    <row r="32" spans="1:11">
      <c r="H32" s="434"/>
      <c r="I32" s="195"/>
      <c r="J32" s="195"/>
    </row>
    <row r="33" spans="8:8">
      <c r="H33" s="434"/>
    </row>
  </sheetData>
  <mergeCells count="5">
    <mergeCell ref="A6:H6"/>
    <mergeCell ref="A1:J1"/>
    <mergeCell ref="A2:J2"/>
    <mergeCell ref="A3:J3"/>
    <mergeCell ref="A4:J4"/>
  </mergeCells>
  <pageMargins left="0.5" right="0.5" top="0.75" bottom="0.5" header="0.5" footer="0.5"/>
  <pageSetup scale="84" orientation="landscape" r:id="rId1"/>
  <headerFooter alignWithMargins="0">
    <oddFooter>&amp;L&amp;Z&amp;F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8"/>
  <sheetViews>
    <sheetView zoomScale="80" workbookViewId="0">
      <selection sqref="A1:G1"/>
    </sheetView>
  </sheetViews>
  <sheetFormatPr defaultRowHeight="12.75"/>
  <cols>
    <col min="1" max="1" width="8.88671875" style="117"/>
    <col min="2" max="2" width="35" style="117" customWidth="1"/>
    <col min="3" max="3" width="9.44140625" style="117" customWidth="1"/>
    <col min="4" max="257" width="8.88671875" style="117"/>
    <col min="258" max="258" width="35" style="117" customWidth="1"/>
    <col min="259" max="259" width="9.44140625" style="117" customWidth="1"/>
    <col min="260" max="513" width="8.88671875" style="117"/>
    <col min="514" max="514" width="35" style="117" customWidth="1"/>
    <col min="515" max="515" width="9.44140625" style="117" customWidth="1"/>
    <col min="516" max="769" width="8.88671875" style="117"/>
    <col min="770" max="770" width="35" style="117" customWidth="1"/>
    <col min="771" max="771" width="9.44140625" style="117" customWidth="1"/>
    <col min="772" max="1025" width="8.88671875" style="117"/>
    <col min="1026" max="1026" width="35" style="117" customWidth="1"/>
    <col min="1027" max="1027" width="9.44140625" style="117" customWidth="1"/>
    <col min="1028" max="1281" width="8.88671875" style="117"/>
    <col min="1282" max="1282" width="35" style="117" customWidth="1"/>
    <col min="1283" max="1283" width="9.44140625" style="117" customWidth="1"/>
    <col min="1284" max="1537" width="8.88671875" style="117"/>
    <col min="1538" max="1538" width="35" style="117" customWidth="1"/>
    <col min="1539" max="1539" width="9.44140625" style="117" customWidth="1"/>
    <col min="1540" max="1793" width="8.88671875" style="117"/>
    <col min="1794" max="1794" width="35" style="117" customWidth="1"/>
    <col min="1795" max="1795" width="9.44140625" style="117" customWidth="1"/>
    <col min="1796" max="2049" width="8.88671875" style="117"/>
    <col min="2050" max="2050" width="35" style="117" customWidth="1"/>
    <col min="2051" max="2051" width="9.44140625" style="117" customWidth="1"/>
    <col min="2052" max="2305" width="8.88671875" style="117"/>
    <col min="2306" max="2306" width="35" style="117" customWidth="1"/>
    <col min="2307" max="2307" width="9.44140625" style="117" customWidth="1"/>
    <col min="2308" max="2561" width="8.88671875" style="117"/>
    <col min="2562" max="2562" width="35" style="117" customWidth="1"/>
    <col min="2563" max="2563" width="9.44140625" style="117" customWidth="1"/>
    <col min="2564" max="2817" width="8.88671875" style="117"/>
    <col min="2818" max="2818" width="35" style="117" customWidth="1"/>
    <col min="2819" max="2819" width="9.44140625" style="117" customWidth="1"/>
    <col min="2820" max="3073" width="8.88671875" style="117"/>
    <col min="3074" max="3074" width="35" style="117" customWidth="1"/>
    <col min="3075" max="3075" width="9.44140625" style="117" customWidth="1"/>
    <col min="3076" max="3329" width="8.88671875" style="117"/>
    <col min="3330" max="3330" width="35" style="117" customWidth="1"/>
    <col min="3331" max="3331" width="9.44140625" style="117" customWidth="1"/>
    <col min="3332" max="3585" width="8.88671875" style="117"/>
    <col min="3586" max="3586" width="35" style="117" customWidth="1"/>
    <col min="3587" max="3587" width="9.44140625" style="117" customWidth="1"/>
    <col min="3588" max="3841" width="8.88671875" style="117"/>
    <col min="3842" max="3842" width="35" style="117" customWidth="1"/>
    <col min="3843" max="3843" width="9.44140625" style="117" customWidth="1"/>
    <col min="3844" max="4097" width="8.88671875" style="117"/>
    <col min="4098" max="4098" width="35" style="117" customWidth="1"/>
    <col min="4099" max="4099" width="9.44140625" style="117" customWidth="1"/>
    <col min="4100" max="4353" width="8.88671875" style="117"/>
    <col min="4354" max="4354" width="35" style="117" customWidth="1"/>
    <col min="4355" max="4355" width="9.44140625" style="117" customWidth="1"/>
    <col min="4356" max="4609" width="8.88671875" style="117"/>
    <col min="4610" max="4610" width="35" style="117" customWidth="1"/>
    <col min="4611" max="4611" width="9.44140625" style="117" customWidth="1"/>
    <col min="4612" max="4865" width="8.88671875" style="117"/>
    <col min="4866" max="4866" width="35" style="117" customWidth="1"/>
    <col min="4867" max="4867" width="9.44140625" style="117" customWidth="1"/>
    <col min="4868" max="5121" width="8.88671875" style="117"/>
    <col min="5122" max="5122" width="35" style="117" customWidth="1"/>
    <col min="5123" max="5123" width="9.44140625" style="117" customWidth="1"/>
    <col min="5124" max="5377" width="8.88671875" style="117"/>
    <col min="5378" max="5378" width="35" style="117" customWidth="1"/>
    <col min="5379" max="5379" width="9.44140625" style="117" customWidth="1"/>
    <col min="5380" max="5633" width="8.88671875" style="117"/>
    <col min="5634" max="5634" width="35" style="117" customWidth="1"/>
    <col min="5635" max="5635" width="9.44140625" style="117" customWidth="1"/>
    <col min="5636" max="5889" width="8.88671875" style="117"/>
    <col min="5890" max="5890" width="35" style="117" customWidth="1"/>
    <col min="5891" max="5891" width="9.44140625" style="117" customWidth="1"/>
    <col min="5892" max="6145" width="8.88671875" style="117"/>
    <col min="6146" max="6146" width="35" style="117" customWidth="1"/>
    <col min="6147" max="6147" width="9.44140625" style="117" customWidth="1"/>
    <col min="6148" max="6401" width="8.88671875" style="117"/>
    <col min="6402" max="6402" width="35" style="117" customWidth="1"/>
    <col min="6403" max="6403" width="9.44140625" style="117" customWidth="1"/>
    <col min="6404" max="6657" width="8.88671875" style="117"/>
    <col min="6658" max="6658" width="35" style="117" customWidth="1"/>
    <col min="6659" max="6659" width="9.44140625" style="117" customWidth="1"/>
    <col min="6660" max="6913" width="8.88671875" style="117"/>
    <col min="6914" max="6914" width="35" style="117" customWidth="1"/>
    <col min="6915" max="6915" width="9.44140625" style="117" customWidth="1"/>
    <col min="6916" max="7169" width="8.88671875" style="117"/>
    <col min="7170" max="7170" width="35" style="117" customWidth="1"/>
    <col min="7171" max="7171" width="9.44140625" style="117" customWidth="1"/>
    <col min="7172" max="7425" width="8.88671875" style="117"/>
    <col min="7426" max="7426" width="35" style="117" customWidth="1"/>
    <col min="7427" max="7427" width="9.44140625" style="117" customWidth="1"/>
    <col min="7428" max="7681" width="8.88671875" style="117"/>
    <col min="7682" max="7682" width="35" style="117" customWidth="1"/>
    <col min="7683" max="7683" width="9.44140625" style="117" customWidth="1"/>
    <col min="7684" max="7937" width="8.88671875" style="117"/>
    <col min="7938" max="7938" width="35" style="117" customWidth="1"/>
    <col min="7939" max="7939" width="9.44140625" style="117" customWidth="1"/>
    <col min="7940" max="8193" width="8.88671875" style="117"/>
    <col min="8194" max="8194" width="35" style="117" customWidth="1"/>
    <col min="8195" max="8195" width="9.44140625" style="117" customWidth="1"/>
    <col min="8196" max="8449" width="8.88671875" style="117"/>
    <col min="8450" max="8450" width="35" style="117" customWidth="1"/>
    <col min="8451" max="8451" width="9.44140625" style="117" customWidth="1"/>
    <col min="8452" max="8705" width="8.88671875" style="117"/>
    <col min="8706" max="8706" width="35" style="117" customWidth="1"/>
    <col min="8707" max="8707" width="9.44140625" style="117" customWidth="1"/>
    <col min="8708" max="8961" width="8.88671875" style="117"/>
    <col min="8962" max="8962" width="35" style="117" customWidth="1"/>
    <col min="8963" max="8963" width="9.44140625" style="117" customWidth="1"/>
    <col min="8964" max="9217" width="8.88671875" style="117"/>
    <col min="9218" max="9218" width="35" style="117" customWidth="1"/>
    <col min="9219" max="9219" width="9.44140625" style="117" customWidth="1"/>
    <col min="9220" max="9473" width="8.88671875" style="117"/>
    <col min="9474" max="9474" width="35" style="117" customWidth="1"/>
    <col min="9475" max="9475" width="9.44140625" style="117" customWidth="1"/>
    <col min="9476" max="9729" width="8.88671875" style="117"/>
    <col min="9730" max="9730" width="35" style="117" customWidth="1"/>
    <col min="9731" max="9731" width="9.44140625" style="117" customWidth="1"/>
    <col min="9732" max="9985" width="8.88671875" style="117"/>
    <col min="9986" max="9986" width="35" style="117" customWidth="1"/>
    <col min="9987" max="9987" width="9.44140625" style="117" customWidth="1"/>
    <col min="9988" max="10241" width="8.88671875" style="117"/>
    <col min="10242" max="10242" width="35" style="117" customWidth="1"/>
    <col min="10243" max="10243" width="9.44140625" style="117" customWidth="1"/>
    <col min="10244" max="10497" width="8.88671875" style="117"/>
    <col min="10498" max="10498" width="35" style="117" customWidth="1"/>
    <col min="10499" max="10499" width="9.44140625" style="117" customWidth="1"/>
    <col min="10500" max="10753" width="8.88671875" style="117"/>
    <col min="10754" max="10754" width="35" style="117" customWidth="1"/>
    <col min="10755" max="10755" width="9.44140625" style="117" customWidth="1"/>
    <col min="10756" max="11009" width="8.88671875" style="117"/>
    <col min="11010" max="11010" width="35" style="117" customWidth="1"/>
    <col min="11011" max="11011" width="9.44140625" style="117" customWidth="1"/>
    <col min="11012" max="11265" width="8.88671875" style="117"/>
    <col min="11266" max="11266" width="35" style="117" customWidth="1"/>
    <col min="11267" max="11267" width="9.44140625" style="117" customWidth="1"/>
    <col min="11268" max="11521" width="8.88671875" style="117"/>
    <col min="11522" max="11522" width="35" style="117" customWidth="1"/>
    <col min="11523" max="11523" width="9.44140625" style="117" customWidth="1"/>
    <col min="11524" max="11777" width="8.88671875" style="117"/>
    <col min="11778" max="11778" width="35" style="117" customWidth="1"/>
    <col min="11779" max="11779" width="9.44140625" style="117" customWidth="1"/>
    <col min="11780" max="12033" width="8.88671875" style="117"/>
    <col min="12034" max="12034" width="35" style="117" customWidth="1"/>
    <col min="12035" max="12035" width="9.44140625" style="117" customWidth="1"/>
    <col min="12036" max="12289" width="8.88671875" style="117"/>
    <col min="12290" max="12290" width="35" style="117" customWidth="1"/>
    <col min="12291" max="12291" width="9.44140625" style="117" customWidth="1"/>
    <col min="12292" max="12545" width="8.88671875" style="117"/>
    <col min="12546" max="12546" width="35" style="117" customWidth="1"/>
    <col min="12547" max="12547" width="9.44140625" style="117" customWidth="1"/>
    <col min="12548" max="12801" width="8.88671875" style="117"/>
    <col min="12802" max="12802" width="35" style="117" customWidth="1"/>
    <col min="12803" max="12803" width="9.44140625" style="117" customWidth="1"/>
    <col min="12804" max="13057" width="8.88671875" style="117"/>
    <col min="13058" max="13058" width="35" style="117" customWidth="1"/>
    <col min="13059" max="13059" width="9.44140625" style="117" customWidth="1"/>
    <col min="13060" max="13313" width="8.88671875" style="117"/>
    <col min="13314" max="13314" width="35" style="117" customWidth="1"/>
    <col min="13315" max="13315" width="9.44140625" style="117" customWidth="1"/>
    <col min="13316" max="13569" width="8.88671875" style="117"/>
    <col min="13570" max="13570" width="35" style="117" customWidth="1"/>
    <col min="13571" max="13571" width="9.44140625" style="117" customWidth="1"/>
    <col min="13572" max="13825" width="8.88671875" style="117"/>
    <col min="13826" max="13826" width="35" style="117" customWidth="1"/>
    <col min="13827" max="13827" width="9.44140625" style="117" customWidth="1"/>
    <col min="13828" max="14081" width="8.88671875" style="117"/>
    <col min="14082" max="14082" width="35" style="117" customWidth="1"/>
    <col min="14083" max="14083" width="9.44140625" style="117" customWidth="1"/>
    <col min="14084" max="14337" width="8.88671875" style="117"/>
    <col min="14338" max="14338" width="35" style="117" customWidth="1"/>
    <col min="14339" max="14339" width="9.44140625" style="117" customWidth="1"/>
    <col min="14340" max="14593" width="8.88671875" style="117"/>
    <col min="14594" max="14594" width="35" style="117" customWidth="1"/>
    <col min="14595" max="14595" width="9.44140625" style="117" customWidth="1"/>
    <col min="14596" max="14849" width="8.88671875" style="117"/>
    <col min="14850" max="14850" width="35" style="117" customWidth="1"/>
    <col min="14851" max="14851" width="9.44140625" style="117" customWidth="1"/>
    <col min="14852" max="15105" width="8.88671875" style="117"/>
    <col min="15106" max="15106" width="35" style="117" customWidth="1"/>
    <col min="15107" max="15107" width="9.44140625" style="117" customWidth="1"/>
    <col min="15108" max="15361" width="8.88671875" style="117"/>
    <col min="15362" max="15362" width="35" style="117" customWidth="1"/>
    <col min="15363" max="15363" width="9.44140625" style="117" customWidth="1"/>
    <col min="15364" max="15617" width="8.88671875" style="117"/>
    <col min="15618" max="15618" width="35" style="117" customWidth="1"/>
    <col min="15619" max="15619" width="9.44140625" style="117" customWidth="1"/>
    <col min="15620" max="15873" width="8.88671875" style="117"/>
    <col min="15874" max="15874" width="35" style="117" customWidth="1"/>
    <col min="15875" max="15875" width="9.44140625" style="117" customWidth="1"/>
    <col min="15876" max="16129" width="8.88671875" style="117"/>
    <col min="16130" max="16130" width="35" style="117" customWidth="1"/>
    <col min="16131" max="16131" width="9.44140625" style="117" customWidth="1"/>
    <col min="16132" max="16384" width="8.88671875" style="117"/>
  </cols>
  <sheetData>
    <row r="1" spans="1:7" ht="15.75">
      <c r="A1" s="509" t="str">
        <f>+'Balance sheet'!A1:F1</f>
        <v>INDIANA MUNICIPAL POWER AGENCY</v>
      </c>
      <c r="B1" s="509"/>
      <c r="C1" s="509"/>
      <c r="D1" s="509"/>
      <c r="E1" s="509"/>
      <c r="F1" s="509"/>
      <c r="G1" s="509"/>
    </row>
    <row r="2" spans="1:7" ht="15">
      <c r="A2" s="510" t="s">
        <v>249</v>
      </c>
      <c r="B2" s="510"/>
      <c r="C2" s="510"/>
      <c r="D2" s="510"/>
      <c r="E2" s="510"/>
      <c r="F2" s="510"/>
      <c r="G2" s="510"/>
    </row>
    <row r="3" spans="1:7" ht="15">
      <c r="A3" s="510" t="s">
        <v>387</v>
      </c>
      <c r="B3" s="510"/>
      <c r="C3" s="510"/>
      <c r="D3" s="510"/>
      <c r="E3" s="510"/>
      <c r="F3" s="510"/>
      <c r="G3" s="510"/>
    </row>
    <row r="4" spans="1:7" ht="15.75">
      <c r="A4" s="511">
        <f>+'Balance sheet'!A4:F4</f>
        <v>43100</v>
      </c>
      <c r="B4" s="511"/>
      <c r="C4" s="511"/>
      <c r="D4" s="511"/>
      <c r="E4" s="511"/>
      <c r="F4" s="511"/>
      <c r="G4" s="511"/>
    </row>
    <row r="5" spans="1:7">
      <c r="A5" s="175"/>
      <c r="B5" s="175"/>
      <c r="C5" s="175"/>
    </row>
    <row r="6" spans="1:7">
      <c r="A6" s="117" t="s">
        <v>388</v>
      </c>
    </row>
    <row r="7" spans="1:7">
      <c r="A7" s="117" t="s">
        <v>255</v>
      </c>
    </row>
    <row r="8" spans="1:7">
      <c r="A8" s="117">
        <v>1</v>
      </c>
      <c r="B8" s="117" t="s">
        <v>389</v>
      </c>
      <c r="C8" s="195">
        <f>'Income Statement'!C14</f>
        <v>3153616.0900000003</v>
      </c>
    </row>
  </sheetData>
  <mergeCells count="4">
    <mergeCell ref="A1:G1"/>
    <mergeCell ref="A2:G2"/>
    <mergeCell ref="A3:G3"/>
    <mergeCell ref="A4:G4"/>
  </mergeCells>
  <pageMargins left="0.75" right="0.75" top="1" bottom="1" header="0.5" footer="0.5"/>
  <pageSetup scale="84" orientation="portrait" horizontalDpi="4294967293" r:id="rId1"/>
  <headerFooter alignWithMargins="0">
    <oddFooter>&amp;L&amp;Z&amp;F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39"/>
  <sheetViews>
    <sheetView zoomScaleNormal="100" workbookViewId="0">
      <pane ySplit="8" topLeftCell="A9" activePane="bottomLeft" state="frozen"/>
      <selection activeCell="D146" sqref="D146"/>
      <selection pane="bottomLeft" activeCell="A9" sqref="A9"/>
    </sheetView>
  </sheetViews>
  <sheetFormatPr defaultRowHeight="12.75"/>
  <cols>
    <col min="1" max="1" width="5.21875" style="117" customWidth="1"/>
    <col min="2" max="2" width="23" style="117" customWidth="1"/>
    <col min="3" max="6" width="12.21875" style="117" customWidth="1"/>
    <col min="7" max="8" width="8.88671875" style="117"/>
    <col min="9" max="9" width="9.77734375" style="357" bestFit="1" customWidth="1"/>
    <col min="10" max="10" width="11.21875" style="357" bestFit="1" customWidth="1"/>
    <col min="11" max="11" width="10.109375" style="357" customWidth="1"/>
    <col min="12" max="12" width="11.21875" style="357" customWidth="1"/>
    <col min="13" max="13" width="11.21875" style="357" bestFit="1" customWidth="1"/>
    <col min="14" max="14" width="13.77734375" style="357" bestFit="1" customWidth="1"/>
    <col min="15" max="15" width="11.21875" style="357" bestFit="1" customWidth="1"/>
    <col min="16" max="21" width="8.88671875" style="357"/>
    <col min="22" max="256" width="8.88671875" style="117"/>
    <col min="257" max="257" width="5.21875" style="117" customWidth="1"/>
    <col min="258" max="258" width="23" style="117" customWidth="1"/>
    <col min="259" max="262" width="12.21875" style="117" customWidth="1"/>
    <col min="263" max="512" width="8.88671875" style="117"/>
    <col min="513" max="513" width="5.21875" style="117" customWidth="1"/>
    <col min="514" max="514" width="23" style="117" customWidth="1"/>
    <col min="515" max="518" width="12.21875" style="117" customWidth="1"/>
    <col min="519" max="768" width="8.88671875" style="117"/>
    <col min="769" max="769" width="5.21875" style="117" customWidth="1"/>
    <col min="770" max="770" width="23" style="117" customWidth="1"/>
    <col min="771" max="774" width="12.21875" style="117" customWidth="1"/>
    <col min="775" max="1024" width="8.88671875" style="117"/>
    <col min="1025" max="1025" width="5.21875" style="117" customWidth="1"/>
    <col min="1026" max="1026" width="23" style="117" customWidth="1"/>
    <col min="1027" max="1030" width="12.21875" style="117" customWidth="1"/>
    <col min="1031" max="1280" width="8.88671875" style="117"/>
    <col min="1281" max="1281" width="5.21875" style="117" customWidth="1"/>
    <col min="1282" max="1282" width="23" style="117" customWidth="1"/>
    <col min="1283" max="1286" width="12.21875" style="117" customWidth="1"/>
    <col min="1287" max="1536" width="8.88671875" style="117"/>
    <col min="1537" max="1537" width="5.21875" style="117" customWidth="1"/>
    <col min="1538" max="1538" width="23" style="117" customWidth="1"/>
    <col min="1539" max="1542" width="12.21875" style="117" customWidth="1"/>
    <col min="1543" max="1792" width="8.88671875" style="117"/>
    <col min="1793" max="1793" width="5.21875" style="117" customWidth="1"/>
    <col min="1794" max="1794" width="23" style="117" customWidth="1"/>
    <col min="1795" max="1798" width="12.21875" style="117" customWidth="1"/>
    <col min="1799" max="2048" width="8.88671875" style="117"/>
    <col min="2049" max="2049" width="5.21875" style="117" customWidth="1"/>
    <col min="2050" max="2050" width="23" style="117" customWidth="1"/>
    <col min="2051" max="2054" width="12.21875" style="117" customWidth="1"/>
    <col min="2055" max="2304" width="8.88671875" style="117"/>
    <col min="2305" max="2305" width="5.21875" style="117" customWidth="1"/>
    <col min="2306" max="2306" width="23" style="117" customWidth="1"/>
    <col min="2307" max="2310" width="12.21875" style="117" customWidth="1"/>
    <col min="2311" max="2560" width="8.88671875" style="117"/>
    <col min="2561" max="2561" width="5.21875" style="117" customWidth="1"/>
    <col min="2562" max="2562" width="23" style="117" customWidth="1"/>
    <col min="2563" max="2566" width="12.21875" style="117" customWidth="1"/>
    <col min="2567" max="2816" width="8.88671875" style="117"/>
    <col min="2817" max="2817" width="5.21875" style="117" customWidth="1"/>
    <col min="2818" max="2818" width="23" style="117" customWidth="1"/>
    <col min="2819" max="2822" width="12.21875" style="117" customWidth="1"/>
    <col min="2823" max="3072" width="8.88671875" style="117"/>
    <col min="3073" max="3073" width="5.21875" style="117" customWidth="1"/>
    <col min="3074" max="3074" width="23" style="117" customWidth="1"/>
    <col min="3075" max="3078" width="12.21875" style="117" customWidth="1"/>
    <col min="3079" max="3328" width="8.88671875" style="117"/>
    <col min="3329" max="3329" width="5.21875" style="117" customWidth="1"/>
    <col min="3330" max="3330" width="23" style="117" customWidth="1"/>
    <col min="3331" max="3334" width="12.21875" style="117" customWidth="1"/>
    <col min="3335" max="3584" width="8.88671875" style="117"/>
    <col min="3585" max="3585" width="5.21875" style="117" customWidth="1"/>
    <col min="3586" max="3586" width="23" style="117" customWidth="1"/>
    <col min="3587" max="3590" width="12.21875" style="117" customWidth="1"/>
    <col min="3591" max="3840" width="8.88671875" style="117"/>
    <col min="3841" max="3841" width="5.21875" style="117" customWidth="1"/>
    <col min="3842" max="3842" width="23" style="117" customWidth="1"/>
    <col min="3843" max="3846" width="12.21875" style="117" customWidth="1"/>
    <col min="3847" max="4096" width="8.88671875" style="117"/>
    <col min="4097" max="4097" width="5.21875" style="117" customWidth="1"/>
    <col min="4098" max="4098" width="23" style="117" customWidth="1"/>
    <col min="4099" max="4102" width="12.21875" style="117" customWidth="1"/>
    <col min="4103" max="4352" width="8.88671875" style="117"/>
    <col min="4353" max="4353" width="5.21875" style="117" customWidth="1"/>
    <col min="4354" max="4354" width="23" style="117" customWidth="1"/>
    <col min="4355" max="4358" width="12.21875" style="117" customWidth="1"/>
    <col min="4359" max="4608" width="8.88671875" style="117"/>
    <col min="4609" max="4609" width="5.21875" style="117" customWidth="1"/>
    <col min="4610" max="4610" width="23" style="117" customWidth="1"/>
    <col min="4611" max="4614" width="12.21875" style="117" customWidth="1"/>
    <col min="4615" max="4864" width="8.88671875" style="117"/>
    <col min="4865" max="4865" width="5.21875" style="117" customWidth="1"/>
    <col min="4866" max="4866" width="23" style="117" customWidth="1"/>
    <col min="4867" max="4870" width="12.21875" style="117" customWidth="1"/>
    <col min="4871" max="5120" width="8.88671875" style="117"/>
    <col min="5121" max="5121" width="5.21875" style="117" customWidth="1"/>
    <col min="5122" max="5122" width="23" style="117" customWidth="1"/>
    <col min="5123" max="5126" width="12.21875" style="117" customWidth="1"/>
    <col min="5127" max="5376" width="8.88671875" style="117"/>
    <col min="5377" max="5377" width="5.21875" style="117" customWidth="1"/>
    <col min="5378" max="5378" width="23" style="117" customWidth="1"/>
    <col min="5379" max="5382" width="12.21875" style="117" customWidth="1"/>
    <col min="5383" max="5632" width="8.88671875" style="117"/>
    <col min="5633" max="5633" width="5.21875" style="117" customWidth="1"/>
    <col min="5634" max="5634" width="23" style="117" customWidth="1"/>
    <col min="5635" max="5638" width="12.21875" style="117" customWidth="1"/>
    <col min="5639" max="5888" width="8.88671875" style="117"/>
    <col min="5889" max="5889" width="5.21875" style="117" customWidth="1"/>
    <col min="5890" max="5890" width="23" style="117" customWidth="1"/>
    <col min="5891" max="5894" width="12.21875" style="117" customWidth="1"/>
    <col min="5895" max="6144" width="8.88671875" style="117"/>
    <col min="6145" max="6145" width="5.21875" style="117" customWidth="1"/>
    <col min="6146" max="6146" width="23" style="117" customWidth="1"/>
    <col min="6147" max="6150" width="12.21875" style="117" customWidth="1"/>
    <col min="6151" max="6400" width="8.88671875" style="117"/>
    <col min="6401" max="6401" width="5.21875" style="117" customWidth="1"/>
    <col min="6402" max="6402" width="23" style="117" customWidth="1"/>
    <col min="6403" max="6406" width="12.21875" style="117" customWidth="1"/>
    <col min="6407" max="6656" width="8.88671875" style="117"/>
    <col min="6657" max="6657" width="5.21875" style="117" customWidth="1"/>
    <col min="6658" max="6658" width="23" style="117" customWidth="1"/>
    <col min="6659" max="6662" width="12.21875" style="117" customWidth="1"/>
    <col min="6663" max="6912" width="8.88671875" style="117"/>
    <col min="6913" max="6913" width="5.21875" style="117" customWidth="1"/>
    <col min="6914" max="6914" width="23" style="117" customWidth="1"/>
    <col min="6915" max="6918" width="12.21875" style="117" customWidth="1"/>
    <col min="6919" max="7168" width="8.88671875" style="117"/>
    <col min="7169" max="7169" width="5.21875" style="117" customWidth="1"/>
    <col min="7170" max="7170" width="23" style="117" customWidth="1"/>
    <col min="7171" max="7174" width="12.21875" style="117" customWidth="1"/>
    <col min="7175" max="7424" width="8.88671875" style="117"/>
    <col min="7425" max="7425" width="5.21875" style="117" customWidth="1"/>
    <col min="7426" max="7426" width="23" style="117" customWidth="1"/>
    <col min="7427" max="7430" width="12.21875" style="117" customWidth="1"/>
    <col min="7431" max="7680" width="8.88671875" style="117"/>
    <col min="7681" max="7681" width="5.21875" style="117" customWidth="1"/>
    <col min="7682" max="7682" width="23" style="117" customWidth="1"/>
    <col min="7683" max="7686" width="12.21875" style="117" customWidth="1"/>
    <col min="7687" max="7936" width="8.88671875" style="117"/>
    <col min="7937" max="7937" width="5.21875" style="117" customWidth="1"/>
    <col min="7938" max="7938" width="23" style="117" customWidth="1"/>
    <col min="7939" max="7942" width="12.21875" style="117" customWidth="1"/>
    <col min="7943" max="8192" width="8.88671875" style="117"/>
    <col min="8193" max="8193" width="5.21875" style="117" customWidth="1"/>
    <col min="8194" max="8194" width="23" style="117" customWidth="1"/>
    <col min="8195" max="8198" width="12.21875" style="117" customWidth="1"/>
    <col min="8199" max="8448" width="8.88671875" style="117"/>
    <col min="8449" max="8449" width="5.21875" style="117" customWidth="1"/>
    <col min="8450" max="8450" width="23" style="117" customWidth="1"/>
    <col min="8451" max="8454" width="12.21875" style="117" customWidth="1"/>
    <col min="8455" max="8704" width="8.88671875" style="117"/>
    <col min="8705" max="8705" width="5.21875" style="117" customWidth="1"/>
    <col min="8706" max="8706" width="23" style="117" customWidth="1"/>
    <col min="8707" max="8710" width="12.21875" style="117" customWidth="1"/>
    <col min="8711" max="8960" width="8.88671875" style="117"/>
    <col min="8961" max="8961" width="5.21875" style="117" customWidth="1"/>
    <col min="8962" max="8962" width="23" style="117" customWidth="1"/>
    <col min="8963" max="8966" width="12.21875" style="117" customWidth="1"/>
    <col min="8967" max="9216" width="8.88671875" style="117"/>
    <col min="9217" max="9217" width="5.21875" style="117" customWidth="1"/>
    <col min="9218" max="9218" width="23" style="117" customWidth="1"/>
    <col min="9219" max="9222" width="12.21875" style="117" customWidth="1"/>
    <col min="9223" max="9472" width="8.88671875" style="117"/>
    <col min="9473" max="9473" width="5.21875" style="117" customWidth="1"/>
    <col min="9474" max="9474" width="23" style="117" customWidth="1"/>
    <col min="9475" max="9478" width="12.21875" style="117" customWidth="1"/>
    <col min="9479" max="9728" width="8.88671875" style="117"/>
    <col min="9729" max="9729" width="5.21875" style="117" customWidth="1"/>
    <col min="9730" max="9730" width="23" style="117" customWidth="1"/>
    <col min="9731" max="9734" width="12.21875" style="117" customWidth="1"/>
    <col min="9735" max="9984" width="8.88671875" style="117"/>
    <col min="9985" max="9985" width="5.21875" style="117" customWidth="1"/>
    <col min="9986" max="9986" width="23" style="117" customWidth="1"/>
    <col min="9987" max="9990" width="12.21875" style="117" customWidth="1"/>
    <col min="9991" max="10240" width="8.88671875" style="117"/>
    <col min="10241" max="10241" width="5.21875" style="117" customWidth="1"/>
    <col min="10242" max="10242" width="23" style="117" customWidth="1"/>
    <col min="10243" max="10246" width="12.21875" style="117" customWidth="1"/>
    <col min="10247" max="10496" width="8.88671875" style="117"/>
    <col min="10497" max="10497" width="5.21875" style="117" customWidth="1"/>
    <col min="10498" max="10498" width="23" style="117" customWidth="1"/>
    <col min="10499" max="10502" width="12.21875" style="117" customWidth="1"/>
    <col min="10503" max="10752" width="8.88671875" style="117"/>
    <col min="10753" max="10753" width="5.21875" style="117" customWidth="1"/>
    <col min="10754" max="10754" width="23" style="117" customWidth="1"/>
    <col min="10755" max="10758" width="12.21875" style="117" customWidth="1"/>
    <col min="10759" max="11008" width="8.88671875" style="117"/>
    <col min="11009" max="11009" width="5.21875" style="117" customWidth="1"/>
    <col min="11010" max="11010" width="23" style="117" customWidth="1"/>
    <col min="11011" max="11014" width="12.21875" style="117" customWidth="1"/>
    <col min="11015" max="11264" width="8.88671875" style="117"/>
    <col min="11265" max="11265" width="5.21875" style="117" customWidth="1"/>
    <col min="11266" max="11266" width="23" style="117" customWidth="1"/>
    <col min="11267" max="11270" width="12.21875" style="117" customWidth="1"/>
    <col min="11271" max="11520" width="8.88671875" style="117"/>
    <col min="11521" max="11521" width="5.21875" style="117" customWidth="1"/>
    <col min="11522" max="11522" width="23" style="117" customWidth="1"/>
    <col min="11523" max="11526" width="12.21875" style="117" customWidth="1"/>
    <col min="11527" max="11776" width="8.88671875" style="117"/>
    <col min="11777" max="11777" width="5.21875" style="117" customWidth="1"/>
    <col min="11778" max="11778" width="23" style="117" customWidth="1"/>
    <col min="11779" max="11782" width="12.21875" style="117" customWidth="1"/>
    <col min="11783" max="12032" width="8.88671875" style="117"/>
    <col min="12033" max="12033" width="5.21875" style="117" customWidth="1"/>
    <col min="12034" max="12034" width="23" style="117" customWidth="1"/>
    <col min="12035" max="12038" width="12.21875" style="117" customWidth="1"/>
    <col min="12039" max="12288" width="8.88671875" style="117"/>
    <col min="12289" max="12289" width="5.21875" style="117" customWidth="1"/>
    <col min="12290" max="12290" width="23" style="117" customWidth="1"/>
    <col min="12291" max="12294" width="12.21875" style="117" customWidth="1"/>
    <col min="12295" max="12544" width="8.88671875" style="117"/>
    <col min="12545" max="12545" width="5.21875" style="117" customWidth="1"/>
    <col min="12546" max="12546" width="23" style="117" customWidth="1"/>
    <col min="12547" max="12550" width="12.21875" style="117" customWidth="1"/>
    <col min="12551" max="12800" width="8.88671875" style="117"/>
    <col min="12801" max="12801" width="5.21875" style="117" customWidth="1"/>
    <col min="12802" max="12802" width="23" style="117" customWidth="1"/>
    <col min="12803" max="12806" width="12.21875" style="117" customWidth="1"/>
    <col min="12807" max="13056" width="8.88671875" style="117"/>
    <col min="13057" max="13057" width="5.21875" style="117" customWidth="1"/>
    <col min="13058" max="13058" width="23" style="117" customWidth="1"/>
    <col min="13059" max="13062" width="12.21875" style="117" customWidth="1"/>
    <col min="13063" max="13312" width="8.88671875" style="117"/>
    <col min="13313" max="13313" width="5.21875" style="117" customWidth="1"/>
    <col min="13314" max="13314" width="23" style="117" customWidth="1"/>
    <col min="13315" max="13318" width="12.21875" style="117" customWidth="1"/>
    <col min="13319" max="13568" width="8.88671875" style="117"/>
    <col min="13569" max="13569" width="5.21875" style="117" customWidth="1"/>
    <col min="13570" max="13570" width="23" style="117" customWidth="1"/>
    <col min="13571" max="13574" width="12.21875" style="117" customWidth="1"/>
    <col min="13575" max="13824" width="8.88671875" style="117"/>
    <col min="13825" max="13825" width="5.21875" style="117" customWidth="1"/>
    <col min="13826" max="13826" width="23" style="117" customWidth="1"/>
    <col min="13827" max="13830" width="12.21875" style="117" customWidth="1"/>
    <col min="13831" max="14080" width="8.88671875" style="117"/>
    <col min="14081" max="14081" width="5.21875" style="117" customWidth="1"/>
    <col min="14082" max="14082" width="23" style="117" customWidth="1"/>
    <col min="14083" max="14086" width="12.21875" style="117" customWidth="1"/>
    <col min="14087" max="14336" width="8.88671875" style="117"/>
    <col min="14337" max="14337" width="5.21875" style="117" customWidth="1"/>
    <col min="14338" max="14338" width="23" style="117" customWidth="1"/>
    <col min="14339" max="14342" width="12.21875" style="117" customWidth="1"/>
    <col min="14343" max="14592" width="8.88671875" style="117"/>
    <col min="14593" max="14593" width="5.21875" style="117" customWidth="1"/>
    <col min="14594" max="14594" width="23" style="117" customWidth="1"/>
    <col min="14595" max="14598" width="12.21875" style="117" customWidth="1"/>
    <col min="14599" max="14848" width="8.88671875" style="117"/>
    <col min="14849" max="14849" width="5.21875" style="117" customWidth="1"/>
    <col min="14850" max="14850" width="23" style="117" customWidth="1"/>
    <col min="14851" max="14854" width="12.21875" style="117" customWidth="1"/>
    <col min="14855" max="15104" width="8.88671875" style="117"/>
    <col min="15105" max="15105" width="5.21875" style="117" customWidth="1"/>
    <col min="15106" max="15106" width="23" style="117" customWidth="1"/>
    <col min="15107" max="15110" width="12.21875" style="117" customWidth="1"/>
    <col min="15111" max="15360" width="8.88671875" style="117"/>
    <col min="15361" max="15361" width="5.21875" style="117" customWidth="1"/>
    <col min="15362" max="15362" width="23" style="117" customWidth="1"/>
    <col min="15363" max="15366" width="12.21875" style="117" customWidth="1"/>
    <col min="15367" max="15616" width="8.88671875" style="117"/>
    <col min="15617" max="15617" width="5.21875" style="117" customWidth="1"/>
    <col min="15618" max="15618" width="23" style="117" customWidth="1"/>
    <col min="15619" max="15622" width="12.21875" style="117" customWidth="1"/>
    <col min="15623" max="15872" width="8.88671875" style="117"/>
    <col min="15873" max="15873" width="5.21875" style="117" customWidth="1"/>
    <col min="15874" max="15874" width="23" style="117" customWidth="1"/>
    <col min="15875" max="15878" width="12.21875" style="117" customWidth="1"/>
    <col min="15879" max="16128" width="8.88671875" style="117"/>
    <col min="16129" max="16129" width="5.21875" style="117" customWidth="1"/>
    <col min="16130" max="16130" width="23" style="117" customWidth="1"/>
    <col min="16131" max="16134" width="12.21875" style="117" customWidth="1"/>
    <col min="16135" max="16384" width="8.88671875" style="117"/>
  </cols>
  <sheetData>
    <row r="1" spans="1:22" ht="15.75">
      <c r="A1" s="509" t="str">
        <f>+'Balance sheet'!A1:F1</f>
        <v>INDIANA MUNICIPAL POWER AGENCY</v>
      </c>
      <c r="B1" s="509"/>
      <c r="C1" s="509"/>
      <c r="D1" s="509"/>
      <c r="E1" s="509"/>
      <c r="F1" s="509"/>
      <c r="G1" s="208"/>
      <c r="H1" s="474"/>
    </row>
    <row r="2" spans="1:22" ht="15">
      <c r="A2" s="510" t="s">
        <v>249</v>
      </c>
      <c r="B2" s="510"/>
      <c r="C2" s="510"/>
      <c r="D2" s="510"/>
      <c r="E2" s="510"/>
      <c r="F2" s="510"/>
      <c r="G2" s="208"/>
      <c r="H2" s="474"/>
    </row>
    <row r="3" spans="1:22" ht="15">
      <c r="A3" s="510" t="s">
        <v>390</v>
      </c>
      <c r="B3" s="510"/>
      <c r="C3" s="510"/>
      <c r="D3" s="510"/>
      <c r="E3" s="510"/>
      <c r="F3" s="510"/>
      <c r="G3" s="208"/>
      <c r="H3" s="474"/>
    </row>
    <row r="4" spans="1:22" ht="15.75">
      <c r="A4" s="511">
        <f>+'Balance sheet'!A4:F4</f>
        <v>43100</v>
      </c>
      <c r="B4" s="511"/>
      <c r="C4" s="511"/>
      <c r="D4" s="511"/>
      <c r="E4" s="511"/>
      <c r="F4" s="511"/>
      <c r="G4" s="209"/>
      <c r="H4" s="209"/>
      <c r="M4" s="406"/>
      <c r="N4" s="407"/>
    </row>
    <row r="5" spans="1:22">
      <c r="M5" s="406"/>
      <c r="N5" s="407"/>
    </row>
    <row r="6" spans="1:22">
      <c r="A6" s="515" t="s">
        <v>391</v>
      </c>
      <c r="B6" s="515"/>
      <c r="C6" s="515"/>
      <c r="D6" s="515"/>
      <c r="E6" s="515"/>
      <c r="F6" s="515"/>
      <c r="K6" s="372"/>
      <c r="L6" s="372"/>
      <c r="M6" s="408"/>
      <c r="N6" s="407"/>
    </row>
    <row r="7" spans="1:22">
      <c r="A7" s="118" t="s">
        <v>4</v>
      </c>
      <c r="B7" s="120"/>
      <c r="C7" s="120" t="s">
        <v>392</v>
      </c>
      <c r="D7" s="120" t="s">
        <v>393</v>
      </c>
      <c r="E7" s="120" t="s">
        <v>394</v>
      </c>
      <c r="F7" s="120" t="s">
        <v>395</v>
      </c>
      <c r="K7" s="372"/>
      <c r="L7" s="372"/>
      <c r="M7" s="408"/>
      <c r="N7" s="407"/>
    </row>
    <row r="8" spans="1:22">
      <c r="A8" s="121" t="s">
        <v>255</v>
      </c>
      <c r="B8" s="122"/>
      <c r="C8" s="120" t="s">
        <v>396</v>
      </c>
      <c r="D8" s="122" t="s">
        <v>397</v>
      </c>
      <c r="E8" s="122" t="s">
        <v>398</v>
      </c>
      <c r="F8" s="122" t="s">
        <v>3422</v>
      </c>
      <c r="L8" s="410"/>
      <c r="M8" s="409"/>
    </row>
    <row r="9" spans="1:22">
      <c r="A9" s="126">
        <v>1</v>
      </c>
      <c r="B9" s="169" t="s">
        <v>399</v>
      </c>
      <c r="C9" s="211"/>
      <c r="D9" s="212"/>
      <c r="E9" s="212"/>
      <c r="F9" s="212"/>
      <c r="K9" s="409"/>
      <c r="U9" s="117"/>
    </row>
    <row r="10" spans="1:22">
      <c r="A10" s="130"/>
      <c r="B10" s="213" t="s">
        <v>400</v>
      </c>
      <c r="C10" s="129">
        <f>SUMIF('Trial Balance'!$C:$C,"****-***-****-**-501",'Trial Balance'!$E:$E)</f>
        <v>60220730.760000005</v>
      </c>
      <c r="D10" s="214">
        <f>SUMIF('Trial Balance'!$C$757:$C$902,"****-105-****-**-****",'Trial Balance'!$E$757:$E$902)+SUMIF('Trial Balance'!$C$757:$C$902,"****-106-****-**-****",'Trial Balance'!$E$757:$E$902)+SUMIF('Trial Balance'!$C$757:$C$902,"****-107-****-**-****",'Trial Balance'!$E$757:$E$902)+SUMIF('Trial Balance'!$C$757:$C$902,"****-112-****-**-****",'Trial Balance'!$E$757:$E$902)+SUMIF('Trial Balance'!$C$757:$C$902,"****-113-****-**-****",'Trial Balance'!$E$757:$E$902)+SUMIF('Trial Balance'!$C$757:$C$902,"****-123-****-**-****",'Trial Balance'!$E$757:$E$902)</f>
        <v>23778469.920000002</v>
      </c>
      <c r="E10" s="214">
        <f>SUMIF('Trial Balance'!$C$1184:$C$1250,"****-105-****-**-****",'Trial Balance'!$E$1184:$E$1250)+SUMIF('Trial Balance'!$C$1184:$C$1250,"****-106-****-**-****",'Trial Balance'!$E$1184:$E$1250)+SUMIF('Trial Balance'!$C$1184:$C$1250,"****-107-****-**-****",'Trial Balance'!$E$1184:$E$1250)+SUMIF('Trial Balance'!$C$1184:$C$1250,"****-112-****-**-****",'Trial Balance'!$E$1184:$E$1250)+SUMIF('Trial Balance'!$C$1184:$C$1250,"****-113-****-**-****",'Trial Balance'!$E$1184:$E$1250)+SUMIF('Trial Balance'!$C$1184:$C$1250,"****-123-****-**-****",'Trial Balance'!$E$1184:$E$1250)</f>
        <v>24354096.25</v>
      </c>
      <c r="F10" s="215">
        <f>SUM(C10:E10)</f>
        <v>108353296.93000001</v>
      </c>
      <c r="K10" s="403"/>
      <c r="L10" s="411"/>
      <c r="M10" s="411"/>
      <c r="N10" s="411"/>
      <c r="O10" s="411"/>
      <c r="P10" s="411"/>
      <c r="Q10" s="372"/>
    </row>
    <row r="11" spans="1:22">
      <c r="A11" s="130">
        <v>2</v>
      </c>
      <c r="B11" s="213" t="s">
        <v>401</v>
      </c>
      <c r="C11" s="149">
        <v>0</v>
      </c>
      <c r="D11" s="193">
        <v>0</v>
      </c>
      <c r="E11" s="193">
        <v>0</v>
      </c>
      <c r="F11" s="216">
        <f>SUM(C11:E11)</f>
        <v>0</v>
      </c>
      <c r="K11" s="411"/>
      <c r="L11" s="408"/>
      <c r="M11" s="408"/>
      <c r="N11" s="408"/>
      <c r="O11" s="408"/>
      <c r="P11" s="408"/>
      <c r="Q11" s="372"/>
    </row>
    <row r="12" spans="1:22">
      <c r="A12" s="126">
        <v>3</v>
      </c>
      <c r="B12" s="169" t="s">
        <v>402</v>
      </c>
      <c r="C12" s="160"/>
      <c r="D12" s="190"/>
      <c r="E12" s="190"/>
      <c r="F12" s="217"/>
      <c r="N12" s="408"/>
      <c r="O12" s="408"/>
      <c r="P12" s="408"/>
      <c r="Q12" s="372"/>
      <c r="V12" s="357"/>
    </row>
    <row r="13" spans="1:22">
      <c r="A13" s="130"/>
      <c r="B13" s="218" t="s">
        <v>403</v>
      </c>
      <c r="C13" s="149">
        <v>0</v>
      </c>
      <c r="D13" s="193">
        <v>0</v>
      </c>
      <c r="E13" s="193">
        <v>0</v>
      </c>
      <c r="F13" s="216">
        <f>SUM(C13:E13)</f>
        <v>0</v>
      </c>
    </row>
    <row r="14" spans="1:22">
      <c r="A14" s="140">
        <v>4</v>
      </c>
      <c r="B14" s="219" t="s">
        <v>404</v>
      </c>
      <c r="C14" s="160"/>
      <c r="D14" s="190"/>
      <c r="E14" s="190"/>
      <c r="F14" s="217"/>
      <c r="N14" s="237"/>
    </row>
    <row r="15" spans="1:22">
      <c r="A15" s="130"/>
      <c r="B15" s="220" t="s">
        <v>405</v>
      </c>
      <c r="C15" s="244">
        <f>SUMIF('Trial Balance'!$C:$C,"****-***-****-**-547",'Trial Balance'!$E:$E)</f>
        <v>4189146.01</v>
      </c>
      <c r="D15" s="402">
        <f>SUMIF('Trial Balance'!$C$758:$C$902,"****-109-****-**-****",'Trial Balance'!$E$758:$E$902)+SUMIF('Trial Balance'!$C$758:$C$902,"****-110-****-**-****",'Trial Balance'!$E$758:$E$902)+SUMIF('Trial Balance'!$C$758:$C$902,"****-111-****-**-****",'Trial Balance'!$E$758:$E$902)+SUMIF('Trial Balance'!$C$758:$C$902,"****-162-****-**-****",'Trial Balance'!$E$758:$E$902)</f>
        <v>2113667.85</v>
      </c>
      <c r="E15" s="402">
        <f>SUMIF('Trial Balance'!$C$1184:$C$1250,"****-001-****-**-****",'Trial Balance'!$E$1184:$E$1250)+SUMIF('Trial Balance'!$C$1184:$C$1250,"****-109-****-**-****",'Trial Balance'!$E$1184:$E$1250)+SUMIF('Trial Balance'!$C$1184:$C$1250,"****-110-****-**-****",'Trial Balance'!$E$1184:$E$1250)+SUMIF('Trial Balance'!$C$1184:$C$1250,"****-111-****-**-****",'Trial Balance'!$E$1184:$E$1250)+SUMIF('Trial Balance'!$C$1184:$C$1250,"****-162-****-**-****",'Trial Balance'!$E$1184:$E$1250)+E1093</f>
        <v>546890.55000000005</v>
      </c>
      <c r="F15" s="216">
        <f>SUM(C15:E15)</f>
        <v>6849704.4099999992</v>
      </c>
    </row>
    <row r="16" spans="1:22">
      <c r="A16" s="133">
        <v>5</v>
      </c>
      <c r="B16" s="221" t="s">
        <v>406</v>
      </c>
      <c r="C16" s="157">
        <v>0</v>
      </c>
      <c r="D16" s="404">
        <f>'Trial Balance'!E720</f>
        <v>139163335.50999999</v>
      </c>
      <c r="E16" s="222">
        <v>0</v>
      </c>
      <c r="F16" s="223">
        <f>SUM(C16:E16)</f>
        <v>139163335.50999999</v>
      </c>
    </row>
    <row r="17" spans="1:8">
      <c r="A17" s="126">
        <v>6</v>
      </c>
      <c r="B17" s="169" t="s">
        <v>407</v>
      </c>
      <c r="C17" s="160"/>
      <c r="D17" s="190"/>
      <c r="E17" s="190"/>
      <c r="F17" s="217"/>
    </row>
    <row r="18" spans="1:8" ht="13.5" thickBot="1">
      <c r="A18" s="130"/>
      <c r="B18" s="218" t="s">
        <v>408</v>
      </c>
      <c r="C18" s="160">
        <v>0</v>
      </c>
      <c r="D18" s="405">
        <f>SUMIF('Trial Balance'!$C$758:$C$1180,"****-***-****-**-556",'Trial Balance'!$E$758:$E$1180)+SUMIF('Trial Balance'!$C$758:$C$1180,"****-***-****-**-557",'Trial Balance'!$E$758:$E$1180)-'Trial Balance'!E779-'Trial Balance'!E763-'Trial Balance'!E764+'Trial Balance'!E759</f>
        <v>2032453.48</v>
      </c>
      <c r="E18" s="190">
        <v>0</v>
      </c>
      <c r="F18" s="217">
        <f>SUM(C18:E18)</f>
        <v>2032453.48</v>
      </c>
    </row>
    <row r="19" spans="1:8" ht="13.5" thickBot="1">
      <c r="A19" s="132">
        <v>7</v>
      </c>
      <c r="B19" s="224" t="s">
        <v>409</v>
      </c>
      <c r="C19" s="203">
        <f>SUM(C10:C18)</f>
        <v>64409876.770000003</v>
      </c>
      <c r="D19" s="225">
        <f>SUM(D10:D18)</f>
        <v>167087926.75999999</v>
      </c>
      <c r="E19" s="225">
        <f>SUM(E10:E18)</f>
        <v>24900986.800000001</v>
      </c>
      <c r="F19" s="226">
        <f>SUM(C19:E19)</f>
        <v>256398790.33000001</v>
      </c>
    </row>
    <row r="20" spans="1:8">
      <c r="A20" s="126">
        <v>8</v>
      </c>
      <c r="B20" s="119" t="s">
        <v>410</v>
      </c>
      <c r="C20" s="227"/>
      <c r="D20" s="227"/>
      <c r="E20" s="227"/>
      <c r="F20" s="212"/>
    </row>
    <row r="21" spans="1:8">
      <c r="A21" s="130"/>
      <c r="B21" s="228" t="s">
        <v>411</v>
      </c>
      <c r="C21" s="229" t="s">
        <v>412</v>
      </c>
      <c r="D21" s="402">
        <f>SUMIF('Trial Balance'!$C:$C,"****-***-****-**-560",'Trial Balance'!$E:$E)+SUMIF('Trial Balance'!$C:$C,"****-***-****-**-561",'Trial Balance'!$E:$E)+SUMIF('Trial Balance'!$C:$C,"****-***-****-**-562",'Trial Balance'!$E:$E)+SUMIF('Trial Balance'!$C:$C,"****-***-****-**-563",'Trial Balance'!$E:$E)+SUMIF('Trial Balance'!$C:$C,"****-***-****-**-565",'Trial Balance'!$E:$E)+SUMIF('Trial Balance'!$C:$C,"****-***-****-**-567",'Trial Balance'!$E:$E)</f>
        <v>40112029.829999998</v>
      </c>
      <c r="E21" s="402">
        <f>SUMIF('Trial Balance'!$C$1184:$C$1250,"****-114-****-**-****",'Trial Balance'!$E$1184:$E$1250)</f>
        <v>2243457.41</v>
      </c>
      <c r="F21" s="216">
        <f>SUM(D21:E21)</f>
        <v>42355487.239999995</v>
      </c>
      <c r="H21" s="501"/>
    </row>
    <row r="22" spans="1:8">
      <c r="A22" s="126">
        <v>9</v>
      </c>
      <c r="B22" s="119" t="s">
        <v>413</v>
      </c>
      <c r="C22" s="230"/>
      <c r="D22" s="405"/>
      <c r="E22" s="405"/>
      <c r="F22" s="217"/>
    </row>
    <row r="23" spans="1:8">
      <c r="A23" s="130"/>
      <c r="B23" s="228" t="s">
        <v>414</v>
      </c>
      <c r="C23" s="229" t="s">
        <v>412</v>
      </c>
      <c r="D23" s="402">
        <f>SUMIF('Trial Balance'!$C:$C,"****-***-****-**-582",'Trial Balance'!$E:$E)+SUMIF('Trial Balance'!$C:$C,"****-***-****-**-583",'Trial Balance'!$E:$E)+SUMIF('Trial Balance'!$C:$C,"****-***-****-**-586",'Trial Balance'!$E:$E)+SUMIF('Trial Balance'!$C:$C,"****-***-****-**-588",'Trial Balance'!$E:$E)</f>
        <v>1294898.6199999999</v>
      </c>
      <c r="E23" s="402">
        <f>SUMIF('Trial Balance'!$C$1184:$C$1250,"****-115-****-**-****",'Trial Balance'!$E$1184:$E$1250)</f>
        <v>75000</v>
      </c>
      <c r="F23" s="216">
        <f>+D23+E23</f>
        <v>1369898.6199999999</v>
      </c>
    </row>
    <row r="24" spans="1:8">
      <c r="A24" s="126">
        <v>10</v>
      </c>
      <c r="B24" s="119" t="s">
        <v>415</v>
      </c>
      <c r="C24" s="230"/>
      <c r="D24" s="405"/>
      <c r="E24" s="190"/>
      <c r="F24" s="217"/>
    </row>
    <row r="25" spans="1:8">
      <c r="A25" s="130"/>
      <c r="B25" s="228" t="s">
        <v>416</v>
      </c>
      <c r="C25" s="229" t="s">
        <v>412</v>
      </c>
      <c r="D25" s="402">
        <v>0</v>
      </c>
      <c r="E25" s="193">
        <v>0</v>
      </c>
      <c r="F25" s="216">
        <f>+D25+E25</f>
        <v>0</v>
      </c>
    </row>
    <row r="26" spans="1:8">
      <c r="A26" s="126">
        <v>11</v>
      </c>
      <c r="B26" s="119" t="s">
        <v>417</v>
      </c>
      <c r="C26" s="230"/>
      <c r="D26" s="405"/>
      <c r="E26" s="190"/>
      <c r="F26" s="217"/>
    </row>
    <row r="27" spans="1:8">
      <c r="A27" s="130"/>
      <c r="B27" s="228" t="s">
        <v>418</v>
      </c>
      <c r="C27" s="229" t="s">
        <v>412</v>
      </c>
      <c r="D27" s="402">
        <f>SUMIF('Trial Balance'!$C$1000:$C$1180,"****-***-****-**-908",'Trial Balance'!$E$1000:$E$1180)+SUMIF('Trial Balance'!$C$1000:$C$1180,"****-***-****-**-910",'Trial Balance'!$E$1000:$E$1180)</f>
        <v>257.5</v>
      </c>
      <c r="E27" s="193">
        <v>0</v>
      </c>
      <c r="F27" s="216">
        <f>+D27+E27</f>
        <v>257.5</v>
      </c>
    </row>
    <row r="28" spans="1:8">
      <c r="A28" s="132">
        <v>12</v>
      </c>
      <c r="B28" s="183" t="s">
        <v>419</v>
      </c>
      <c r="C28" s="231" t="s">
        <v>412</v>
      </c>
      <c r="D28" s="404">
        <v>0</v>
      </c>
      <c r="E28" s="222">
        <v>0</v>
      </c>
      <c r="F28" s="223">
        <f>+D28+E28</f>
        <v>0</v>
      </c>
    </row>
    <row r="29" spans="1:8">
      <c r="A29" s="132">
        <v>13</v>
      </c>
      <c r="B29" s="183" t="s">
        <v>420</v>
      </c>
      <c r="C29" s="231" t="s">
        <v>412</v>
      </c>
      <c r="D29" s="404">
        <f>SUMIF('Trial Balance'!$C$1000:$C$1180,"****-***-****-**-920",'Trial Balance'!$E$1000:$E$1180)+SUMIF('Trial Balance'!$C$1000:$C$1180,"****-***-****-**-921",'Trial Balance'!$E$1000:$E$1180)+SUMIF('Trial Balance'!$C$1000:$C$1180,"****-***-****-**-923",'Trial Balance'!$E$1000:$E$1180)+SUMIF('Trial Balance'!$C$1000:$C$1180,"****-***-****-**-924",'Trial Balance'!$E$1000:$E$1180)+SUMIF('Trial Balance'!$C$1000:$C$1180,"****-***-****-**-925",'Trial Balance'!$E$1000:$E$1180)+SUMIF('Trial Balance'!$C$1000:$C$1180,"****-***-****-**-926",'Trial Balance'!$E$1000:$E$1180)+SUMIF('Trial Balance'!$C$1000:$C$1180,"****-***-****-**-930",'Trial Balance'!$E$1000:$E$1180)+SUMIF('Trial Balance'!$C$1000:$C$1180,"****-***-****-**-931",'Trial Balance'!$E$1000:$E$1180)+SUMIF('Trial Balance'!$C$1000:$C$1180,"****-***-****-**-417",'Trial Balance'!$E$1000:$E$1180)</f>
        <v>9340535.4499999974</v>
      </c>
      <c r="E29" s="222">
        <v>0</v>
      </c>
      <c r="F29" s="223">
        <f>+D29+E29</f>
        <v>9340535.4499999974</v>
      </c>
    </row>
    <row r="30" spans="1:8" ht="13.5" thickBot="1">
      <c r="A30" s="126">
        <v>14</v>
      </c>
      <c r="B30" s="119" t="s">
        <v>421</v>
      </c>
      <c r="C30" s="232"/>
      <c r="D30" s="227"/>
      <c r="E30" s="227"/>
      <c r="F30" s="212"/>
    </row>
    <row r="31" spans="1:8" ht="13.5" thickBot="1">
      <c r="A31" s="130"/>
      <c r="B31" s="218" t="s">
        <v>422</v>
      </c>
      <c r="C31" s="203" t="s">
        <v>423</v>
      </c>
      <c r="D31" s="225">
        <f>SUM(D19:D29)</f>
        <v>217835648.15999997</v>
      </c>
      <c r="E31" s="225">
        <f>SUM(E19:E29)</f>
        <v>27219444.210000001</v>
      </c>
      <c r="F31" s="226">
        <f>SUM(F19:F30)</f>
        <v>309464969.13999999</v>
      </c>
    </row>
    <row r="32" spans="1:8">
      <c r="C32" s="195"/>
      <c r="D32" s="195"/>
      <c r="E32" s="195"/>
      <c r="F32" s="195"/>
    </row>
    <row r="33" spans="2:14">
      <c r="B33" s="513" t="s">
        <v>424</v>
      </c>
      <c r="C33" s="514"/>
      <c r="D33" s="233">
        <v>0</v>
      </c>
      <c r="E33" s="195"/>
      <c r="F33" s="195"/>
      <c r="N33" s="237"/>
    </row>
    <row r="34" spans="2:14">
      <c r="B34" s="234" t="s">
        <v>425</v>
      </c>
      <c r="C34" s="235"/>
      <c r="D34" s="236">
        <v>0</v>
      </c>
      <c r="E34" s="195"/>
      <c r="F34" s="195"/>
      <c r="N34" s="237"/>
    </row>
    <row r="35" spans="2:14">
      <c r="C35" s="195"/>
      <c r="D35" s="195"/>
      <c r="E35" s="195"/>
      <c r="F35" s="195"/>
      <c r="N35" s="237"/>
    </row>
    <row r="36" spans="2:14">
      <c r="B36" s="117" t="s">
        <v>426</v>
      </c>
    </row>
    <row r="37" spans="2:14">
      <c r="B37" s="117" t="s">
        <v>427</v>
      </c>
    </row>
    <row r="39" spans="2:14">
      <c r="C39" s="499" t="s">
        <v>3421</v>
      </c>
      <c r="D39" s="500" t="str">
        <f>IF(D31='Income Statement'!C10," ","Doesn't Match")</f>
        <v>Doesn't Match</v>
      </c>
      <c r="E39" s="131" t="str">
        <f>IF(E31='Income Statement'!C11,"OK","Doesn't Match")</f>
        <v>OK</v>
      </c>
    </row>
  </sheetData>
  <mergeCells count="6">
    <mergeCell ref="B33:C33"/>
    <mergeCell ref="A1:F1"/>
    <mergeCell ref="A2:F2"/>
    <mergeCell ref="A3:F3"/>
    <mergeCell ref="A4:F4"/>
    <mergeCell ref="A6:F6"/>
  </mergeCells>
  <pageMargins left="0.75" right="0.75" top="1" bottom="1" header="0.5" footer="0.5"/>
  <pageSetup scale="97" orientation="portrait" r:id="rId1"/>
  <headerFooter alignWithMargins="0">
    <oddFooter>&amp;L&amp;Z&amp;F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46"/>
  <sheetViews>
    <sheetView zoomScaleNormal="100" workbookViewId="0"/>
  </sheetViews>
  <sheetFormatPr defaultRowHeight="12.75"/>
  <cols>
    <col min="1" max="1" width="4.44140625" style="315" customWidth="1"/>
    <col min="2" max="2" width="30.5546875" style="315" customWidth="1"/>
    <col min="3" max="3" width="9.44140625" style="315" customWidth="1"/>
    <col min="4" max="4" width="8.88671875" style="315" customWidth="1"/>
    <col min="5" max="5" width="8.88671875" style="315" bestFit="1" customWidth="1"/>
    <col min="6" max="6" width="8.109375" style="315" customWidth="1"/>
    <col min="7" max="7" width="4" style="315" customWidth="1"/>
    <col min="8" max="16384" width="8.88671875" style="315"/>
  </cols>
  <sheetData>
    <row r="1" spans="1:9">
      <c r="D1" s="312"/>
      <c r="E1" s="313"/>
      <c r="F1" s="313"/>
      <c r="G1" s="314"/>
      <c r="H1" s="314" t="s">
        <v>3040</v>
      </c>
      <c r="I1" s="332">
        <v>43199</v>
      </c>
    </row>
    <row r="2" spans="1:9">
      <c r="D2" s="312" t="s">
        <v>3041</v>
      </c>
      <c r="E2" s="312" t="s">
        <v>3042</v>
      </c>
      <c r="F2" s="312" t="s">
        <v>3042</v>
      </c>
      <c r="G2" s="314"/>
    </row>
    <row r="3" spans="1:9">
      <c r="A3" s="313" t="s">
        <v>3043</v>
      </c>
      <c r="D3" s="210" t="s">
        <v>3044</v>
      </c>
      <c r="E3" s="210" t="s">
        <v>3045</v>
      </c>
      <c r="F3" s="210" t="s">
        <v>3046</v>
      </c>
      <c r="G3" s="314"/>
    </row>
    <row r="4" spans="1:9">
      <c r="B4" s="315" t="s">
        <v>3047</v>
      </c>
      <c r="C4" s="316" t="s">
        <v>3048</v>
      </c>
      <c r="D4" s="459">
        <f>+ROUND(F4/E4,0)</f>
        <v>295</v>
      </c>
      <c r="E4" s="462">
        <v>5.0880000000000002E-2</v>
      </c>
      <c r="F4" s="463">
        <v>15</v>
      </c>
      <c r="G4" s="333"/>
      <c r="H4" s="332"/>
    </row>
    <row r="5" spans="1:9">
      <c r="B5" s="315" t="s">
        <v>3049</v>
      </c>
      <c r="C5" s="316" t="s">
        <v>3048</v>
      </c>
      <c r="D5" s="459">
        <f t="shared" ref="D5:D9" si="0">+ROUND(F5/E5,0)</f>
        <v>98</v>
      </c>
      <c r="E5" s="462">
        <v>5.0880000000000002E-2</v>
      </c>
      <c r="F5" s="463">
        <v>5</v>
      </c>
      <c r="G5" s="333"/>
    </row>
    <row r="6" spans="1:9">
      <c r="B6" s="315" t="s">
        <v>3050</v>
      </c>
      <c r="C6" s="316" t="s">
        <v>3051</v>
      </c>
      <c r="D6" s="459">
        <f t="shared" si="0"/>
        <v>17335</v>
      </c>
      <c r="E6" s="462">
        <v>5.0880000000000002E-2</v>
      </c>
      <c r="F6" s="463">
        <v>882</v>
      </c>
      <c r="G6" s="333"/>
    </row>
    <row r="7" spans="1:9">
      <c r="B7" s="315" t="s">
        <v>3052</v>
      </c>
      <c r="C7" s="316"/>
      <c r="D7" s="459">
        <f t="shared" si="0"/>
        <v>0</v>
      </c>
      <c r="E7" s="462">
        <v>4.981E-2</v>
      </c>
      <c r="F7" s="463"/>
      <c r="G7" s="333"/>
    </row>
    <row r="8" spans="1:9">
      <c r="B8" s="315" t="s">
        <v>3053</v>
      </c>
      <c r="C8" s="316" t="s">
        <v>3054</v>
      </c>
      <c r="D8" s="459">
        <f t="shared" si="0"/>
        <v>12447</v>
      </c>
      <c r="E8" s="462">
        <v>4.981E-2</v>
      </c>
      <c r="F8" s="463">
        <v>620</v>
      </c>
      <c r="G8" s="333"/>
    </row>
    <row r="9" spans="1:9">
      <c r="B9" s="315" t="s">
        <v>3055</v>
      </c>
      <c r="C9" s="316" t="s">
        <v>3056</v>
      </c>
      <c r="D9" s="459">
        <f t="shared" si="0"/>
        <v>277</v>
      </c>
      <c r="E9" s="464">
        <v>1</v>
      </c>
      <c r="F9" s="463">
        <v>277</v>
      </c>
      <c r="G9" s="333"/>
    </row>
    <row r="10" spans="1:9">
      <c r="B10" s="315" t="s">
        <v>9</v>
      </c>
      <c r="D10" s="334">
        <f>SUM(D4:D9)</f>
        <v>30452</v>
      </c>
      <c r="F10" s="335">
        <f>SUM(F4:F9)</f>
        <v>1799</v>
      </c>
      <c r="G10" s="333"/>
    </row>
    <row r="11" spans="1:9">
      <c r="G11" s="336"/>
    </row>
    <row r="12" spans="1:9">
      <c r="D12" s="312"/>
      <c r="E12" s="313"/>
      <c r="F12" s="313"/>
      <c r="G12" s="314"/>
    </row>
    <row r="13" spans="1:9">
      <c r="D13" s="312" t="s">
        <v>3041</v>
      </c>
      <c r="E13" s="312" t="s">
        <v>3042</v>
      </c>
      <c r="F13" s="312" t="s">
        <v>3042</v>
      </c>
      <c r="G13" s="314"/>
    </row>
    <row r="14" spans="1:9">
      <c r="B14" s="313" t="s">
        <v>3053</v>
      </c>
      <c r="D14" s="210" t="s">
        <v>3057</v>
      </c>
      <c r="E14" s="210" t="s">
        <v>3058</v>
      </c>
      <c r="F14" s="210" t="s">
        <v>3044</v>
      </c>
      <c r="G14" s="314"/>
      <c r="I14" s="496">
        <v>43202</v>
      </c>
    </row>
    <row r="15" spans="1:9">
      <c r="B15" s="315" t="s">
        <v>3059</v>
      </c>
      <c r="C15" s="315" t="s">
        <v>3051</v>
      </c>
      <c r="D15" s="460">
        <v>6996</v>
      </c>
      <c r="E15" s="337">
        <f>+E$8</f>
        <v>4.981E-2</v>
      </c>
      <c r="F15" s="338">
        <f>ROUND(D15*E15,0)</f>
        <v>348</v>
      </c>
      <c r="G15" s="333"/>
      <c r="H15" s="497"/>
    </row>
    <row r="16" spans="1:9">
      <c r="B16" s="315" t="s">
        <v>390</v>
      </c>
      <c r="C16" s="315" t="s">
        <v>3060</v>
      </c>
      <c r="D16" s="460">
        <v>4720</v>
      </c>
      <c r="E16" s="337">
        <f t="shared" ref="E16:E18" si="1">+E$8</f>
        <v>4.981E-2</v>
      </c>
      <c r="F16" s="338">
        <f t="shared" ref="F16:F18" si="2">ROUND(D16*E16,0)</f>
        <v>235</v>
      </c>
      <c r="G16" s="333"/>
    </row>
    <row r="17" spans="2:9">
      <c r="B17" s="315" t="s">
        <v>3061</v>
      </c>
      <c r="C17" s="315" t="s">
        <v>3062</v>
      </c>
      <c r="D17" s="460">
        <v>170</v>
      </c>
      <c r="E17" s="337">
        <f t="shared" si="1"/>
        <v>4.981E-2</v>
      </c>
      <c r="F17" s="338">
        <f t="shared" si="2"/>
        <v>8</v>
      </c>
      <c r="G17" s="333"/>
    </row>
    <row r="18" spans="2:9">
      <c r="B18" s="315" t="s">
        <v>3063</v>
      </c>
      <c r="C18" s="315" t="s">
        <v>3056</v>
      </c>
      <c r="D18" s="461">
        <f>363+134</f>
        <v>497</v>
      </c>
      <c r="E18" s="337">
        <f t="shared" si="1"/>
        <v>4.981E-2</v>
      </c>
      <c r="F18" s="338">
        <f t="shared" si="2"/>
        <v>25</v>
      </c>
      <c r="G18" s="333"/>
    </row>
    <row r="19" spans="2:9">
      <c r="B19" s="315" t="s">
        <v>9</v>
      </c>
      <c r="D19" s="339">
        <f>SUM(D15:D18)</f>
        <v>12383</v>
      </c>
      <c r="F19" s="340">
        <f>SUM(F15:F18)</f>
        <v>616</v>
      </c>
      <c r="G19" s="341"/>
    </row>
    <row r="20" spans="2:9">
      <c r="D20" s="339"/>
      <c r="F20" s="342"/>
    </row>
    <row r="21" spans="2:9">
      <c r="D21" s="339"/>
      <c r="F21" s="342"/>
    </row>
    <row r="22" spans="2:9">
      <c r="B22" s="205" t="s">
        <v>3064</v>
      </c>
      <c r="C22" s="317" t="s">
        <v>3065</v>
      </c>
      <c r="D22" s="318" t="s">
        <v>3058</v>
      </c>
      <c r="E22" s="466">
        <v>2017</v>
      </c>
      <c r="F22" s="124" t="s">
        <v>3066</v>
      </c>
    </row>
    <row r="23" spans="2:9">
      <c r="B23" s="163"/>
      <c r="C23" s="319"/>
      <c r="D23" s="320"/>
      <c r="E23" s="329"/>
      <c r="F23" s="321"/>
      <c r="I23" s="315" t="s">
        <v>3067</v>
      </c>
    </row>
    <row r="24" spans="2:9">
      <c r="B24" s="322" t="s">
        <v>3419</v>
      </c>
      <c r="C24" s="323"/>
      <c r="D24" s="324"/>
      <c r="E24" s="465">
        <f>VLOOKUP(I24,'Trial Balance'!$C:$E,3,FALSE)</f>
        <v>1795000</v>
      </c>
      <c r="F24" s="322"/>
      <c r="I24" s="325" t="s">
        <v>2120</v>
      </c>
    </row>
    <row r="25" spans="2:9">
      <c r="B25" s="163"/>
      <c r="C25" s="319"/>
      <c r="D25" s="320"/>
      <c r="E25" s="329"/>
      <c r="F25" s="322" t="s">
        <v>3068</v>
      </c>
    </row>
    <row r="26" spans="2:9">
      <c r="B26" s="322" t="s">
        <v>3048</v>
      </c>
      <c r="C26" s="326">
        <f>SUMIF(C$4:C$18,B26,$F$4:$F$18)</f>
        <v>20</v>
      </c>
      <c r="D26" s="343">
        <f>C26/C$31</f>
        <v>1.1142061281337047E-2</v>
      </c>
      <c r="E26" s="344">
        <f>+ROUND(E$24*D26,0)</f>
        <v>20000</v>
      </c>
      <c r="F26" s="322" t="s">
        <v>3069</v>
      </c>
    </row>
    <row r="27" spans="2:9">
      <c r="B27" s="322" t="s">
        <v>3060</v>
      </c>
      <c r="C27" s="326">
        <f>SUMIF(C$4:C$18,B27,$F$4:$F$18)</f>
        <v>235</v>
      </c>
      <c r="D27" s="343">
        <f t="shared" ref="D27:D30" si="3">C27/C$31</f>
        <v>0.1309192200557103</v>
      </c>
      <c r="E27" s="344">
        <f t="shared" ref="E27:E30" si="4">+ROUND(E$24*D27,0)</f>
        <v>235000</v>
      </c>
      <c r="F27" s="322" t="s">
        <v>3070</v>
      </c>
    </row>
    <row r="28" spans="2:9">
      <c r="B28" s="322" t="s">
        <v>3062</v>
      </c>
      <c r="C28" s="326">
        <f>SUMIF(C$4:C$18,B28,$F$4:$F$18)</f>
        <v>8</v>
      </c>
      <c r="D28" s="343">
        <f t="shared" si="3"/>
        <v>4.4568245125348191E-3</v>
      </c>
      <c r="E28" s="344">
        <f t="shared" si="4"/>
        <v>8000</v>
      </c>
      <c r="F28" s="322" t="s">
        <v>3070</v>
      </c>
    </row>
    <row r="29" spans="2:9">
      <c r="B29" s="322" t="s">
        <v>3051</v>
      </c>
      <c r="C29" s="326">
        <f>SUMIF(C$4:C$18,B29,$F$4:$F$18)</f>
        <v>1230</v>
      </c>
      <c r="D29" s="343">
        <f t="shared" si="3"/>
        <v>0.68523676880222839</v>
      </c>
      <c r="E29" s="344">
        <f t="shared" si="4"/>
        <v>1230000</v>
      </c>
      <c r="F29" s="322" t="s">
        <v>3071</v>
      </c>
    </row>
    <row r="30" spans="2:9">
      <c r="B30" s="322" t="s">
        <v>3056</v>
      </c>
      <c r="C30" s="326">
        <f>SUMIF(C$4:C$18,B30,$F$4:$F$18)</f>
        <v>302</v>
      </c>
      <c r="D30" s="343">
        <f t="shared" si="3"/>
        <v>0.16824512534818942</v>
      </c>
      <c r="E30" s="344">
        <f t="shared" si="4"/>
        <v>302000</v>
      </c>
      <c r="F30" s="322" t="s">
        <v>3071</v>
      </c>
    </row>
    <row r="31" spans="2:9" ht="13.5" thickBot="1">
      <c r="B31" s="322" t="s">
        <v>9</v>
      </c>
      <c r="C31" s="345">
        <f>SUM(C26:C30)</f>
        <v>1795</v>
      </c>
      <c r="D31" s="346">
        <v>1</v>
      </c>
      <c r="E31" s="347">
        <f>SUM(E26:E30)</f>
        <v>1795000</v>
      </c>
      <c r="F31" s="322"/>
    </row>
    <row r="32" spans="2:9" ht="13.5" thickTop="1">
      <c r="B32" s="348"/>
      <c r="C32" s="349"/>
      <c r="D32" s="350"/>
      <c r="E32" s="351"/>
      <c r="F32" s="348"/>
      <c r="I32" s="352"/>
    </row>
    <row r="34" spans="2:6">
      <c r="C34" s="516" t="s">
        <v>3072</v>
      </c>
      <c r="D34" s="517"/>
      <c r="E34" s="517"/>
      <c r="F34" s="518"/>
    </row>
    <row r="35" spans="2:6">
      <c r="C35" s="327" t="s">
        <v>3073</v>
      </c>
      <c r="D35" s="328" t="s">
        <v>3069</v>
      </c>
      <c r="E35" s="334">
        <f>+E26</f>
        <v>20000</v>
      </c>
      <c r="F35" s="353"/>
    </row>
    <row r="36" spans="2:6">
      <c r="C36" s="329" t="s">
        <v>3073</v>
      </c>
      <c r="D36" s="330" t="s">
        <v>3070</v>
      </c>
      <c r="E36" s="354">
        <f>+E27+E28+E29+E30</f>
        <v>1775000</v>
      </c>
      <c r="F36" s="331"/>
    </row>
    <row r="37" spans="2:6">
      <c r="C37" s="329" t="s">
        <v>3073</v>
      </c>
      <c r="D37" s="330" t="s">
        <v>3074</v>
      </c>
      <c r="E37" s="354">
        <f>+E29</f>
        <v>1230000</v>
      </c>
      <c r="F37" s="331"/>
    </row>
    <row r="38" spans="2:6">
      <c r="C38" s="329" t="s">
        <v>3073</v>
      </c>
      <c r="D38" s="330" t="s">
        <v>3074</v>
      </c>
      <c r="E38" s="354">
        <f>+E30</f>
        <v>302000</v>
      </c>
      <c r="F38" s="331"/>
    </row>
    <row r="39" spans="2:6">
      <c r="C39" s="329"/>
      <c r="D39" s="330"/>
      <c r="E39" s="330"/>
      <c r="F39" s="331"/>
    </row>
    <row r="40" spans="2:6">
      <c r="C40" s="329"/>
      <c r="D40" s="355" t="s">
        <v>3075</v>
      </c>
      <c r="E40" s="354">
        <f>+E24-E35-E37-E38</f>
        <v>243000</v>
      </c>
      <c r="F40" s="331"/>
    </row>
    <row r="41" spans="2:6">
      <c r="C41" s="329" t="s">
        <v>3073</v>
      </c>
      <c r="D41" s="330" t="s">
        <v>3076</v>
      </c>
      <c r="E41" s="467">
        <f>'Cash Flow - EIA 412'!I204</f>
        <v>243000</v>
      </c>
      <c r="F41" s="331"/>
    </row>
    <row r="42" spans="2:6">
      <c r="C42" s="329"/>
      <c r="D42" s="330" t="s">
        <v>3077</v>
      </c>
      <c r="E42" s="334">
        <f>+E40-E41</f>
        <v>0</v>
      </c>
      <c r="F42" s="331" t="s">
        <v>3078</v>
      </c>
    </row>
    <row r="43" spans="2:6">
      <c r="C43" s="351"/>
      <c r="D43" s="350"/>
      <c r="E43" s="350"/>
      <c r="F43" s="356"/>
    </row>
    <row r="45" spans="2:6">
      <c r="B45" s="315" t="s">
        <v>3418</v>
      </c>
    </row>
    <row r="46" spans="2:6">
      <c r="B46" s="315" t="s">
        <v>3417</v>
      </c>
    </row>
  </sheetData>
  <mergeCells count="1">
    <mergeCell ref="C34:F34"/>
  </mergeCells>
  <printOptions horizontalCentered="1"/>
  <pageMargins left="0.7" right="0.7" top="0.75" bottom="0.75" header="0.3" footer="0.3"/>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Cash Flow - EIA 412</vt:lpstr>
      <vt:lpstr>Att O Flux</vt:lpstr>
      <vt:lpstr>Trial Balance</vt:lpstr>
      <vt:lpstr>Balance sheet</vt:lpstr>
      <vt:lpstr>Income Statement</vt:lpstr>
      <vt:lpstr>Electric Plant</vt:lpstr>
      <vt:lpstr>Taxes</vt:lpstr>
      <vt:lpstr>Op &amp; Maint</vt:lpstr>
      <vt:lpstr>Revenue Credits</vt:lpstr>
      <vt:lpstr>FERC Chgs</vt:lpstr>
      <vt:lpstr>JTS Peak</vt:lpstr>
      <vt:lpstr>Transmission Assets</vt:lpstr>
      <vt:lpstr>CELP Assets</vt:lpstr>
      <vt:lpstr>Peru Assets</vt:lpstr>
      <vt:lpstr>Error Checks</vt:lpstr>
      <vt:lpstr>'Cash Flow - EIA 412'!Print_Area</vt:lpstr>
      <vt:lpstr>'CELP Assets'!Print_Area</vt:lpstr>
      <vt:lpstr>'Electric Plant'!Print_Area</vt:lpstr>
      <vt:lpstr>'FERC Chgs'!Print_Area</vt:lpstr>
      <vt:lpstr>'Income Statement'!Print_Area</vt:lpstr>
      <vt:lpstr>'JTS Peak'!Print_Area</vt:lpstr>
      <vt:lpstr>'Op &amp; Maint'!Print_Area</vt:lpstr>
      <vt:lpstr>'Peru Assets'!Print_Area</vt:lpstr>
      <vt:lpstr>'Revenue Credits'!Print_Area</vt:lpstr>
      <vt:lpstr>'Transmission Assets'!Print_Area</vt:lpstr>
      <vt:lpstr>'Trial Balance'!Print_Area</vt:lpstr>
      <vt:lpstr>'Trial Balance'!Print_Titles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Ginny McCammon</dc:creator>
  <cp:lastModifiedBy>Ginny McCammon</cp:lastModifiedBy>
  <cp:lastPrinted>2018-05-01T19:29:06Z</cp:lastPrinted>
  <dcterms:created xsi:type="dcterms:W3CDTF">2008-03-20T17:17:41Z</dcterms:created>
  <dcterms:modified xsi:type="dcterms:W3CDTF">2018-05-14T13:48:36Z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{FD06F13C-AB4E-49E8-8053-DDD05009655D}</vt:lpwstr>
  </property>
</Properties>
</file>