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55" yWindow="225" windowWidth="14385" windowHeight="13500" tabRatio="701"/>
  </bookViews>
  <sheets>
    <sheet name="1 ATRR" sheetId="1" r:id="rId1"/>
    <sheet name="2 WACC" sheetId="2" r:id="rId2"/>
    <sheet name="3 Rate Base" sheetId="3" r:id="rId3"/>
    <sheet name="4 Expense" sheetId="4" r:id="rId4"/>
    <sheet name="5 Allocation" sheetId="5" r:id="rId5"/>
    <sheet name="St.Macros" sheetId="6" state="veryHidden" r:id="rId6"/>
    <sheet name="Temp" sheetId="7" state="hidden" r:id="rId7"/>
    <sheet name="6 Dep Rates" sheetId="8" r:id="rId8"/>
    <sheet name="7  13 mo avg plant" sheetId="9" r:id="rId9"/>
    <sheet name="8  13 mo avg accu dep" sheetId="10" r:id="rId10"/>
    <sheet name="9 ADIT" sheetId="11" r:id="rId11"/>
    <sheet name="10   165 Prepayment" sheetId="12" r:id="rId12"/>
    <sheet name="11 Rates" sheetId="13" r:id="rId13"/>
    <sheet name="Sheet1" sheetId="14" r:id="rId14"/>
  </sheets>
  <externalReferences>
    <externalReference r:id="rId15"/>
  </externalReferences>
  <definedNames>
    <definedName name="_clp1">'4 Expense'!$A$7:$H$54</definedName>
    <definedName name="_clp2">'3 Rate Base'!$A$6:$G$39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Allocation'!$A$1:$G$42</definedName>
    <definedName name="alloc1">#REF!</definedName>
    <definedName name="alloc2">#REF!</definedName>
    <definedName name="clpcoc">#REF!</definedName>
    <definedName name="clpcoc2">'2 WACC'!$A$1:$T$49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ATRR'!$A$3:$L$70</definedName>
    <definedName name="_xlnm.Print_Area" localSheetId="12">'11 Rates'!$A$5:$H$82</definedName>
    <definedName name="_xlnm.Print_Area" localSheetId="1">'2 WACC'!$A$5:$U$92</definedName>
    <definedName name="_xlnm.Print_Area" localSheetId="2">'3 Rate Base'!$A$5:$G$47</definedName>
    <definedName name="_xlnm.Print_Area" localSheetId="3">'4 Expense'!$A$1:$M$71</definedName>
    <definedName name="_xlnm.Print_Area" localSheetId="4">'5 Allocation'!$A$1:$N$47</definedName>
    <definedName name="_xlnm.Print_Area" localSheetId="7">'6 Dep Rates'!$A$1:$F$43</definedName>
    <definedName name="_xlnm.Print_Area" localSheetId="8">'7  13 mo avg plant'!$A$4:$F$64</definedName>
    <definedName name="_xlnm.Print_Area" localSheetId="9">'8  13 mo avg accu dep'!$A$4:$G$47</definedName>
    <definedName name="_xlnm.Print_Area" localSheetId="10">'9 ADIT'!$A$4:$H$36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ATRR'!$A$1:$W$45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  <definedName name="Z_64F6106B_9E0C_489A_BDF0_E26F35DDE29F_.wvu.PrintArea" localSheetId="0" hidden="1">'1 ATRR'!$A$3:$L$70</definedName>
    <definedName name="Z_64F6106B_9E0C_489A_BDF0_E26F35DDE29F_.wvu.PrintArea" localSheetId="1" hidden="1">'2 WACC'!$A$2:$T$49</definedName>
    <definedName name="Z_64F6106B_9E0C_489A_BDF0_E26F35DDE29F_.wvu.PrintArea" localSheetId="2" hidden="1">'3 Rate Base'!$A$5:$G$47</definedName>
    <definedName name="Z_64F6106B_9E0C_489A_BDF0_E26F35DDE29F_.wvu.PrintArea" localSheetId="3" hidden="1">'4 Expense'!$A$5:$K$90</definedName>
    <definedName name="Z_64F6106B_9E0C_489A_BDF0_E26F35DDE29F_.wvu.PrintArea" localSheetId="4" hidden="1">'5 Allocation'!$A$4:$K$47</definedName>
  </definedNames>
  <calcPr calcId="145621" concurrentCalc="0"/>
  <customWorkbookViews>
    <customWorkbookView name="Carl Scott - Personal View" guid="{64F6106B-9E0C-489A-BDF0-E26F35DDE29F}" mergeInterval="0" personalView="1" maximized="1" xWindow="1" yWindow="1" windowWidth="1366" windowHeight="496" tabRatio="701" activeSheetId="1" showComments="commIndAndComment"/>
  </customWorkbookViews>
</workbook>
</file>

<file path=xl/calcChain.xml><?xml version="1.0" encoding="utf-8"?>
<calcChain xmlns="http://schemas.openxmlformats.org/spreadsheetml/2006/main">
  <c r="C49" i="9" l="1"/>
  <c r="C50" i="9"/>
  <c r="C51" i="9"/>
  <c r="C52" i="9"/>
  <c r="C53" i="9"/>
  <c r="C54" i="9"/>
  <c r="C55" i="9"/>
  <c r="C56" i="9"/>
  <c r="C57" i="9"/>
  <c r="C58" i="9"/>
  <c r="C59" i="9"/>
  <c r="C60" i="9"/>
  <c r="C61" i="9"/>
  <c r="C63" i="9"/>
  <c r="C30" i="4"/>
  <c r="D38" i="5"/>
  <c r="D38" i="11"/>
  <c r="E38" i="11"/>
  <c r="C38" i="11"/>
  <c r="E18" i="11"/>
  <c r="D20" i="11"/>
  <c r="K84" i="2"/>
  <c r="K82" i="2"/>
  <c r="K54" i="2"/>
  <c r="K60" i="2"/>
  <c r="C33" i="3"/>
  <c r="C27" i="12"/>
  <c r="D29" i="13"/>
  <c r="E43" i="13"/>
  <c r="D28" i="12"/>
  <c r="C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27" i="12"/>
  <c r="E28" i="12"/>
  <c r="C31" i="3"/>
  <c r="K85" i="2"/>
  <c r="E36" i="11"/>
  <c r="C28" i="3"/>
  <c r="E28" i="11"/>
  <c r="C27" i="3"/>
  <c r="E20" i="11"/>
  <c r="C26" i="3"/>
  <c r="K86" i="2"/>
  <c r="E15" i="2"/>
  <c r="C38" i="4"/>
  <c r="C40" i="4"/>
  <c r="E57" i="1"/>
  <c r="C68" i="4"/>
  <c r="C24" i="4"/>
  <c r="K71" i="2"/>
  <c r="K58" i="2"/>
  <c r="E13" i="2"/>
  <c r="P15" i="2"/>
  <c r="F56" i="13"/>
  <c r="B71" i="13"/>
  <c r="K79" i="2"/>
  <c r="E14" i="2"/>
  <c r="P14" i="2"/>
  <c r="E46" i="13"/>
  <c r="E41" i="13"/>
  <c r="A36" i="13"/>
  <c r="A37" i="13"/>
  <c r="A38" i="13"/>
  <c r="A39" i="13"/>
  <c r="A41" i="13"/>
  <c r="A43" i="13"/>
  <c r="A44" i="13"/>
  <c r="A46" i="13"/>
  <c r="A48" i="13"/>
  <c r="A56" i="13"/>
  <c r="A58" i="13"/>
  <c r="A60" i="13"/>
  <c r="A62" i="13"/>
  <c r="A64" i="13"/>
  <c r="A66" i="13"/>
  <c r="A67" i="13"/>
  <c r="A70" i="13"/>
  <c r="A71" i="13"/>
  <c r="A73" i="13"/>
  <c r="A75" i="13"/>
  <c r="A77" i="13"/>
  <c r="A78" i="13"/>
  <c r="A80" i="13"/>
  <c r="A81" i="13"/>
  <c r="A18" i="13"/>
  <c r="A19" i="13"/>
  <c r="A20" i="13"/>
  <c r="A21" i="13"/>
  <c r="A22" i="13"/>
  <c r="A23" i="13"/>
  <c r="A24" i="13"/>
  <c r="A25" i="13"/>
  <c r="A26" i="13"/>
  <c r="A27" i="13"/>
  <c r="A28" i="13"/>
  <c r="A30" i="13"/>
  <c r="A31" i="13"/>
  <c r="C8" i="13"/>
  <c r="C7" i="13"/>
  <c r="C29" i="10"/>
  <c r="C20" i="3"/>
  <c r="C29" i="9"/>
  <c r="C15" i="3"/>
  <c r="C46" i="9"/>
  <c r="C16" i="3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C7" i="12"/>
  <c r="C6" i="12"/>
  <c r="C7" i="11"/>
  <c r="C6" i="11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9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6" i="10"/>
  <c r="C7" i="10"/>
  <c r="C6" i="10"/>
  <c r="C7" i="9"/>
  <c r="C6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9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6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3" i="9"/>
  <c r="C56" i="4"/>
  <c r="C42" i="4"/>
  <c r="A11" i="2"/>
  <c r="A14" i="2"/>
  <c r="A15" i="2"/>
  <c r="A24" i="2"/>
  <c r="A25" i="2"/>
  <c r="A28" i="2"/>
  <c r="A33" i="2"/>
  <c r="A34" i="2"/>
  <c r="A37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19" i="5"/>
  <c r="A20" i="5"/>
  <c r="E51" i="1"/>
  <c r="A23" i="5"/>
  <c r="A24" i="5"/>
  <c r="A29" i="5"/>
  <c r="A30" i="5"/>
  <c r="A31" i="5"/>
  <c r="A32" i="5"/>
  <c r="A35" i="5"/>
  <c r="A36" i="5"/>
  <c r="A45" i="5"/>
  <c r="D20" i="5"/>
  <c r="D22" i="5"/>
  <c r="B7" i="4"/>
  <c r="B8" i="4"/>
  <c r="A18" i="4"/>
  <c r="A19" i="4"/>
  <c r="A24" i="4"/>
  <c r="A27" i="4"/>
  <c r="A28" i="4"/>
  <c r="A29" i="4"/>
  <c r="A30" i="4"/>
  <c r="A31" i="4"/>
  <c r="A34" i="4"/>
  <c r="A35" i="4"/>
  <c r="A36" i="4"/>
  <c r="A37" i="4"/>
  <c r="A38" i="4"/>
  <c r="A39" i="4"/>
  <c r="A47" i="4"/>
  <c r="A48" i="4"/>
  <c r="A49" i="4"/>
  <c r="A51" i="4"/>
  <c r="A52" i="4"/>
  <c r="A53" i="4"/>
  <c r="A54" i="4"/>
  <c r="A55" i="4"/>
  <c r="A56" i="4"/>
  <c r="B47" i="4"/>
  <c r="B48" i="4"/>
  <c r="B49" i="4"/>
  <c r="B7" i="3"/>
  <c r="B8" i="3"/>
  <c r="A16" i="3"/>
  <c r="A17" i="3"/>
  <c r="A20" i="3"/>
  <c r="A21" i="3"/>
  <c r="A22" i="3"/>
  <c r="A25" i="3"/>
  <c r="A26" i="3"/>
  <c r="A27" i="3"/>
  <c r="A28" i="3"/>
  <c r="A29" i="3"/>
  <c r="A36" i="3"/>
  <c r="A37" i="3"/>
  <c r="A38" i="3"/>
  <c r="A39" i="3"/>
  <c r="A40" i="3"/>
  <c r="A45" i="3"/>
  <c r="A46" i="3"/>
  <c r="A47" i="3"/>
  <c r="F39" i="3"/>
  <c r="B45" i="3"/>
  <c r="B46" i="3"/>
  <c r="B47" i="3"/>
  <c r="E6" i="2"/>
  <c r="E7" i="2"/>
  <c r="N28" i="2"/>
  <c r="N37" i="2"/>
  <c r="D5" i="1"/>
  <c r="D6" i="1"/>
  <c r="A62" i="4"/>
  <c r="A63" i="4"/>
  <c r="A64" i="4"/>
  <c r="A65" i="4"/>
  <c r="A66" i="4"/>
  <c r="A67" i="4"/>
  <c r="A68" i="4"/>
  <c r="A69" i="4"/>
  <c r="A70" i="4"/>
  <c r="A71" i="4"/>
  <c r="C46" i="10"/>
  <c r="C21" i="3"/>
  <c r="C29" i="4"/>
  <c r="C31" i="4"/>
  <c r="E48" i="13"/>
  <c r="K64" i="2"/>
  <c r="P13" i="2"/>
  <c r="C29" i="3"/>
  <c r="E17" i="2"/>
  <c r="N15" i="2"/>
  <c r="R15" i="2"/>
  <c r="T15" i="2"/>
  <c r="D28" i="5"/>
  <c r="D45" i="5"/>
  <c r="D34" i="5"/>
  <c r="D44" i="5"/>
  <c r="D47" i="5"/>
  <c r="N14" i="2"/>
  <c r="R14" i="2"/>
  <c r="T14" i="2"/>
  <c r="T17" i="2"/>
  <c r="N13" i="2"/>
  <c r="D31" i="4"/>
  <c r="F31" i="4"/>
  <c r="D15" i="3"/>
  <c r="F15" i="3"/>
  <c r="D20" i="3"/>
  <c r="F20" i="3"/>
  <c r="D17" i="4"/>
  <c r="F17" i="4"/>
  <c r="D23" i="5"/>
  <c r="D24" i="5"/>
  <c r="D33" i="3"/>
  <c r="F33" i="3"/>
  <c r="E23" i="1"/>
  <c r="N17" i="2"/>
  <c r="R13" i="2"/>
  <c r="R17" i="2"/>
  <c r="E21" i="2"/>
  <c r="E36" i="2"/>
  <c r="E27" i="2"/>
  <c r="F36" i="3"/>
  <c r="E38" i="1"/>
  <c r="E14" i="1"/>
  <c r="D42" i="4"/>
  <c r="F42" i="4"/>
  <c r="E37" i="1"/>
  <c r="D18" i="4"/>
  <c r="F18" i="4"/>
  <c r="F19" i="4"/>
  <c r="E34" i="1"/>
  <c r="D31" i="3"/>
  <c r="F31" i="3"/>
  <c r="E22" i="1"/>
  <c r="D16" i="3"/>
  <c r="F16" i="3"/>
  <c r="D21" i="3"/>
  <c r="F21" i="3"/>
  <c r="F22" i="3"/>
  <c r="E18" i="1"/>
  <c r="D38" i="4"/>
  <c r="F38" i="4"/>
  <c r="D40" i="4"/>
  <c r="F40" i="4"/>
  <c r="E52" i="1"/>
  <c r="E54" i="1"/>
  <c r="E60" i="1"/>
  <c r="D35" i="5"/>
  <c r="D36" i="5"/>
  <c r="D40" i="5"/>
  <c r="E15" i="1"/>
  <c r="E16" i="1"/>
  <c r="F37" i="3"/>
  <c r="F38" i="3"/>
  <c r="F40" i="3"/>
  <c r="E24" i="1"/>
  <c r="E39" i="1"/>
  <c r="F17" i="3"/>
  <c r="D27" i="3"/>
  <c r="F27" i="3"/>
  <c r="D21" i="4"/>
  <c r="F21" i="4"/>
  <c r="D26" i="3"/>
  <c r="F26" i="3"/>
  <c r="D28" i="3"/>
  <c r="D24" i="4"/>
  <c r="F24" i="4"/>
  <c r="E36" i="1"/>
  <c r="F28" i="3"/>
  <c r="F29" i="3"/>
  <c r="E19" i="1"/>
  <c r="E20" i="1"/>
  <c r="E26" i="1"/>
  <c r="G27" i="2"/>
  <c r="E35" i="1"/>
  <c r="K27" i="2"/>
  <c r="K36" i="2"/>
  <c r="E45" i="2"/>
  <c r="G36" i="2"/>
  <c r="E30" i="2"/>
  <c r="N36" i="2"/>
  <c r="E39" i="2"/>
  <c r="E42" i="2"/>
  <c r="E47" i="2"/>
  <c r="E49" i="2"/>
  <c r="E33" i="1"/>
  <c r="E43" i="1"/>
  <c r="F54" i="13"/>
  <c r="C17" i="13"/>
  <c r="E56" i="1"/>
  <c r="E59" i="1"/>
  <c r="E62" i="1"/>
  <c r="E64" i="1"/>
  <c r="F78" i="13"/>
  <c r="F60" i="13"/>
  <c r="F62" i="13"/>
  <c r="F67" i="13"/>
  <c r="F80" i="13"/>
  <c r="F81" i="13"/>
  <c r="F77" i="13"/>
  <c r="F73" i="13"/>
  <c r="F64" i="13"/>
  <c r="F66" i="13"/>
  <c r="F75" i="13"/>
  <c r="C20" i="13"/>
  <c r="E20" i="13"/>
  <c r="C23" i="13"/>
  <c r="E23" i="13"/>
  <c r="C25" i="13"/>
  <c r="E25" i="13"/>
  <c r="C19" i="13"/>
  <c r="E19" i="13"/>
  <c r="C24" i="13"/>
  <c r="E24" i="13"/>
  <c r="C28" i="13"/>
  <c r="E28" i="13"/>
  <c r="C21" i="13"/>
  <c r="E21" i="13"/>
  <c r="C22" i="13"/>
  <c r="E22" i="13"/>
  <c r="C26" i="13"/>
  <c r="E26" i="13"/>
  <c r="E17" i="13"/>
  <c r="C18" i="13"/>
  <c r="E18" i="13"/>
  <c r="C27" i="13"/>
  <c r="E27" i="13"/>
</calcChain>
</file>

<file path=xl/comments1.xml><?xml version="1.0" encoding="utf-8"?>
<comments xmlns="http://schemas.openxmlformats.org/spreadsheetml/2006/main">
  <authors>
    <author>Ryan, Bill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Ryan, Bill:</t>
        </r>
        <r>
          <rPr>
            <sz val="9"/>
            <color indexed="81"/>
            <rFont val="Tahoma"/>
            <family val="2"/>
          </rPr>
          <t xml:space="preserve">
Enel plant subtracted from monthly values 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Ryan, Bill:</t>
        </r>
        <r>
          <rPr>
            <sz val="9"/>
            <color indexed="81"/>
            <rFont val="Tahoma"/>
            <family val="2"/>
          </rPr>
          <t xml:space="preserve">
Enel plant subtracted from monthly values 
</t>
        </r>
      </text>
    </comment>
  </commentList>
</comments>
</file>

<file path=xl/sharedStrings.xml><?xml version="1.0" encoding="utf-8"?>
<sst xmlns="http://schemas.openxmlformats.org/spreadsheetml/2006/main" count="875" uniqueCount="557">
  <si>
    <t>=</t>
  </si>
  <si>
    <t>(a)</t>
  </si>
  <si>
    <t>(b)</t>
  </si>
  <si>
    <t>(c)</t>
  </si>
  <si>
    <t>Reference</t>
  </si>
  <si>
    <t>Total</t>
  </si>
  <si>
    <t>I.</t>
  </si>
  <si>
    <t>INVESTMENT BASE</t>
  </si>
  <si>
    <t>Section:</t>
  </si>
  <si>
    <t>Transmission Plant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</si>
  <si>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</si>
  <si>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</si>
  <si>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</si>
  <si>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</si>
  <si>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</si>
  <si>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</si>
  <si>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</si>
  <si>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</si>
  <si>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</si>
  <si>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</si>
  <si>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</si>
  <si>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</si>
  <si>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</si>
  <si>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</si>
  <si>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</si>
  <si>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</si>
  <si>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</si>
  <si>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</si>
  <si>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</si>
  <si>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</si>
  <si>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</si>
  <si>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</si>
  <si>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</si>
  <si>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</si>
  <si>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</si>
  <si>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</si>
  <si>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</si>
  <si>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</si>
  <si>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</si>
  <si>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</si>
  <si>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</si>
  <si>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</si>
  <si>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</si>
  <si>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</si>
  <si>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</si>
  <si>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</si>
  <si>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</si>
  <si>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</si>
  <si>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</si>
  <si>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</si>
  <si>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</si>
  <si>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</si>
  <si>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</si>
  <si>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</si>
  <si>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</si>
  <si>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</si>
  <si>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</si>
  <si>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</si>
  <si>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</si>
  <si>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</si>
  <si>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</si>
  <si>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</si>
  <si>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</si>
  <si>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</si>
  <si>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</si>
  <si>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</si>
  <si>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</si>
  <si>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</si>
  <si>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Transmission 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</si>
  <si>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</si>
  <si>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</si>
  <si>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</si>
  <si>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</si>
  <si>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</si>
  <si>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</si>
  <si>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</si>
  <si>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>Transmission Accumulated Depreciation</t>
  </si>
  <si>
    <t>Transmission Accum. Depreciation</t>
  </si>
  <si>
    <t>General Plant Accum.Depreciation</t>
  </si>
  <si>
    <t>Transmission Accumulated Deferred Taxes</t>
  </si>
  <si>
    <t xml:space="preserve"> Accumulated Deferred Taxes (190)</t>
  </si>
  <si>
    <t>Transmission Prepayments</t>
  </si>
  <si>
    <t>Transmission Materials and Supplies</t>
  </si>
  <si>
    <t>Page 336.7b</t>
  </si>
  <si>
    <t>General Depreciation</t>
  </si>
  <si>
    <t>Amortization of Investment Tax Credits</t>
  </si>
  <si>
    <t>Page 266.8f</t>
  </si>
  <si>
    <t>Transmission Property Taxes</t>
  </si>
  <si>
    <t xml:space="preserve"> Transmission Operation and Maintenance</t>
  </si>
  <si>
    <t>Operation and Maintenance</t>
  </si>
  <si>
    <t>Transmission Administrative and General</t>
  </si>
  <si>
    <t>Administrative and General</t>
  </si>
  <si>
    <t xml:space="preserve">   less Regulatory Commission Expenses (#928)</t>
  </si>
  <si>
    <t xml:space="preserve">   less General Advertising Expense (#930.1)</t>
  </si>
  <si>
    <t>Footnote (d)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</si>
  <si>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</si>
  <si>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</si>
  <si>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</si>
  <si>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</si>
  <si>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</si>
  <si>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>Direct Transmission Wages and Salaries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</si>
  <si>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</si>
  <si>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</si>
  <si>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</si>
  <si>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</si>
  <si>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</si>
  <si>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</si>
  <si>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321.112b</t>
  </si>
  <si>
    <t>Page 321.96b</t>
  </si>
  <si>
    <t>Page 323.197b</t>
  </si>
  <si>
    <t>Page 323.189b</t>
  </si>
  <si>
    <t>Page 323.191b</t>
  </si>
  <si>
    <t>Page 354.21b</t>
  </si>
  <si>
    <t>Page 354.28b</t>
  </si>
  <si>
    <t>Page 354.27b</t>
  </si>
  <si>
    <t>Page 336.10b</t>
  </si>
  <si>
    <t>Worksheet 3, line 2 column 3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</si>
  <si>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</si>
  <si>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</si>
  <si>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</si>
  <si>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</si>
  <si>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 xml:space="preserve">Total Transmission Plant </t>
  </si>
  <si>
    <t xml:space="preserve">Less Highgate Transmission </t>
  </si>
  <si>
    <t xml:space="preserve">Network Transmission Plant </t>
  </si>
  <si>
    <t>(a) Transmission Wages and Salaries Allocation Factor</t>
  </si>
  <si>
    <t>(c) Network Transmission Plant Allocation Factor</t>
  </si>
  <si>
    <t>From Worksheet 5:</t>
  </si>
  <si>
    <t>Network Transmission Plant</t>
  </si>
  <si>
    <t>Annual Transmission Revenue Requirements</t>
  </si>
  <si>
    <t xml:space="preserve">     VT Sales Tax - Company Use</t>
  </si>
  <si>
    <t>1.  Transmission Wages and Salaries Allocation Factor</t>
  </si>
  <si>
    <t>2.  Total Transmission Plant Allocation Factor</t>
  </si>
  <si>
    <t>less Transmission of Electricity by Others- account 565</t>
  </si>
  <si>
    <t>3.  Network Transmission Plant Allocation Factor</t>
  </si>
  <si>
    <t>(b) Total Transmission Plant Allocation Factor</t>
  </si>
  <si>
    <t>Plant Investment</t>
  </si>
  <si>
    <t>Expenses</t>
  </si>
  <si>
    <t>Allocation Factors</t>
  </si>
  <si>
    <t xml:space="preserve">Total Wages and Salaries excluding A&amp;G </t>
  </si>
  <si>
    <t>Total Transmission Wages and Salaries Allocation Factor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</si>
  <si>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</si>
  <si>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</si>
  <si>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</si>
  <si>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</si>
  <si>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</si>
  <si>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</si>
  <si>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</si>
  <si>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</si>
  <si>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</si>
  <si>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Worksheet 3, line 1 column 3</t>
  </si>
  <si>
    <t>Worksheet 3, line 15 column 3</t>
  </si>
  <si>
    <t>Worksheet 4, line 3 column 3</t>
  </si>
  <si>
    <t xml:space="preserve">   less Annual PBOP Expense</t>
  </si>
  <si>
    <t xml:space="preserve">----------- </t>
  </si>
  <si>
    <t>Woodsville Annual Revenue Requirement</t>
  </si>
  <si>
    <t>Monthly Charge</t>
  </si>
  <si>
    <t xml:space="preserve">   Only the plant for the line used by Woodsville is included herein.</t>
  </si>
  <si>
    <t>DIRECT ASSIGMMENT AND INCREMENTALLY CHARGED FACILITIES</t>
  </si>
  <si>
    <t>III.</t>
  </si>
  <si>
    <t>*  Woodsville is the sole user of this non-integrated Green Mountain transmission facility.</t>
  </si>
  <si>
    <t>Page 330</t>
  </si>
  <si>
    <t xml:space="preserve">  Working Capital 1/8 formula</t>
  </si>
  <si>
    <t xml:space="preserve"> Accumulated Deferred Taxes (282)</t>
  </si>
  <si>
    <t xml:space="preserve"> Accumulated Deferred Taxes (283)</t>
  </si>
  <si>
    <t>plus Facility Support Payments</t>
  </si>
  <si>
    <t>Fixed in tariff</t>
  </si>
  <si>
    <t xml:space="preserve">        Total Investment Base  (Line 7+8+9+10)</t>
  </si>
  <si>
    <t>line 23 / line 24</t>
  </si>
  <si>
    <t>Worksheet 1, line 22</t>
  </si>
  <si>
    <t>line 25</t>
  </si>
  <si>
    <t>line 26 -  line 27</t>
  </si>
  <si>
    <t>line 28 * line 29</t>
  </si>
  <si>
    <t>Line 30 / 12</t>
  </si>
  <si>
    <t xml:space="preserve"> plus Transmission-Related General Plant</t>
  </si>
  <si>
    <t>Worksheet 1, Line 17</t>
  </si>
  <si>
    <t>Worksheet 1, Line 18</t>
  </si>
  <si>
    <t>(A)(1)(c)</t>
  </si>
  <si>
    <t>(A)(1)(d)</t>
  </si>
  <si>
    <t>(A)(1)(g)</t>
  </si>
  <si>
    <t>(C)</t>
  </si>
  <si>
    <t>Less Direct Metallic Neutral Return Phase II</t>
  </si>
  <si>
    <t xml:space="preserve">     Massachusetts property tax</t>
  </si>
  <si>
    <t>Attachment D-1</t>
  </si>
  <si>
    <t>Attachment E-1</t>
  </si>
  <si>
    <t>Woodsville Transmission Plant *</t>
  </si>
  <si>
    <t>From Worksheet 5</t>
  </si>
  <si>
    <t>Footnotes:</t>
  </si>
  <si>
    <t>Line 3 - Line 4</t>
  </si>
  <si>
    <t>Line 2 / Line 5</t>
  </si>
  <si>
    <t>from Line 24</t>
  </si>
  <si>
    <t>Line 7 X Line 8</t>
  </si>
  <si>
    <t>Line 11 - Lines 12,13,14 and 15</t>
  </si>
  <si>
    <t>Line 16 + Line 17</t>
  </si>
  <si>
    <t>Line 18 / Line 19</t>
  </si>
  <si>
    <t>Line 16</t>
  </si>
  <si>
    <t>Line 11</t>
  </si>
  <si>
    <t>Line 22 / Line 23</t>
  </si>
  <si>
    <t xml:space="preserve">  O&amp;M line 9 less lines 10, 11, plus line 12</t>
  </si>
  <si>
    <t xml:space="preserve">   Subtotal  [line 15 minus (16 thru 18)]</t>
  </si>
  <si>
    <t xml:space="preserve"> To Line 6</t>
  </si>
  <si>
    <t xml:space="preserve">  Total (line 5+6)</t>
  </si>
  <si>
    <t xml:space="preserve">  Total (lines 9,10,11,12)</t>
  </si>
  <si>
    <t xml:space="preserve">  Subtotal (line 17+18)</t>
  </si>
  <si>
    <t xml:space="preserve">  Total (line 19 * line 20)</t>
  </si>
  <si>
    <t xml:space="preserve">        Total Plant (Lines 2+3)</t>
  </si>
  <si>
    <t>Investment</t>
  </si>
  <si>
    <t>Tax Credit</t>
  </si>
  <si>
    <t>Investment Base)</t>
  </si>
  <si>
    <t>) /</t>
  </si>
  <si>
    <t>Total A&amp;G  [line 19 +line 20]</t>
  </si>
  <si>
    <t xml:space="preserve"> To Line 22</t>
  </si>
  <si>
    <t>Worksheet 4, line 21 column 3</t>
  </si>
  <si>
    <t>Worksheet 5, line 13</t>
  </si>
  <si>
    <t>Worksheet 1, line 2</t>
  </si>
  <si>
    <t>Worksheet 4, line 12</t>
  </si>
  <si>
    <t>Network Revenue Requirements (Line 12 thru 21)</t>
  </si>
  <si>
    <t>Woodsville Allocation of Network Plant</t>
  </si>
  <si>
    <t>Total Transmission Plant plus allocated General Plant</t>
  </si>
  <si>
    <t>Network Transmission Annual Revenue Requirement</t>
  </si>
  <si>
    <t>Revenue Requirement excl. Facility Support Payments</t>
  </si>
  <si>
    <t>Less Facilities Support Payments</t>
  </si>
  <si>
    <t>FERC</t>
  </si>
  <si>
    <t>Depreciation</t>
  </si>
  <si>
    <t>FERC Plant Account</t>
  </si>
  <si>
    <t>Account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</si>
  <si>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</si>
  <si>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</si>
  <si>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</si>
  <si>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</si>
  <si>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</si>
  <si>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</si>
  <si>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</si>
  <si>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</si>
  <si>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</si>
  <si>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</si>
  <si>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</si>
  <si>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</si>
  <si>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</si>
  <si>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</si>
  <si>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</si>
  <si>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</si>
  <si>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</si>
  <si>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</si>
  <si>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</si>
  <si>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</si>
  <si>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</si>
  <si>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</si>
  <si>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</si>
  <si>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</si>
  <si>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</si>
  <si>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</si>
  <si>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</si>
  <si>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</si>
  <si>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</si>
  <si>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</si>
  <si>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</si>
  <si>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</si>
  <si>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</si>
  <si>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</si>
  <si>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</si>
  <si>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</si>
  <si>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</si>
  <si>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</si>
  <si>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</si>
  <si>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</si>
  <si>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</si>
  <si>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</si>
  <si>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</si>
  <si>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</si>
  <si>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</si>
  <si>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</si>
  <si>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</si>
  <si>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</si>
  <si>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Transmission Depreciation *</t>
  </si>
  <si>
    <t>Worksheet 3, line 7 column 3</t>
  </si>
  <si>
    <t>* See Worksheet 6 for detailed depreciation rates</t>
  </si>
  <si>
    <t>Depreciation Rates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</si>
  <si>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</si>
  <si>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</si>
  <si>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</si>
  <si>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</si>
  <si>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</si>
  <si>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</si>
  <si>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</si>
  <si>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</si>
  <si>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</si>
  <si>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</si>
  <si>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</si>
  <si>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</si>
  <si>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</si>
  <si>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</si>
  <si>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</si>
  <si>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</si>
  <si>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</si>
  <si>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</si>
  <si>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</si>
  <si>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</si>
  <si>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</si>
  <si>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</si>
  <si>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</si>
  <si>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</si>
  <si>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</si>
  <si>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</si>
  <si>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</si>
  <si>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</si>
  <si>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</si>
  <si>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</si>
  <si>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</si>
  <si>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</si>
  <si>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</si>
  <si>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</si>
  <si>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</si>
  <si>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</si>
  <si>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</si>
  <si>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</si>
  <si>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</si>
  <si>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</si>
  <si>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</si>
  <si>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</si>
  <si>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</si>
  <si>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</si>
  <si>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</si>
  <si>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</si>
  <si>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</si>
  <si>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</si>
  <si>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</si>
  <si>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</si>
  <si>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</si>
  <si>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</si>
  <si>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</si>
  <si>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</si>
  <si>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</si>
  <si>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</si>
  <si>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</si>
  <si>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</si>
  <si>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</si>
  <si>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</si>
  <si>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</si>
  <si>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Common Equity </t>
  </si>
  <si>
    <t xml:space="preserve">General Other Tangible Property </t>
  </si>
  <si>
    <t>From Worksheet 1, line 11</t>
  </si>
  <si>
    <t>To Worksheet 1, line 12</t>
  </si>
  <si>
    <t>Worksheet 2, line 24</t>
  </si>
  <si>
    <t>Sum Ln 27 through 30</t>
  </si>
  <si>
    <t>Sum Ln 31 through 36</t>
  </si>
  <si>
    <t>Sum Ln 39 through 43</t>
  </si>
  <si>
    <t>Sum Ln 46 through 51</t>
  </si>
  <si>
    <t>Ln 55 less Ln 56 through 58</t>
  </si>
  <si>
    <t>Ln 53/Ln 52</t>
  </si>
  <si>
    <t>Worksheet 3, line 13 column 3</t>
  </si>
  <si>
    <t>Worksheet 3, line 14 column 3</t>
  </si>
  <si>
    <t>Worksheet 3, line 21 column 3</t>
  </si>
  <si>
    <t>Worksheet 4, line 4 column 3</t>
  </si>
  <si>
    <t>Worksheet 4, line 6 column 3</t>
  </si>
  <si>
    <t>Worksheet 4, line 22 column 3</t>
  </si>
  <si>
    <t>Worksheet 4, line 13 column 3</t>
  </si>
  <si>
    <t xml:space="preserve"> 45 / 360</t>
  </si>
  <si>
    <t>Worksheet 3, line 3 column 3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</si>
  <si>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</si>
  <si>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</si>
  <si>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less Load Dispatching - account 561.1-561.4</t>
  </si>
  <si>
    <t>**  Capital Structure is based on the average beginning-of-year and end-of-year balances for all components.</t>
  </si>
  <si>
    <t xml:space="preserve">December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</si>
  <si>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</si>
  <si>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</si>
  <si>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</si>
  <si>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</si>
  <si>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</si>
  <si>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</si>
  <si>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</si>
  <si>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</si>
  <si>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</si>
  <si>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</si>
  <si>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January</t>
  </si>
  <si>
    <t>December</t>
  </si>
  <si>
    <t xml:space="preserve">13 Month Average Plant </t>
  </si>
  <si>
    <t xml:space="preserve">13 Month Average Transmission </t>
  </si>
  <si>
    <t xml:space="preserve">Plant </t>
  </si>
  <si>
    <t>Balance</t>
  </si>
  <si>
    <t>General</t>
  </si>
  <si>
    <t>13 Month Average General</t>
  </si>
  <si>
    <t xml:space="preserve">Total Plant in Service </t>
  </si>
  <si>
    <t>13 Month Average Accumulated Depreciation</t>
  </si>
  <si>
    <t>Page 219.25c prior year</t>
  </si>
  <si>
    <t>Page 207.58b</t>
  </si>
  <si>
    <t>Page 207.58g</t>
  </si>
  <si>
    <t>Page 207.99b</t>
  </si>
  <si>
    <t>Page 207.99g</t>
  </si>
  <si>
    <t>Page 207.104b</t>
  </si>
  <si>
    <t>Page 207.104g</t>
  </si>
  <si>
    <t>Page 219.25c</t>
  </si>
  <si>
    <t>Page 219.28c prior year</t>
  </si>
  <si>
    <t>Page 219.28c</t>
  </si>
  <si>
    <t>13 Month Average Total Plant</t>
  </si>
  <si>
    <t>Account 282</t>
  </si>
  <si>
    <t>Account 283</t>
  </si>
  <si>
    <t>Total Account 283</t>
  </si>
  <si>
    <t>Account 190</t>
  </si>
  <si>
    <t xml:space="preserve">Beginning </t>
  </si>
  <si>
    <t xml:space="preserve">Ending </t>
  </si>
  <si>
    <t xml:space="preserve">Average </t>
  </si>
  <si>
    <t>ADIT</t>
  </si>
  <si>
    <t>Prepayment (165)</t>
  </si>
  <si>
    <t>Account 165 Prepayment</t>
  </si>
  <si>
    <t>Total Account 165</t>
  </si>
  <si>
    <t>Worksheet 7, line 15</t>
  </si>
  <si>
    <t>Worksheet 7, line 45</t>
  </si>
  <si>
    <t>Worksheet 8, line 15</t>
  </si>
  <si>
    <t>Worksheet 7, line 30</t>
  </si>
  <si>
    <t>Worksheet 8, line 30</t>
  </si>
  <si>
    <t xml:space="preserve">     plus PBOP Expense - Fixed **</t>
  </si>
  <si>
    <t>** The PBOP amount may not be changed absent a Section 205 or 206 filing with FERC.</t>
  </si>
  <si>
    <t>Firm Point-to-Point Transmission Service Rates:</t>
  </si>
  <si>
    <t>1. Yearly delivery</t>
  </si>
  <si>
    <t>per Kw-month</t>
  </si>
  <si>
    <t>2. Monthly delivery</t>
  </si>
  <si>
    <t>3. Weekly delivery</t>
  </si>
  <si>
    <t>per Kw-week</t>
  </si>
  <si>
    <t>4. Daily delivery - Monday through Friday</t>
  </si>
  <si>
    <t>per Kw-day</t>
  </si>
  <si>
    <t xml:space="preserve">                  - Saturday and Sunday</t>
  </si>
  <si>
    <t>1. Monthly delivery</t>
  </si>
  <si>
    <t>2. Weekly delivery</t>
  </si>
  <si>
    <t>3. Daily delivery - Monday through Friday</t>
  </si>
  <si>
    <t>4. Hourly delivery - On-Peak</t>
  </si>
  <si>
    <t>per Kw-hour</t>
  </si>
  <si>
    <t xml:space="preserve">                   - Off-Peak</t>
  </si>
  <si>
    <t xml:space="preserve">Annual    </t>
  </si>
  <si>
    <t xml:space="preserve">Firm Monthly </t>
  </si>
  <si>
    <t xml:space="preserve">Illustrative </t>
  </si>
  <si>
    <t xml:space="preserve">Revenue   </t>
  </si>
  <si>
    <t xml:space="preserve">Peak    </t>
  </si>
  <si>
    <t xml:space="preserve">Rate     </t>
  </si>
  <si>
    <t xml:space="preserve">Requirement </t>
  </si>
  <si>
    <t xml:space="preserve">(Kw)     </t>
  </si>
  <si>
    <t xml:space="preserve">$/Kw-month  </t>
  </si>
  <si>
    <t>February</t>
  </si>
  <si>
    <t>May</t>
  </si>
  <si>
    <t>(A)/(B)/12</t>
  </si>
  <si>
    <t>Firm Point-to-Point Transmission Service under Schedule 3</t>
  </si>
  <si>
    <t>Non-Firm Point-to-Point Transmission Service under Schedule 4</t>
  </si>
  <si>
    <t xml:space="preserve">Network Customers’ Local Network Loads </t>
  </si>
  <si>
    <t>Firm Local Point-to-Point Service reservations</t>
  </si>
  <si>
    <t>Load Dispatch-Reliability (561.1)</t>
  </si>
  <si>
    <t>Load Dispatch-Monitor &amp; Operate Trans System (561.2)</t>
  </si>
  <si>
    <t>Load Dispatch-Trans Service &amp; Scheduling (561.3)</t>
  </si>
  <si>
    <t>Scheduling, System Control and Dispatch Service under Schedule 1</t>
  </si>
  <si>
    <t>Scheduling, System Control and Dispatch Service rate</t>
  </si>
  <si>
    <t>Total Load Dispatching sum of lines 16-19</t>
  </si>
  <si>
    <t>Total Schedule 1 Load sum of lines 21 and 22</t>
  </si>
  <si>
    <t>line 27/line 28/12</t>
  </si>
  <si>
    <t>line 27/line 28/52</t>
  </si>
  <si>
    <t>line 27/line 28/260</t>
  </si>
  <si>
    <t>line 27/line 28/365</t>
  </si>
  <si>
    <t>line 27/line 28/4160</t>
  </si>
  <si>
    <t>line 27/line 28/8760</t>
  </si>
  <si>
    <t>General Office Transportation Equipment - large vehicles</t>
  </si>
  <si>
    <t>General Office Transportation Equipment - small vehicles</t>
  </si>
  <si>
    <t>Worksheet 1 of 11</t>
  </si>
  <si>
    <t>Worksheet 2 of 11</t>
  </si>
  <si>
    <t>Worksheet 3 of 11</t>
  </si>
  <si>
    <t>Worksheet 4 of 11</t>
  </si>
  <si>
    <t>Worksheet 5 of 11</t>
  </si>
  <si>
    <t>Worksheet  6  of  11</t>
  </si>
  <si>
    <t>Worksheet 7 of 11</t>
  </si>
  <si>
    <t>Worksheet  8  of  11</t>
  </si>
  <si>
    <t>Worksheet  9  of  11</t>
  </si>
  <si>
    <t>Worksheet 11 of 11</t>
  </si>
  <si>
    <t>Worksheet 10 of 11</t>
  </si>
  <si>
    <t>Worksheet 11, line 20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</si>
  <si>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</si>
  <si>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</si>
  <si>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</si>
  <si>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 xml:space="preserve">Scheduling,System Control&amp;Dispatch Services (561.4) </t>
  </si>
  <si>
    <t>Transmission Rate Summary</t>
  </si>
  <si>
    <t>Less Direct Assignment and Incrementally Charged Facilities</t>
  </si>
  <si>
    <t>Total Account 282</t>
  </si>
  <si>
    <t>Page 227.8 b,c</t>
  </si>
  <si>
    <t>Maximum of Lines 1B:12B</t>
  </si>
  <si>
    <t>Less Revenue from Schedule 3 Firm PT to PT</t>
  </si>
  <si>
    <t>16511~PREPAYMENTS-INS GENERAL</t>
  </si>
  <si>
    <t>16512~PREPAYMENTS-EMPLOYEE MEDICAL</t>
  </si>
  <si>
    <t>16514~PREPAYMENTS-INS LIABILITY</t>
  </si>
  <si>
    <t>16516~PREPAYMENTS-EXCESS LIABILITY</t>
  </si>
  <si>
    <t>16517~PREPAYMENTS-D.O.L.I.</t>
  </si>
  <si>
    <t>16522~PREPAYMENTS-REC BROKERAGE FEES</t>
  </si>
  <si>
    <t>16523~PREPAYMENT-401K MATCH</t>
  </si>
  <si>
    <t>16524~PREPAYMENT-LTD</t>
  </si>
  <si>
    <t>16525~PREPAYMENT-GROUP LIFE</t>
  </si>
  <si>
    <t>16531~PREPAYMENT-OTHER</t>
  </si>
  <si>
    <t>16532~PREPAYMENTS-MMWEC</t>
  </si>
  <si>
    <t>16538~PREPAYMENTS-MCNEIL</t>
  </si>
  <si>
    <t>16542~PREPAYMENTS-PROPERTY TAXES</t>
  </si>
  <si>
    <t>Worksheet 10, line 25</t>
  </si>
  <si>
    <t>Page 111.57d,c</t>
  </si>
  <si>
    <t>Page 450.1</t>
  </si>
  <si>
    <t>Page 321.85.b</t>
  </si>
  <si>
    <t>Page 321.86.b</t>
  </si>
  <si>
    <t>Page 321.87.b</t>
  </si>
  <si>
    <t>Page 321.88.b</t>
  </si>
  <si>
    <t>(e) Total Municipal Tax Expense detail:  Page 263.23i:28i</t>
  </si>
  <si>
    <t>Footnote (e)</t>
  </si>
  <si>
    <t>Total Account 190</t>
  </si>
  <si>
    <t>This line is intentionally left blank</t>
  </si>
  <si>
    <t>Worksheet 9, line 2</t>
  </si>
  <si>
    <t>Worksheet 9, line 4</t>
  </si>
  <si>
    <t>Worksheet 9, line 6</t>
  </si>
  <si>
    <t>Rates *</t>
  </si>
  <si>
    <t>* In effect 1/1/2014 - The depreciation rates may not be changed absent a Section 205 or 206 filing with FERC.</t>
  </si>
  <si>
    <t>Source:  Column A: Worksheet 1, line 22e</t>
  </si>
  <si>
    <t>Rates effective June 1, 2017</t>
  </si>
  <si>
    <t>Less Pool Transmission Facilities (Y-25 Bennington-Searsburg)</t>
  </si>
  <si>
    <t>Page 234.18b,c</t>
  </si>
  <si>
    <t>Page 337.32</t>
  </si>
  <si>
    <t>Page 337.33</t>
  </si>
  <si>
    <t>Page 337.34</t>
  </si>
  <si>
    <t>Page 337.35</t>
  </si>
  <si>
    <t>Page 337.36</t>
  </si>
  <si>
    <t>Page 337.38</t>
  </si>
  <si>
    <t>Page 337.39</t>
  </si>
  <si>
    <t>Page 337.40</t>
  </si>
  <si>
    <t>Page 337.41</t>
  </si>
  <si>
    <t>Page 337.42</t>
  </si>
  <si>
    <t>Page 337.43</t>
  </si>
  <si>
    <t>Page 337.44</t>
  </si>
  <si>
    <t>Page 337.45</t>
  </si>
  <si>
    <t>Page 337.46</t>
  </si>
  <si>
    <t>Page 337.47</t>
  </si>
  <si>
    <t>Page 337.48</t>
  </si>
  <si>
    <t>Page 337.50</t>
  </si>
  <si>
    <t>Page 338.12</t>
  </si>
  <si>
    <t>Page 338.13</t>
  </si>
  <si>
    <t>Page 338.14</t>
  </si>
  <si>
    <t>Page 338.15</t>
  </si>
  <si>
    <t>Page 338.16</t>
  </si>
  <si>
    <t>Page 338.17</t>
  </si>
  <si>
    <t>Page 338.18</t>
  </si>
  <si>
    <t>Less Revenue from Schedule 4 Non-Firm Local PT to PT</t>
  </si>
  <si>
    <t>2016 Annual Transmission Revenue Requirement</t>
  </si>
  <si>
    <t>2016 Calendar Year Maximum Firm Transmission System Load</t>
  </si>
  <si>
    <t>Payroll Taxes shall equal those payroll expenses as recorded in GMP’s FERC Account Nos. 408.1 and 409.1.</t>
  </si>
  <si>
    <t>(d) Payroll taxes from FERC Form 1, Page 263, col i</t>
  </si>
  <si>
    <t>Line 20/line 23/12 months</t>
  </si>
  <si>
    <t>Page 423.2L</t>
  </si>
  <si>
    <t>Page 123.28</t>
  </si>
  <si>
    <t>Page 330.24n</t>
  </si>
  <si>
    <t>January 2017</t>
  </si>
  <si>
    <t>Page 278.3f</t>
  </si>
  <si>
    <t>Page 276.19b,277.19k</t>
  </si>
  <si>
    <t>Page 274.5b,275.5k</t>
  </si>
  <si>
    <t>Regulatory Liability</t>
  </si>
  <si>
    <t>Page 400.g</t>
  </si>
  <si>
    <t xml:space="preserve">         Column B: Supplemental Information</t>
  </si>
  <si>
    <t xml:space="preserve">        Net Investment (Line 4-5-6)</t>
  </si>
  <si>
    <t>Supplemental Information</t>
  </si>
  <si>
    <t>Actual 2017</t>
  </si>
  <si>
    <t>Reg Liab in ADIT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</si>
</sst>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0000%"/>
    <numFmt numFmtId="168" formatCode="0.0000"/>
    <numFmt numFmtId="169" formatCode="0.0000000"/>
    <numFmt numFmtId="170" formatCode="0.0000000000"/>
    <numFmt numFmtId="171" formatCode="#,##0.0000_);[Red]\(#,##0.0000\)"/>
    <numFmt numFmtId="172" formatCode="_(&quot;$&quot;* #,##0_);_(&quot;$&quot;* \(#,##0\);_(&quot;$&quot;* &quot;-&quot;??_);_(@_)"/>
    <numFmt numFmtId="173" formatCode="#,##0.0000_);\(#,##0.0000\)"/>
    <numFmt numFmtId="174" formatCode="#,##0.00000_);[Red]\(#,##0.00000\)"/>
    <numFmt numFmtId="175" formatCode="[$-409]mmmm\-yy;@"/>
    <numFmt numFmtId="176" formatCode="&quot;$&quot;#,##0.0000000_);\(&quot;$&quot;#,##0.0000000\)"/>
    <numFmt numFmtId="177" formatCode="0_)"/>
    <numFmt numFmtId="178" formatCode="#,##0.00000000_);\(#,##0.00000000\)"/>
    <numFmt numFmtId="179" formatCode="_(* #,##0_);_(* \(#,##0\);_(* &quot;-&quot;??_);_(@_)"/>
    <numFmt numFmtId="180" formatCode="_(* #,##0.0_);_(* \(#,##0.0\);_(* &quot;-&quot;??_);_(@_)"/>
    <numFmt numFmtId="181" formatCode="[$$]#,##0;\-[$$]#,##0"/>
  </numFmts>
  <fonts count="57" x14ac:knownFonts="1">
    <font>
      <sz val="10"/>
      <name val="Arial"/>
    </font>
    <font>
      <sz val="10"/>
      <name val="Arial"/>
      <family val="2"/>
    </font>
    <font>
      <sz val="11"/>
      <name val="Bookman Old Style"/>
      <family val="1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u/>
      <sz val="11"/>
      <color indexed="12"/>
      <name val="Courier New"/>
      <family val="3"/>
    </font>
    <font>
      <sz val="10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70C0"/>
      <name val="Courier New"/>
      <family val="3"/>
    </font>
    <font>
      <u/>
      <sz val="11"/>
      <color rgb="FF0070C0"/>
      <name val="Courier New"/>
      <family val="3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4"/>
      <color rgb="FFFF0000"/>
      <name val="Courier New"/>
      <family val="3"/>
    </font>
    <font>
      <sz val="11"/>
      <color rgb="FFFF0000"/>
      <name val="Courier New"/>
      <family val="3"/>
    </font>
    <font>
      <sz val="11"/>
      <color rgb="FFFF0000"/>
      <name val="Times New Roman"/>
      <family val="1"/>
    </font>
    <font>
      <b/>
      <sz val="20"/>
      <name val="Courier New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43">
    <xf numFmtId="0" fontId="0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1" fillId="20" borderId="0" applyNumberFormat="0" applyBorder="0" applyAlignment="0" applyProtection="0"/>
    <xf numFmtId="0" fontId="32" fillId="32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45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26" fillId="0" borderId="0"/>
    <xf numFmtId="37" fontId="26" fillId="0" borderId="0"/>
    <xf numFmtId="37" fontId="26" fillId="0" borderId="0"/>
    <xf numFmtId="0" fontId="26" fillId="0" borderId="0"/>
    <xf numFmtId="0" fontId="1" fillId="29" borderId="7" applyNumberFormat="0" applyFont="0" applyAlignment="0" applyProtection="0"/>
    <xf numFmtId="0" fontId="1" fillId="29" borderId="7" applyNumberFormat="0" applyFont="0" applyAlignment="0" applyProtection="0"/>
    <xf numFmtId="0" fontId="23" fillId="32" borderId="8" applyNumberFormat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7" fillId="10" borderId="9" applyNumberFormat="0" applyProtection="0">
      <alignment vertical="center"/>
    </xf>
    <xf numFmtId="4" fontId="38" fillId="10" borderId="9" applyNumberFormat="0" applyProtection="0">
      <alignment vertical="center"/>
    </xf>
    <xf numFmtId="4" fontId="37" fillId="10" borderId="9" applyNumberFormat="0" applyProtection="0">
      <alignment horizontal="left" vertical="center" indent="1"/>
    </xf>
    <xf numFmtId="0" fontId="37" fillId="10" borderId="9" applyNumberFormat="0" applyProtection="0">
      <alignment horizontal="left" vertical="top" indent="1"/>
    </xf>
    <xf numFmtId="4" fontId="37" fillId="3" borderId="0" applyNumberFormat="0" applyProtection="0">
      <alignment horizontal="left" vertical="center" indent="1"/>
    </xf>
    <xf numFmtId="4" fontId="29" fillId="8" borderId="9" applyNumberFormat="0" applyProtection="0">
      <alignment horizontal="right" vertical="center"/>
    </xf>
    <xf numFmtId="4" fontId="29" fillId="4" borderId="9" applyNumberFormat="0" applyProtection="0">
      <alignment horizontal="right" vertical="center"/>
    </xf>
    <xf numFmtId="4" fontId="29" fillId="28" borderId="9" applyNumberFormat="0" applyProtection="0">
      <alignment horizontal="right" vertical="center"/>
    </xf>
    <xf numFmtId="4" fontId="29" fillId="14" borderId="9" applyNumberFormat="0" applyProtection="0">
      <alignment horizontal="right" vertical="center"/>
    </xf>
    <xf numFmtId="4" fontId="29" fillId="37" borderId="9" applyNumberFormat="0" applyProtection="0">
      <alignment horizontal="right" vertical="center"/>
    </xf>
    <xf numFmtId="4" fontId="29" fillId="13" borderId="9" applyNumberFormat="0" applyProtection="0">
      <alignment horizontal="right" vertical="center"/>
    </xf>
    <xf numFmtId="4" fontId="29" fillId="11" borderId="9" applyNumberFormat="0" applyProtection="0">
      <alignment horizontal="right" vertical="center"/>
    </xf>
    <xf numFmtId="4" fontId="29" fillId="38" borderId="9" applyNumberFormat="0" applyProtection="0">
      <alignment horizontal="right" vertical="center"/>
    </xf>
    <xf numFmtId="4" fontId="29" fillId="39" borderId="9" applyNumberFormat="0" applyProtection="0">
      <alignment horizontal="right" vertical="center"/>
    </xf>
    <xf numFmtId="4" fontId="37" fillId="40" borderId="10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29" fillId="3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4" fontId="29" fillId="3" borderId="0" applyNumberFormat="0" applyProtection="0">
      <alignment horizontal="left" vertical="center" indent="1"/>
    </xf>
    <xf numFmtId="4" fontId="29" fillId="3" borderId="0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top" indent="1"/>
    </xf>
    <xf numFmtId="0" fontId="1" fillId="9" borderId="9" applyNumberFormat="0" applyProtection="0">
      <alignment horizontal="left" vertical="top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top" indent="1"/>
    </xf>
    <xf numFmtId="0" fontId="1" fillId="3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2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41" borderId="9" applyNumberFormat="0" applyProtection="0">
      <alignment horizontal="left" vertical="top" indent="1"/>
    </xf>
    <xf numFmtId="0" fontId="1" fillId="7" borderId="11" applyNumberFormat="0">
      <protection locked="0"/>
    </xf>
    <xf numFmtId="0" fontId="1" fillId="7" borderId="11" applyNumberFormat="0">
      <protection locked="0"/>
    </xf>
    <xf numFmtId="4" fontId="29" fillId="5" borderId="9" applyNumberFormat="0" applyProtection="0">
      <alignment vertical="center"/>
    </xf>
    <xf numFmtId="4" fontId="40" fillId="5" borderId="9" applyNumberFormat="0" applyProtection="0">
      <alignment vertical="center"/>
    </xf>
    <xf numFmtId="4" fontId="29" fillId="5" borderId="9" applyNumberFormat="0" applyProtection="0">
      <alignment horizontal="left" vertical="center" indent="1"/>
    </xf>
    <xf numFmtId="0" fontId="29" fillId="5" borderId="9" applyNumberFormat="0" applyProtection="0">
      <alignment horizontal="left" vertical="top" indent="1"/>
    </xf>
    <xf numFmtId="4" fontId="29" fillId="41" borderId="9" applyNumberFormat="0" applyProtection="0">
      <alignment horizontal="right" vertical="center"/>
    </xf>
    <xf numFmtId="4" fontId="40" fillId="41" borderId="9" applyNumberFormat="0" applyProtection="0">
      <alignment horizontal="right" vertical="center"/>
    </xf>
    <xf numFmtId="4" fontId="29" fillId="3" borderId="9" applyNumberFormat="0" applyProtection="0">
      <alignment horizontal="left" vertical="center" indent="1"/>
    </xf>
    <xf numFmtId="0" fontId="29" fillId="3" borderId="9" applyNumberFormat="0" applyProtection="0">
      <alignment horizontal="left" vertical="top" indent="1"/>
    </xf>
    <xf numFmtId="4" fontId="41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4" fontId="27" fillId="41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</cellStyleXfs>
  <cellXfs count="284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3" fontId="3" fillId="0" borderId="0" xfId="0" applyNumberFormat="1" applyFont="1"/>
    <xf numFmtId="38" fontId="4" fillId="0" borderId="0" xfId="0" applyNumberFormat="1" applyFont="1" applyFill="1" applyBorder="1"/>
    <xf numFmtId="38" fontId="3" fillId="0" borderId="0" xfId="0" applyNumberFormat="1" applyFont="1"/>
    <xf numFmtId="38" fontId="3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0" fontId="3" fillId="0" borderId="0" xfId="0" applyNumberFormat="1" applyFont="1"/>
    <xf numFmtId="0" fontId="3" fillId="0" borderId="0" xfId="0" applyFont="1" applyAlignment="1">
      <alignment horizontal="center"/>
    </xf>
    <xf numFmtId="38" fontId="4" fillId="0" borderId="13" xfId="0" applyNumberFormat="1" applyFont="1" applyBorder="1"/>
    <xf numFmtId="38" fontId="3" fillId="0" borderId="0" xfId="0" applyNumberFormat="1" applyFont="1" applyFill="1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Fill="1"/>
    <xf numFmtId="0" fontId="3" fillId="0" borderId="0" xfId="0" quotePrefix="1" applyFont="1" applyFill="1"/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/>
    <xf numFmtId="38" fontId="3" fillId="0" borderId="13" xfId="0" applyNumberFormat="1" applyFont="1" applyBorder="1"/>
    <xf numFmtId="0" fontId="5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/>
    <xf numFmtId="37" fontId="3" fillId="0" borderId="14" xfId="0" applyNumberFormat="1" applyFont="1" applyBorder="1"/>
    <xf numFmtId="0" fontId="3" fillId="0" borderId="15" xfId="0" applyFont="1" applyBorder="1" applyAlignment="1">
      <alignment horizontal="center"/>
    </xf>
    <xf numFmtId="10" fontId="3" fillId="0" borderId="0" xfId="0" applyNumberFormat="1" applyFont="1" applyProtection="1"/>
    <xf numFmtId="10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0" xfId="0" applyNumberFormat="1" applyFont="1" applyBorder="1" applyProtection="1"/>
    <xf numFmtId="10" fontId="3" fillId="0" borderId="16" xfId="0" applyNumberFormat="1" applyFont="1" applyBorder="1" applyProtection="1"/>
    <xf numFmtId="10" fontId="3" fillId="0" borderId="17" xfId="0" applyNumberFormat="1" applyFont="1" applyBorder="1"/>
    <xf numFmtId="168" fontId="3" fillId="0" borderId="0" xfId="0" applyNumberFormat="1" applyFont="1" applyBorder="1"/>
    <xf numFmtId="38" fontId="3" fillId="0" borderId="0" xfId="0" applyNumberFormat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38" fontId="3" fillId="0" borderId="13" xfId="0" quotePrefix="1" applyNumberFormat="1" applyFont="1" applyBorder="1" applyAlignment="1">
      <alignment horizontal="center"/>
    </xf>
    <xf numFmtId="38" fontId="3" fillId="0" borderId="13" xfId="0" applyNumberFormat="1" applyFont="1" applyBorder="1" applyAlignment="1">
      <alignment horizontal="left"/>
    </xf>
    <xf numFmtId="38" fontId="3" fillId="0" borderId="13" xfId="0" quotePrefix="1" applyNumberFormat="1" applyFont="1" applyBorder="1" applyAlignment="1">
      <alignment horizontal="left"/>
    </xf>
    <xf numFmtId="3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3" fillId="0" borderId="0" xfId="0" quotePrefix="1" applyFont="1" applyAlignment="1">
      <alignment horizontal="right"/>
    </xf>
    <xf numFmtId="0" fontId="3" fillId="0" borderId="0" xfId="0" applyFont="1" applyBorder="1" applyAlignment="1">
      <alignment horizontal="centerContinuous"/>
    </xf>
    <xf numFmtId="168" fontId="3" fillId="0" borderId="13" xfId="0" quotePrefix="1" applyNumberFormat="1" applyFont="1" applyBorder="1" applyAlignment="1">
      <alignment horizontal="left"/>
    </xf>
    <xf numFmtId="169" fontId="3" fillId="0" borderId="17" xfId="0" applyNumberFormat="1" applyFont="1" applyBorder="1"/>
    <xf numFmtId="169" fontId="3" fillId="0" borderId="0" xfId="0" applyNumberFormat="1" applyFont="1" applyBorder="1"/>
    <xf numFmtId="0" fontId="3" fillId="0" borderId="13" xfId="0" quotePrefix="1" applyFont="1" applyBorder="1"/>
    <xf numFmtId="0" fontId="3" fillId="0" borderId="0" xfId="0" quotePrefix="1" applyFont="1" applyBorder="1"/>
    <xf numFmtId="170" fontId="3" fillId="0" borderId="0" xfId="0" applyNumberFormat="1" applyFont="1" applyBorder="1"/>
    <xf numFmtId="37" fontId="3" fillId="0" borderId="0" xfId="0" applyNumberFormat="1" applyFont="1" applyProtection="1"/>
    <xf numFmtId="169" fontId="3" fillId="0" borderId="0" xfId="0" applyNumberFormat="1" applyFont="1"/>
    <xf numFmtId="37" fontId="3" fillId="0" borderId="0" xfId="0" applyNumberFormat="1" applyFont="1" applyBorder="1"/>
    <xf numFmtId="165" fontId="3" fillId="0" borderId="0" xfId="0" applyNumberFormat="1" applyFo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3" fillId="0" borderId="0" xfId="0" applyNumberFormat="1" applyFont="1" applyAlignment="1" applyProtection="1">
      <alignment horizontal="center"/>
    </xf>
    <xf numFmtId="38" fontId="3" fillId="0" borderId="0" xfId="0" applyNumberFormat="1" applyFont="1" applyBorder="1" applyAlignment="1">
      <alignment horizontal="right"/>
    </xf>
    <xf numFmtId="0" fontId="3" fillId="43" borderId="0" xfId="0" applyFont="1" applyFill="1"/>
    <xf numFmtId="0" fontId="6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5" fontId="3" fillId="0" borderId="0" xfId="0" applyNumberFormat="1" applyFont="1"/>
    <xf numFmtId="0" fontId="3" fillId="43" borderId="0" xfId="0" applyFont="1" applyFill="1" applyBorder="1"/>
    <xf numFmtId="164" fontId="3" fillId="43" borderId="0" xfId="0" applyNumberFormat="1" applyFont="1" applyFill="1" applyBorder="1"/>
    <xf numFmtId="0" fontId="5" fillId="43" borderId="0" xfId="0" applyFont="1" applyFill="1"/>
    <xf numFmtId="0" fontId="3" fillId="43" borderId="0" xfId="0" quotePrefix="1" applyFont="1" applyFill="1"/>
    <xf numFmtId="38" fontId="3" fillId="43" borderId="0" xfId="0" applyNumberFormat="1" applyFont="1" applyFill="1" applyBorder="1"/>
    <xf numFmtId="38" fontId="3" fillId="43" borderId="13" xfId="0" applyNumberFormat="1" applyFont="1" applyFill="1" applyBorder="1"/>
    <xf numFmtId="0" fontId="3" fillId="43" borderId="13" xfId="0" applyFont="1" applyFill="1" applyBorder="1"/>
    <xf numFmtId="5" fontId="3" fillId="0" borderId="0" xfId="0" applyNumberFormat="1" applyFont="1" applyBorder="1"/>
    <xf numFmtId="5" fontId="3" fillId="0" borderId="17" xfId="0" applyNumberFormat="1" applyFont="1" applyBorder="1"/>
    <xf numFmtId="5" fontId="3" fillId="0" borderId="14" xfId="0" applyNumberFormat="1" applyFont="1" applyBorder="1"/>
    <xf numFmtId="5" fontId="3" fillId="43" borderId="0" xfId="0" applyNumberFormat="1" applyFont="1" applyFill="1" applyBorder="1"/>
    <xf numFmtId="0" fontId="7" fillId="0" borderId="0" xfId="0" applyFont="1"/>
    <xf numFmtId="0" fontId="7" fillId="43" borderId="0" xfId="0" applyFont="1" applyFill="1"/>
    <xf numFmtId="10" fontId="3" fillId="0" borderId="13" xfId="0" applyNumberFormat="1" applyFont="1" applyBorder="1" applyAlignment="1">
      <alignment horizontal="center"/>
    </xf>
    <xf numFmtId="169" fontId="3" fillId="0" borderId="13" xfId="0" applyNumberFormat="1" applyFont="1" applyBorder="1" applyAlignment="1">
      <alignment horizontal="centerContinuous"/>
    </xf>
    <xf numFmtId="0" fontId="46" fillId="0" borderId="0" xfId="67" applyFont="1"/>
    <xf numFmtId="0" fontId="3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43" borderId="13" xfId="0" applyFont="1" applyFill="1" applyBorder="1" applyAlignment="1">
      <alignment horizontal="right"/>
    </xf>
    <xf numFmtId="0" fontId="3" fillId="43" borderId="13" xfId="0" quotePrefix="1" applyFont="1" applyFill="1" applyBorder="1" applyAlignment="1">
      <alignment horizontal="right"/>
    </xf>
    <xf numFmtId="0" fontId="3" fillId="0" borderId="0" xfId="72" applyFont="1"/>
    <xf numFmtId="0" fontId="3" fillId="43" borderId="0" xfId="72" applyFont="1" applyFill="1"/>
    <xf numFmtId="0" fontId="3" fillId="43" borderId="0" xfId="72" applyFont="1" applyFill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10" fillId="0" borderId="0" xfId="0" applyNumberFormat="1" applyFont="1"/>
    <xf numFmtId="37" fontId="11" fillId="0" borderId="13" xfId="0" applyNumberFormat="1" applyFont="1" applyBorder="1" applyAlignment="1"/>
    <xf numFmtId="37" fontId="1" fillId="0" borderId="13" xfId="0" applyNumberFormat="1" applyFont="1" applyBorder="1"/>
    <xf numFmtId="37" fontId="1" fillId="0" borderId="0" xfId="0" applyNumberFormat="1" applyFont="1"/>
    <xf numFmtId="37" fontId="11" fillId="0" borderId="13" xfId="0" applyNumberFormat="1" applyFont="1" applyBorder="1"/>
    <xf numFmtId="37" fontId="11" fillId="0" borderId="13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/>
    <xf numFmtId="37" fontId="1" fillId="0" borderId="0" xfId="0" applyNumberFormat="1" applyFont="1" applyAlignment="1"/>
    <xf numFmtId="37" fontId="1" fillId="0" borderId="0" xfId="0" applyNumberFormat="1" applyFont="1" applyFill="1"/>
    <xf numFmtId="37" fontId="12" fillId="0" borderId="0" xfId="0" applyNumberFormat="1" applyFont="1"/>
    <xf numFmtId="37" fontId="13" fillId="0" borderId="0" xfId="0" applyNumberFormat="1" applyFont="1"/>
    <xf numFmtId="37" fontId="1" fillId="0" borderId="0" xfId="0" applyNumberFormat="1" applyFont="1" applyBorder="1"/>
    <xf numFmtId="37" fontId="13" fillId="0" borderId="0" xfId="0" applyNumberFormat="1" applyFont="1" applyAlignment="1">
      <alignment horizontal="right"/>
    </xf>
    <xf numFmtId="37" fontId="14" fillId="0" borderId="0" xfId="0" applyNumberFormat="1" applyFont="1" applyFill="1"/>
    <xf numFmtId="37" fontId="13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4" fillId="0" borderId="0" xfId="0" applyNumberFormat="1" applyFont="1"/>
    <xf numFmtId="37" fontId="1" fillId="43" borderId="0" xfId="0" applyNumberFormat="1" applyFont="1" applyFill="1"/>
    <xf numFmtId="37" fontId="1" fillId="43" borderId="0" xfId="0" applyNumberFormat="1" applyFont="1" applyFill="1" applyBorder="1"/>
    <xf numFmtId="37" fontId="1" fillId="0" borderId="0" xfId="0" applyNumberFormat="1" applyFont="1" applyFill="1" applyAlignment="1">
      <alignment horizontal="left"/>
    </xf>
    <xf numFmtId="0" fontId="3" fillId="44" borderId="0" xfId="0" applyFont="1" applyFill="1" applyAlignment="1">
      <alignment horizontal="center"/>
    </xf>
    <xf numFmtId="0" fontId="1" fillId="0" borderId="0" xfId="0" applyFont="1"/>
    <xf numFmtId="37" fontId="3" fillId="0" borderId="0" xfId="0" applyNumberFormat="1" applyFont="1"/>
    <xf numFmtId="49" fontId="9" fillId="0" borderId="0" xfId="76" applyNumberFormat="1" applyFont="1" applyFill="1"/>
    <xf numFmtId="17" fontId="9" fillId="0" borderId="0" xfId="76" applyNumberFormat="1" applyFont="1" applyFill="1"/>
    <xf numFmtId="0" fontId="6" fillId="0" borderId="0" xfId="0" applyFont="1"/>
    <xf numFmtId="0" fontId="0" fillId="0" borderId="0" xfId="0" applyAlignment="1">
      <alignment horizontal="center"/>
    </xf>
    <xf numFmtId="37" fontId="4" fillId="0" borderId="0" xfId="0" applyNumberFormat="1" applyFont="1"/>
    <xf numFmtId="37" fontId="3" fillId="43" borderId="0" xfId="0" applyNumberFormat="1" applyFont="1" applyFill="1" applyAlignment="1">
      <alignment horizontal="center"/>
    </xf>
    <xf numFmtId="37" fontId="3" fillId="43" borderId="0" xfId="46" applyNumberFormat="1" applyFont="1" applyFill="1"/>
    <xf numFmtId="0" fontId="42" fillId="0" borderId="0" xfId="0" applyFont="1"/>
    <xf numFmtId="0" fontId="43" fillId="0" borderId="0" xfId="0" applyFont="1"/>
    <xf numFmtId="3" fontId="43" fillId="43" borderId="0" xfId="0" applyNumberFormat="1" applyFont="1" applyFill="1" applyBorder="1" applyAlignment="1">
      <alignment horizontal="right"/>
    </xf>
    <xf numFmtId="174" fontId="43" fillId="43" borderId="0" xfId="0" applyNumberFormat="1" applyFont="1" applyFill="1" applyBorder="1" applyAlignment="1">
      <alignment horizontal="right"/>
    </xf>
    <xf numFmtId="38" fontId="43" fillId="43" borderId="0" xfId="0" applyNumberFormat="1" applyFont="1" applyFill="1" applyBorder="1" applyAlignment="1">
      <alignment horizontal="right"/>
    </xf>
    <xf numFmtId="49" fontId="3" fillId="0" borderId="0" xfId="0" applyNumberFormat="1" applyFont="1"/>
    <xf numFmtId="7" fontId="3" fillId="0" borderId="0" xfId="0" applyNumberFormat="1" applyFont="1" applyProtection="1"/>
    <xf numFmtId="39" fontId="3" fillId="0" borderId="0" xfId="0" applyNumberFormat="1" applyFont="1" applyProtection="1"/>
    <xf numFmtId="175" fontId="3" fillId="43" borderId="0" xfId="0" applyNumberFormat="1" applyFont="1" applyFill="1"/>
    <xf numFmtId="37" fontId="3" fillId="43" borderId="0" xfId="0" applyNumberFormat="1" applyFont="1" applyFill="1" applyProtection="1">
      <protection locked="0"/>
    </xf>
    <xf numFmtId="37" fontId="3" fillId="0" borderId="0" xfId="0" applyNumberFormat="1" applyFont="1" applyFill="1" applyBorder="1" applyProtection="1">
      <protection locked="0"/>
    </xf>
    <xf numFmtId="5" fontId="3" fillId="0" borderId="0" xfId="0" applyNumberFormat="1" applyFont="1" applyProtection="1"/>
    <xf numFmtId="0" fontId="3" fillId="44" borderId="0" xfId="0" applyFont="1" applyFill="1"/>
    <xf numFmtId="5" fontId="3" fillId="0" borderId="0" xfId="0" applyNumberFormat="1" applyFont="1" applyProtection="1">
      <protection locked="0"/>
    </xf>
    <xf numFmtId="173" fontId="3" fillId="0" borderId="0" xfId="0" applyNumberFormat="1" applyFont="1" applyProtection="1"/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3" fillId="43" borderId="0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5" fontId="3" fillId="0" borderId="0" xfId="0" quotePrefix="1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10" fontId="3" fillId="43" borderId="0" xfId="72" applyNumberFormat="1" applyFont="1" applyFill="1" applyAlignment="1">
      <alignment horizontal="center"/>
    </xf>
    <xf numFmtId="10" fontId="3" fillId="43" borderId="0" xfId="72" applyNumberFormat="1" applyFont="1" applyFill="1" applyAlignment="1" applyProtection="1">
      <alignment horizontal="center"/>
    </xf>
    <xf numFmtId="37" fontId="3" fillId="43" borderId="0" xfId="72" applyNumberFormat="1" applyFont="1" applyFill="1" applyBorder="1" applyAlignment="1" applyProtection="1">
      <alignment horizontal="center"/>
    </xf>
    <xf numFmtId="37" fontId="3" fillId="43" borderId="13" xfId="72" applyNumberFormat="1" applyFont="1" applyFill="1" applyBorder="1" applyAlignment="1" applyProtection="1">
      <alignment horizontal="center"/>
    </xf>
    <xf numFmtId="10" fontId="46" fillId="0" borderId="0" xfId="84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3" fillId="43" borderId="0" xfId="79" applyNumberFormat="1" applyFont="1" applyFill="1"/>
    <xf numFmtId="37" fontId="3" fillId="0" borderId="0" xfId="0" applyNumberFormat="1" applyFont="1" applyAlignment="1" applyProtection="1">
      <alignment horizontal="center"/>
    </xf>
    <xf numFmtId="7" fontId="3" fillId="0" borderId="0" xfId="0" applyNumberFormat="1" applyFont="1" applyAlignment="1" applyProtection="1">
      <alignment horizontal="center"/>
    </xf>
    <xf numFmtId="39" fontId="3" fillId="0" borderId="0" xfId="0" applyNumberFormat="1" applyFont="1" applyAlignment="1" applyProtection="1">
      <alignment horizontal="center"/>
    </xf>
    <xf numFmtId="6" fontId="3" fillId="0" borderId="0" xfId="0" applyNumberFormat="1" applyFont="1" applyBorder="1"/>
    <xf numFmtId="10" fontId="3" fillId="0" borderId="0" xfId="0" applyNumberFormat="1" applyFont="1" applyBorder="1" applyProtection="1"/>
    <xf numFmtId="38" fontId="3" fillId="43" borderId="13" xfId="0" quotePrefix="1" applyNumberFormat="1" applyFont="1" applyFill="1" applyBorder="1" applyAlignment="1">
      <alignment horizontal="right"/>
    </xf>
    <xf numFmtId="38" fontId="3" fillId="0" borderId="13" xfId="0" quotePrefix="1" applyNumberFormat="1" applyFont="1" applyBorder="1" applyAlignment="1">
      <alignment horizontal="right"/>
    </xf>
    <xf numFmtId="0" fontId="3" fillId="44" borderId="13" xfId="72" applyFont="1" applyFill="1" applyBorder="1" applyAlignment="1">
      <alignment horizontal="centerContinuous"/>
    </xf>
    <xf numFmtId="10" fontId="11" fillId="0" borderId="0" xfId="83" applyNumberFormat="1" applyFont="1" applyFill="1" applyAlignment="1">
      <alignment horizontal="center"/>
    </xf>
    <xf numFmtId="171" fontId="3" fillId="0" borderId="0" xfId="0" applyNumberFormat="1" applyFont="1" applyBorder="1"/>
    <xf numFmtId="0" fontId="3" fillId="0" borderId="0" xfId="67" applyFont="1" applyAlignment="1">
      <alignment horizontal="right"/>
    </xf>
    <xf numFmtId="10" fontId="3" fillId="0" borderId="0" xfId="84" applyNumberFormat="1" applyFont="1" applyFill="1"/>
    <xf numFmtId="0" fontId="3" fillId="0" borderId="0" xfId="67" applyFont="1"/>
    <xf numFmtId="5" fontId="3" fillId="43" borderId="0" xfId="0" applyNumberFormat="1" applyFont="1" applyFill="1" applyAlignment="1" applyProtection="1">
      <alignment horizontal="center"/>
      <protection locked="0"/>
    </xf>
    <xf numFmtId="17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5" fontId="3" fillId="44" borderId="0" xfId="72" applyNumberFormat="1" applyFont="1" applyFill="1" applyAlignment="1"/>
    <xf numFmtId="37" fontId="3" fillId="43" borderId="0" xfId="72" applyNumberFormat="1" applyFont="1" applyFill="1" applyAlignment="1"/>
    <xf numFmtId="37" fontId="3" fillId="44" borderId="0" xfId="72" applyNumberFormat="1" applyFont="1" applyFill="1" applyAlignment="1"/>
    <xf numFmtId="38" fontId="3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Border="1" applyAlignment="1"/>
    <xf numFmtId="164" fontId="3" fillId="0" borderId="13" xfId="0" applyNumberFormat="1" applyFont="1" applyBorder="1" applyAlignment="1"/>
    <xf numFmtId="164" fontId="7" fillId="0" borderId="17" xfId="0" applyNumberFormat="1" applyFont="1" applyBorder="1" applyAlignment="1"/>
    <xf numFmtId="38" fontId="3" fillId="43" borderId="0" xfId="0" applyNumberFormat="1" applyFont="1" applyFill="1" applyAlignment="1"/>
    <xf numFmtId="5" fontId="3" fillId="43" borderId="0" xfId="0" applyNumberFormat="1" applyFont="1" applyFill="1" applyAlignment="1"/>
    <xf numFmtId="38" fontId="3" fillId="0" borderId="13" xfId="0" applyNumberFormat="1" applyFont="1" applyFill="1" applyBorder="1" applyAlignment="1"/>
    <xf numFmtId="5" fontId="3" fillId="0" borderId="0" xfId="0" applyNumberFormat="1" applyFont="1" applyAlignment="1"/>
    <xf numFmtId="37" fontId="3" fillId="43" borderId="0" xfId="0" applyNumberFormat="1" applyFont="1" applyFill="1" applyAlignment="1"/>
    <xf numFmtId="0" fontId="3" fillId="43" borderId="0" xfId="0" applyFont="1" applyFill="1" applyAlignment="1"/>
    <xf numFmtId="164" fontId="7" fillId="43" borderId="17" xfId="0" applyNumberFormat="1" applyFont="1" applyFill="1" applyBorder="1" applyAlignment="1"/>
    <xf numFmtId="0" fontId="1" fillId="0" borderId="0" xfId="72" applyAlignment="1">
      <alignment horizontal="right"/>
    </xf>
    <xf numFmtId="38" fontId="3" fillId="43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 horizontal="right"/>
    </xf>
    <xf numFmtId="5" fontId="3" fillId="0" borderId="17" xfId="0" applyNumberFormat="1" applyFont="1" applyBorder="1" applyAlignment="1">
      <alignment horizontal="right"/>
    </xf>
    <xf numFmtId="5" fontId="3" fillId="0" borderId="0" xfId="0" applyNumberFormat="1" applyFont="1" applyAlignment="1">
      <alignment horizontal="right"/>
    </xf>
    <xf numFmtId="5" fontId="3" fillId="0" borderId="14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43" borderId="0" xfId="0" applyNumberFormat="1" applyFont="1" applyFill="1" applyBorder="1" applyAlignment="1">
      <alignment horizontal="right"/>
    </xf>
    <xf numFmtId="37" fontId="3" fillId="44" borderId="0" xfId="72" applyNumberFormat="1" applyFont="1" applyFill="1" applyProtection="1"/>
    <xf numFmtId="37" fontId="3" fillId="0" borderId="0" xfId="72" applyNumberFormat="1" applyFont="1"/>
    <xf numFmtId="37" fontId="3" fillId="0" borderId="0" xfId="72" applyNumberFormat="1" applyFont="1" applyAlignment="1" applyProtection="1">
      <alignment horizontal="right"/>
    </xf>
    <xf numFmtId="37" fontId="3" fillId="43" borderId="0" xfId="72" applyNumberFormat="1" applyFont="1" applyFill="1" applyAlignment="1" applyProtection="1">
      <alignment horizontal="right"/>
    </xf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37" fontId="3" fillId="44" borderId="0" xfId="72" applyNumberFormat="1" applyFont="1" applyFill="1" applyAlignment="1">
      <alignment horizontal="right"/>
    </xf>
    <xf numFmtId="38" fontId="3" fillId="0" borderId="0" xfId="72" applyNumberFormat="1" applyFont="1" applyBorder="1" applyAlignment="1">
      <alignment horizontal="right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5" fontId="3" fillId="0" borderId="0" xfId="72" applyNumberFormat="1" applyFont="1" applyAlignment="1" applyProtection="1">
      <alignment horizontal="right"/>
    </xf>
    <xf numFmtId="37" fontId="3" fillId="44" borderId="0" xfId="72" applyNumberFormat="1" applyFont="1" applyFill="1" applyAlignment="1">
      <alignment horizontal="center"/>
    </xf>
    <xf numFmtId="5" fontId="3" fillId="44" borderId="0" xfId="72" applyNumberFormat="1" applyFont="1" applyFill="1" applyAlignment="1">
      <alignment horizontal="center"/>
    </xf>
    <xf numFmtId="37" fontId="3" fillId="44" borderId="0" xfId="72" applyNumberFormat="1" applyFont="1" applyFill="1" applyAlignment="1">
      <alignment horizontal="center"/>
    </xf>
    <xf numFmtId="5" fontId="3" fillId="44" borderId="0" xfId="72" applyNumberFormat="1" applyFont="1" applyFill="1" applyAlignment="1">
      <alignment horizontal="center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37" fontId="3" fillId="44" borderId="0" xfId="72" applyNumberFormat="1" applyFont="1" applyFill="1" applyAlignment="1">
      <alignment horizontal="center"/>
    </xf>
    <xf numFmtId="0" fontId="1" fillId="0" borderId="0" xfId="72"/>
    <xf numFmtId="0" fontId="1" fillId="0" borderId="0" xfId="72" applyFont="1"/>
    <xf numFmtId="177" fontId="44" fillId="0" borderId="0" xfId="77" applyNumberFormat="1" applyFont="1" applyFill="1" applyAlignment="1" applyProtection="1">
      <alignment horizontal="left"/>
    </xf>
    <xf numFmtId="37" fontId="26" fillId="0" borderId="0" xfId="78" applyFill="1"/>
    <xf numFmtId="0" fontId="3" fillId="0" borderId="0" xfId="72" applyFont="1" applyBorder="1" applyAlignment="1">
      <alignment horizontal="center"/>
    </xf>
    <xf numFmtId="0" fontId="5" fillId="0" borderId="0" xfId="72" applyFont="1" applyBorder="1"/>
    <xf numFmtId="5" fontId="3" fillId="0" borderId="0" xfId="72" applyNumberFormat="1" applyFont="1"/>
    <xf numFmtId="0" fontId="6" fillId="0" borderId="0" xfId="72" applyFont="1"/>
    <xf numFmtId="0" fontId="1" fillId="0" borderId="0" xfId="72" applyFont="1" applyAlignment="1">
      <alignment horizontal="center"/>
    </xf>
    <xf numFmtId="37" fontId="3" fillId="44" borderId="0" xfId="72" applyNumberFormat="1" applyFont="1" applyFill="1" applyBorder="1" applyAlignment="1">
      <alignment horizontal="right"/>
    </xf>
    <xf numFmtId="37" fontId="48" fillId="0" borderId="0" xfId="72" applyNumberFormat="1" applyFont="1"/>
    <xf numFmtId="43" fontId="1" fillId="44" borderId="0" xfId="46" applyFont="1" applyFill="1" applyAlignment="1">
      <alignment horizontal="center"/>
    </xf>
    <xf numFmtId="43" fontId="1" fillId="44" borderId="0" xfId="46" applyFont="1" applyFill="1"/>
    <xf numFmtId="172" fontId="3" fillId="44" borderId="0" xfId="52" applyNumberFormat="1" applyFont="1" applyFill="1" applyAlignment="1">
      <alignment horizontal="center"/>
    </xf>
    <xf numFmtId="172" fontId="3" fillId="43" borderId="0" xfId="52" applyNumberFormat="1" applyFont="1" applyFill="1" applyBorder="1"/>
    <xf numFmtId="172" fontId="3" fillId="0" borderId="0" xfId="52" applyNumberFormat="1" applyFont="1" applyFill="1" applyBorder="1"/>
    <xf numFmtId="172" fontId="3" fillId="0" borderId="0" xfId="52" applyNumberFormat="1" applyFont="1" applyBorder="1" applyAlignment="1">
      <alignment horizontal="center"/>
    </xf>
    <xf numFmtId="172" fontId="5" fillId="0" borderId="0" xfId="52" applyNumberFormat="1" applyFont="1" applyBorder="1" applyAlignment="1">
      <alignment horizontal="center"/>
    </xf>
    <xf numFmtId="172" fontId="3" fillId="0" borderId="0" xfId="52" applyNumberFormat="1" applyFont="1" applyFill="1" applyBorder="1" applyAlignment="1">
      <alignment horizontal="center"/>
    </xf>
    <xf numFmtId="37" fontId="3" fillId="0" borderId="0" xfId="0" applyNumberFormat="1" applyFont="1" applyFill="1" applyProtection="1"/>
    <xf numFmtId="172" fontId="3" fillId="0" borderId="0" xfId="52" applyNumberFormat="1" applyFont="1"/>
    <xf numFmtId="10" fontId="3" fillId="0" borderId="0" xfId="141" applyNumberFormat="1" applyFont="1" applyAlignment="1">
      <alignment horizontal="center"/>
    </xf>
    <xf numFmtId="0" fontId="3" fillId="0" borderId="0" xfId="141" applyFont="1" applyAlignment="1">
      <alignment horizontal="center"/>
    </xf>
    <xf numFmtId="10" fontId="3" fillId="0" borderId="0" xfId="141" applyNumberFormat="1" applyFont="1" applyBorder="1" applyAlignment="1">
      <alignment horizontal="center" vertical="top" wrapText="1"/>
    </xf>
    <xf numFmtId="37" fontId="50" fillId="0" borderId="0" xfId="0" applyNumberFormat="1" applyFont="1" applyFill="1" applyAlignment="1">
      <alignment horizontal="right"/>
    </xf>
    <xf numFmtId="37" fontId="49" fillId="0" borderId="0" xfId="0" applyNumberFormat="1" applyFont="1" applyFill="1"/>
    <xf numFmtId="178" fontId="3" fillId="0" borderId="0" xfId="0" applyNumberFormat="1" applyFont="1" applyProtection="1"/>
    <xf numFmtId="10" fontId="1" fillId="44" borderId="0" xfId="0" applyNumberFormat="1" applyFont="1" applyFill="1"/>
    <xf numFmtId="49" fontId="47" fillId="0" borderId="0" xfId="0" applyNumberFormat="1" applyFont="1"/>
    <xf numFmtId="179" fontId="51" fillId="0" borderId="0" xfId="46" applyNumberFormat="1" applyFont="1"/>
    <xf numFmtId="37" fontId="3" fillId="0" borderId="0" xfId="72" applyNumberFormat="1" applyFont="1" applyFill="1" applyBorder="1" applyAlignment="1">
      <alignment horizontal="right"/>
    </xf>
    <xf numFmtId="37" fontId="3" fillId="0" borderId="0" xfId="72" applyNumberFormat="1" applyFont="1" applyFill="1" applyAlignment="1">
      <alignment horizontal="center"/>
    </xf>
    <xf numFmtId="179" fontId="3" fillId="0" borderId="0" xfId="46" applyNumberFormat="1" applyFont="1"/>
    <xf numFmtId="0" fontId="1" fillId="0" borderId="0" xfId="72" applyFont="1" applyFill="1" applyAlignment="1">
      <alignment horizontal="center"/>
    </xf>
    <xf numFmtId="0" fontId="1" fillId="0" borderId="0" xfId="72" applyFont="1" applyFill="1"/>
    <xf numFmtId="49" fontId="6" fillId="0" borderId="0" xfId="76" applyNumberFormat="1" applyFont="1" applyFill="1"/>
    <xf numFmtId="0" fontId="9" fillId="0" borderId="0" xfId="0" applyFont="1" applyAlignment="1">
      <alignment horizontal="right"/>
    </xf>
    <xf numFmtId="0" fontId="46" fillId="0" borderId="0" xfId="67" applyFont="1" applyAlignment="1">
      <alignment horizontal="right"/>
    </xf>
    <xf numFmtId="0" fontId="53" fillId="0" borderId="0" xfId="0" applyFont="1"/>
    <xf numFmtId="37" fontId="52" fillId="0" borderId="0" xfId="0" applyNumberFormat="1" applyFont="1" applyFill="1" applyProtection="1">
      <protection locked="0"/>
    </xf>
    <xf numFmtId="172" fontId="3" fillId="0" borderId="0" xfId="52" applyNumberFormat="1" applyFont="1" applyFill="1"/>
    <xf numFmtId="37" fontId="3" fillId="0" borderId="0" xfId="72" applyNumberFormat="1" applyFont="1" applyFill="1"/>
    <xf numFmtId="37" fontId="3" fillId="0" borderId="0" xfId="0" applyNumberFormat="1" applyFont="1" applyFill="1"/>
    <xf numFmtId="0" fontId="3" fillId="0" borderId="0" xfId="0" applyFont="1" applyFill="1" applyAlignment="1">
      <alignment horizontal="center"/>
    </xf>
    <xf numFmtId="5" fontId="47" fillId="44" borderId="0" xfId="72" applyNumberFormat="1" applyFont="1" applyFill="1"/>
    <xf numFmtId="37" fontId="47" fillId="44" borderId="0" xfId="72" applyNumberFormat="1" applyFont="1" applyFill="1"/>
    <xf numFmtId="37" fontId="48" fillId="44" borderId="0" xfId="72" applyNumberFormat="1" applyFont="1" applyFill="1"/>
    <xf numFmtId="0" fontId="4" fillId="0" borderId="0" xfId="0" applyFont="1" applyBorder="1"/>
    <xf numFmtId="10" fontId="46" fillId="0" borderId="0" xfId="84" quotePrefix="1" applyNumberFormat="1" applyFont="1" applyFill="1" applyAlignment="1">
      <alignment horizontal="center"/>
    </xf>
    <xf numFmtId="165" fontId="54" fillId="0" borderId="0" xfId="0" applyNumberFormat="1" applyFont="1" applyProtection="1"/>
    <xf numFmtId="37" fontId="3" fillId="45" borderId="0" xfId="0" applyNumberFormat="1" applyFont="1" applyFill="1" applyAlignment="1">
      <alignment horizontal="right"/>
    </xf>
    <xf numFmtId="5" fontId="3" fillId="45" borderId="0" xfId="46" applyNumberFormat="1" applyFont="1" applyFill="1" applyAlignment="1"/>
    <xf numFmtId="37" fontId="3" fillId="45" borderId="0" xfId="46" applyNumberFormat="1" applyFont="1" applyFill="1" applyAlignment="1"/>
    <xf numFmtId="5" fontId="3" fillId="45" borderId="0" xfId="46" applyNumberFormat="1" applyFont="1" applyFill="1"/>
    <xf numFmtId="37" fontId="3" fillId="45" borderId="0" xfId="46" applyNumberFormat="1" applyFont="1" applyFill="1"/>
    <xf numFmtId="172" fontId="3" fillId="0" borderId="0" xfId="52" applyNumberFormat="1" applyFont="1" applyFill="1" applyAlignment="1">
      <alignment horizontal="center"/>
    </xf>
    <xf numFmtId="180" fontId="1" fillId="0" borderId="0" xfId="46" applyNumberFormat="1" applyFont="1"/>
    <xf numFmtId="37" fontId="1" fillId="0" borderId="0" xfId="0" applyNumberFormat="1" applyFont="1" applyAlignment="1">
      <alignment horizontal="center"/>
    </xf>
    <xf numFmtId="37" fontId="46" fillId="0" borderId="0" xfId="72" applyNumberFormat="1" applyFont="1"/>
    <xf numFmtId="180" fontId="1" fillId="0" borderId="0" xfId="46" applyNumberFormat="1" applyFont="1" applyFill="1" applyAlignment="1">
      <alignment horizontal="center"/>
    </xf>
    <xf numFmtId="0" fontId="1" fillId="0" borderId="0" xfId="72" applyFill="1"/>
    <xf numFmtId="181" fontId="3" fillId="44" borderId="0" xfId="46" applyNumberFormat="1" applyFont="1" applyFill="1"/>
    <xf numFmtId="181" fontId="3" fillId="44" borderId="0" xfId="52" applyNumberFormat="1" applyFont="1" applyFill="1"/>
  </cellXfs>
  <cellStyles count="1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2" xfId="22"/>
    <cellStyle name="Accent2 - 20%" xfId="23"/>
    <cellStyle name="Accent2 - 40%" xfId="24"/>
    <cellStyle name="Accent2 - 60%" xfId="25"/>
    <cellStyle name="Accent2 2" xfId="26"/>
    <cellStyle name="Accent3 - 20%" xfId="27"/>
    <cellStyle name="Accent3 - 40%" xfId="28"/>
    <cellStyle name="Accent3 - 60%" xfId="29"/>
    <cellStyle name="Accent3 2" xfId="30"/>
    <cellStyle name="Accent4 - 20%" xfId="31"/>
    <cellStyle name="Accent4 - 40%" xfId="32"/>
    <cellStyle name="Accent4 - 60%" xfId="33"/>
    <cellStyle name="Accent4 2" xfId="34"/>
    <cellStyle name="Accent5 - 20%" xfId="35"/>
    <cellStyle name="Accent5 - 40%" xfId="36"/>
    <cellStyle name="Accent5 - 60%" xfId="37"/>
    <cellStyle name="Accent5 2" xfId="38"/>
    <cellStyle name="Accent6 - 20%" xfId="39"/>
    <cellStyle name="Accent6 - 40%" xfId="40"/>
    <cellStyle name="Accent6 - 60%" xfId="41"/>
    <cellStyle name="Accent6 2" xfId="42"/>
    <cellStyle name="Bad 2" xfId="43"/>
    <cellStyle name="Calculation 2" xfId="44"/>
    <cellStyle name="Check Cell 2" xfId="45"/>
    <cellStyle name="Comma" xfId="46" builtinId="3"/>
    <cellStyle name="Comma 2" xfId="47"/>
    <cellStyle name="Comma 2 2" xfId="48"/>
    <cellStyle name="Comma 2 3" xfId="49"/>
    <cellStyle name="Comma 3" xfId="50"/>
    <cellStyle name="Comma 4" xfId="51"/>
    <cellStyle name="Currency" xfId="52" builtinId="4"/>
    <cellStyle name="Currency 2" xfId="53"/>
    <cellStyle name="Currency 3" xfId="54"/>
    <cellStyle name="Emphasis 1" xfId="55"/>
    <cellStyle name="Emphasis 2" xfId="56"/>
    <cellStyle name="Emphasis 3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32" xfId="141"/>
    <cellStyle name="Normal 133" xfId="142"/>
    <cellStyle name="Normal 2" xfId="67"/>
    <cellStyle name="Normal 2 2" xfId="68"/>
    <cellStyle name="Normal 2 2 2" xfId="69"/>
    <cellStyle name="Normal 2 3" xfId="70"/>
    <cellStyle name="Normal 2 3 2" xfId="71"/>
    <cellStyle name="Normal 3" xfId="72"/>
    <cellStyle name="Normal 3 2" xfId="73"/>
    <cellStyle name="Normal 3 2 2" xfId="74"/>
    <cellStyle name="Normal 4" xfId="75"/>
    <cellStyle name="Normal 5" xfId="76"/>
    <cellStyle name="Normal 60" xfId="77"/>
    <cellStyle name="Normal 62" xfId="78"/>
    <cellStyle name="Normal_PSNH 0707" xfId="79"/>
    <cellStyle name="Note 2" xfId="80"/>
    <cellStyle name="Note 3" xfId="81"/>
    <cellStyle name="Output 2" xfId="82"/>
    <cellStyle name="Percent" xfId="83" builtinId="5"/>
    <cellStyle name="Percent 2" xfId="84"/>
    <cellStyle name="Percent 2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Item 2" xfId="105"/>
    <cellStyle name="SAPBEXheaderText" xfId="106"/>
    <cellStyle name="SAPBEXheaderText 2" xfId="107"/>
    <cellStyle name="SAPBEXHLevel0" xfId="108"/>
    <cellStyle name="SAPBEXHLevel0 2" xfId="109"/>
    <cellStyle name="SAPBEXHLevel0X" xfId="110"/>
    <cellStyle name="SAPBEXHLevel0X 2" xfId="111"/>
    <cellStyle name="SAPBEXHLevel1" xfId="112"/>
    <cellStyle name="SAPBEXHLevel1 2" xfId="113"/>
    <cellStyle name="SAPBEXHLevel1X" xfId="114"/>
    <cellStyle name="SAPBEXHLevel1X 2" xfId="115"/>
    <cellStyle name="SAPBEXHLevel2" xfId="116"/>
    <cellStyle name="SAPBEXHLevel2 2" xfId="117"/>
    <cellStyle name="SAPBEXHLevel2X" xfId="118"/>
    <cellStyle name="SAPBEXHLevel2X 2" xfId="119"/>
    <cellStyle name="SAPBEXHLevel3" xfId="120"/>
    <cellStyle name="SAPBEXHLevel3 2" xfId="121"/>
    <cellStyle name="SAPBEXHLevel3X" xfId="122"/>
    <cellStyle name="SAPBEXHLevel3X 2" xfId="123"/>
    <cellStyle name="SAPBEXinputData" xfId="124"/>
    <cellStyle name="SAPBEXinputData 2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SAPBEXundefined 2" xfId="136"/>
    <cellStyle name="Sheet Title" xfId="137"/>
    <cellStyle name="Title 2" xfId="138"/>
    <cellStyle name="Total 2" xfId="139"/>
    <cellStyle name="Warning Text 2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0"/>
  <sheetViews>
    <sheetView showGridLines="0" tabSelected="1" zoomScale="85" zoomScaleNormal="85" workbookViewId="0">
      <selection activeCell="D6" sqref="D6"/>
    </sheetView>
  </sheetViews>
  <sheetFormatPr defaultRowHeight="15" x14ac:dyDescent="0.2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5.85546875" style="3" customWidth="1"/>
    <col min="5" max="5" width="18.28515625" style="3" bestFit="1" customWidth="1"/>
    <col min="6" max="7" width="6.7109375" style="3" customWidth="1"/>
    <col min="8" max="8" width="1.7109375" style="3" customWidth="1"/>
    <col min="9" max="9" width="9.85546875" style="3" customWidth="1"/>
    <col min="10" max="10" width="1.7109375" style="3" customWidth="1"/>
    <col min="11" max="11" width="9.85546875" style="3" customWidth="1"/>
    <col min="12" max="12" width="1.7109375" style="3" customWidth="1"/>
    <col min="13" max="13" width="9.85546875" style="3" customWidth="1"/>
    <col min="14" max="14" width="1.7109375" style="3" customWidth="1"/>
    <col min="15" max="15" width="3" style="3" customWidth="1"/>
    <col min="16" max="16" width="9.85546875" style="3" customWidth="1"/>
    <col min="17" max="17" width="4.140625" style="3" customWidth="1"/>
    <col min="18" max="18" width="9.85546875" style="3" customWidth="1"/>
    <col min="19" max="19" width="2.140625" style="3" customWidth="1"/>
    <col min="20" max="20" width="9.85546875" style="3" customWidth="1"/>
    <col min="21" max="21" width="1.5703125" style="3" customWidth="1"/>
    <col min="22" max="22" width="10.28515625" style="3" customWidth="1"/>
    <col min="23" max="23" width="1.42578125" style="3" customWidth="1"/>
    <col min="24" max="24" width="12.28515625" style="3" customWidth="1"/>
    <col min="25" max="16384" width="9.140625" style="3"/>
  </cols>
  <sheetData>
    <row r="1" spans="1:46" x14ac:dyDescent="0.25">
      <c r="A1" s="2"/>
      <c r="C1" s="2"/>
      <c r="G1" s="17"/>
      <c r="H1" s="17"/>
      <c r="I1" s="17"/>
      <c r="J1" s="64"/>
      <c r="K1" s="17"/>
      <c r="L1" s="25"/>
      <c r="U1" s="34"/>
    </row>
    <row r="2" spans="1:46" x14ac:dyDescent="0.25">
      <c r="C2" s="63"/>
      <c r="G2" s="17"/>
      <c r="H2" s="17"/>
      <c r="I2" s="17"/>
      <c r="J2" s="64"/>
      <c r="K2" s="17"/>
      <c r="U2" s="21"/>
    </row>
    <row r="3" spans="1:46" ht="19.5" x14ac:dyDescent="0.35">
      <c r="C3" s="63"/>
      <c r="D3" s="70" t="s">
        <v>118</v>
      </c>
      <c r="G3" s="17"/>
      <c r="H3" s="17"/>
      <c r="I3" s="17"/>
      <c r="J3" s="64"/>
      <c r="K3" s="17"/>
      <c r="U3" s="21"/>
    </row>
    <row r="4" spans="1:46" x14ac:dyDescent="0.25">
      <c r="C4" s="63"/>
      <c r="D4" s="21" t="s">
        <v>128</v>
      </c>
      <c r="G4" s="17"/>
      <c r="J4" s="64"/>
      <c r="U4" s="21"/>
    </row>
    <row r="5" spans="1:46" x14ac:dyDescent="0.25">
      <c r="C5" s="63"/>
      <c r="D5" s="21" t="str">
        <f>+'5 Allocation'!B6</f>
        <v>Actual 2017</v>
      </c>
      <c r="G5" s="7"/>
      <c r="J5" s="28"/>
      <c r="U5" s="21"/>
    </row>
    <row r="6" spans="1:46" x14ac:dyDescent="0.25">
      <c r="C6" s="63"/>
      <c r="D6" s="21" t="str">
        <f>+'5 Allocation'!B7</f>
        <v>Reg Liab in ADIT</v>
      </c>
      <c r="I6" s="7"/>
      <c r="J6" s="28"/>
      <c r="K6" s="7"/>
      <c r="U6" s="21"/>
    </row>
    <row r="7" spans="1:46" x14ac:dyDescent="0.25">
      <c r="C7" s="63"/>
      <c r="I7" s="5" t="s">
        <v>119</v>
      </c>
      <c r="J7" s="28"/>
      <c r="K7" s="7"/>
      <c r="U7" s="21"/>
    </row>
    <row r="8" spans="1:46" ht="27" x14ac:dyDescent="0.45">
      <c r="C8" s="270"/>
      <c r="I8" s="5" t="s">
        <v>183</v>
      </c>
      <c r="J8" s="28"/>
      <c r="K8" s="7"/>
      <c r="U8" s="21"/>
    </row>
    <row r="9" spans="1:46" x14ac:dyDescent="0.25">
      <c r="C9" s="63"/>
      <c r="I9" s="5" t="s">
        <v>458</v>
      </c>
      <c r="J9" s="28"/>
      <c r="K9" s="7"/>
      <c r="U9" s="21"/>
    </row>
    <row r="10" spans="1:46" x14ac:dyDescent="0.25">
      <c r="A10" s="69"/>
      <c r="U10" s="34"/>
    </row>
    <row r="11" spans="1:46" x14ac:dyDescent="0.25">
      <c r="D11" s="21" t="s">
        <v>182</v>
      </c>
      <c r="Q11" s="7"/>
    </row>
    <row r="12" spans="1:46" x14ac:dyDescent="0.25">
      <c r="D12" s="29" t="s">
        <v>4</v>
      </c>
      <c r="E12" s="29" t="s">
        <v>5</v>
      </c>
      <c r="F12" s="28"/>
      <c r="G12" s="29" t="s">
        <v>4</v>
      </c>
      <c r="H12" s="7"/>
      <c r="I12" s="64"/>
      <c r="J12" s="17"/>
      <c r="K12" s="64"/>
      <c r="L12" s="17"/>
      <c r="M12" s="64"/>
      <c r="N12" s="17"/>
      <c r="O12" s="25"/>
      <c r="P12" s="25"/>
      <c r="Q12" s="25"/>
      <c r="R12" s="64"/>
      <c r="S12" s="64"/>
      <c r="T12" s="64"/>
      <c r="U12" s="64"/>
      <c r="V12" s="6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" customHeight="1" x14ac:dyDescent="0.25">
      <c r="A13" s="3">
        <v>1</v>
      </c>
      <c r="B13" s="5" t="s">
        <v>6</v>
      </c>
      <c r="C13" s="66" t="s">
        <v>7</v>
      </c>
      <c r="D13" s="21" t="s">
        <v>8</v>
      </c>
      <c r="F13" s="7"/>
      <c r="H13" s="7"/>
      <c r="I13" s="17"/>
      <c r="J13" s="17"/>
      <c r="K13" s="17"/>
      <c r="L13" s="17"/>
      <c r="M13" s="17"/>
      <c r="N13" s="17"/>
      <c r="O13" s="25"/>
      <c r="P13" s="25"/>
      <c r="Q13" s="25"/>
      <c r="R13" s="17"/>
      <c r="S13" s="17"/>
      <c r="T13" s="17"/>
      <c r="U13" s="17"/>
      <c r="V13" s="17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5" customHeight="1" x14ac:dyDescent="0.25">
      <c r="A14" s="3">
        <v>2</v>
      </c>
      <c r="C14" s="34" t="s">
        <v>127</v>
      </c>
      <c r="D14" s="21" t="s">
        <v>10</v>
      </c>
      <c r="E14" s="80">
        <f>+'3 Rate Base'!F15</f>
        <v>174767247</v>
      </c>
      <c r="F14" s="34" t="s">
        <v>149</v>
      </c>
      <c r="H14" s="7"/>
      <c r="I14" s="23"/>
      <c r="J14" s="23"/>
      <c r="K14" s="23"/>
      <c r="L14" s="23"/>
      <c r="M14" s="23"/>
      <c r="N14" s="23"/>
      <c r="O14" s="25"/>
      <c r="P14" s="25"/>
      <c r="Q14" s="25"/>
      <c r="R14" s="23"/>
      <c r="S14" s="17"/>
      <c r="T14" s="23"/>
      <c r="U14" s="17"/>
      <c r="V14" s="23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" customHeight="1" x14ac:dyDescent="0.25">
      <c r="A15" s="3">
        <v>3</v>
      </c>
      <c r="C15" s="34" t="s">
        <v>11</v>
      </c>
      <c r="D15" s="21" t="s">
        <v>12</v>
      </c>
      <c r="E15" s="31">
        <f>+'3 Rate Base'!F16</f>
        <v>3522710</v>
      </c>
      <c r="F15" s="34" t="s">
        <v>116</v>
      </c>
      <c r="H15" s="7"/>
      <c r="I15" s="23"/>
      <c r="J15" s="23"/>
      <c r="K15" s="23"/>
      <c r="L15" s="23"/>
      <c r="M15" s="23"/>
      <c r="N15" s="23"/>
      <c r="O15" s="25"/>
      <c r="P15" s="25"/>
      <c r="Q15" s="25"/>
      <c r="R15" s="23"/>
      <c r="S15" s="17"/>
      <c r="T15" s="23"/>
      <c r="U15" s="17"/>
      <c r="V15" s="2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5" customHeight="1" x14ac:dyDescent="0.25">
      <c r="A16" s="3">
        <v>4</v>
      </c>
      <c r="C16" s="34" t="s">
        <v>204</v>
      </c>
      <c r="D16" s="21"/>
      <c r="E16" s="163">
        <f>ROUND(SUM(E14:E15),0)</f>
        <v>178289957</v>
      </c>
      <c r="F16" s="65"/>
      <c r="H16" s="33"/>
      <c r="I16" s="23"/>
      <c r="J16" s="23"/>
      <c r="K16" s="23"/>
      <c r="L16" s="23"/>
      <c r="M16" s="23"/>
      <c r="N16" s="23"/>
      <c r="O16" s="25"/>
      <c r="P16" s="25"/>
      <c r="Q16" s="25"/>
      <c r="R16" s="23"/>
      <c r="S16" s="17"/>
      <c r="T16" s="23"/>
      <c r="U16" s="17"/>
      <c r="V16" s="23"/>
      <c r="W16" s="17"/>
      <c r="X16" s="2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5"/>
      <c r="AQ16" s="25"/>
      <c r="AR16" s="25"/>
      <c r="AS16" s="25"/>
      <c r="AT16" s="25"/>
    </row>
    <row r="17" spans="1:59" ht="15" customHeight="1" x14ac:dyDescent="0.25">
      <c r="C17" s="2"/>
      <c r="D17" s="21"/>
      <c r="E17" s="7"/>
      <c r="F17" s="34"/>
      <c r="H17" s="7"/>
      <c r="I17" s="7"/>
      <c r="J17" s="7"/>
      <c r="K17" s="7"/>
      <c r="L17" s="7"/>
      <c r="M17" s="7"/>
      <c r="N17" s="7"/>
      <c r="R17" s="7"/>
      <c r="S17" s="7"/>
      <c r="T17" s="7"/>
      <c r="U17" s="7"/>
      <c r="V17" s="16"/>
    </row>
    <row r="18" spans="1:59" ht="15" customHeight="1" x14ac:dyDescent="0.25">
      <c r="A18" s="3">
        <v>5</v>
      </c>
      <c r="C18" s="65" t="s">
        <v>13</v>
      </c>
      <c r="D18" s="21" t="s">
        <v>176</v>
      </c>
      <c r="E18" s="15">
        <f>+'3 Rate Base'!F22</f>
        <v>51492146</v>
      </c>
      <c r="F18" s="34" t="s">
        <v>274</v>
      </c>
      <c r="H18" s="7"/>
      <c r="I18" s="16"/>
      <c r="J18" s="16"/>
      <c r="K18" s="16"/>
      <c r="L18" s="16"/>
      <c r="M18" s="16"/>
      <c r="N18" s="16"/>
      <c r="R18" s="16"/>
      <c r="S18" s="7"/>
      <c r="T18" s="16"/>
      <c r="U18" s="7"/>
      <c r="V18" s="16"/>
      <c r="W18" s="7"/>
      <c r="Y18" s="7"/>
      <c r="Z18" s="7"/>
    </row>
    <row r="19" spans="1:59" ht="15" customHeight="1" x14ac:dyDescent="0.25">
      <c r="A19" s="3">
        <v>6</v>
      </c>
      <c r="C19" s="34" t="s">
        <v>14</v>
      </c>
      <c r="D19" s="21" t="s">
        <v>177</v>
      </c>
      <c r="E19" s="31">
        <f>+'3 Rate Base'!F29</f>
        <v>32089019</v>
      </c>
      <c r="F19" s="34" t="s">
        <v>349</v>
      </c>
      <c r="H19" s="7"/>
      <c r="I19" s="16"/>
      <c r="J19" s="16"/>
      <c r="K19" s="16"/>
      <c r="L19" s="16"/>
      <c r="M19" s="16"/>
      <c r="N19" s="16"/>
      <c r="R19" s="16"/>
      <c r="S19" s="7"/>
      <c r="T19" s="16"/>
      <c r="U19" s="7"/>
      <c r="V19" s="16"/>
    </row>
    <row r="20" spans="1:59" ht="15" customHeight="1" x14ac:dyDescent="0.25">
      <c r="A20" s="3">
        <v>7</v>
      </c>
      <c r="C20" s="34" t="s">
        <v>553</v>
      </c>
      <c r="D20" s="21"/>
      <c r="E20" s="163">
        <f>ROUND((E16-E18-E19),0)</f>
        <v>94708792</v>
      </c>
      <c r="F20" s="65"/>
      <c r="H20" s="7"/>
      <c r="I20" s="16"/>
      <c r="J20" s="16"/>
      <c r="K20" s="16"/>
      <c r="L20" s="16"/>
      <c r="M20" s="16"/>
      <c r="N20" s="16"/>
      <c r="R20" s="16"/>
      <c r="S20" s="7"/>
      <c r="T20" s="16"/>
      <c r="U20" s="7"/>
      <c r="V20" s="16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" customHeight="1" x14ac:dyDescent="0.25">
      <c r="C21" s="34"/>
      <c r="D21" s="21"/>
      <c r="E21" s="7"/>
      <c r="F21" s="65"/>
      <c r="H21" s="7"/>
      <c r="I21" s="7"/>
      <c r="J21" s="7"/>
      <c r="K21" s="7"/>
      <c r="L21" s="7"/>
      <c r="M21" s="7"/>
      <c r="N21" s="7"/>
      <c r="R21" s="7"/>
      <c r="S21" s="7"/>
      <c r="T21" s="7"/>
      <c r="U21" s="7"/>
      <c r="V21" s="16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" customHeight="1" x14ac:dyDescent="0.25">
      <c r="A22" s="3">
        <v>8</v>
      </c>
      <c r="C22" s="3" t="s">
        <v>17</v>
      </c>
      <c r="D22" s="21" t="s">
        <v>15</v>
      </c>
      <c r="E22" s="15">
        <f>+'3 Rate Base'!F31</f>
        <v>230835</v>
      </c>
      <c r="F22" s="34" t="s">
        <v>350</v>
      </c>
      <c r="H22" s="7"/>
      <c r="I22" s="16"/>
      <c r="J22" s="16"/>
      <c r="K22" s="16"/>
      <c r="L22" s="16"/>
      <c r="M22" s="16"/>
      <c r="N22" s="16"/>
      <c r="R22" s="16"/>
      <c r="S22" s="7"/>
      <c r="T22" s="16"/>
      <c r="U22" s="7"/>
      <c r="V22" s="16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" customHeight="1" x14ac:dyDescent="0.25">
      <c r="A23" s="3">
        <v>9</v>
      </c>
      <c r="C23" s="34" t="s">
        <v>18</v>
      </c>
      <c r="D23" s="21" t="s">
        <v>16</v>
      </c>
      <c r="E23" s="15">
        <f>+'3 Rate Base'!F33</f>
        <v>78749</v>
      </c>
      <c r="F23" s="34" t="s">
        <v>150</v>
      </c>
      <c r="H23" s="7"/>
      <c r="I23" s="16"/>
      <c r="J23" s="16"/>
      <c r="K23" s="16"/>
      <c r="L23" s="16"/>
      <c r="M23" s="16"/>
      <c r="N23" s="16"/>
      <c r="R23" s="16"/>
      <c r="S23" s="7"/>
      <c r="T23" s="16"/>
      <c r="U23" s="7"/>
      <c r="V23" s="16"/>
      <c r="W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customHeight="1" x14ac:dyDescent="0.25">
      <c r="A24" s="3">
        <v>10</v>
      </c>
      <c r="C24" s="34" t="s">
        <v>19</v>
      </c>
      <c r="D24" s="21" t="s">
        <v>178</v>
      </c>
      <c r="E24" s="31">
        <f>+'3 Rate Base'!F40</f>
        <v>1157613.5</v>
      </c>
      <c r="F24" s="34" t="s">
        <v>351</v>
      </c>
      <c r="H24" s="7"/>
      <c r="I24" s="62"/>
      <c r="J24" s="62"/>
      <c r="K24" s="62"/>
      <c r="L24" s="62"/>
      <c r="M24" s="62"/>
      <c r="N24" s="62"/>
      <c r="R24" s="62"/>
      <c r="S24" s="7"/>
      <c r="T24" s="62"/>
      <c r="U24" s="7"/>
      <c r="V24" s="16"/>
      <c r="W24" s="3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 x14ac:dyDescent="0.25"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R25" s="7"/>
      <c r="S25" s="7"/>
      <c r="T25" s="7"/>
      <c r="U25" s="7"/>
      <c r="V25" s="16"/>
      <c r="W25" s="3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 customHeight="1" thickBot="1" x14ac:dyDescent="0.3">
      <c r="A26" s="3">
        <v>11</v>
      </c>
      <c r="C26" s="34" t="s">
        <v>166</v>
      </c>
      <c r="D26" s="21"/>
      <c r="E26" s="81">
        <f>+E20+E22+E23+E24</f>
        <v>96175989.5</v>
      </c>
      <c r="F26" s="16"/>
      <c r="H26" s="7"/>
      <c r="I26" s="16"/>
      <c r="J26" s="16"/>
      <c r="K26" s="16"/>
      <c r="L26" s="16"/>
      <c r="M26" s="16"/>
      <c r="N26" s="16"/>
      <c r="R26" s="16"/>
      <c r="S26" s="7"/>
      <c r="T26" s="16"/>
      <c r="U26" s="7"/>
      <c r="V26" s="16"/>
    </row>
    <row r="27" spans="1:59" ht="15" customHeight="1" thickTop="1" x14ac:dyDescent="0.25"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R27" s="7"/>
      <c r="S27" s="7"/>
      <c r="T27" s="7"/>
      <c r="U27" s="7"/>
      <c r="V27" s="16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59" ht="15" customHeight="1" x14ac:dyDescent="0.25">
      <c r="F28" s="7"/>
      <c r="H28" s="7"/>
      <c r="I28" s="7"/>
      <c r="J28" s="7"/>
      <c r="K28" s="7"/>
      <c r="L28" s="7"/>
      <c r="M28" s="7"/>
      <c r="N28" s="7"/>
      <c r="R28" s="7"/>
      <c r="S28" s="7"/>
      <c r="T28" s="7"/>
      <c r="U28" s="7"/>
      <c r="V28" s="16"/>
    </row>
    <row r="29" spans="1:59" ht="15" customHeight="1" x14ac:dyDescent="0.25">
      <c r="F29" s="7"/>
      <c r="H29" s="7"/>
      <c r="I29" s="7"/>
      <c r="J29" s="7"/>
      <c r="K29" s="7"/>
      <c r="L29" s="7"/>
      <c r="M29" s="7"/>
      <c r="N29" s="7"/>
      <c r="R29" s="7"/>
      <c r="S29" s="7"/>
      <c r="T29" s="7"/>
      <c r="U29" s="7"/>
      <c r="V29" s="16"/>
    </row>
    <row r="30" spans="1:59" ht="15" customHeight="1" x14ac:dyDescent="0.25">
      <c r="E30" s="38"/>
      <c r="F30" s="164"/>
      <c r="H30" s="7"/>
      <c r="I30" s="164"/>
      <c r="J30" s="164"/>
      <c r="K30" s="164"/>
      <c r="L30" s="164"/>
      <c r="M30" s="164"/>
      <c r="N30" s="164"/>
      <c r="R30" s="164"/>
      <c r="S30" s="7"/>
      <c r="T30" s="164"/>
      <c r="U30" s="7"/>
      <c r="V30" s="16"/>
    </row>
    <row r="31" spans="1:59" ht="15" customHeight="1" x14ac:dyDescent="0.25">
      <c r="E31" s="15"/>
      <c r="F31" s="7"/>
      <c r="H31" s="7"/>
      <c r="I31" s="7"/>
      <c r="J31" s="7"/>
      <c r="K31" s="7"/>
      <c r="L31" s="7"/>
      <c r="M31" s="7"/>
      <c r="N31" s="7"/>
      <c r="R31" s="7"/>
      <c r="S31" s="7"/>
      <c r="T31" s="7"/>
      <c r="U31" s="7"/>
      <c r="V31" s="16"/>
    </row>
    <row r="32" spans="1:59" ht="15" customHeight="1" x14ac:dyDescent="0.25">
      <c r="B32" s="3" t="s">
        <v>20</v>
      </c>
      <c r="C32" s="66" t="s">
        <v>21</v>
      </c>
      <c r="E32" s="7"/>
      <c r="F32" s="7"/>
      <c r="H32" s="7"/>
      <c r="I32" s="7"/>
      <c r="J32" s="7"/>
      <c r="K32" s="7"/>
      <c r="L32" s="7"/>
      <c r="M32" s="7"/>
      <c r="N32" s="7"/>
      <c r="R32" s="7"/>
      <c r="S32" s="7"/>
      <c r="T32" s="7"/>
      <c r="U32" s="7"/>
      <c r="V32" s="16"/>
    </row>
    <row r="33" spans="1:27" ht="15" customHeight="1" x14ac:dyDescent="0.25">
      <c r="A33" s="3">
        <v>12</v>
      </c>
      <c r="C33" s="3" t="s">
        <v>22</v>
      </c>
      <c r="D33" s="21" t="s">
        <v>23</v>
      </c>
      <c r="E33" s="80">
        <f>+'2 WACC'!E49</f>
        <v>10732769</v>
      </c>
      <c r="F33" s="34" t="s">
        <v>342</v>
      </c>
      <c r="H33" s="7"/>
      <c r="I33" s="62"/>
      <c r="J33" s="62"/>
      <c r="K33" s="62"/>
      <c r="L33" s="62"/>
      <c r="M33" s="62"/>
      <c r="N33" s="62"/>
      <c r="R33" s="16"/>
      <c r="S33" s="7"/>
      <c r="T33" s="16"/>
      <c r="U33" s="7"/>
      <c r="V33" s="16"/>
    </row>
    <row r="34" spans="1:27" ht="15" customHeight="1" x14ac:dyDescent="0.25">
      <c r="A34" s="3">
        <v>13</v>
      </c>
      <c r="C34" s="34" t="s">
        <v>24</v>
      </c>
      <c r="D34" s="67" t="s">
        <v>25</v>
      </c>
      <c r="E34" s="16">
        <f>+'4 Expense'!F19</f>
        <v>3206492</v>
      </c>
      <c r="F34" s="34" t="s">
        <v>151</v>
      </c>
      <c r="I34" s="16"/>
      <c r="J34" s="16"/>
      <c r="K34" s="16"/>
      <c r="L34" s="16"/>
      <c r="M34" s="16"/>
      <c r="N34" s="16"/>
      <c r="S34" s="7"/>
      <c r="T34" s="16"/>
      <c r="U34" s="7"/>
      <c r="V34" s="16"/>
    </row>
    <row r="35" spans="1:27" ht="15" customHeight="1" x14ac:dyDescent="0.25">
      <c r="A35" s="3">
        <v>14</v>
      </c>
      <c r="C35" s="34" t="s">
        <v>26</v>
      </c>
      <c r="D35" s="21" t="s">
        <v>179</v>
      </c>
      <c r="E35" s="16">
        <f>+'4 Expense'!F21</f>
        <v>15344</v>
      </c>
      <c r="F35" s="34" t="s">
        <v>352</v>
      </c>
      <c r="H35" s="7"/>
      <c r="I35" s="16"/>
      <c r="J35" s="16"/>
      <c r="K35" s="16"/>
      <c r="L35" s="16"/>
      <c r="M35" s="16"/>
      <c r="N35" s="16"/>
      <c r="R35" s="16"/>
      <c r="S35" s="7"/>
      <c r="T35" s="16"/>
      <c r="U35" s="7"/>
      <c r="V35" s="16"/>
    </row>
    <row r="36" spans="1:27" ht="15" customHeight="1" x14ac:dyDescent="0.25">
      <c r="A36" s="3">
        <v>15</v>
      </c>
      <c r="C36" s="34" t="s">
        <v>28</v>
      </c>
      <c r="D36" s="67" t="s">
        <v>27</v>
      </c>
      <c r="E36" s="16">
        <f>+'4 Expense'!F24</f>
        <v>2837815</v>
      </c>
      <c r="F36" s="34" t="s">
        <v>353</v>
      </c>
      <c r="H36" s="7"/>
      <c r="I36" s="16"/>
      <c r="J36" s="16"/>
      <c r="K36" s="16"/>
      <c r="L36" s="16"/>
      <c r="M36" s="16"/>
      <c r="N36" s="16"/>
      <c r="R36" s="16"/>
      <c r="S36" s="7"/>
      <c r="T36" s="16"/>
      <c r="U36" s="7"/>
      <c r="V36" s="16"/>
    </row>
    <row r="37" spans="1:27" ht="15" customHeight="1" x14ac:dyDescent="0.25">
      <c r="A37" s="3">
        <v>16</v>
      </c>
      <c r="C37" s="34" t="s">
        <v>30</v>
      </c>
      <c r="D37" s="67" t="s">
        <v>29</v>
      </c>
      <c r="E37" s="16">
        <f>+'4 Expense'!F42</f>
        <v>74475</v>
      </c>
      <c r="F37" s="2" t="s">
        <v>354</v>
      </c>
      <c r="H37" s="7"/>
      <c r="I37" s="16"/>
      <c r="J37" s="16"/>
      <c r="K37" s="16"/>
      <c r="L37" s="16"/>
      <c r="M37" s="16"/>
      <c r="N37" s="16"/>
      <c r="R37" s="16"/>
      <c r="S37" s="7"/>
      <c r="T37" s="16"/>
      <c r="U37" s="7"/>
      <c r="V37" s="16"/>
    </row>
    <row r="38" spans="1:27" ht="15" customHeight="1" x14ac:dyDescent="0.25">
      <c r="A38" s="3">
        <v>17</v>
      </c>
      <c r="C38" s="34" t="s">
        <v>31</v>
      </c>
      <c r="D38" s="67" t="s">
        <v>106</v>
      </c>
      <c r="E38" s="16">
        <f>+'4 Expense'!F31</f>
        <v>8100775</v>
      </c>
      <c r="F38" s="34" t="s">
        <v>355</v>
      </c>
      <c r="I38" s="16"/>
      <c r="J38" s="16"/>
      <c r="K38" s="16"/>
      <c r="L38" s="16"/>
      <c r="M38" s="16"/>
      <c r="N38" s="16"/>
      <c r="U38" s="7"/>
      <c r="V38" s="16"/>
    </row>
    <row r="39" spans="1:27" ht="15" customHeight="1" x14ac:dyDescent="0.25">
      <c r="A39" s="3">
        <v>18</v>
      </c>
      <c r="C39" s="34" t="s">
        <v>33</v>
      </c>
      <c r="D39" s="67" t="s">
        <v>32</v>
      </c>
      <c r="E39" s="16">
        <f>+'4 Expense'!F40</f>
        <v>1160133</v>
      </c>
      <c r="F39" s="34" t="s">
        <v>211</v>
      </c>
      <c r="H39" s="7"/>
      <c r="I39" s="16"/>
      <c r="J39" s="16"/>
      <c r="K39" s="16"/>
      <c r="L39" s="16"/>
      <c r="M39" s="16"/>
      <c r="N39" s="16"/>
      <c r="R39" s="16"/>
      <c r="S39" s="41"/>
      <c r="T39" s="16"/>
      <c r="U39" s="7"/>
      <c r="V39" s="16"/>
      <c r="W39" s="7"/>
    </row>
    <row r="40" spans="1:27" ht="15" customHeight="1" x14ac:dyDescent="0.25">
      <c r="A40" s="3">
        <v>19</v>
      </c>
      <c r="C40" s="34" t="s">
        <v>479</v>
      </c>
      <c r="D40" s="21"/>
      <c r="E40" s="271">
        <v>-299300</v>
      </c>
      <c r="F40" s="3" t="s">
        <v>545</v>
      </c>
      <c r="G40" s="21"/>
      <c r="H40" s="7"/>
      <c r="I40" s="62"/>
      <c r="J40" s="62"/>
      <c r="K40" s="62"/>
      <c r="L40" s="62"/>
      <c r="M40" s="62"/>
      <c r="N40" s="62"/>
      <c r="R40" s="16"/>
      <c r="S40" s="7"/>
      <c r="T40" s="7"/>
      <c r="U40" s="7"/>
      <c r="V40" s="16"/>
    </row>
    <row r="41" spans="1:27" ht="15" customHeight="1" x14ac:dyDescent="0.25">
      <c r="A41" s="3">
        <v>20</v>
      </c>
      <c r="C41" s="34" t="s">
        <v>537</v>
      </c>
      <c r="D41" s="21"/>
      <c r="E41" s="271">
        <v>0</v>
      </c>
      <c r="F41" s="3" t="s">
        <v>160</v>
      </c>
      <c r="G41" s="21"/>
      <c r="H41" s="7"/>
      <c r="I41" s="62"/>
      <c r="J41" s="62"/>
      <c r="K41" s="62"/>
      <c r="L41" s="62"/>
      <c r="M41" s="62"/>
      <c r="N41" s="62"/>
      <c r="R41" s="16"/>
      <c r="S41" s="7"/>
      <c r="T41" s="7"/>
      <c r="U41" s="7"/>
      <c r="V41" s="16"/>
    </row>
    <row r="42" spans="1:27" ht="15" customHeight="1" x14ac:dyDescent="0.25">
      <c r="E42" s="7"/>
      <c r="F42" s="7"/>
      <c r="H42" s="7"/>
      <c r="I42" s="7"/>
      <c r="J42" s="7"/>
      <c r="K42" s="7"/>
      <c r="L42" s="7"/>
      <c r="M42" s="7"/>
      <c r="N42" s="7"/>
      <c r="R42" s="7"/>
      <c r="S42" s="7"/>
      <c r="T42" s="16"/>
      <c r="U42" s="7"/>
      <c r="V42" s="16"/>
      <c r="W42" s="7"/>
      <c r="Y42" s="7"/>
      <c r="Z42" s="7"/>
      <c r="AA42" s="7"/>
    </row>
    <row r="43" spans="1:27" ht="15" customHeight="1" thickBot="1" x14ac:dyDescent="0.3">
      <c r="A43" s="3">
        <v>22</v>
      </c>
      <c r="C43" s="65" t="s">
        <v>215</v>
      </c>
      <c r="D43" s="7"/>
      <c r="E43" s="81">
        <f>SUM(E33:E41)</f>
        <v>25828503</v>
      </c>
      <c r="F43" s="16"/>
      <c r="G43" s="7"/>
      <c r="H43" s="7"/>
      <c r="I43" s="16"/>
      <c r="J43" s="16"/>
      <c r="K43" s="16"/>
      <c r="L43" s="16"/>
      <c r="M43" s="16"/>
      <c r="N43" s="16"/>
      <c r="R43" s="16"/>
      <c r="S43" s="7"/>
      <c r="T43" s="7"/>
      <c r="U43" s="7"/>
      <c r="V43" s="7"/>
      <c r="W43" s="7"/>
      <c r="Y43" s="7"/>
      <c r="Z43" s="7"/>
      <c r="AA43" s="7"/>
    </row>
    <row r="44" spans="1:27" ht="15" customHeight="1" thickTop="1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R44" s="7"/>
      <c r="S44" s="7"/>
      <c r="T44" s="62"/>
      <c r="U44" s="7"/>
      <c r="V44" s="7"/>
      <c r="W44" s="7"/>
      <c r="Y44" s="7"/>
      <c r="Z44" s="7"/>
      <c r="AA44" s="7"/>
    </row>
    <row r="45" spans="1:27" x14ac:dyDescent="0.25">
      <c r="C45" s="28"/>
      <c r="D45" s="11"/>
      <c r="E45" s="68"/>
      <c r="F45" s="62"/>
      <c r="G45" s="7"/>
      <c r="H45" s="7"/>
      <c r="I45" s="62"/>
      <c r="J45" s="62"/>
      <c r="K45" s="62"/>
      <c r="L45" s="62"/>
      <c r="M45" s="62"/>
      <c r="N45" s="62"/>
      <c r="R45" s="62"/>
      <c r="S45" s="7"/>
      <c r="T45" s="7"/>
      <c r="U45" s="7"/>
      <c r="V45" s="7"/>
    </row>
    <row r="46" spans="1:27" x14ac:dyDescent="0.25">
      <c r="E46" s="16"/>
      <c r="I46" s="62"/>
      <c r="J46" s="7"/>
      <c r="K46" s="62"/>
      <c r="L46" s="7"/>
      <c r="M46" s="62"/>
      <c r="N46" s="7"/>
    </row>
    <row r="47" spans="1:27" x14ac:dyDescent="0.25">
      <c r="C47" s="2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7" x14ac:dyDescent="0.25">
      <c r="B48" s="3" t="s">
        <v>158</v>
      </c>
      <c r="C48" s="66" t="s">
        <v>157</v>
      </c>
      <c r="E48" s="7"/>
      <c r="F48" s="7"/>
      <c r="G48" s="7"/>
      <c r="H48" s="7"/>
      <c r="I48" s="7"/>
      <c r="J48" s="7"/>
      <c r="K48" s="7"/>
      <c r="L48" s="7"/>
      <c r="M48" s="7"/>
      <c r="N48" s="7"/>
      <c r="V48" s="60"/>
    </row>
    <row r="49" spans="1:18" x14ac:dyDescent="0.25">
      <c r="E49" s="7"/>
      <c r="F49" s="7"/>
      <c r="G49" s="7"/>
      <c r="H49" s="7"/>
      <c r="I49" s="7"/>
      <c r="J49" s="7"/>
      <c r="K49" s="7"/>
      <c r="L49" s="7"/>
      <c r="M49" s="7"/>
      <c r="N49" s="7"/>
      <c r="Q49" s="7"/>
      <c r="R49" s="16"/>
    </row>
    <row r="50" spans="1:18" x14ac:dyDescent="0.25"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8" x14ac:dyDescent="0.25">
      <c r="A51" s="3">
        <v>23</v>
      </c>
      <c r="C51" s="3" t="s">
        <v>184</v>
      </c>
      <c r="D51" s="7"/>
      <c r="E51" s="148">
        <f>+'5 Allocation'!D30</f>
        <v>30166</v>
      </c>
      <c r="F51" s="7" t="s">
        <v>212</v>
      </c>
      <c r="G51" s="7"/>
      <c r="H51" s="7"/>
      <c r="I51" s="7"/>
      <c r="J51" s="7"/>
      <c r="K51" s="7"/>
      <c r="L51" s="7"/>
      <c r="M51" s="7"/>
      <c r="N51" s="7"/>
    </row>
    <row r="52" spans="1:18" x14ac:dyDescent="0.25">
      <c r="A52" s="3">
        <v>24</v>
      </c>
      <c r="C52" s="3" t="s">
        <v>127</v>
      </c>
      <c r="D52" s="7"/>
      <c r="E52" s="149">
        <f>+E14</f>
        <v>174767247</v>
      </c>
      <c r="F52" s="7" t="s">
        <v>213</v>
      </c>
      <c r="G52" s="7"/>
      <c r="H52" s="7"/>
      <c r="I52" s="7"/>
      <c r="J52" s="7"/>
      <c r="K52" s="7"/>
      <c r="L52" s="7"/>
      <c r="M52" s="7"/>
      <c r="N52" s="7"/>
    </row>
    <row r="53" spans="1:18" x14ac:dyDescent="0.25">
      <c r="D53" s="7"/>
      <c r="E53" s="150" t="s">
        <v>153</v>
      </c>
      <c r="F53" s="7"/>
      <c r="G53" s="7"/>
      <c r="H53" s="7"/>
      <c r="I53" s="7"/>
      <c r="J53" s="7"/>
      <c r="K53" s="7"/>
      <c r="L53" s="7"/>
      <c r="M53" s="7"/>
      <c r="N53" s="7"/>
    </row>
    <row r="54" spans="1:18" x14ac:dyDescent="0.25">
      <c r="A54" s="3">
        <v>25</v>
      </c>
      <c r="C54" s="3" t="s">
        <v>216</v>
      </c>
      <c r="E54" s="151">
        <f>+E51/E52</f>
        <v>1.7260671274406468E-4</v>
      </c>
      <c r="F54" s="7" t="s">
        <v>167</v>
      </c>
      <c r="G54" s="7"/>
      <c r="H54" s="7"/>
      <c r="I54" s="7"/>
      <c r="J54" s="7"/>
      <c r="K54" s="7"/>
      <c r="L54" s="7"/>
      <c r="M54" s="7"/>
      <c r="N54" s="7"/>
    </row>
    <row r="55" spans="1:18" x14ac:dyDescent="0.25">
      <c r="E55" s="151"/>
      <c r="F55" s="7"/>
      <c r="G55" s="7"/>
      <c r="H55" s="7"/>
      <c r="I55" s="7"/>
      <c r="J55" s="7"/>
      <c r="K55" s="7"/>
      <c r="L55" s="7"/>
      <c r="M55" s="7"/>
      <c r="N55" s="7"/>
    </row>
    <row r="56" spans="1:18" x14ac:dyDescent="0.25">
      <c r="A56" s="3">
        <v>26</v>
      </c>
      <c r="C56" s="3" t="s">
        <v>218</v>
      </c>
      <c r="D56" s="7"/>
      <c r="E56" s="152">
        <f>+E43</f>
        <v>25828503</v>
      </c>
      <c r="F56" s="7" t="s">
        <v>168</v>
      </c>
      <c r="G56" s="7"/>
      <c r="H56" s="7"/>
      <c r="I56" s="7"/>
      <c r="J56" s="7"/>
      <c r="K56" s="7"/>
      <c r="L56" s="7"/>
      <c r="M56" s="7"/>
      <c r="N56" s="7"/>
    </row>
    <row r="57" spans="1:18" x14ac:dyDescent="0.25">
      <c r="A57" s="3">
        <v>27</v>
      </c>
      <c r="C57" s="3" t="s">
        <v>220</v>
      </c>
      <c r="D57" s="7"/>
      <c r="E57" s="149">
        <f>+'4 Expense'!C30</f>
        <v>3968850</v>
      </c>
      <c r="F57" s="7" t="s">
        <v>214</v>
      </c>
      <c r="G57" s="7"/>
      <c r="H57" s="7"/>
      <c r="I57" s="7"/>
      <c r="J57" s="7"/>
      <c r="K57" s="7"/>
      <c r="L57" s="7"/>
      <c r="M57" s="7"/>
      <c r="N57" s="7"/>
    </row>
    <row r="58" spans="1:18" x14ac:dyDescent="0.25">
      <c r="D58" s="7"/>
      <c r="E58" s="150" t="s">
        <v>153</v>
      </c>
      <c r="F58" s="7"/>
      <c r="G58" s="7"/>
      <c r="H58" s="7"/>
      <c r="I58" s="7"/>
      <c r="J58" s="7"/>
      <c r="K58" s="7"/>
      <c r="L58" s="7"/>
      <c r="M58" s="7"/>
      <c r="N58" s="7"/>
    </row>
    <row r="59" spans="1:18" x14ac:dyDescent="0.25">
      <c r="A59" s="3">
        <v>28</v>
      </c>
      <c r="C59" s="3" t="s">
        <v>219</v>
      </c>
      <c r="D59" s="7"/>
      <c r="E59" s="152">
        <f>+E56-E57</f>
        <v>21859653</v>
      </c>
      <c r="F59" s="7" t="s">
        <v>170</v>
      </c>
      <c r="G59" s="7"/>
      <c r="H59" s="7"/>
      <c r="I59" s="7"/>
      <c r="J59" s="7"/>
      <c r="K59" s="7"/>
      <c r="L59" s="7"/>
      <c r="M59" s="7"/>
      <c r="N59" s="7"/>
    </row>
    <row r="60" spans="1:18" x14ac:dyDescent="0.25">
      <c r="A60" s="3">
        <v>29</v>
      </c>
      <c r="C60" s="3" t="s">
        <v>216</v>
      </c>
      <c r="D60" s="7"/>
      <c r="E60" s="151">
        <f>+E54</f>
        <v>1.7260671274406468E-4</v>
      </c>
      <c r="F60" s="7" t="s">
        <v>169</v>
      </c>
      <c r="G60" s="7"/>
      <c r="H60" s="7"/>
      <c r="I60" s="7"/>
      <c r="J60" s="7"/>
      <c r="K60" s="7"/>
      <c r="L60" s="7"/>
      <c r="M60" s="7"/>
      <c r="N60" s="7"/>
    </row>
    <row r="61" spans="1:18" x14ac:dyDescent="0.25">
      <c r="D61" s="7"/>
      <c r="E61" s="150" t="s">
        <v>153</v>
      </c>
      <c r="F61" s="7"/>
      <c r="G61" s="7"/>
      <c r="H61" s="7"/>
      <c r="I61" s="7"/>
      <c r="J61" s="7"/>
      <c r="K61" s="7"/>
      <c r="L61" s="7"/>
      <c r="M61" s="7"/>
      <c r="N61" s="7"/>
    </row>
    <row r="62" spans="1:18" x14ac:dyDescent="0.25">
      <c r="A62" s="3">
        <v>30</v>
      </c>
      <c r="C62" s="3" t="s">
        <v>154</v>
      </c>
      <c r="D62" s="7"/>
      <c r="E62" s="152">
        <f>+E59*E60</f>
        <v>3773.1228460559314</v>
      </c>
      <c r="F62" s="7" t="s">
        <v>171</v>
      </c>
      <c r="G62" s="7"/>
      <c r="H62" s="7"/>
      <c r="I62" s="7"/>
      <c r="J62" s="7"/>
      <c r="K62" s="7"/>
      <c r="L62" s="7"/>
      <c r="M62" s="7"/>
      <c r="N62" s="7"/>
    </row>
    <row r="63" spans="1:18" x14ac:dyDescent="0.25">
      <c r="D63" s="7"/>
      <c r="E63" s="152"/>
      <c r="F63" s="7"/>
      <c r="G63" s="7"/>
      <c r="H63" s="7"/>
      <c r="I63" s="7"/>
      <c r="J63" s="7"/>
      <c r="K63" s="7"/>
      <c r="L63" s="7"/>
      <c r="M63" s="7"/>
      <c r="N63" s="7"/>
    </row>
    <row r="64" spans="1:18" x14ac:dyDescent="0.25">
      <c r="A64" s="3">
        <v>31</v>
      </c>
      <c r="C64" s="3" t="s">
        <v>155</v>
      </c>
      <c r="D64" s="7"/>
      <c r="E64" s="152">
        <f>+E62/12</f>
        <v>314.4269038379943</v>
      </c>
      <c r="F64" s="7" t="s">
        <v>172</v>
      </c>
      <c r="G64" s="7"/>
      <c r="H64" s="7"/>
      <c r="I64" s="7"/>
      <c r="J64" s="7"/>
      <c r="K64" s="7"/>
      <c r="L64" s="7"/>
      <c r="M64" s="7"/>
      <c r="N64" s="7"/>
    </row>
    <row r="65" spans="3:14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3:14" x14ac:dyDescent="0.25">
      <c r="C66" s="3" t="s">
        <v>159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14" x14ac:dyDescent="0.25">
      <c r="C67" s="3" t="s">
        <v>156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14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4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3:14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3:14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3:14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3:14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3:14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3:14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3:14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3:14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4:14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4:14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4:14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4:14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4:14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4:14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4:14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4:14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4:14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4:14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4:14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4:14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4:14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4:14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4:14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4:14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4:14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4:14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4:14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4:14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4:14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4:14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4:14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4:14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4:14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4:14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4:14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4:14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4:14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4:14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4:14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4:14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4:14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4:14" x14ac:dyDescent="0.25"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4:14" x14ac:dyDescent="0.25"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4:14" x14ac:dyDescent="0.25"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4:14" x14ac:dyDescent="0.25"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4:14" x14ac:dyDescent="0.25"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4:14" x14ac:dyDescent="0.25"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4:14" x14ac:dyDescent="0.25"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5:14" x14ac:dyDescent="0.25"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5:14" x14ac:dyDescent="0.25"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5:14" x14ac:dyDescent="0.25"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5:14" x14ac:dyDescent="0.25"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5:14" x14ac:dyDescent="0.25"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5:14" x14ac:dyDescent="0.25"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5:14" x14ac:dyDescent="0.25"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5:14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5:14" x14ac:dyDescent="0.25"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5:14" x14ac:dyDescent="0.25"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5:14" x14ac:dyDescent="0.25"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5:14" x14ac:dyDescent="0.25">
      <c r="E140" s="7"/>
      <c r="F140" s="7"/>
      <c r="G140" s="7"/>
      <c r="H140" s="7"/>
      <c r="I140" s="7"/>
      <c r="J140" s="7"/>
      <c r="K140" s="7"/>
      <c r="L140" s="7"/>
      <c r="M140" s="7"/>
      <c r="N140" s="7"/>
    </row>
  </sheetData>
  <customSheetViews>
    <customSheetView guid="{64F6106B-9E0C-489A-BDF0-E26F35DDE29F}" scale="90" showPageBreaks="1" showGridLines="0" fitToPage="1" printArea="1" topLeftCell="A39">
      <selection activeCell="F59" sqref="F59"/>
      <pageMargins left="0" right="0" top="0.75" bottom="0" header="0.5" footer="0.5"/>
      <pageSetup scale="69" fitToHeight="0" orientation="portrait" r:id="rId1"/>
      <headerFooter alignWithMargins="0"/>
    </customSheetView>
  </customSheetViews>
  <phoneticPr fontId="0" type="noConversion"/>
  <pageMargins left="0" right="0" top="0.75" bottom="0" header="0.5" footer="0.5"/>
  <pageSetup scale="69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6"/>
  <sheetViews>
    <sheetView showGridLines="0" zoomScale="70" zoomScaleNormal="70" workbookViewId="0">
      <selection activeCell="E33" sqref="E33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</cols>
  <sheetData>
    <row r="4" spans="1:7" ht="19.5" x14ac:dyDescent="0.35">
      <c r="C4" s="70" t="s">
        <v>118</v>
      </c>
      <c r="D4" s="3"/>
      <c r="E4" s="3"/>
      <c r="F4" s="3"/>
      <c r="G4" s="3"/>
    </row>
    <row r="5" spans="1:7" ht="15" x14ac:dyDescent="0.25">
      <c r="C5" s="21" t="s">
        <v>382</v>
      </c>
      <c r="D5" s="3"/>
      <c r="E5" s="3"/>
      <c r="F5" s="3"/>
      <c r="G5" s="3"/>
    </row>
    <row r="6" spans="1:7" ht="15" x14ac:dyDescent="0.25">
      <c r="C6" s="71" t="str">
        <f>+'5 Allocation'!B6</f>
        <v>Actual 2017</v>
      </c>
      <c r="D6" s="3"/>
      <c r="E6" s="3"/>
      <c r="F6" s="3"/>
      <c r="G6" s="3"/>
    </row>
    <row r="7" spans="1:7" ht="15" x14ac:dyDescent="0.25">
      <c r="C7" s="71" t="str">
        <f>+'5 Allocation'!B7</f>
        <v>Reg Liab in ADIT</v>
      </c>
      <c r="D7" s="3"/>
      <c r="E7" s="3"/>
      <c r="F7" s="5" t="s">
        <v>119</v>
      </c>
      <c r="G7" s="3"/>
    </row>
    <row r="8" spans="1:7" ht="15" x14ac:dyDescent="0.25">
      <c r="C8" s="3"/>
      <c r="D8" s="3"/>
      <c r="E8" s="3"/>
      <c r="F8" s="5" t="s">
        <v>183</v>
      </c>
      <c r="G8" s="3"/>
    </row>
    <row r="9" spans="1:7" ht="15" x14ac:dyDescent="0.25">
      <c r="C9" s="3"/>
      <c r="D9" s="3"/>
      <c r="E9" s="3"/>
      <c r="F9" s="5" t="s">
        <v>465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377</v>
      </c>
      <c r="D11" s="7" t="s">
        <v>99</v>
      </c>
      <c r="F11" s="3"/>
    </row>
    <row r="12" spans="1:7" ht="15" x14ac:dyDescent="0.25">
      <c r="A12" s="28" t="s">
        <v>70</v>
      </c>
      <c r="B12" s="3"/>
      <c r="C12" s="21" t="s">
        <v>378</v>
      </c>
      <c r="D12" s="7" t="s">
        <v>4</v>
      </c>
      <c r="F12" s="97"/>
    </row>
    <row r="13" spans="1:7" ht="15" x14ac:dyDescent="0.25">
      <c r="A13" s="28"/>
      <c r="B13" s="3"/>
      <c r="C13" s="8"/>
      <c r="D13" s="32"/>
      <c r="F13" s="97"/>
    </row>
    <row r="14" spans="1:7" ht="19.5" x14ac:dyDescent="0.35">
      <c r="A14" s="28">
        <v>1</v>
      </c>
      <c r="B14" s="125" t="s">
        <v>68</v>
      </c>
      <c r="C14" s="8"/>
      <c r="D14" s="32"/>
      <c r="F14" s="97"/>
    </row>
    <row r="15" spans="1:7" ht="15" x14ac:dyDescent="0.25">
      <c r="A15" s="126">
        <f>1+A14</f>
        <v>2</v>
      </c>
      <c r="B15" s="123" t="s">
        <v>362</v>
      </c>
      <c r="C15" s="272">
        <v>61534358.120000005</v>
      </c>
      <c r="D15" s="121" t="s">
        <v>383</v>
      </c>
    </row>
    <row r="16" spans="1:7" ht="15" x14ac:dyDescent="0.25">
      <c r="A16" s="126">
        <f t="shared" ref="A16:A27" si="0">1+A15</f>
        <v>3</v>
      </c>
      <c r="B16" s="124" t="s">
        <v>373</v>
      </c>
      <c r="C16" s="273">
        <v>61754414.209999993</v>
      </c>
      <c r="D16" s="121" t="s">
        <v>495</v>
      </c>
    </row>
    <row r="17" spans="1:7" ht="15" x14ac:dyDescent="0.25">
      <c r="A17" s="126">
        <f t="shared" si="0"/>
        <v>4</v>
      </c>
      <c r="B17" s="123" t="s">
        <v>363</v>
      </c>
      <c r="C17" s="273">
        <v>61509610.460000001</v>
      </c>
      <c r="D17" s="121" t="s">
        <v>495</v>
      </c>
    </row>
    <row r="18" spans="1:7" ht="15" x14ac:dyDescent="0.25">
      <c r="A18" s="126">
        <f t="shared" si="0"/>
        <v>5</v>
      </c>
      <c r="B18" s="123" t="s">
        <v>364</v>
      </c>
      <c r="C18" s="273">
        <v>61801668.859999999</v>
      </c>
      <c r="D18" s="121" t="s">
        <v>495</v>
      </c>
    </row>
    <row r="19" spans="1:7" ht="15" x14ac:dyDescent="0.25">
      <c r="A19" s="126">
        <f t="shared" si="0"/>
        <v>6</v>
      </c>
      <c r="B19" s="123" t="s">
        <v>365</v>
      </c>
      <c r="C19" s="273">
        <v>62062086.210000001</v>
      </c>
      <c r="D19" s="121" t="s">
        <v>495</v>
      </c>
    </row>
    <row r="20" spans="1:7" ht="15" x14ac:dyDescent="0.25">
      <c r="A20" s="126">
        <f t="shared" si="0"/>
        <v>7</v>
      </c>
      <c r="B20" s="123" t="s">
        <v>366</v>
      </c>
      <c r="C20" s="273">
        <v>62337498.950000003</v>
      </c>
      <c r="D20" s="121" t="s">
        <v>495</v>
      </c>
    </row>
    <row r="21" spans="1:7" ht="15" x14ac:dyDescent="0.25">
      <c r="A21" s="126">
        <f t="shared" si="0"/>
        <v>8</v>
      </c>
      <c r="B21" s="123" t="s">
        <v>367</v>
      </c>
      <c r="C21" s="273">
        <v>52716785.109999999</v>
      </c>
      <c r="D21" s="121" t="s">
        <v>495</v>
      </c>
    </row>
    <row r="22" spans="1:7" ht="15" x14ac:dyDescent="0.25">
      <c r="A22" s="126">
        <f t="shared" si="0"/>
        <v>9</v>
      </c>
      <c r="B22" s="123" t="s">
        <v>368</v>
      </c>
      <c r="C22" s="273">
        <v>52804011.679999992</v>
      </c>
      <c r="D22" s="121" t="s">
        <v>495</v>
      </c>
    </row>
    <row r="23" spans="1:7" ht="15" x14ac:dyDescent="0.25">
      <c r="A23" s="126">
        <f t="shared" si="0"/>
        <v>10</v>
      </c>
      <c r="B23" s="123" t="s">
        <v>369</v>
      </c>
      <c r="C23" s="273">
        <v>53008020.079999998</v>
      </c>
      <c r="D23" s="121" t="s">
        <v>495</v>
      </c>
    </row>
    <row r="24" spans="1:7" ht="15" x14ac:dyDescent="0.25">
      <c r="A24" s="126">
        <f t="shared" si="0"/>
        <v>11</v>
      </c>
      <c r="B24" s="123" t="s">
        <v>370</v>
      </c>
      <c r="C24" s="273">
        <v>52935987.980000004</v>
      </c>
      <c r="D24" s="121" t="s">
        <v>495</v>
      </c>
    </row>
    <row r="25" spans="1:7" ht="15" x14ac:dyDescent="0.25">
      <c r="A25" s="126">
        <f t="shared" si="0"/>
        <v>12</v>
      </c>
      <c r="B25" s="123" t="s">
        <v>371</v>
      </c>
      <c r="C25" s="273">
        <v>53182013.830000006</v>
      </c>
      <c r="D25" s="121" t="s">
        <v>495</v>
      </c>
    </row>
    <row r="26" spans="1:7" ht="15" x14ac:dyDescent="0.25">
      <c r="A26" s="126">
        <f t="shared" si="0"/>
        <v>13</v>
      </c>
      <c r="B26" s="123" t="s">
        <v>372</v>
      </c>
      <c r="C26" s="273">
        <v>53429637.229999997</v>
      </c>
      <c r="D26" s="121" t="s">
        <v>495</v>
      </c>
    </row>
    <row r="27" spans="1:7" ht="15" x14ac:dyDescent="0.25">
      <c r="A27" s="126">
        <f t="shared" si="0"/>
        <v>14</v>
      </c>
      <c r="B27" s="124" t="s">
        <v>374</v>
      </c>
      <c r="C27" s="273">
        <v>53687101.989999995</v>
      </c>
      <c r="D27" s="121" t="s">
        <v>390</v>
      </c>
    </row>
    <row r="28" spans="1:7" ht="15" x14ac:dyDescent="0.25">
      <c r="C28" s="122"/>
    </row>
    <row r="29" spans="1:7" ht="15" x14ac:dyDescent="0.25">
      <c r="A29" s="126">
        <f>1+A27</f>
        <v>15</v>
      </c>
      <c r="B29" s="123" t="s">
        <v>376</v>
      </c>
      <c r="C29" s="72">
        <f>AVERAGE(C15:C27)</f>
        <v>57135630.362307698</v>
      </c>
      <c r="G29" s="3"/>
    </row>
    <row r="30" spans="1:7" ht="15" x14ac:dyDescent="0.25">
      <c r="C30" s="122"/>
      <c r="G30" s="9"/>
    </row>
    <row r="31" spans="1:7" ht="19.5" x14ac:dyDescent="0.35">
      <c r="A31" s="28">
        <f>1+A29</f>
        <v>16</v>
      </c>
      <c r="B31" s="125" t="s">
        <v>379</v>
      </c>
      <c r="C31" s="127"/>
      <c r="D31" s="32"/>
      <c r="F31" s="97"/>
    </row>
    <row r="32" spans="1:7" ht="15" x14ac:dyDescent="0.25">
      <c r="A32" s="126">
        <f>1+A31</f>
        <v>17</v>
      </c>
      <c r="B32" s="123" t="s">
        <v>362</v>
      </c>
      <c r="C32" s="274">
        <v>30713861.59</v>
      </c>
      <c r="D32" s="121" t="s">
        <v>391</v>
      </c>
    </row>
    <row r="33" spans="1:4" ht="15" x14ac:dyDescent="0.25">
      <c r="A33" s="126">
        <f t="shared" ref="A33:A44" si="1">1+A32</f>
        <v>18</v>
      </c>
      <c r="B33" s="124" t="s">
        <v>373</v>
      </c>
      <c r="C33" s="275">
        <v>31298656.730000004</v>
      </c>
      <c r="D33" s="121" t="s">
        <v>495</v>
      </c>
    </row>
    <row r="34" spans="1:4" ht="15" x14ac:dyDescent="0.25">
      <c r="A34" s="126">
        <f t="shared" si="1"/>
        <v>19</v>
      </c>
      <c r="B34" s="123" t="s">
        <v>363</v>
      </c>
      <c r="C34" s="275">
        <v>31885309.810000002</v>
      </c>
      <c r="D34" s="121" t="s">
        <v>495</v>
      </c>
    </row>
    <row r="35" spans="1:4" ht="15" x14ac:dyDescent="0.25">
      <c r="A35" s="126">
        <f t="shared" si="1"/>
        <v>20</v>
      </c>
      <c r="B35" s="123" t="s">
        <v>364</v>
      </c>
      <c r="C35" s="275">
        <v>32473760.390000001</v>
      </c>
      <c r="D35" s="121" t="s">
        <v>495</v>
      </c>
    </row>
    <row r="36" spans="1:4" ht="15" x14ac:dyDescent="0.25">
      <c r="A36" s="126">
        <f t="shared" si="1"/>
        <v>21</v>
      </c>
      <c r="B36" s="123" t="s">
        <v>365</v>
      </c>
      <c r="C36" s="275">
        <v>33067039.960000001</v>
      </c>
      <c r="D36" s="121" t="s">
        <v>495</v>
      </c>
    </row>
    <row r="37" spans="1:4" ht="15" x14ac:dyDescent="0.25">
      <c r="A37" s="126">
        <f t="shared" si="1"/>
        <v>22</v>
      </c>
      <c r="B37" s="123" t="s">
        <v>366</v>
      </c>
      <c r="C37" s="275">
        <v>33670962.93</v>
      </c>
      <c r="D37" s="121" t="s">
        <v>495</v>
      </c>
    </row>
    <row r="38" spans="1:4" ht="15" x14ac:dyDescent="0.25">
      <c r="A38" s="126">
        <f t="shared" si="1"/>
        <v>23</v>
      </c>
      <c r="B38" s="123" t="s">
        <v>367</v>
      </c>
      <c r="C38" s="275">
        <v>34202764.759999998</v>
      </c>
      <c r="D38" s="121" t="s">
        <v>495</v>
      </c>
    </row>
    <row r="39" spans="1:4" ht="15" x14ac:dyDescent="0.25">
      <c r="A39" s="126">
        <f t="shared" si="1"/>
        <v>24</v>
      </c>
      <c r="B39" s="123" t="s">
        <v>368</v>
      </c>
      <c r="C39" s="275">
        <v>34762859.689999998</v>
      </c>
      <c r="D39" s="121" t="s">
        <v>495</v>
      </c>
    </row>
    <row r="40" spans="1:4" ht="15" x14ac:dyDescent="0.25">
      <c r="A40" s="126">
        <f t="shared" si="1"/>
        <v>25</v>
      </c>
      <c r="B40" s="123" t="s">
        <v>369</v>
      </c>
      <c r="C40" s="275">
        <v>32020830.130000003</v>
      </c>
      <c r="D40" s="121" t="s">
        <v>495</v>
      </c>
    </row>
    <row r="41" spans="1:4" ht="15" x14ac:dyDescent="0.25">
      <c r="A41" s="126">
        <f t="shared" si="1"/>
        <v>26</v>
      </c>
      <c r="B41" s="123" t="s">
        <v>370</v>
      </c>
      <c r="C41" s="275">
        <v>32342082.830000002</v>
      </c>
      <c r="D41" s="121" t="s">
        <v>495</v>
      </c>
    </row>
    <row r="42" spans="1:4" ht="15" x14ac:dyDescent="0.25">
      <c r="A42" s="126">
        <f t="shared" si="1"/>
        <v>27</v>
      </c>
      <c r="B42" s="123" t="s">
        <v>371</v>
      </c>
      <c r="C42" s="275">
        <v>32952657.939999998</v>
      </c>
      <c r="D42" s="121" t="s">
        <v>495</v>
      </c>
    </row>
    <row r="43" spans="1:4" ht="15" x14ac:dyDescent="0.25">
      <c r="A43" s="126">
        <f t="shared" si="1"/>
        <v>28</v>
      </c>
      <c r="B43" s="123" t="s">
        <v>372</v>
      </c>
      <c r="C43" s="275">
        <v>33566500.579999998</v>
      </c>
      <c r="D43" s="121" t="s">
        <v>495</v>
      </c>
    </row>
    <row r="44" spans="1:4" ht="15" x14ac:dyDescent="0.25">
      <c r="A44" s="126">
        <f t="shared" si="1"/>
        <v>29</v>
      </c>
      <c r="B44" s="124" t="s">
        <v>374</v>
      </c>
      <c r="C44" s="275">
        <v>34181763.210000001</v>
      </c>
      <c r="D44" s="121" t="s">
        <v>392</v>
      </c>
    </row>
    <row r="45" spans="1:4" ht="15" x14ac:dyDescent="0.25">
      <c r="C45" s="122"/>
    </row>
    <row r="46" spans="1:4" ht="15" x14ac:dyDescent="0.25">
      <c r="A46" s="126">
        <f>1+A44</f>
        <v>30</v>
      </c>
      <c r="B46" s="123" t="s">
        <v>380</v>
      </c>
      <c r="C46" s="72">
        <f>AVERAGE(C32:C44)</f>
        <v>32856850.04230769</v>
      </c>
    </row>
  </sheetData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8"/>
  <sheetViews>
    <sheetView showGridLines="0" zoomScaleNormal="100" workbookViewId="0">
      <selection activeCell="E33" sqref="E33"/>
    </sheetView>
  </sheetViews>
  <sheetFormatPr defaultRowHeight="12.75" x14ac:dyDescent="0.2"/>
  <cols>
    <col min="1" max="1" width="7.7109375" style="121" bestFit="1" customWidth="1"/>
    <col min="2" max="2" width="66.7109375" style="121" bestFit="1" customWidth="1"/>
    <col min="3" max="4" width="18.7109375" style="121" customWidth="1"/>
    <col min="5" max="5" width="20.28515625" style="121" customWidth="1"/>
    <col min="6" max="16384" width="9.140625" style="121"/>
  </cols>
  <sheetData>
    <row r="4" spans="1:7" ht="19.5" x14ac:dyDescent="0.35">
      <c r="C4" s="70" t="s">
        <v>118</v>
      </c>
      <c r="D4" s="3"/>
      <c r="E4" s="3"/>
      <c r="F4" s="3"/>
      <c r="G4" s="3"/>
    </row>
    <row r="5" spans="1:7" ht="15" x14ac:dyDescent="0.25">
      <c r="C5" s="21" t="s">
        <v>401</v>
      </c>
      <c r="D5" s="3"/>
      <c r="E5" s="3"/>
      <c r="F5" s="3"/>
      <c r="G5" s="3"/>
    </row>
    <row r="6" spans="1:7" ht="15" x14ac:dyDescent="0.25">
      <c r="C6" s="264" t="str">
        <f>+'5 Allocation'!B6</f>
        <v>Actual 2017</v>
      </c>
      <c r="D6" s="3"/>
      <c r="E6" s="3"/>
      <c r="F6" s="3"/>
      <c r="G6" s="3"/>
    </row>
    <row r="7" spans="1:7" ht="15" x14ac:dyDescent="0.25">
      <c r="C7" s="264" t="str">
        <f>+'5 Allocation'!B7</f>
        <v>Reg Liab in ADIT</v>
      </c>
      <c r="D7" s="3"/>
      <c r="E7" s="3"/>
      <c r="F7" s="5" t="s">
        <v>119</v>
      </c>
      <c r="G7" s="3"/>
    </row>
    <row r="8" spans="1:7" ht="15" x14ac:dyDescent="0.25">
      <c r="C8" s="3"/>
      <c r="D8" s="3"/>
      <c r="E8" s="3"/>
      <c r="F8" s="5" t="s">
        <v>183</v>
      </c>
      <c r="G8" s="3"/>
    </row>
    <row r="9" spans="1:7" ht="15" x14ac:dyDescent="0.25">
      <c r="C9" s="3"/>
      <c r="D9" s="3"/>
      <c r="E9" s="3"/>
      <c r="F9" s="5" t="s">
        <v>466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398</v>
      </c>
      <c r="D11" s="21" t="s">
        <v>399</v>
      </c>
      <c r="E11" s="21" t="s">
        <v>400</v>
      </c>
      <c r="F11" s="7" t="s">
        <v>99</v>
      </c>
    </row>
    <row r="12" spans="1:7" ht="15" x14ac:dyDescent="0.25">
      <c r="A12" s="28" t="s">
        <v>70</v>
      </c>
      <c r="B12" s="3"/>
      <c r="C12" s="21" t="s">
        <v>378</v>
      </c>
      <c r="D12" s="21" t="s">
        <v>378</v>
      </c>
      <c r="E12" s="21" t="s">
        <v>378</v>
      </c>
      <c r="F12" s="7" t="s">
        <v>4</v>
      </c>
    </row>
    <row r="13" spans="1:7" ht="15" x14ac:dyDescent="0.25">
      <c r="A13" s="28"/>
      <c r="B13" s="3"/>
      <c r="C13" s="3"/>
      <c r="D13" s="3"/>
      <c r="F13" s="32"/>
    </row>
    <row r="14" spans="1:7" ht="19.5" x14ac:dyDescent="0.35">
      <c r="A14" s="28">
        <v>1</v>
      </c>
      <c r="B14" s="125" t="s">
        <v>394</v>
      </c>
      <c r="C14" s="3"/>
      <c r="D14" s="3"/>
      <c r="F14" s="32"/>
    </row>
    <row r="15" spans="1:7" ht="15" x14ac:dyDescent="0.2">
      <c r="B15" s="223"/>
      <c r="C15" s="254"/>
      <c r="D15" s="254"/>
      <c r="E15" s="224"/>
      <c r="F15" s="222"/>
      <c r="G15" s="221"/>
    </row>
    <row r="16" spans="1:7" ht="15" x14ac:dyDescent="0.2">
      <c r="A16" s="158"/>
      <c r="B16" s="223"/>
      <c r="C16" s="254"/>
      <c r="D16" s="254"/>
      <c r="E16" s="224"/>
      <c r="F16" s="222"/>
      <c r="G16" s="221"/>
    </row>
    <row r="17" spans="1:7" ht="15" x14ac:dyDescent="0.2">
      <c r="B17" s="223"/>
      <c r="C17" s="254"/>
      <c r="D17" s="254"/>
      <c r="F17" s="222"/>
      <c r="G17" s="221"/>
    </row>
    <row r="18" spans="1:7" ht="15.75" x14ac:dyDescent="0.25">
      <c r="A18" s="28"/>
      <c r="B18" s="224" t="s">
        <v>550</v>
      </c>
      <c r="C18" s="254">
        <v>0</v>
      </c>
      <c r="D18" s="280">
        <v>-177095731</v>
      </c>
      <c r="E18" s="224">
        <f>AVERAGE(C18:D18)</f>
        <v>-88547865.5</v>
      </c>
      <c r="F18" s="25" t="s">
        <v>547</v>
      </c>
      <c r="G18" s="281"/>
    </row>
    <row r="19" spans="1:7" ht="15" x14ac:dyDescent="0.2">
      <c r="A19" s="158"/>
      <c r="B19" s="223"/>
      <c r="C19" s="254"/>
      <c r="D19" s="254"/>
      <c r="E19" s="224"/>
      <c r="F19" s="222"/>
      <c r="G19" s="221"/>
    </row>
    <row r="20" spans="1:7" ht="19.5" x14ac:dyDescent="0.35">
      <c r="A20" s="158">
        <v>2</v>
      </c>
      <c r="B20" s="256" t="s">
        <v>476</v>
      </c>
      <c r="C20" s="232">
        <v>-286349156</v>
      </c>
      <c r="D20" s="232">
        <f>-118971172+E18</f>
        <v>-207519037.5</v>
      </c>
      <c r="E20" s="241">
        <f>AVERAGE(C20:D20)</f>
        <v>-246934096.75</v>
      </c>
      <c r="F20" s="3" t="s">
        <v>549</v>
      </c>
    </row>
    <row r="21" spans="1:7" ht="15" x14ac:dyDescent="0.25">
      <c r="C21" s="158"/>
      <c r="D21" s="278"/>
      <c r="E21" s="278"/>
      <c r="F21" s="3"/>
    </row>
    <row r="22" spans="1:7" ht="19.5" x14ac:dyDescent="0.35">
      <c r="A22" s="225">
        <v>3</v>
      </c>
      <c r="B22" s="228" t="s">
        <v>395</v>
      </c>
      <c r="C22" s="94"/>
      <c r="D22" s="94"/>
      <c r="E22" s="221"/>
      <c r="F22" s="221"/>
      <c r="G22" s="221"/>
    </row>
    <row r="23" spans="1:7" ht="15" x14ac:dyDescent="0.25">
      <c r="A23" s="254"/>
      <c r="B23" s="123"/>
      <c r="C23" s="255"/>
      <c r="D23" s="255"/>
      <c r="E23" s="227"/>
      <c r="F23" s="222"/>
      <c r="G23" s="221"/>
    </row>
    <row r="24" spans="1:7" ht="15" x14ac:dyDescent="0.25">
      <c r="A24" s="254"/>
      <c r="B24" s="124"/>
      <c r="C24" s="255"/>
      <c r="D24" s="255"/>
      <c r="E24" s="200"/>
      <c r="F24" s="222"/>
      <c r="G24" s="221"/>
    </row>
    <row r="25" spans="1:7" ht="15" x14ac:dyDescent="0.25">
      <c r="A25" s="254"/>
      <c r="B25" s="123"/>
      <c r="C25" s="255"/>
      <c r="D25" s="255"/>
      <c r="E25" s="200"/>
      <c r="F25" s="222"/>
      <c r="G25" s="221"/>
    </row>
    <row r="26" spans="1:7" ht="15" x14ac:dyDescent="0.25">
      <c r="A26" s="254"/>
      <c r="B26" s="123"/>
      <c r="C26" s="255"/>
      <c r="D26" s="255"/>
      <c r="E26" s="200"/>
      <c r="F26" s="222"/>
      <c r="G26" s="221"/>
    </row>
    <row r="27" spans="1:7" ht="15" x14ac:dyDescent="0.25">
      <c r="A27" s="254"/>
      <c r="B27" s="123"/>
      <c r="C27" s="255"/>
      <c r="D27" s="255"/>
      <c r="E27" s="200"/>
      <c r="F27" s="222"/>
      <c r="G27" s="221"/>
    </row>
    <row r="28" spans="1:7" ht="19.5" x14ac:dyDescent="0.35">
      <c r="A28" s="229">
        <v>4</v>
      </c>
      <c r="B28" s="256" t="s">
        <v>396</v>
      </c>
      <c r="C28" s="233">
        <v>-178795256</v>
      </c>
      <c r="D28" s="233">
        <v>-230704829</v>
      </c>
      <c r="E28" s="241">
        <f>AVERAGE(C28:D28)</f>
        <v>-204750042.5</v>
      </c>
      <c r="F28" s="94" t="s">
        <v>548</v>
      </c>
    </row>
    <row r="29" spans="1:7" ht="15" x14ac:dyDescent="0.25">
      <c r="A29" s="221"/>
      <c r="B29" s="221"/>
      <c r="C29" s="221"/>
      <c r="D29" s="221"/>
      <c r="E29" s="221"/>
      <c r="F29" s="94"/>
    </row>
    <row r="30" spans="1:7" ht="19.5" x14ac:dyDescent="0.35">
      <c r="A30" s="225">
        <v>5</v>
      </c>
      <c r="B30" s="228" t="s">
        <v>397</v>
      </c>
      <c r="C30" s="94"/>
      <c r="D30" s="94"/>
      <c r="E30" s="221"/>
      <c r="F30" s="226"/>
    </row>
    <row r="31" spans="1:7" ht="15" x14ac:dyDescent="0.25">
      <c r="A31" s="229"/>
      <c r="B31" s="123"/>
      <c r="C31" s="255"/>
      <c r="D31" s="255"/>
      <c r="E31" s="227"/>
      <c r="F31" s="222"/>
    </row>
    <row r="32" spans="1:7" ht="15" x14ac:dyDescent="0.25">
      <c r="A32" s="229"/>
      <c r="B32" s="124"/>
      <c r="C32" s="255"/>
      <c r="D32" s="255"/>
      <c r="E32" s="200"/>
      <c r="F32" s="222"/>
    </row>
    <row r="33" spans="1:6" ht="15" x14ac:dyDescent="0.25">
      <c r="A33" s="229"/>
      <c r="B33" s="123"/>
      <c r="C33" s="255"/>
      <c r="D33" s="255"/>
      <c r="E33" s="200"/>
      <c r="F33" s="222"/>
    </row>
    <row r="34" spans="1:6" ht="15" x14ac:dyDescent="0.25">
      <c r="A34" s="229"/>
      <c r="B34" s="123"/>
      <c r="C34" s="255"/>
      <c r="D34" s="255"/>
      <c r="E34" s="200"/>
      <c r="F34" s="222"/>
    </row>
    <row r="35" spans="1:6" ht="15" x14ac:dyDescent="0.25">
      <c r="A35" s="229"/>
      <c r="B35" s="123"/>
      <c r="C35" s="255"/>
      <c r="D35" s="255"/>
      <c r="E35" s="200"/>
      <c r="F35" s="222"/>
    </row>
    <row r="36" spans="1:6" ht="19.5" x14ac:dyDescent="0.35">
      <c r="A36" s="229">
        <v>6</v>
      </c>
      <c r="B36" s="256" t="s">
        <v>502</v>
      </c>
      <c r="C36" s="233">
        <v>131135593</v>
      </c>
      <c r="D36" s="233">
        <v>156858041</v>
      </c>
      <c r="E36" s="241">
        <f>AVERAGE(C36:D36)</f>
        <v>143996817</v>
      </c>
      <c r="F36" s="94" t="s">
        <v>512</v>
      </c>
    </row>
    <row r="38" spans="1:6" x14ac:dyDescent="0.2">
      <c r="C38" s="277">
        <f>SUM(C18:C36)</f>
        <v>-334008819</v>
      </c>
      <c r="D38" s="277">
        <f>+D36+D28+D20</f>
        <v>-281365825.5</v>
      </c>
      <c r="E38" s="277">
        <f>+E36+E28+E20</f>
        <v>-307687322.25</v>
      </c>
    </row>
  </sheetData>
  <pageMargins left="0.7" right="0.7" top="0.75" bottom="0.75" header="0.3" footer="0.3"/>
  <pageSetup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29"/>
  <sheetViews>
    <sheetView showGridLines="0" zoomScaleNormal="100" workbookViewId="0">
      <selection activeCell="E33" sqref="E33"/>
    </sheetView>
  </sheetViews>
  <sheetFormatPr defaultRowHeight="12.75" x14ac:dyDescent="0.2"/>
  <cols>
    <col min="1" max="1" width="7.7109375" style="121" bestFit="1" customWidth="1"/>
    <col min="2" max="2" width="51.28515625" style="121" customWidth="1"/>
    <col min="3" max="5" width="18.7109375" style="121" customWidth="1"/>
    <col min="6" max="16384" width="9.140625" style="121"/>
  </cols>
  <sheetData>
    <row r="4" spans="1:7" ht="19.5" x14ac:dyDescent="0.35">
      <c r="C4" s="70" t="s">
        <v>118</v>
      </c>
      <c r="D4" s="3"/>
      <c r="E4" s="3"/>
      <c r="F4" s="3"/>
      <c r="G4" s="3"/>
    </row>
    <row r="5" spans="1:7" ht="15" x14ac:dyDescent="0.25">
      <c r="C5" s="21" t="s">
        <v>402</v>
      </c>
      <c r="D5" s="3"/>
      <c r="E5" s="3"/>
      <c r="F5" s="3"/>
      <c r="G5" s="3"/>
    </row>
    <row r="6" spans="1:7" ht="15" x14ac:dyDescent="0.25">
      <c r="C6" s="264" t="str">
        <f>+'5 Allocation'!B6</f>
        <v>Actual 2017</v>
      </c>
      <c r="D6" s="3"/>
      <c r="E6" s="3"/>
      <c r="F6" s="3"/>
      <c r="G6" s="3"/>
    </row>
    <row r="7" spans="1:7" ht="15" x14ac:dyDescent="0.25">
      <c r="C7" s="264" t="str">
        <f>+'5 Allocation'!B7</f>
        <v>Reg Liab in ADIT</v>
      </c>
      <c r="D7" s="3"/>
      <c r="E7" s="3"/>
      <c r="F7" s="5" t="s">
        <v>119</v>
      </c>
      <c r="G7" s="3"/>
    </row>
    <row r="8" spans="1:7" ht="15" x14ac:dyDescent="0.25">
      <c r="C8" s="3"/>
      <c r="D8" s="3"/>
      <c r="E8" s="3"/>
      <c r="F8" s="5" t="s">
        <v>183</v>
      </c>
      <c r="G8" s="3"/>
    </row>
    <row r="9" spans="1:7" ht="15" x14ac:dyDescent="0.25">
      <c r="C9" s="3"/>
      <c r="D9" s="3"/>
      <c r="E9" s="3"/>
      <c r="F9" s="5" t="s">
        <v>468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398</v>
      </c>
      <c r="D11" s="21" t="s">
        <v>399</v>
      </c>
      <c r="E11" s="21" t="s">
        <v>400</v>
      </c>
      <c r="F11" s="7" t="s">
        <v>99</v>
      </c>
    </row>
    <row r="12" spans="1:7" ht="15" x14ac:dyDescent="0.25">
      <c r="A12" s="28" t="s">
        <v>70</v>
      </c>
      <c r="B12" s="3"/>
      <c r="C12" s="21" t="s">
        <v>378</v>
      </c>
      <c r="D12" s="21" t="s">
        <v>378</v>
      </c>
      <c r="E12" s="21" t="s">
        <v>378</v>
      </c>
      <c r="F12" s="7" t="s">
        <v>4</v>
      </c>
    </row>
    <row r="13" spans="1:7" ht="15" x14ac:dyDescent="0.25">
      <c r="A13" s="28"/>
      <c r="B13" s="3"/>
      <c r="C13" s="3"/>
      <c r="D13" s="3"/>
      <c r="F13" s="32"/>
    </row>
    <row r="14" spans="1:7" ht="19.5" x14ac:dyDescent="0.35">
      <c r="A14" s="28">
        <v>1</v>
      </c>
      <c r="B14" s="125" t="s">
        <v>403</v>
      </c>
      <c r="C14" s="3"/>
      <c r="D14" s="3"/>
      <c r="F14" s="32"/>
    </row>
    <row r="15" spans="1:7" ht="15" x14ac:dyDescent="0.25">
      <c r="A15" s="158">
        <f>1+A14</f>
        <v>2</v>
      </c>
      <c r="B15" s="123" t="s">
        <v>480</v>
      </c>
      <c r="C15" s="261">
        <v>1219286.69</v>
      </c>
      <c r="D15" s="261">
        <v>1266506.51</v>
      </c>
      <c r="E15" s="72">
        <f>AVERAGE(C15:D15)</f>
        <v>1242896.6000000001</v>
      </c>
      <c r="F15" s="121" t="s">
        <v>495</v>
      </c>
    </row>
    <row r="16" spans="1:7" ht="15" x14ac:dyDescent="0.25">
      <c r="A16" s="158">
        <f t="shared" ref="A16:A28" si="0">1+A15</f>
        <v>3</v>
      </c>
      <c r="B16" s="124" t="s">
        <v>481</v>
      </c>
      <c r="C16" s="262">
        <v>-440479.58</v>
      </c>
      <c r="D16" s="262">
        <v>239184.97</v>
      </c>
      <c r="E16" s="72">
        <f t="shared" ref="E16:E27" si="1">AVERAGE(C16:D16)</f>
        <v>-100647.30500000001</v>
      </c>
      <c r="F16" s="121" t="s">
        <v>495</v>
      </c>
    </row>
    <row r="17" spans="1:7" ht="15" x14ac:dyDescent="0.25">
      <c r="A17" s="158">
        <f t="shared" si="0"/>
        <v>4</v>
      </c>
      <c r="B17" s="123" t="s">
        <v>482</v>
      </c>
      <c r="C17" s="262">
        <v>158673.07</v>
      </c>
      <c r="D17" s="262">
        <v>186745</v>
      </c>
      <c r="E17" s="72">
        <f t="shared" si="1"/>
        <v>172709.035</v>
      </c>
      <c r="F17" s="121" t="s">
        <v>495</v>
      </c>
    </row>
    <row r="18" spans="1:7" ht="15" x14ac:dyDescent="0.25">
      <c r="A18" s="158">
        <f t="shared" si="0"/>
        <v>5</v>
      </c>
      <c r="B18" s="123" t="s">
        <v>483</v>
      </c>
      <c r="C18" s="262">
        <v>1046989.19</v>
      </c>
      <c r="D18" s="262">
        <v>980457.09</v>
      </c>
      <c r="E18" s="72">
        <f t="shared" si="1"/>
        <v>1013723.1399999999</v>
      </c>
      <c r="F18" s="121" t="s">
        <v>495</v>
      </c>
    </row>
    <row r="19" spans="1:7" ht="15" x14ac:dyDescent="0.25">
      <c r="A19" s="158">
        <f t="shared" si="0"/>
        <v>6</v>
      </c>
      <c r="B19" s="123" t="s">
        <v>484</v>
      </c>
      <c r="C19" s="262">
        <v>194855.36</v>
      </c>
      <c r="D19" s="262">
        <v>79313.06</v>
      </c>
      <c r="E19" s="72">
        <f t="shared" si="1"/>
        <v>137084.21</v>
      </c>
      <c r="F19" s="121" t="s">
        <v>495</v>
      </c>
    </row>
    <row r="20" spans="1:7" ht="15" x14ac:dyDescent="0.25">
      <c r="A20" s="158">
        <f t="shared" si="0"/>
        <v>7</v>
      </c>
      <c r="B20" s="123" t="s">
        <v>485</v>
      </c>
      <c r="C20" s="262">
        <v>324151.69</v>
      </c>
      <c r="D20" s="262">
        <v>454206.14</v>
      </c>
      <c r="E20" s="72">
        <f t="shared" si="1"/>
        <v>389178.91500000004</v>
      </c>
      <c r="F20" s="121" t="s">
        <v>495</v>
      </c>
    </row>
    <row r="21" spans="1:7" ht="15" x14ac:dyDescent="0.25">
      <c r="A21" s="158">
        <f t="shared" si="0"/>
        <v>8</v>
      </c>
      <c r="B21" s="123" t="s">
        <v>486</v>
      </c>
      <c r="C21" s="262">
        <v>88018.65</v>
      </c>
      <c r="D21" s="262">
        <v>-73020.75</v>
      </c>
      <c r="E21" s="72">
        <f t="shared" si="1"/>
        <v>7498.9499999999971</v>
      </c>
      <c r="F21" s="121" t="s">
        <v>495</v>
      </c>
    </row>
    <row r="22" spans="1:7" ht="15" x14ac:dyDescent="0.25">
      <c r="A22" s="158">
        <f t="shared" si="0"/>
        <v>9</v>
      </c>
      <c r="B22" s="123" t="s">
        <v>487</v>
      </c>
      <c r="C22" s="262">
        <v>5097.07</v>
      </c>
      <c r="D22" s="262">
        <v>-32900.410000000003</v>
      </c>
      <c r="E22" s="72">
        <f t="shared" si="1"/>
        <v>-13901.670000000002</v>
      </c>
      <c r="F22" s="121" t="s">
        <v>495</v>
      </c>
    </row>
    <row r="23" spans="1:7" ht="15" x14ac:dyDescent="0.25">
      <c r="A23" s="158">
        <f t="shared" si="0"/>
        <v>10</v>
      </c>
      <c r="B23" s="123" t="s">
        <v>488</v>
      </c>
      <c r="C23" s="262">
        <v>-28682.27</v>
      </c>
      <c r="D23" s="262">
        <v>-73832.66</v>
      </c>
      <c r="E23" s="72">
        <f t="shared" si="1"/>
        <v>-51257.465000000004</v>
      </c>
      <c r="F23" s="121" t="s">
        <v>495</v>
      </c>
    </row>
    <row r="24" spans="1:7" ht="15" x14ac:dyDescent="0.25">
      <c r="A24" s="158">
        <f t="shared" si="0"/>
        <v>11</v>
      </c>
      <c r="B24" s="123" t="s">
        <v>489</v>
      </c>
      <c r="C24" s="262">
        <v>979073.32</v>
      </c>
      <c r="D24" s="262">
        <v>2301532.92</v>
      </c>
      <c r="E24" s="72">
        <f t="shared" si="1"/>
        <v>1640303.1199999999</v>
      </c>
      <c r="F24" s="121" t="s">
        <v>495</v>
      </c>
    </row>
    <row r="25" spans="1:7" ht="15" x14ac:dyDescent="0.25">
      <c r="A25" s="158">
        <f t="shared" si="0"/>
        <v>12</v>
      </c>
      <c r="B25" s="123" t="s">
        <v>490</v>
      </c>
      <c r="C25" s="262">
        <v>-195141.29</v>
      </c>
      <c r="D25" s="262">
        <v>-417800.37</v>
      </c>
      <c r="E25" s="72">
        <f t="shared" si="1"/>
        <v>-306470.83</v>
      </c>
      <c r="F25" s="121" t="s">
        <v>495</v>
      </c>
    </row>
    <row r="26" spans="1:7" ht="15" x14ac:dyDescent="0.25">
      <c r="A26" s="158">
        <f t="shared" si="0"/>
        <v>13</v>
      </c>
      <c r="B26" s="123" t="s">
        <v>491</v>
      </c>
      <c r="C26" s="262">
        <v>764910.47</v>
      </c>
      <c r="D26" s="262">
        <v>1025835</v>
      </c>
      <c r="E26" s="72">
        <f t="shared" si="1"/>
        <v>895372.73499999999</v>
      </c>
      <c r="F26" s="121" t="s">
        <v>495</v>
      </c>
    </row>
    <row r="27" spans="1:7" ht="15" x14ac:dyDescent="0.25">
      <c r="A27" s="158">
        <f t="shared" si="0"/>
        <v>14</v>
      </c>
      <c r="B27" s="98" t="s">
        <v>492</v>
      </c>
      <c r="C27" s="263">
        <f>-54676361.45+58477002</f>
        <v>3800640.549999997</v>
      </c>
      <c r="D27" s="263">
        <v>3015721</v>
      </c>
      <c r="E27" s="72">
        <f t="shared" si="1"/>
        <v>3408180.7749999985</v>
      </c>
      <c r="F27" s="121" t="s">
        <v>495</v>
      </c>
    </row>
    <row r="28" spans="1:7" ht="15" x14ac:dyDescent="0.25">
      <c r="A28" s="158">
        <f t="shared" si="0"/>
        <v>15</v>
      </c>
      <c r="B28" s="123" t="s">
        <v>404</v>
      </c>
      <c r="C28" s="241">
        <f>SUM(C15:C27)</f>
        <v>7917392.9199999962</v>
      </c>
      <c r="D28" s="241">
        <f>SUM(D15:D27)</f>
        <v>8951947.5</v>
      </c>
      <c r="E28" s="72">
        <f>SUM(E15:E27)</f>
        <v>8434670.209999999</v>
      </c>
      <c r="F28" s="3" t="s">
        <v>494</v>
      </c>
    </row>
    <row r="29" spans="1:7" ht="15" x14ac:dyDescent="0.25">
      <c r="G29" s="28"/>
    </row>
  </sheetData>
  <pageMargins left="0.7" right="0.7" top="0.75" bottom="0.75" header="0.3" footer="0.3"/>
  <pageSetup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topLeftCell="A4" zoomScaleNormal="100" workbookViewId="0">
      <selection activeCell="E33" sqref="E33"/>
    </sheetView>
  </sheetViews>
  <sheetFormatPr defaultRowHeight="12.75" x14ac:dyDescent="0.2"/>
  <cols>
    <col min="1" max="1" width="5.140625" style="121" customWidth="1"/>
    <col min="2" max="2" width="21" style="121" customWidth="1"/>
    <col min="3" max="3" width="25.42578125" style="121" customWidth="1"/>
    <col min="4" max="4" width="23.85546875" style="121" customWidth="1"/>
    <col min="5" max="6" width="21" style="121" customWidth="1"/>
    <col min="7" max="7" width="19.140625" style="121" customWidth="1"/>
    <col min="8" max="8" width="32" style="121" customWidth="1"/>
    <col min="9" max="11" width="9.140625" style="121"/>
    <col min="12" max="12" width="21.7109375" style="121" bestFit="1" customWidth="1"/>
    <col min="13" max="16384" width="9.140625" style="121"/>
  </cols>
  <sheetData>
    <row r="5" spans="1:9" ht="19.5" x14ac:dyDescent="0.35">
      <c r="B5" s="131"/>
      <c r="C5" s="70" t="s">
        <v>118</v>
      </c>
      <c r="D5" s="131"/>
      <c r="E5" s="131"/>
      <c r="F5" s="5" t="s">
        <v>119</v>
      </c>
      <c r="G5" s="131"/>
      <c r="H5" s="131"/>
    </row>
    <row r="6" spans="1:9" ht="16.5" x14ac:dyDescent="0.3">
      <c r="B6" s="131"/>
      <c r="C6" s="175" t="s">
        <v>474</v>
      </c>
      <c r="D6" s="131"/>
      <c r="E6" s="131"/>
      <c r="F6" s="5" t="s">
        <v>183</v>
      </c>
      <c r="G6" s="131"/>
      <c r="H6" s="131"/>
    </row>
    <row r="7" spans="1:9" ht="15.75" x14ac:dyDescent="0.25">
      <c r="B7" s="131"/>
      <c r="C7" s="21" t="str">
        <f>+'5 Allocation'!B6</f>
        <v>Actual 2017</v>
      </c>
      <c r="D7" s="131"/>
      <c r="E7" s="131"/>
      <c r="F7" s="5" t="s">
        <v>467</v>
      </c>
      <c r="G7" s="131"/>
      <c r="H7" s="131"/>
    </row>
    <row r="8" spans="1:9" ht="15.75" x14ac:dyDescent="0.25">
      <c r="B8" s="131"/>
      <c r="C8" s="21" t="str">
        <f>+'5 Allocation'!B7</f>
        <v>Reg Liab in ADIT</v>
      </c>
      <c r="D8" s="131"/>
      <c r="E8" s="131"/>
      <c r="G8" s="131"/>
      <c r="H8" s="131"/>
    </row>
    <row r="9" spans="1:9" ht="15.75" x14ac:dyDescent="0.25">
      <c r="B9" s="131"/>
      <c r="C9" s="131"/>
      <c r="D9" s="131"/>
      <c r="E9" s="131"/>
      <c r="G9" s="131"/>
      <c r="H9" s="131"/>
    </row>
    <row r="10" spans="1:9" ht="15.75" x14ac:dyDescent="0.25">
      <c r="B10" s="131"/>
      <c r="C10" s="131"/>
      <c r="D10" s="131"/>
      <c r="E10" s="131"/>
      <c r="F10" s="5"/>
      <c r="G10" s="131"/>
      <c r="H10" s="131"/>
    </row>
    <row r="11" spans="1:9" ht="15" x14ac:dyDescent="0.25">
      <c r="A11" s="3"/>
      <c r="B11" s="3"/>
      <c r="C11" s="27" t="s">
        <v>23</v>
      </c>
      <c r="D11" s="27" t="s">
        <v>25</v>
      </c>
      <c r="E11" s="27" t="s">
        <v>179</v>
      </c>
      <c r="F11" s="145"/>
      <c r="G11" s="3"/>
      <c r="H11" s="3"/>
      <c r="I11" s="3"/>
    </row>
    <row r="12" spans="1:9" ht="15" x14ac:dyDescent="0.25">
      <c r="A12" s="3"/>
      <c r="B12" s="3"/>
      <c r="C12" s="21" t="s">
        <v>427</v>
      </c>
      <c r="D12" s="21" t="s">
        <v>428</v>
      </c>
      <c r="E12" s="21" t="s">
        <v>429</v>
      </c>
      <c r="F12" s="145"/>
      <c r="G12" s="3"/>
      <c r="H12" s="3"/>
      <c r="I12" s="3"/>
    </row>
    <row r="13" spans="1:9" ht="15" x14ac:dyDescent="0.25">
      <c r="A13" s="3"/>
      <c r="B13" s="3"/>
      <c r="C13" s="21" t="s">
        <v>68</v>
      </c>
      <c r="D13" s="21" t="s">
        <v>68</v>
      </c>
      <c r="E13" s="21" t="s">
        <v>68</v>
      </c>
      <c r="F13" s="145"/>
      <c r="G13" s="3"/>
      <c r="H13" s="3"/>
      <c r="I13" s="3"/>
    </row>
    <row r="14" spans="1:9" ht="15" x14ac:dyDescent="0.25">
      <c r="A14" s="3"/>
      <c r="B14" s="3"/>
      <c r="C14" s="21" t="s">
        <v>430</v>
      </c>
      <c r="D14" s="21" t="s">
        <v>431</v>
      </c>
      <c r="E14" s="21" t="s">
        <v>432</v>
      </c>
      <c r="F14" s="145"/>
      <c r="G14" s="3"/>
      <c r="H14" s="3"/>
      <c r="I14" s="3"/>
    </row>
    <row r="15" spans="1:9" ht="15" x14ac:dyDescent="0.25">
      <c r="A15" s="3"/>
      <c r="B15" s="3"/>
      <c r="C15" s="21" t="s">
        <v>433</v>
      </c>
      <c r="D15" s="21" t="s">
        <v>434</v>
      </c>
      <c r="E15" s="21" t="s">
        <v>435</v>
      </c>
      <c r="F15" s="145"/>
      <c r="G15" s="3"/>
      <c r="H15" s="3"/>
      <c r="I15" s="3"/>
    </row>
    <row r="16" spans="1:9" ht="15" x14ac:dyDescent="0.25">
      <c r="A16" s="3"/>
      <c r="B16" s="3"/>
      <c r="C16" s="3"/>
      <c r="D16" s="21"/>
      <c r="E16" s="21"/>
      <c r="F16" s="145"/>
      <c r="G16" s="3"/>
      <c r="H16" s="3"/>
      <c r="I16" s="3"/>
    </row>
    <row r="17" spans="1:12" ht="15.75" x14ac:dyDescent="0.25">
      <c r="A17" s="21">
        <v>1</v>
      </c>
      <c r="B17" s="249" t="s">
        <v>546</v>
      </c>
      <c r="C17" s="173">
        <f>+'1 ATRR'!E43</f>
        <v>25828503</v>
      </c>
      <c r="D17" s="199">
        <v>771932</v>
      </c>
      <c r="E17" s="161">
        <f t="shared" ref="E17:E28" si="0">ROUND(+C17/D17/12,2)</f>
        <v>2.79</v>
      </c>
      <c r="F17" s="145" t="s">
        <v>438</v>
      </c>
      <c r="G17" s="138"/>
      <c r="H17" s="139"/>
      <c r="I17" s="159"/>
      <c r="J17" s="132"/>
      <c r="K17" s="133"/>
      <c r="L17" s="134"/>
    </row>
    <row r="18" spans="1:12" ht="15.75" x14ac:dyDescent="0.25">
      <c r="A18" s="21">
        <f>1+A17</f>
        <v>2</v>
      </c>
      <c r="B18" s="135" t="s">
        <v>436</v>
      </c>
      <c r="C18" s="160">
        <f>C$17</f>
        <v>25828503</v>
      </c>
      <c r="D18" s="199">
        <v>744658</v>
      </c>
      <c r="E18" s="162">
        <f t="shared" si="0"/>
        <v>2.89</v>
      </c>
      <c r="F18" s="145" t="s">
        <v>438</v>
      </c>
      <c r="G18" s="138"/>
      <c r="H18" s="139"/>
      <c r="I18" s="159"/>
      <c r="J18" s="132"/>
      <c r="K18" s="133"/>
      <c r="L18" s="134"/>
    </row>
    <row r="19" spans="1:12" ht="15.75" x14ac:dyDescent="0.25">
      <c r="A19" s="21">
        <f t="shared" ref="A19:A28" si="1">1+A18</f>
        <v>3</v>
      </c>
      <c r="B19" s="135" t="s">
        <v>364</v>
      </c>
      <c r="C19" s="160">
        <f t="shared" ref="C19:C28" si="2">C$17</f>
        <v>25828503</v>
      </c>
      <c r="D19" s="199">
        <v>728469</v>
      </c>
      <c r="E19" s="162">
        <f t="shared" si="0"/>
        <v>2.95</v>
      </c>
      <c r="F19" s="145" t="s">
        <v>438</v>
      </c>
      <c r="G19" s="138"/>
      <c r="H19" s="139"/>
      <c r="I19" s="159"/>
      <c r="J19" s="132"/>
      <c r="K19" s="133"/>
      <c r="L19" s="134"/>
    </row>
    <row r="20" spans="1:12" ht="15.75" x14ac:dyDescent="0.25">
      <c r="A20" s="21">
        <f t="shared" si="1"/>
        <v>4</v>
      </c>
      <c r="B20" s="135" t="s">
        <v>365</v>
      </c>
      <c r="C20" s="160">
        <f t="shared" si="2"/>
        <v>25828503</v>
      </c>
      <c r="D20" s="199">
        <v>631074</v>
      </c>
      <c r="E20" s="162">
        <f t="shared" si="0"/>
        <v>3.41</v>
      </c>
      <c r="F20" s="145" t="s">
        <v>438</v>
      </c>
      <c r="G20" s="138"/>
      <c r="H20" s="139"/>
      <c r="I20" s="159"/>
      <c r="J20" s="132"/>
      <c r="K20" s="133"/>
      <c r="L20" s="134"/>
    </row>
    <row r="21" spans="1:12" ht="15.75" x14ac:dyDescent="0.25">
      <c r="A21" s="21">
        <f t="shared" si="1"/>
        <v>5</v>
      </c>
      <c r="B21" s="135" t="s">
        <v>437</v>
      </c>
      <c r="C21" s="160">
        <f t="shared" si="2"/>
        <v>25828503</v>
      </c>
      <c r="D21" s="199">
        <v>630369</v>
      </c>
      <c r="E21" s="162">
        <f t="shared" si="0"/>
        <v>3.41</v>
      </c>
      <c r="F21" s="145" t="s">
        <v>438</v>
      </c>
      <c r="G21" s="138"/>
      <c r="H21" s="139"/>
      <c r="I21" s="159"/>
      <c r="J21" s="132"/>
      <c r="K21" s="133"/>
      <c r="L21" s="134"/>
    </row>
    <row r="22" spans="1:12" ht="15.75" x14ac:dyDescent="0.25">
      <c r="A22" s="21">
        <f t="shared" si="1"/>
        <v>6</v>
      </c>
      <c r="B22" s="135" t="s">
        <v>367</v>
      </c>
      <c r="C22" s="160">
        <f t="shared" si="2"/>
        <v>25828503</v>
      </c>
      <c r="D22" s="199">
        <v>692797</v>
      </c>
      <c r="E22" s="162">
        <f t="shared" si="0"/>
        <v>3.11</v>
      </c>
      <c r="F22" s="145" t="s">
        <v>438</v>
      </c>
      <c r="G22" s="138"/>
      <c r="H22" s="139"/>
      <c r="I22" s="159"/>
      <c r="J22" s="132"/>
      <c r="K22" s="133"/>
      <c r="L22" s="134"/>
    </row>
    <row r="23" spans="1:12" ht="15.75" x14ac:dyDescent="0.25">
      <c r="A23" s="21">
        <f t="shared" si="1"/>
        <v>7</v>
      </c>
      <c r="B23" s="135" t="s">
        <v>368</v>
      </c>
      <c r="C23" s="160">
        <f t="shared" si="2"/>
        <v>25828503</v>
      </c>
      <c r="D23" s="199">
        <v>703787</v>
      </c>
      <c r="E23" s="162">
        <f t="shared" si="0"/>
        <v>3.06</v>
      </c>
      <c r="F23" s="145" t="s">
        <v>438</v>
      </c>
      <c r="G23" s="138"/>
      <c r="H23" s="139"/>
      <c r="I23" s="159"/>
      <c r="J23" s="132"/>
      <c r="K23" s="133"/>
      <c r="L23" s="134"/>
    </row>
    <row r="24" spans="1:12" ht="15.75" x14ac:dyDescent="0.25">
      <c r="A24" s="21">
        <f t="shared" si="1"/>
        <v>8</v>
      </c>
      <c r="B24" s="135" t="s">
        <v>369</v>
      </c>
      <c r="C24" s="160">
        <f t="shared" si="2"/>
        <v>25828503</v>
      </c>
      <c r="D24" s="199">
        <v>720836</v>
      </c>
      <c r="E24" s="162">
        <f t="shared" si="0"/>
        <v>2.99</v>
      </c>
      <c r="F24" s="145" t="s">
        <v>438</v>
      </c>
      <c r="G24" s="138"/>
      <c r="H24" s="139"/>
      <c r="I24" s="159"/>
      <c r="J24" s="132"/>
      <c r="K24" s="133"/>
      <c r="L24" s="134"/>
    </row>
    <row r="25" spans="1:12" ht="15.75" x14ac:dyDescent="0.25">
      <c r="A25" s="21">
        <f t="shared" si="1"/>
        <v>9</v>
      </c>
      <c r="B25" s="135" t="s">
        <v>370</v>
      </c>
      <c r="C25" s="160">
        <f t="shared" si="2"/>
        <v>25828503</v>
      </c>
      <c r="D25" s="199">
        <v>741619</v>
      </c>
      <c r="E25" s="162">
        <f t="shared" si="0"/>
        <v>2.9</v>
      </c>
      <c r="F25" s="145" t="s">
        <v>438</v>
      </c>
      <c r="G25" s="138"/>
      <c r="H25" s="140"/>
      <c r="I25" s="159"/>
      <c r="J25" s="132"/>
      <c r="K25" s="133"/>
      <c r="L25" s="134"/>
    </row>
    <row r="26" spans="1:12" ht="15.75" x14ac:dyDescent="0.25">
      <c r="A26" s="21">
        <f t="shared" si="1"/>
        <v>10</v>
      </c>
      <c r="B26" s="135" t="s">
        <v>371</v>
      </c>
      <c r="C26" s="160">
        <f t="shared" si="2"/>
        <v>25828503</v>
      </c>
      <c r="D26" s="199">
        <v>641603</v>
      </c>
      <c r="E26" s="162">
        <f t="shared" si="0"/>
        <v>3.35</v>
      </c>
      <c r="F26" s="145" t="s">
        <v>438</v>
      </c>
      <c r="G26" s="138"/>
      <c r="H26" s="139"/>
      <c r="I26" s="159"/>
      <c r="J26" s="132"/>
      <c r="K26" s="133"/>
      <c r="L26" s="134"/>
    </row>
    <row r="27" spans="1:12" ht="15.75" x14ac:dyDescent="0.25">
      <c r="A27" s="21">
        <f t="shared" si="1"/>
        <v>11</v>
      </c>
      <c r="B27" s="135" t="s">
        <v>372</v>
      </c>
      <c r="C27" s="160">
        <f t="shared" si="2"/>
        <v>25828503</v>
      </c>
      <c r="D27" s="199">
        <v>713532</v>
      </c>
      <c r="E27" s="162">
        <f t="shared" si="0"/>
        <v>3.02</v>
      </c>
      <c r="F27" s="145" t="s">
        <v>438</v>
      </c>
      <c r="G27" s="138"/>
      <c r="H27" s="139"/>
      <c r="I27" s="159"/>
      <c r="J27" s="132"/>
      <c r="K27" s="133"/>
      <c r="L27" s="134"/>
    </row>
    <row r="28" spans="1:12" ht="15.75" x14ac:dyDescent="0.25">
      <c r="A28" s="21">
        <f t="shared" si="1"/>
        <v>12</v>
      </c>
      <c r="B28" s="135" t="s">
        <v>374</v>
      </c>
      <c r="C28" s="160">
        <f t="shared" si="2"/>
        <v>25828503</v>
      </c>
      <c r="D28" s="199">
        <v>839610</v>
      </c>
      <c r="E28" s="162">
        <f t="shared" si="0"/>
        <v>2.56</v>
      </c>
      <c r="F28" s="145" t="s">
        <v>438</v>
      </c>
      <c r="G28" s="138"/>
      <c r="H28" s="139"/>
      <c r="I28" s="159"/>
      <c r="J28" s="132"/>
      <c r="K28" s="133"/>
      <c r="L28" s="134"/>
    </row>
    <row r="29" spans="1:12" ht="15.75" x14ac:dyDescent="0.25">
      <c r="A29" s="21"/>
      <c r="B29" s="3"/>
      <c r="C29" s="3"/>
      <c r="D29" s="253">
        <f>SUM(D17:D28)/12</f>
        <v>713357.16666666663</v>
      </c>
      <c r="E29" s="3"/>
      <c r="F29" s="145"/>
      <c r="G29" s="138"/>
      <c r="H29" s="139"/>
      <c r="I29" s="159"/>
      <c r="J29" s="132"/>
      <c r="K29" s="133"/>
      <c r="L29" s="134"/>
    </row>
    <row r="30" spans="1:12" ht="15.75" x14ac:dyDescent="0.25">
      <c r="A30" s="21">
        <f>1+A28</f>
        <v>13</v>
      </c>
      <c r="B30" s="3" t="s">
        <v>509</v>
      </c>
      <c r="C30" s="3"/>
      <c r="D30" s="3"/>
      <c r="E30" s="3"/>
      <c r="F30" s="145"/>
      <c r="G30" s="138"/>
      <c r="H30" s="139"/>
      <c r="I30" s="159"/>
      <c r="J30" s="132"/>
      <c r="K30" s="133"/>
      <c r="L30" s="133"/>
    </row>
    <row r="31" spans="1:12" ht="15.75" x14ac:dyDescent="0.25">
      <c r="A31" s="21">
        <f>1+A30</f>
        <v>14</v>
      </c>
      <c r="B31" s="25" t="s">
        <v>552</v>
      </c>
      <c r="C31" s="25"/>
      <c r="D31" s="25"/>
      <c r="E31" s="3"/>
      <c r="F31" s="145"/>
      <c r="G31" s="138"/>
      <c r="H31" s="139"/>
      <c r="I31" s="159"/>
      <c r="J31" s="132"/>
      <c r="K31" s="133"/>
      <c r="L31" s="133"/>
    </row>
    <row r="32" spans="1:12" ht="15.75" x14ac:dyDescent="0.25">
      <c r="A32" s="3"/>
      <c r="B32" s="3"/>
      <c r="C32" s="3"/>
      <c r="D32" s="3"/>
      <c r="E32" s="3"/>
      <c r="F32" s="145"/>
      <c r="G32" s="138"/>
      <c r="H32" s="139"/>
      <c r="I32" s="159"/>
      <c r="J32" s="132"/>
      <c r="K32" s="133"/>
      <c r="L32" s="133"/>
    </row>
    <row r="33" spans="1:12" ht="15.75" x14ac:dyDescent="0.25">
      <c r="A33" s="3"/>
      <c r="B33" s="3"/>
      <c r="C33" s="3"/>
      <c r="D33" s="3"/>
      <c r="E33" s="3"/>
      <c r="F33" s="145"/>
      <c r="G33" s="138"/>
      <c r="H33" s="139"/>
      <c r="I33" s="159"/>
      <c r="J33" s="132"/>
      <c r="K33" s="133"/>
      <c r="L33" s="133"/>
    </row>
    <row r="34" spans="1:12" ht="15.75" x14ac:dyDescent="0.25">
      <c r="A34" s="3">
        <v>15</v>
      </c>
      <c r="B34" s="12" t="s">
        <v>446</v>
      </c>
      <c r="C34" s="3"/>
      <c r="D34" s="3"/>
      <c r="E34" s="3"/>
      <c r="F34" s="145"/>
      <c r="G34" s="138"/>
      <c r="H34" s="139"/>
      <c r="I34" s="159"/>
      <c r="J34" s="132"/>
      <c r="K34" s="133"/>
      <c r="L34" s="133"/>
    </row>
    <row r="35" spans="1:12" ht="15.75" x14ac:dyDescent="0.25">
      <c r="A35" s="3"/>
      <c r="B35" s="3"/>
      <c r="C35" s="3"/>
      <c r="D35" s="3"/>
      <c r="E35" s="3"/>
      <c r="F35" s="145"/>
      <c r="G35" s="138"/>
      <c r="H35" s="139"/>
      <c r="I35" s="159"/>
      <c r="J35" s="132"/>
      <c r="K35" s="133"/>
      <c r="L35" s="133"/>
    </row>
    <row r="36" spans="1:12" ht="15.75" x14ac:dyDescent="0.25">
      <c r="A36" s="3">
        <f>1+A34</f>
        <v>16</v>
      </c>
      <c r="B36" s="3" t="s">
        <v>443</v>
      </c>
      <c r="C36" s="3"/>
      <c r="D36" s="3"/>
      <c r="E36" s="265">
        <v>233810</v>
      </c>
      <c r="F36" s="3" t="s">
        <v>496</v>
      </c>
      <c r="G36" s="138"/>
      <c r="H36" s="139"/>
      <c r="I36" s="159"/>
      <c r="J36" s="132"/>
      <c r="K36" s="133"/>
      <c r="L36" s="133"/>
    </row>
    <row r="37" spans="1:12" ht="15.75" x14ac:dyDescent="0.25">
      <c r="A37" s="3">
        <f>1+A36</f>
        <v>17</v>
      </c>
      <c r="B37" s="3" t="s">
        <v>444</v>
      </c>
      <c r="C37" s="3"/>
      <c r="D37" s="3"/>
      <c r="E37" s="266">
        <v>0</v>
      </c>
      <c r="F37" s="3" t="s">
        <v>497</v>
      </c>
      <c r="G37" s="138"/>
      <c r="H37" s="139"/>
      <c r="I37" s="159"/>
      <c r="J37" s="132"/>
      <c r="K37" s="133"/>
      <c r="L37" s="133"/>
    </row>
    <row r="38" spans="1:12" ht="15.75" x14ac:dyDescent="0.25">
      <c r="A38" s="3">
        <f>1+A37</f>
        <v>18</v>
      </c>
      <c r="B38" s="3" t="s">
        <v>445</v>
      </c>
      <c r="C38" s="3"/>
      <c r="D38" s="3"/>
      <c r="E38" s="266">
        <v>0</v>
      </c>
      <c r="F38" s="3" t="s">
        <v>498</v>
      </c>
      <c r="G38" s="138"/>
      <c r="H38" s="139"/>
      <c r="I38" s="159"/>
      <c r="J38" s="132"/>
      <c r="K38" s="133"/>
      <c r="L38" s="133"/>
    </row>
    <row r="39" spans="1:12" ht="15.75" x14ac:dyDescent="0.25">
      <c r="A39" s="3">
        <f>1+A38</f>
        <v>19</v>
      </c>
      <c r="B39" s="3" t="s">
        <v>473</v>
      </c>
      <c r="C39" s="3"/>
      <c r="D39" s="3"/>
      <c r="E39" s="267">
        <v>3213726</v>
      </c>
      <c r="F39" s="3" t="s">
        <v>499</v>
      </c>
      <c r="G39" s="138"/>
      <c r="H39" s="139"/>
      <c r="I39" s="159"/>
      <c r="J39" s="132"/>
      <c r="K39" s="133"/>
      <c r="L39" s="133"/>
    </row>
    <row r="40" spans="1:12" ht="15.75" x14ac:dyDescent="0.25">
      <c r="A40" s="3"/>
      <c r="B40" s="3"/>
      <c r="C40" s="3"/>
      <c r="D40" s="3"/>
      <c r="E40" s="146"/>
      <c r="F40" s="145"/>
      <c r="G40" s="138"/>
      <c r="H40" s="139"/>
      <c r="I40" s="159"/>
      <c r="J40" s="132"/>
      <c r="K40" s="133"/>
      <c r="L40" s="133"/>
    </row>
    <row r="41" spans="1:12" ht="15.75" x14ac:dyDescent="0.25">
      <c r="A41" s="3">
        <f>1+A39</f>
        <v>20</v>
      </c>
      <c r="B41" s="3" t="s">
        <v>448</v>
      </c>
      <c r="C41" s="3"/>
      <c r="D41" s="3"/>
      <c r="E41" s="147">
        <f>SUM(E36:E39)</f>
        <v>3447536</v>
      </c>
      <c r="F41" s="145"/>
      <c r="G41" s="138"/>
      <c r="H41" s="139"/>
      <c r="I41" s="159"/>
      <c r="J41" s="132"/>
      <c r="K41" s="133"/>
      <c r="L41" s="133"/>
    </row>
    <row r="42" spans="1:12" ht="15.75" x14ac:dyDescent="0.25">
      <c r="A42" s="3"/>
      <c r="B42" s="3"/>
      <c r="C42" s="3"/>
      <c r="D42" s="3"/>
      <c r="E42" s="146"/>
      <c r="F42" s="260"/>
      <c r="G42" s="138"/>
      <c r="H42" s="139"/>
      <c r="I42" s="159"/>
      <c r="J42" s="132"/>
      <c r="K42" s="133"/>
      <c r="L42" s="133"/>
    </row>
    <row r="43" spans="1:12" ht="15.75" x14ac:dyDescent="0.25">
      <c r="A43" s="3">
        <f>1+A41</f>
        <v>21</v>
      </c>
      <c r="B43" s="3" t="s">
        <v>441</v>
      </c>
      <c r="C43" s="3"/>
      <c r="D43" s="3"/>
      <c r="E43" s="279">
        <f>+D29</f>
        <v>713357.16666666663</v>
      </c>
      <c r="F43" s="145" t="s">
        <v>495</v>
      </c>
      <c r="G43" s="138"/>
      <c r="H43" s="139"/>
      <c r="I43" s="159"/>
      <c r="J43" s="132"/>
      <c r="K43" s="133"/>
      <c r="L43" s="133"/>
    </row>
    <row r="44" spans="1:12" ht="15.75" x14ac:dyDescent="0.25">
      <c r="A44" s="3">
        <f>1+A43</f>
        <v>22</v>
      </c>
      <c r="B44" s="3" t="s">
        <v>442</v>
      </c>
      <c r="C44" s="3"/>
      <c r="D44" s="3"/>
      <c r="E44" s="231">
        <v>10000</v>
      </c>
      <c r="F44" s="145" t="s">
        <v>551</v>
      </c>
      <c r="G44" s="138"/>
      <c r="H44" s="139"/>
      <c r="I44" s="159"/>
      <c r="J44" s="132"/>
      <c r="K44" s="133"/>
      <c r="L44" s="133"/>
    </row>
    <row r="45" spans="1:12" ht="15.75" x14ac:dyDescent="0.25">
      <c r="A45" s="3"/>
      <c r="B45" s="3"/>
      <c r="C45" s="3"/>
      <c r="D45" s="3"/>
      <c r="E45" s="21"/>
      <c r="F45" s="145"/>
      <c r="G45" s="138"/>
      <c r="H45" s="139"/>
      <c r="I45" s="159"/>
      <c r="J45" s="132"/>
      <c r="K45" s="133"/>
      <c r="L45" s="133"/>
    </row>
    <row r="46" spans="1:12" ht="15.75" x14ac:dyDescent="0.25">
      <c r="A46" s="3">
        <f>1+A44</f>
        <v>23</v>
      </c>
      <c r="B46" s="3" t="s">
        <v>449</v>
      </c>
      <c r="C46" s="3"/>
      <c r="D46" s="3"/>
      <c r="E46" s="146">
        <f>+E43+E44</f>
        <v>723357.16666666663</v>
      </c>
      <c r="F46" s="145"/>
      <c r="G46" s="138"/>
      <c r="H46" s="139"/>
      <c r="I46" s="159"/>
      <c r="J46" s="132"/>
      <c r="K46" s="133"/>
      <c r="L46" s="133"/>
    </row>
    <row r="47" spans="1:12" ht="15.75" x14ac:dyDescent="0.25">
      <c r="A47" s="3"/>
      <c r="B47" s="3"/>
      <c r="C47" s="3"/>
      <c r="D47" s="3"/>
      <c r="E47" s="21"/>
      <c r="F47" s="145"/>
      <c r="G47" s="138"/>
      <c r="H47" s="139"/>
      <c r="I47" s="159"/>
      <c r="J47" s="132"/>
      <c r="K47" s="133"/>
      <c r="L47" s="133"/>
    </row>
    <row r="48" spans="1:12" ht="15.75" x14ac:dyDescent="0.25">
      <c r="A48" s="3">
        <f>1+A46</f>
        <v>24</v>
      </c>
      <c r="B48" s="3" t="s">
        <v>447</v>
      </c>
      <c r="C48" s="3"/>
      <c r="D48" s="3"/>
      <c r="E48" s="174">
        <f>ROUND(+E41/E46/12,7)</f>
        <v>0.39716849999999998</v>
      </c>
      <c r="F48" s="145" t="s">
        <v>542</v>
      </c>
      <c r="G48" s="138"/>
      <c r="H48" s="139"/>
      <c r="I48" s="159"/>
      <c r="J48" s="132"/>
      <c r="K48" s="133"/>
      <c r="L48" s="133"/>
    </row>
    <row r="49" spans="1:12" ht="15.75" x14ac:dyDescent="0.25">
      <c r="A49" s="3"/>
      <c r="B49" s="3"/>
      <c r="C49" s="3"/>
      <c r="D49" s="3"/>
      <c r="E49" s="3"/>
      <c r="F49" s="145"/>
      <c r="G49" s="138"/>
      <c r="H49" s="139"/>
      <c r="I49" s="159"/>
      <c r="J49" s="132"/>
      <c r="K49" s="133"/>
      <c r="L49" s="133"/>
    </row>
    <row r="50" spans="1:12" ht="15" x14ac:dyDescent="0.25">
      <c r="A50" s="3"/>
      <c r="B50" s="3"/>
      <c r="C50" s="60"/>
      <c r="D50" s="3"/>
      <c r="E50" s="247"/>
      <c r="F50" s="141"/>
      <c r="G50" s="3"/>
      <c r="H50" s="3"/>
      <c r="I50" s="3"/>
    </row>
    <row r="51" spans="1:12" ht="15" x14ac:dyDescent="0.25">
      <c r="A51" s="21">
        <v>25</v>
      </c>
      <c r="B51" s="12" t="s">
        <v>439</v>
      </c>
      <c r="C51" s="60"/>
      <c r="D51" s="3"/>
      <c r="E51" s="247"/>
      <c r="F51" s="141"/>
      <c r="G51" s="3"/>
      <c r="H51" s="3"/>
      <c r="I51" s="3"/>
    </row>
    <row r="52" spans="1:12" ht="15" x14ac:dyDescent="0.25">
      <c r="A52" s="21">
        <v>26</v>
      </c>
      <c r="B52" s="142" t="s">
        <v>510</v>
      </c>
      <c r="C52" s="142"/>
      <c r="D52" s="142"/>
      <c r="E52" s="60"/>
      <c r="F52" s="141"/>
      <c r="G52" s="60"/>
      <c r="H52" s="136"/>
      <c r="I52" s="3"/>
    </row>
    <row r="53" spans="1:12" ht="15" x14ac:dyDescent="0.25">
      <c r="A53" s="21"/>
      <c r="B53" s="3"/>
      <c r="C53" s="3"/>
      <c r="D53" s="3"/>
      <c r="E53" s="60"/>
      <c r="F53" s="141"/>
      <c r="G53" s="60"/>
      <c r="H53" s="136"/>
      <c r="I53" s="3"/>
    </row>
    <row r="54" spans="1:12" ht="15" x14ac:dyDescent="0.25">
      <c r="A54" s="21">
        <v>27</v>
      </c>
      <c r="B54" s="3" t="s">
        <v>538</v>
      </c>
      <c r="C54" s="60"/>
      <c r="D54" s="3"/>
      <c r="E54" s="3"/>
      <c r="F54" s="143">
        <f>+'1 ATRR'!E43</f>
        <v>25828503</v>
      </c>
      <c r="G54" s="141" t="s">
        <v>168</v>
      </c>
      <c r="H54" s="137"/>
      <c r="I54" s="3"/>
    </row>
    <row r="55" spans="1:12" ht="15" x14ac:dyDescent="0.25">
      <c r="A55" s="21"/>
      <c r="B55" s="3"/>
      <c r="C55" s="60"/>
      <c r="D55" s="3"/>
      <c r="E55" s="3"/>
      <c r="F55" s="60"/>
      <c r="G55" s="141"/>
      <c r="H55" s="137"/>
      <c r="I55" s="3"/>
    </row>
    <row r="56" spans="1:12" ht="15" x14ac:dyDescent="0.25">
      <c r="A56" s="21">
        <f>1+A54</f>
        <v>28</v>
      </c>
      <c r="B56" s="3" t="s">
        <v>539</v>
      </c>
      <c r="C56" s="60"/>
      <c r="D56" s="3"/>
      <c r="E56" s="3"/>
      <c r="F56" s="240">
        <f>MAX(D17:D28)</f>
        <v>839610</v>
      </c>
      <c r="G56" s="141" t="s">
        <v>478</v>
      </c>
      <c r="H56" s="137"/>
      <c r="I56" s="3"/>
    </row>
    <row r="57" spans="1:12" ht="15" x14ac:dyDescent="0.25">
      <c r="A57" s="21"/>
      <c r="B57" s="3"/>
      <c r="C57" s="3"/>
      <c r="D57" s="3"/>
      <c r="E57" s="3"/>
      <c r="F57" s="60"/>
      <c r="G57" s="141"/>
      <c r="H57" s="137"/>
      <c r="I57" s="3"/>
    </row>
    <row r="58" spans="1:12" ht="15" x14ac:dyDescent="0.25">
      <c r="A58" s="21">
        <f>1+A56</f>
        <v>29</v>
      </c>
      <c r="B58" s="3" t="s">
        <v>412</v>
      </c>
      <c r="C58" s="3"/>
      <c r="D58" s="136"/>
      <c r="E58" s="3"/>
      <c r="F58" s="3"/>
      <c r="G58" s="3"/>
      <c r="H58" s="3"/>
      <c r="I58" s="3"/>
    </row>
    <row r="59" spans="1:12" ht="15" x14ac:dyDescent="0.25">
      <c r="A59" s="21"/>
      <c r="B59" s="3"/>
      <c r="C59" s="3"/>
      <c r="D59" s="136"/>
      <c r="E59" s="3"/>
      <c r="F59" s="136"/>
      <c r="G59" s="60"/>
      <c r="H59" s="3"/>
      <c r="I59" s="3"/>
    </row>
    <row r="60" spans="1:12" ht="15" x14ac:dyDescent="0.25">
      <c r="A60" s="21">
        <f>1+A58</f>
        <v>30</v>
      </c>
      <c r="B60" s="3"/>
      <c r="C60" s="3" t="s">
        <v>413</v>
      </c>
      <c r="D60" s="136"/>
      <c r="E60" s="3"/>
      <c r="F60" s="136">
        <f>F54/F56/12</f>
        <v>2.5635417038863282</v>
      </c>
      <c r="G60" s="60" t="s">
        <v>414</v>
      </c>
      <c r="H60" s="3" t="s">
        <v>450</v>
      </c>
      <c r="I60" s="3"/>
    </row>
    <row r="61" spans="1:12" ht="15" x14ac:dyDescent="0.25">
      <c r="A61" s="21"/>
      <c r="B61" s="3"/>
      <c r="C61" s="3"/>
      <c r="D61" s="136"/>
      <c r="E61" s="3"/>
      <c r="F61" s="136"/>
      <c r="G61" s="60"/>
      <c r="H61" s="3"/>
      <c r="I61" s="3"/>
    </row>
    <row r="62" spans="1:12" ht="15" x14ac:dyDescent="0.25">
      <c r="A62" s="21">
        <f>1+A60</f>
        <v>31</v>
      </c>
      <c r="B62" s="3"/>
      <c r="C62" s="3" t="s">
        <v>415</v>
      </c>
      <c r="D62" s="136"/>
      <c r="E62" s="3"/>
      <c r="F62" s="137">
        <f>F60</f>
        <v>2.5635417038863282</v>
      </c>
      <c r="G62" s="60" t="s">
        <v>414</v>
      </c>
      <c r="H62" s="3" t="s">
        <v>450</v>
      </c>
      <c r="I62" s="3"/>
    </row>
    <row r="63" spans="1:12" ht="15" x14ac:dyDescent="0.25">
      <c r="A63" s="21"/>
      <c r="B63" s="3"/>
      <c r="C63" s="3"/>
      <c r="D63" s="136"/>
      <c r="E63" s="3"/>
      <c r="F63" s="136"/>
      <c r="G63" s="60"/>
      <c r="H63" s="3"/>
      <c r="I63" s="3"/>
    </row>
    <row r="64" spans="1:12" ht="15" x14ac:dyDescent="0.25">
      <c r="A64" s="21">
        <f>1+A62</f>
        <v>32</v>
      </c>
      <c r="B64" s="3"/>
      <c r="C64" s="3" t="s">
        <v>416</v>
      </c>
      <c r="D64" s="136"/>
      <c r="E64" s="3"/>
      <c r="F64" s="144">
        <f>F54/F56/52</f>
        <v>0.59158654705069114</v>
      </c>
      <c r="G64" s="60" t="s">
        <v>417</v>
      </c>
      <c r="H64" s="3" t="s">
        <v>451</v>
      </c>
      <c r="I64" s="3"/>
    </row>
    <row r="65" spans="1:9" ht="15" x14ac:dyDescent="0.25">
      <c r="A65" s="21"/>
      <c r="B65" s="3"/>
      <c r="C65" s="3"/>
      <c r="D65" s="136"/>
      <c r="E65" s="3"/>
      <c r="F65" s="144"/>
      <c r="G65" s="60"/>
      <c r="H65" s="3"/>
      <c r="I65" s="3"/>
    </row>
    <row r="66" spans="1:9" ht="15" x14ac:dyDescent="0.25">
      <c r="A66" s="21">
        <f>1+A64</f>
        <v>33</v>
      </c>
      <c r="B66" s="3"/>
      <c r="C66" s="3" t="s">
        <v>418</v>
      </c>
      <c r="D66" s="136"/>
      <c r="E66" s="3"/>
      <c r="F66" s="144">
        <f>F54/F56/260</f>
        <v>0.11831730941013821</v>
      </c>
      <c r="G66" s="60" t="s">
        <v>419</v>
      </c>
      <c r="H66" s="3" t="s">
        <v>452</v>
      </c>
      <c r="I66" s="3"/>
    </row>
    <row r="67" spans="1:9" ht="15" x14ac:dyDescent="0.25">
      <c r="A67" s="21">
        <f>1+A66</f>
        <v>34</v>
      </c>
      <c r="B67" s="3"/>
      <c r="C67" s="3" t="s">
        <v>420</v>
      </c>
      <c r="D67" s="136"/>
      <c r="E67" s="3"/>
      <c r="F67" s="144">
        <f>F54/F56/365</f>
        <v>8.4280823141468314E-2</v>
      </c>
      <c r="G67" s="60" t="s">
        <v>419</v>
      </c>
      <c r="H67" s="3" t="s">
        <v>453</v>
      </c>
      <c r="I67" s="3"/>
    </row>
    <row r="68" spans="1:9" ht="15" x14ac:dyDescent="0.25">
      <c r="A68" s="3"/>
      <c r="B68" s="3"/>
      <c r="C68" s="3"/>
      <c r="D68" s="136"/>
      <c r="E68" s="3"/>
      <c r="F68" s="136"/>
      <c r="G68" s="60"/>
      <c r="H68" s="3"/>
      <c r="I68" s="3"/>
    </row>
    <row r="69" spans="1:9" ht="15" x14ac:dyDescent="0.25">
      <c r="A69" s="21"/>
      <c r="B69" s="3"/>
      <c r="C69" s="3"/>
      <c r="D69" s="136"/>
      <c r="E69" s="3"/>
      <c r="F69" s="136"/>
      <c r="G69" s="60"/>
      <c r="H69" s="3"/>
      <c r="I69" s="3"/>
    </row>
    <row r="70" spans="1:9" ht="15" x14ac:dyDescent="0.25">
      <c r="A70" s="21">
        <f>1+A67</f>
        <v>35</v>
      </c>
      <c r="B70" s="12" t="s">
        <v>440</v>
      </c>
      <c r="C70" s="3"/>
      <c r="D70" s="3"/>
      <c r="E70" s="3"/>
      <c r="F70" s="141"/>
      <c r="G70" s="3"/>
      <c r="H70" s="3"/>
      <c r="I70" s="3"/>
    </row>
    <row r="71" spans="1:9" ht="15" x14ac:dyDescent="0.25">
      <c r="A71" s="21">
        <f>1+A70</f>
        <v>36</v>
      </c>
      <c r="B71" s="142" t="str">
        <f>+B52</f>
        <v>Rates effective June 1, 2017</v>
      </c>
      <c r="C71" s="142"/>
      <c r="D71" s="142"/>
      <c r="E71" s="3"/>
      <c r="F71" s="3"/>
      <c r="G71" s="3"/>
      <c r="H71" s="3"/>
      <c r="I71" s="3"/>
    </row>
    <row r="72" spans="1:9" ht="15" x14ac:dyDescent="0.25">
      <c r="A72" s="3"/>
      <c r="B72" s="3"/>
      <c r="C72" s="3"/>
      <c r="D72" s="136"/>
      <c r="E72" s="3"/>
      <c r="F72" s="136"/>
      <c r="G72" s="60"/>
      <c r="H72" s="3"/>
      <c r="I72" s="3"/>
    </row>
    <row r="73" spans="1:9" ht="15" x14ac:dyDescent="0.25">
      <c r="A73" s="21">
        <f>1+A71</f>
        <v>37</v>
      </c>
      <c r="B73" s="3"/>
      <c r="C73" s="3" t="s">
        <v>421</v>
      </c>
      <c r="D73" s="136"/>
      <c r="E73" s="3"/>
      <c r="F73" s="136">
        <f>F54/F56/12</f>
        <v>2.5635417038863282</v>
      </c>
      <c r="G73" s="60" t="s">
        <v>414</v>
      </c>
      <c r="H73" s="3" t="s">
        <v>450</v>
      </c>
      <c r="I73" s="3"/>
    </row>
    <row r="74" spans="1:9" ht="15" x14ac:dyDescent="0.25">
      <c r="A74" s="21"/>
      <c r="B74" s="3"/>
      <c r="C74" s="3"/>
      <c r="D74" s="136"/>
      <c r="E74" s="3"/>
      <c r="F74" s="136"/>
      <c r="G74" s="60"/>
      <c r="H74" s="3"/>
      <c r="I74" s="3"/>
    </row>
    <row r="75" spans="1:9" ht="15" x14ac:dyDescent="0.25">
      <c r="A75" s="21">
        <f>1+A73</f>
        <v>38</v>
      </c>
      <c r="B75" s="3"/>
      <c r="C75" s="3" t="s">
        <v>422</v>
      </c>
      <c r="D75" s="136"/>
      <c r="E75" s="3"/>
      <c r="F75" s="144">
        <f>F54/F56/52</f>
        <v>0.59158654705069114</v>
      </c>
      <c r="G75" s="60" t="s">
        <v>417</v>
      </c>
      <c r="H75" s="3" t="s">
        <v>451</v>
      </c>
      <c r="I75" s="3"/>
    </row>
    <row r="76" spans="1:9" ht="15" x14ac:dyDescent="0.25">
      <c r="A76" s="21"/>
      <c r="B76" s="3"/>
      <c r="C76" s="3"/>
      <c r="D76" s="136"/>
      <c r="E76" s="3"/>
      <c r="F76" s="144"/>
      <c r="G76" s="60"/>
      <c r="H76" s="3"/>
      <c r="I76" s="3"/>
    </row>
    <row r="77" spans="1:9" ht="15" x14ac:dyDescent="0.25">
      <c r="A77" s="21">
        <f>1+A75</f>
        <v>39</v>
      </c>
      <c r="B77" s="3"/>
      <c r="C77" s="3" t="s">
        <v>423</v>
      </c>
      <c r="D77" s="136"/>
      <c r="E77" s="3"/>
      <c r="F77" s="144">
        <f>F54/F56/260</f>
        <v>0.11831730941013821</v>
      </c>
      <c r="G77" s="60" t="s">
        <v>419</v>
      </c>
      <c r="H77" s="3" t="s">
        <v>452</v>
      </c>
      <c r="I77" s="3"/>
    </row>
    <row r="78" spans="1:9" ht="15" x14ac:dyDescent="0.25">
      <c r="A78" s="21">
        <f>1+A77</f>
        <v>40</v>
      </c>
      <c r="B78" s="3"/>
      <c r="C78" s="3" t="s">
        <v>420</v>
      </c>
      <c r="D78" s="136"/>
      <c r="E78" s="3"/>
      <c r="F78" s="144">
        <f>F54/F56/365</f>
        <v>8.4280823141468314E-2</v>
      </c>
      <c r="G78" s="60" t="s">
        <v>419</v>
      </c>
      <c r="H78" s="3" t="s">
        <v>453</v>
      </c>
      <c r="I78" s="3"/>
    </row>
    <row r="79" spans="1:9" ht="15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ht="15" x14ac:dyDescent="0.25">
      <c r="A80" s="21">
        <f>1+A78</f>
        <v>41</v>
      </c>
      <c r="B80" s="3"/>
      <c r="C80" s="3" t="s">
        <v>424</v>
      </c>
      <c r="D80" s="136"/>
      <c r="E80" s="3"/>
      <c r="F80" s="144">
        <f>F54/F56/4160</f>
        <v>7.3948318381336382E-3</v>
      </c>
      <c r="G80" s="60" t="s">
        <v>425</v>
      </c>
      <c r="H80" s="3" t="s">
        <v>454</v>
      </c>
      <c r="I80" s="3"/>
    </row>
    <row r="81" spans="1:9" ht="15" x14ac:dyDescent="0.25">
      <c r="A81" s="21">
        <f>1+A80</f>
        <v>42</v>
      </c>
      <c r="B81" s="3"/>
      <c r="C81" s="3" t="s">
        <v>426</v>
      </c>
      <c r="D81" s="136"/>
      <c r="E81" s="3"/>
      <c r="F81" s="144">
        <f>F54/F56/8760</f>
        <v>3.5117009642278464E-3</v>
      </c>
      <c r="G81" s="60" t="s">
        <v>425</v>
      </c>
      <c r="H81" s="3" t="s">
        <v>455</v>
      </c>
      <c r="I81" s="3"/>
    </row>
    <row r="82" spans="1:9" ht="15" x14ac:dyDescent="0.25">
      <c r="A82" s="21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158"/>
    </row>
    <row r="84" spans="1:9" x14ac:dyDescent="0.2">
      <c r="A84" s="158"/>
    </row>
    <row r="85" spans="1:9" x14ac:dyDescent="0.2">
      <c r="A85" s="158"/>
    </row>
  </sheetData>
  <pageMargins left="0.7" right="0.7" top="0.75" bottom="0.75" header="0.3" footer="0.3"/>
  <pageSetup scale="5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topLeftCell="B1" zoomScaleNormal="100" workbookViewId="0">
      <selection activeCell="E33" sqref="E33"/>
    </sheetView>
  </sheetViews>
  <sheetFormatPr defaultColWidth="7.85546875" defaultRowHeight="15" x14ac:dyDescent="0.25"/>
  <cols>
    <col min="1" max="1" width="4" style="3" bestFit="1" customWidth="1"/>
    <col min="2" max="2" width="7.140625" style="3" customWidth="1"/>
    <col min="3" max="3" width="41.5703125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3.5703125" style="3" bestFit="1" customWidth="1"/>
    <col min="12" max="12" width="2.7109375" style="3" customWidth="1"/>
    <col min="13" max="13" width="4.140625" style="3" customWidth="1"/>
    <col min="14" max="14" width="17" style="3" customWidth="1"/>
    <col min="15" max="15" width="4.140625" style="3" customWidth="1"/>
    <col min="16" max="16" width="11" style="3" customWidth="1"/>
    <col min="17" max="17" width="1.85546875" style="3" customWidth="1"/>
    <col min="18" max="18" width="14.28515625" style="3" customWidth="1"/>
    <col min="19" max="19" width="1.85546875" style="3" customWidth="1"/>
    <col min="20" max="20" width="10.28515625" style="3" customWidth="1"/>
    <col min="21" max="16384" width="7.85546875" style="3"/>
  </cols>
  <sheetData>
    <row r="1" spans="1:20" x14ac:dyDescent="0.25">
      <c r="A1" s="2"/>
    </row>
    <row r="2" spans="1:20" x14ac:dyDescent="0.25">
      <c r="F2" s="71"/>
      <c r="G2" s="71"/>
      <c r="H2" s="71"/>
      <c r="I2" s="71"/>
      <c r="J2" s="71"/>
      <c r="K2" s="71"/>
      <c r="L2" s="71"/>
      <c r="T2" s="5"/>
    </row>
    <row r="3" spans="1:20" x14ac:dyDescent="0.25">
      <c r="F3" s="21"/>
      <c r="G3" s="21"/>
      <c r="H3" s="21"/>
      <c r="I3" s="21"/>
      <c r="J3" s="21"/>
      <c r="K3" s="21"/>
      <c r="L3" s="21"/>
      <c r="T3" s="5"/>
    </row>
    <row r="4" spans="1:20" x14ac:dyDescent="0.25">
      <c r="F4" s="21"/>
      <c r="G4" s="21"/>
      <c r="H4" s="21"/>
      <c r="I4" s="21"/>
      <c r="J4" s="21"/>
      <c r="K4" s="21"/>
      <c r="L4" s="21"/>
    </row>
    <row r="5" spans="1:20" ht="19.5" x14ac:dyDescent="0.35">
      <c r="E5" s="70" t="s">
        <v>118</v>
      </c>
      <c r="T5" s="5" t="s">
        <v>119</v>
      </c>
    </row>
    <row r="6" spans="1:20" x14ac:dyDescent="0.25">
      <c r="D6" s="69"/>
      <c r="E6" s="71" t="str">
        <f>+'5 Allocation'!B6</f>
        <v>Actual 2017</v>
      </c>
      <c r="F6" s="69"/>
      <c r="G6" s="5"/>
      <c r="T6" s="5" t="s">
        <v>183</v>
      </c>
    </row>
    <row r="7" spans="1:20" x14ac:dyDescent="0.25">
      <c r="E7" s="71" t="str">
        <f>+'5 Allocation'!B7</f>
        <v>Reg Liab in ADIT</v>
      </c>
      <c r="T7" s="5" t="s">
        <v>459</v>
      </c>
    </row>
    <row r="9" spans="1:20" x14ac:dyDescent="0.25">
      <c r="N9" s="3" t="s">
        <v>146</v>
      </c>
    </row>
    <row r="10" spans="1:20" x14ac:dyDescent="0.25">
      <c r="A10" s="3">
        <v>1</v>
      </c>
      <c r="D10" s="13"/>
      <c r="E10" s="21" t="s">
        <v>34</v>
      </c>
      <c r="F10" s="21"/>
      <c r="G10" s="21"/>
      <c r="H10" s="21"/>
      <c r="I10" s="21"/>
      <c r="J10" s="21"/>
      <c r="K10" s="21"/>
      <c r="L10" s="21"/>
      <c r="N10" s="21" t="s">
        <v>34</v>
      </c>
      <c r="P10" s="21" t="s">
        <v>35</v>
      </c>
      <c r="R10" s="21" t="s">
        <v>35</v>
      </c>
      <c r="T10" s="21" t="s">
        <v>36</v>
      </c>
    </row>
    <row r="11" spans="1:20" x14ac:dyDescent="0.25">
      <c r="A11" s="3">
        <f>1+A10</f>
        <v>2</v>
      </c>
      <c r="E11" s="120">
        <v>2017</v>
      </c>
      <c r="F11" s="24"/>
      <c r="G11" s="24"/>
      <c r="H11" s="24"/>
      <c r="I11" s="24"/>
      <c r="J11" s="24"/>
      <c r="K11" s="24"/>
      <c r="L11" s="24"/>
      <c r="N11" s="37" t="s">
        <v>37</v>
      </c>
      <c r="P11" s="37" t="s">
        <v>38</v>
      </c>
      <c r="R11" s="37" t="s">
        <v>38</v>
      </c>
      <c r="T11" s="37" t="s">
        <v>39</v>
      </c>
    </row>
    <row r="13" spans="1:20" x14ac:dyDescent="0.25">
      <c r="A13" s="3">
        <v>3</v>
      </c>
      <c r="B13" s="34" t="s">
        <v>40</v>
      </c>
      <c r="D13" s="5" t="s">
        <v>41</v>
      </c>
      <c r="E13" s="155">
        <f>+K58</f>
        <v>666037546</v>
      </c>
      <c r="M13" s="21"/>
      <c r="N13" s="38">
        <f>ROUND(E13/$E$17,4)</f>
        <v>0.51039999999999996</v>
      </c>
      <c r="O13" s="38"/>
      <c r="P13" s="153">
        <f>+K71/K64</f>
        <v>5.4506312813508664E-2</v>
      </c>
      <c r="Q13" s="38"/>
      <c r="R13" s="38">
        <f>ROUND(N13*P13,4)</f>
        <v>2.7799999999999998E-2</v>
      </c>
      <c r="S13" s="38"/>
      <c r="T13" s="38"/>
    </row>
    <row r="14" spans="1:20" x14ac:dyDescent="0.25">
      <c r="A14" s="3">
        <f>1+A13</f>
        <v>4</v>
      </c>
      <c r="B14" s="34" t="s">
        <v>42</v>
      </c>
      <c r="E14" s="155">
        <f>+K79</f>
        <v>0</v>
      </c>
      <c r="M14" s="21"/>
      <c r="N14" s="38">
        <f>ROUND(E14/$E$17,4)</f>
        <v>0</v>
      </c>
      <c r="O14" s="38"/>
      <c r="P14" s="153">
        <f>IF(K79=0,0,+K80/K79)</f>
        <v>0</v>
      </c>
      <c r="Q14" s="38"/>
      <c r="R14" s="38">
        <f>ROUND(N14*P14,4)</f>
        <v>0</v>
      </c>
      <c r="S14" s="38"/>
      <c r="T14" s="38">
        <f>R14</f>
        <v>0</v>
      </c>
    </row>
    <row r="15" spans="1:20" x14ac:dyDescent="0.25">
      <c r="A15" s="3">
        <f>1+A14</f>
        <v>5</v>
      </c>
      <c r="B15" s="34" t="s">
        <v>43</v>
      </c>
      <c r="E15" s="156">
        <f>+K86</f>
        <v>638771312</v>
      </c>
      <c r="M15" s="21"/>
      <c r="N15" s="39">
        <f>ROUND(E15/$E$17,4)</f>
        <v>0.48959999999999998</v>
      </c>
      <c r="O15" s="38"/>
      <c r="P15" s="154">
        <f>+I90</f>
        <v>0.1057</v>
      </c>
      <c r="Q15" s="38"/>
      <c r="R15" s="39">
        <f>ROUND(N15*P15,4)</f>
        <v>5.1799999999999999E-2</v>
      </c>
      <c r="S15" s="38"/>
      <c r="T15" s="39">
        <f>R15</f>
        <v>5.1799999999999999E-2</v>
      </c>
    </row>
    <row r="16" spans="1:20" x14ac:dyDescent="0.25">
      <c r="E16" s="21"/>
      <c r="N16" s="38"/>
      <c r="O16" s="38"/>
      <c r="P16" s="38"/>
      <c r="Q16" s="38"/>
      <c r="R16" s="38"/>
      <c r="S16" s="38"/>
      <c r="T16" s="38"/>
    </row>
    <row r="17" spans="1:20" ht="15.75" thickBot="1" x14ac:dyDescent="0.3">
      <c r="A17" s="3">
        <v>6</v>
      </c>
      <c r="B17" s="34" t="s">
        <v>44</v>
      </c>
      <c r="D17" s="5" t="s">
        <v>41</v>
      </c>
      <c r="E17" s="40">
        <f>SUM(E13:E15)</f>
        <v>1304808858</v>
      </c>
      <c r="F17" s="41"/>
      <c r="G17" s="41"/>
      <c r="H17" s="41"/>
      <c r="I17" s="41"/>
      <c r="J17" s="41"/>
      <c r="K17" s="41"/>
      <c r="L17" s="41"/>
      <c r="N17" s="42">
        <f>SUM(N13:N15)</f>
        <v>1</v>
      </c>
      <c r="O17" s="38"/>
      <c r="P17" s="38"/>
      <c r="Q17" s="38"/>
      <c r="R17" s="42">
        <f>SUM(R13:R15)</f>
        <v>7.9600000000000004E-2</v>
      </c>
      <c r="S17" s="38"/>
      <c r="T17" s="42">
        <f>SUM(T13:T15)</f>
        <v>5.1799999999999999E-2</v>
      </c>
    </row>
    <row r="18" spans="1:20" ht="15.75" thickTop="1" x14ac:dyDescent="0.25">
      <c r="N18" s="38"/>
      <c r="O18" s="38"/>
      <c r="P18" s="38"/>
      <c r="Q18" s="38"/>
      <c r="R18" s="38"/>
      <c r="S18" s="38"/>
      <c r="T18" s="38"/>
    </row>
    <row r="19" spans="1:20" x14ac:dyDescent="0.25">
      <c r="A19" s="3">
        <v>7</v>
      </c>
      <c r="B19" s="3" t="s">
        <v>45</v>
      </c>
    </row>
    <row r="21" spans="1:20" ht="15.75" thickBot="1" x14ac:dyDescent="0.3">
      <c r="A21" s="3">
        <v>8</v>
      </c>
      <c r="B21" s="35" t="s">
        <v>46</v>
      </c>
      <c r="D21" s="35"/>
      <c r="E21" s="43">
        <f>+R17</f>
        <v>7.9600000000000004E-2</v>
      </c>
      <c r="F21" s="44"/>
      <c r="G21" s="44"/>
      <c r="H21" s="44"/>
      <c r="I21" s="44"/>
      <c r="J21" s="44"/>
      <c r="K21" s="44"/>
      <c r="L21" s="44"/>
    </row>
    <row r="22" spans="1:20" ht="15.75" thickTop="1" x14ac:dyDescent="0.25">
      <c r="B22" s="35"/>
      <c r="D22" s="35"/>
      <c r="E22" s="44"/>
      <c r="F22" s="44"/>
      <c r="G22" s="44"/>
      <c r="H22" s="44"/>
      <c r="I22" s="44"/>
      <c r="J22" s="44"/>
      <c r="K22" s="44"/>
      <c r="L22" s="44"/>
    </row>
    <row r="23" spans="1:20" x14ac:dyDescent="0.25">
      <c r="A23" s="3">
        <v>9</v>
      </c>
      <c r="G23" s="21" t="s">
        <v>205</v>
      </c>
      <c r="I23" s="45"/>
    </row>
    <row r="24" spans="1:20" x14ac:dyDescent="0.25">
      <c r="A24" s="3">
        <f>1+A23</f>
        <v>10</v>
      </c>
      <c r="B24" s="35" t="s">
        <v>47</v>
      </c>
      <c r="D24" s="35" t="s">
        <v>48</v>
      </c>
      <c r="E24" s="46" t="s">
        <v>105</v>
      </c>
      <c r="F24" s="29" t="s">
        <v>49</v>
      </c>
      <c r="G24" s="47" t="s">
        <v>206</v>
      </c>
      <c r="H24" s="48"/>
      <c r="I24" s="48"/>
      <c r="J24" s="49" t="s">
        <v>208</v>
      </c>
      <c r="K24" s="50" t="s">
        <v>207</v>
      </c>
      <c r="L24" s="50"/>
      <c r="M24" s="46" t="s">
        <v>51</v>
      </c>
      <c r="N24" s="51" t="s">
        <v>52</v>
      </c>
      <c r="O24" s="51"/>
      <c r="P24" s="51"/>
      <c r="Q24" s="35" t="s">
        <v>53</v>
      </c>
    </row>
    <row r="25" spans="1:20" x14ac:dyDescent="0.25">
      <c r="A25" s="3">
        <f>1+A24</f>
        <v>11</v>
      </c>
      <c r="D25" s="52" t="s">
        <v>49</v>
      </c>
      <c r="E25" s="21"/>
      <c r="F25" s="21"/>
      <c r="G25" s="21"/>
      <c r="H25" s="21"/>
      <c r="I25" s="21"/>
      <c r="J25" s="21"/>
      <c r="K25" s="21"/>
      <c r="L25" s="21"/>
      <c r="M25" s="27" t="s">
        <v>54</v>
      </c>
      <c r="N25" s="53" t="s">
        <v>52</v>
      </c>
      <c r="O25" s="4"/>
      <c r="P25" s="4"/>
      <c r="Q25" s="35" t="s">
        <v>53</v>
      </c>
    </row>
    <row r="27" spans="1:20" x14ac:dyDescent="0.25">
      <c r="A27" s="3">
        <v>12</v>
      </c>
      <c r="D27" s="35" t="s">
        <v>48</v>
      </c>
      <c r="E27" s="86">
        <f>+T17</f>
        <v>5.1799999999999999E-2</v>
      </c>
      <c r="F27" s="54" t="s">
        <v>55</v>
      </c>
      <c r="G27" s="50">
        <f>+'4 Expense'!F21</f>
        <v>15344</v>
      </c>
      <c r="H27" s="48"/>
      <c r="I27" s="165"/>
      <c r="J27" s="48" t="s">
        <v>147</v>
      </c>
      <c r="K27" s="50">
        <f>+'1 ATRR'!E26</f>
        <v>96175989.5</v>
      </c>
      <c r="L27" s="49" t="s">
        <v>53</v>
      </c>
      <c r="M27" s="46" t="s">
        <v>51</v>
      </c>
      <c r="N27" s="120">
        <v>0.32360699999999998</v>
      </c>
      <c r="O27" s="92"/>
      <c r="P27" s="93"/>
      <c r="Q27" s="35" t="s">
        <v>53</v>
      </c>
    </row>
    <row r="28" spans="1:20" x14ac:dyDescent="0.25">
      <c r="A28" s="3">
        <f>1+A27</f>
        <v>13</v>
      </c>
      <c r="D28" s="52" t="s">
        <v>49</v>
      </c>
      <c r="E28" s="21">
        <v>1</v>
      </c>
      <c r="F28" s="21"/>
      <c r="G28" s="21"/>
      <c r="H28" s="21"/>
      <c r="I28" s="21"/>
      <c r="J28" s="21"/>
      <c r="K28" s="21"/>
      <c r="L28" s="21"/>
      <c r="M28" s="21" t="s">
        <v>54</v>
      </c>
      <c r="N28" s="5">
        <f>+N27</f>
        <v>0.32360699999999998</v>
      </c>
      <c r="O28" s="5"/>
      <c r="P28" s="5"/>
      <c r="Q28" s="35" t="s">
        <v>53</v>
      </c>
    </row>
    <row r="30" spans="1:20" ht="15.75" thickBot="1" x14ac:dyDescent="0.3">
      <c r="A30" s="3">
        <v>14</v>
      </c>
      <c r="D30" s="35" t="s">
        <v>0</v>
      </c>
      <c r="E30" s="55">
        <f>ROUND(((+E27+((G27)/K27))*N27)/(E28-N28),7)</f>
        <v>2.4858999999999999E-2</v>
      </c>
      <c r="F30" s="56"/>
      <c r="G30" s="56"/>
      <c r="H30" s="56"/>
      <c r="I30" s="56"/>
      <c r="J30" s="56"/>
      <c r="K30" s="56"/>
      <c r="L30" s="56"/>
    </row>
    <row r="31" spans="1:20" ht="15.75" thickTop="1" x14ac:dyDescent="0.25"/>
    <row r="32" spans="1:20" x14ac:dyDescent="0.25">
      <c r="A32" s="3">
        <v>15</v>
      </c>
      <c r="E32" s="24"/>
      <c r="G32" s="21" t="s">
        <v>205</v>
      </c>
      <c r="I32" s="45"/>
    </row>
    <row r="33" spans="1:20" x14ac:dyDescent="0.25">
      <c r="A33" s="3">
        <f>1+A32</f>
        <v>16</v>
      </c>
      <c r="B33" s="35" t="s">
        <v>56</v>
      </c>
      <c r="D33" s="35" t="s">
        <v>48</v>
      </c>
      <c r="E33" s="46" t="s">
        <v>105</v>
      </c>
      <c r="F33" s="29" t="s">
        <v>49</v>
      </c>
      <c r="G33" s="47" t="s">
        <v>206</v>
      </c>
      <c r="H33" s="48"/>
      <c r="I33" s="48"/>
      <c r="J33" s="49" t="s">
        <v>208</v>
      </c>
      <c r="K33" s="50" t="s">
        <v>207</v>
      </c>
      <c r="L33" s="10"/>
      <c r="M33" s="29" t="s">
        <v>50</v>
      </c>
      <c r="N33" s="51" t="s">
        <v>57</v>
      </c>
      <c r="O33" s="51"/>
      <c r="P33" s="51"/>
      <c r="Q33" s="57" t="s">
        <v>58</v>
      </c>
      <c r="R33" s="10" t="s">
        <v>59</v>
      </c>
      <c r="S33" s="10"/>
      <c r="T33" s="10"/>
    </row>
    <row r="34" spans="1:20" x14ac:dyDescent="0.25">
      <c r="A34" s="3">
        <f>1+A33</f>
        <v>17</v>
      </c>
      <c r="D34" s="52"/>
      <c r="E34" s="21">
        <v>1</v>
      </c>
      <c r="F34" s="21"/>
      <c r="G34" s="21"/>
      <c r="H34" s="21"/>
      <c r="I34" s="21"/>
      <c r="J34" s="21"/>
      <c r="K34" s="21"/>
      <c r="L34" s="21"/>
      <c r="M34" s="27" t="s">
        <v>54</v>
      </c>
      <c r="N34" s="53" t="s">
        <v>59</v>
      </c>
      <c r="O34" s="4"/>
      <c r="P34" s="4"/>
      <c r="Q34" s="58" t="s">
        <v>53</v>
      </c>
    </row>
    <row r="36" spans="1:20" x14ac:dyDescent="0.25">
      <c r="A36" s="3">
        <v>18</v>
      </c>
      <c r="D36" s="35" t="s">
        <v>48</v>
      </c>
      <c r="E36" s="86">
        <f>+T17</f>
        <v>5.1799999999999999E-2</v>
      </c>
      <c r="F36" s="54" t="s">
        <v>55</v>
      </c>
      <c r="G36" s="50">
        <f>+G27</f>
        <v>15344</v>
      </c>
      <c r="H36" s="48"/>
      <c r="I36" s="166"/>
      <c r="J36" s="49" t="s">
        <v>148</v>
      </c>
      <c r="K36" s="50">
        <f>+K27</f>
        <v>96175989.5</v>
      </c>
      <c r="L36" s="49" t="s">
        <v>53</v>
      </c>
      <c r="M36" s="29" t="s">
        <v>50</v>
      </c>
      <c r="N36" s="87">
        <f>+E30</f>
        <v>2.4858999999999999E-2</v>
      </c>
      <c r="O36" s="51"/>
      <c r="P36" s="51"/>
      <c r="Q36" s="57" t="s">
        <v>58</v>
      </c>
      <c r="R36" s="120">
        <v>8.5000000000000006E-2</v>
      </c>
      <c r="S36" s="167"/>
      <c r="T36" s="167"/>
    </row>
    <row r="37" spans="1:20" x14ac:dyDescent="0.25">
      <c r="A37" s="3">
        <f>1+A36</f>
        <v>19</v>
      </c>
      <c r="D37" s="52" t="s">
        <v>49</v>
      </c>
      <c r="E37" s="21">
        <v>1</v>
      </c>
      <c r="F37" s="21"/>
      <c r="G37" s="21"/>
      <c r="H37" s="21"/>
      <c r="I37" s="21"/>
      <c r="J37" s="21"/>
      <c r="K37" s="21"/>
      <c r="L37" s="21"/>
      <c r="M37" s="21" t="s">
        <v>54</v>
      </c>
      <c r="N37" s="5">
        <f>+R36</f>
        <v>8.5000000000000006E-2</v>
      </c>
      <c r="O37" s="5"/>
      <c r="P37" s="5"/>
      <c r="Q37" s="35" t="s">
        <v>53</v>
      </c>
    </row>
    <row r="39" spans="1:20" ht="15.75" thickBot="1" x14ac:dyDescent="0.3">
      <c r="A39" s="3">
        <v>20</v>
      </c>
      <c r="D39" s="35" t="s">
        <v>0</v>
      </c>
      <c r="E39" s="55">
        <f>ROUND((((+E36+((G36)/K36))+N36)*R36)/(E37-N37),7)</f>
        <v>7.1361000000000003E-3</v>
      </c>
      <c r="F39" s="56"/>
      <c r="G39" s="56"/>
      <c r="H39" s="56"/>
      <c r="I39" s="56"/>
      <c r="J39" s="56"/>
      <c r="K39" s="56"/>
      <c r="L39" s="56"/>
    </row>
    <row r="40" spans="1:20" ht="15.75" thickTop="1" x14ac:dyDescent="0.25">
      <c r="B40" s="35"/>
      <c r="D40" s="35"/>
      <c r="E40" s="59"/>
      <c r="F40" s="59"/>
      <c r="G40" s="59"/>
      <c r="H40" s="59"/>
      <c r="I40" s="59"/>
      <c r="J40" s="59"/>
      <c r="K40" s="59"/>
      <c r="L40" s="59"/>
    </row>
    <row r="42" spans="1:20" ht="15.75" thickBot="1" x14ac:dyDescent="0.3">
      <c r="A42" s="3">
        <v>21</v>
      </c>
      <c r="B42" s="35" t="s">
        <v>117</v>
      </c>
      <c r="D42" s="35" t="s">
        <v>0</v>
      </c>
      <c r="E42" s="55">
        <f>+E21+E30+E39</f>
        <v>0.1115951</v>
      </c>
      <c r="F42" s="56"/>
      <c r="G42" s="56"/>
      <c r="H42" s="56"/>
      <c r="I42" s="56"/>
      <c r="J42" s="56"/>
      <c r="K42" s="56"/>
      <c r="L42" s="56"/>
    </row>
    <row r="43" spans="1:20" ht="15.75" thickTop="1" x14ac:dyDescent="0.25">
      <c r="B43" s="35"/>
      <c r="D43" s="35"/>
      <c r="E43" s="59"/>
      <c r="F43" s="59"/>
      <c r="G43" s="59"/>
      <c r="H43" s="59"/>
      <c r="I43" s="59"/>
      <c r="J43" s="59"/>
      <c r="K43" s="59"/>
      <c r="L43" s="59"/>
    </row>
    <row r="44" spans="1:20" x14ac:dyDescent="0.25">
      <c r="M44" s="7"/>
      <c r="N44" s="7"/>
    </row>
    <row r="45" spans="1:20" x14ac:dyDescent="0.25">
      <c r="A45" s="3">
        <v>22</v>
      </c>
      <c r="B45" s="34" t="s">
        <v>7</v>
      </c>
      <c r="D45" s="5" t="s">
        <v>41</v>
      </c>
      <c r="E45" s="60">
        <f>+'1 ATRR'!E26</f>
        <v>96175989.5</v>
      </c>
      <c r="F45" s="60"/>
      <c r="G45" s="34" t="s">
        <v>340</v>
      </c>
      <c r="H45" s="60"/>
      <c r="I45" s="60"/>
      <c r="J45" s="60"/>
      <c r="K45" s="60"/>
      <c r="L45" s="60"/>
      <c r="M45" s="11"/>
      <c r="N45" s="41"/>
    </row>
    <row r="46" spans="1:20" x14ac:dyDescent="0.25">
      <c r="M46" s="7"/>
      <c r="N46" s="7"/>
    </row>
    <row r="47" spans="1:20" x14ac:dyDescent="0.25">
      <c r="A47" s="3">
        <v>23</v>
      </c>
      <c r="B47" s="35" t="s">
        <v>60</v>
      </c>
      <c r="E47" s="61">
        <f>+E42</f>
        <v>0.1115951</v>
      </c>
      <c r="F47" s="61"/>
      <c r="H47" s="61"/>
      <c r="I47" s="61"/>
      <c r="J47" s="61"/>
      <c r="K47" s="61"/>
      <c r="L47" s="61"/>
      <c r="M47" s="7"/>
      <c r="N47" s="56"/>
    </row>
    <row r="48" spans="1:20" x14ac:dyDescent="0.25">
      <c r="M48" s="7"/>
      <c r="N48" s="7"/>
    </row>
    <row r="49" spans="1:14" ht="15.75" thickBot="1" x14ac:dyDescent="0.3">
      <c r="A49" s="3">
        <v>24</v>
      </c>
      <c r="B49" s="35" t="s">
        <v>61</v>
      </c>
      <c r="E49" s="36">
        <f>ROUND(+E45*E47,0)</f>
        <v>10732769</v>
      </c>
      <c r="F49" s="62"/>
      <c r="G49" s="34" t="s">
        <v>341</v>
      </c>
      <c r="H49" s="62"/>
      <c r="I49" s="62"/>
      <c r="J49" s="62"/>
      <c r="K49" s="62"/>
      <c r="L49" s="62"/>
      <c r="M49" s="7"/>
      <c r="N49" s="62"/>
    </row>
    <row r="50" spans="1:14" ht="15.75" thickTop="1" x14ac:dyDescent="0.25"/>
    <row r="51" spans="1:14" x14ac:dyDescent="0.25">
      <c r="A51" s="3">
        <v>25</v>
      </c>
      <c r="B51" s="100"/>
      <c r="C51" s="101" t="s">
        <v>277</v>
      </c>
      <c r="D51" s="102"/>
      <c r="E51" s="102"/>
      <c r="F51" s="102"/>
      <c r="G51" s="103"/>
      <c r="I51" s="7"/>
      <c r="K51" s="105" t="s">
        <v>5</v>
      </c>
      <c r="L51" s="104" t="s">
        <v>4</v>
      </c>
      <c r="M51" s="10"/>
      <c r="N51" s="10"/>
    </row>
    <row r="52" spans="1:14" x14ac:dyDescent="0.25">
      <c r="B52" s="100"/>
      <c r="C52" s="103"/>
      <c r="D52" s="103"/>
      <c r="E52" s="103"/>
      <c r="F52" s="103"/>
      <c r="G52" s="103"/>
      <c r="I52" s="111"/>
      <c r="K52" s="103"/>
      <c r="L52" s="103"/>
    </row>
    <row r="53" spans="1:14" x14ac:dyDescent="0.25">
      <c r="A53" s="3">
        <v>26</v>
      </c>
      <c r="B53" s="100"/>
      <c r="C53" s="100" t="s">
        <v>278</v>
      </c>
      <c r="D53" s="100"/>
      <c r="E53" s="100"/>
      <c r="F53" s="100"/>
      <c r="G53" s="103"/>
      <c r="I53" s="106"/>
      <c r="K53" s="107"/>
      <c r="L53" s="103"/>
    </row>
    <row r="54" spans="1:14" x14ac:dyDescent="0.25">
      <c r="A54" s="3">
        <f t="shared" ref="A54:A75" si="0">1+A53</f>
        <v>27</v>
      </c>
      <c r="B54" s="100"/>
      <c r="C54" s="103"/>
      <c r="D54" s="103" t="s">
        <v>279</v>
      </c>
      <c r="E54" s="103"/>
      <c r="F54" s="103"/>
      <c r="G54" s="103"/>
      <c r="I54" s="106"/>
      <c r="K54" s="234">
        <f>AVERAGE(629665046,702410046)</f>
        <v>666037546</v>
      </c>
      <c r="L54" s="103" t="s">
        <v>280</v>
      </c>
    </row>
    <row r="55" spans="1:14" x14ac:dyDescent="0.25">
      <c r="A55" s="3">
        <f t="shared" si="0"/>
        <v>28</v>
      </c>
      <c r="B55" s="100"/>
      <c r="C55" s="103"/>
      <c r="D55" s="103"/>
      <c r="E55" s="103" t="s">
        <v>281</v>
      </c>
      <c r="F55" s="103"/>
      <c r="G55" s="103"/>
      <c r="I55" s="106"/>
      <c r="K55" s="234">
        <v>0</v>
      </c>
      <c r="L55" s="103" t="s">
        <v>282</v>
      </c>
    </row>
    <row r="56" spans="1:14" x14ac:dyDescent="0.25">
      <c r="A56" s="3">
        <f t="shared" si="0"/>
        <v>29</v>
      </c>
      <c r="B56" s="100"/>
      <c r="C56" s="103"/>
      <c r="D56" s="103" t="s">
        <v>283</v>
      </c>
      <c r="E56" s="109"/>
      <c r="F56" s="109"/>
      <c r="G56" s="103"/>
      <c r="I56" s="106"/>
      <c r="K56" s="234">
        <v>0</v>
      </c>
      <c r="L56" s="103" t="s">
        <v>284</v>
      </c>
    </row>
    <row r="57" spans="1:14" x14ac:dyDescent="0.25">
      <c r="A57" s="3">
        <f t="shared" si="0"/>
        <v>30</v>
      </c>
      <c r="B57" s="100"/>
      <c r="C57" s="103"/>
      <c r="D57" s="103" t="s">
        <v>285</v>
      </c>
      <c r="E57" s="103"/>
      <c r="F57" s="103"/>
      <c r="G57" s="103"/>
      <c r="I57" s="106"/>
      <c r="K57" s="234">
        <v>0</v>
      </c>
      <c r="L57" s="103" t="s">
        <v>286</v>
      </c>
    </row>
    <row r="58" spans="1:14" x14ac:dyDescent="0.25">
      <c r="A58" s="3">
        <f t="shared" si="0"/>
        <v>31</v>
      </c>
      <c r="B58" s="100"/>
      <c r="C58" s="103"/>
      <c r="D58" s="110" t="s">
        <v>287</v>
      </c>
      <c r="E58" s="103"/>
      <c r="F58" s="103"/>
      <c r="G58" s="103"/>
      <c r="I58" s="106"/>
      <c r="K58" s="276">
        <f>SUM(K54:K57)</f>
        <v>666037546</v>
      </c>
      <c r="L58" s="103" t="s">
        <v>343</v>
      </c>
    </row>
    <row r="59" spans="1:14" x14ac:dyDescent="0.25">
      <c r="A59" s="3">
        <f t="shared" si="0"/>
        <v>32</v>
      </c>
      <c r="B59" s="100"/>
      <c r="C59" s="103"/>
      <c r="D59" s="103"/>
      <c r="E59" s="103" t="s">
        <v>288</v>
      </c>
      <c r="F59" s="103"/>
      <c r="G59" s="103"/>
      <c r="I59" s="106"/>
      <c r="K59" s="234">
        <v>0</v>
      </c>
      <c r="L59" s="103" t="s">
        <v>289</v>
      </c>
    </row>
    <row r="60" spans="1:14" x14ac:dyDescent="0.25">
      <c r="A60" s="3">
        <f t="shared" si="0"/>
        <v>33</v>
      </c>
      <c r="B60" s="100"/>
      <c r="C60" s="103"/>
      <c r="D60" s="103"/>
      <c r="E60" s="103" t="s">
        <v>290</v>
      </c>
      <c r="F60" s="103"/>
      <c r="G60" s="103"/>
      <c r="I60" s="106"/>
      <c r="K60" s="234">
        <f>-AVERAGE(4881428,4792014)</f>
        <v>-4836721</v>
      </c>
      <c r="L60" s="103" t="s">
        <v>291</v>
      </c>
    </row>
    <row r="61" spans="1:14" x14ac:dyDescent="0.25">
      <c r="A61" s="3">
        <f t="shared" si="0"/>
        <v>34</v>
      </c>
      <c r="B61" s="100"/>
      <c r="C61" s="103"/>
      <c r="D61" s="103"/>
      <c r="E61" s="103" t="s">
        <v>292</v>
      </c>
      <c r="F61" s="103"/>
      <c r="G61" s="103"/>
      <c r="I61" s="106"/>
      <c r="K61" s="234">
        <v>0</v>
      </c>
      <c r="L61" s="103" t="s">
        <v>293</v>
      </c>
    </row>
    <row r="62" spans="1:14" x14ac:dyDescent="0.25">
      <c r="A62" s="3">
        <f t="shared" si="0"/>
        <v>35</v>
      </c>
      <c r="B62" s="100"/>
      <c r="C62" s="103"/>
      <c r="D62" s="103"/>
      <c r="E62" s="103" t="s">
        <v>294</v>
      </c>
      <c r="F62" s="103"/>
      <c r="G62" s="103"/>
      <c r="I62" s="106"/>
      <c r="K62" s="234">
        <v>0</v>
      </c>
      <c r="L62" s="103" t="s">
        <v>295</v>
      </c>
    </row>
    <row r="63" spans="1:14" x14ac:dyDescent="0.25">
      <c r="A63" s="3">
        <f t="shared" si="0"/>
        <v>36</v>
      </c>
      <c r="B63" s="100"/>
      <c r="C63" s="103"/>
      <c r="D63" s="103"/>
      <c r="E63" s="103" t="s">
        <v>296</v>
      </c>
      <c r="F63" s="103"/>
      <c r="G63" s="103"/>
      <c r="I63" s="106"/>
      <c r="K63" s="234">
        <v>0</v>
      </c>
      <c r="L63" s="103" t="s">
        <v>297</v>
      </c>
    </row>
    <row r="64" spans="1:14" x14ac:dyDescent="0.25">
      <c r="A64" s="3">
        <f t="shared" si="0"/>
        <v>37</v>
      </c>
      <c r="B64" s="100"/>
      <c r="C64" s="103"/>
      <c r="D64" s="110" t="s">
        <v>298</v>
      </c>
      <c r="E64" s="103"/>
      <c r="F64" s="103"/>
      <c r="G64" s="103"/>
      <c r="I64" s="106"/>
      <c r="K64" s="236">
        <f>SUM(K58:K63)</f>
        <v>661200825</v>
      </c>
      <c r="L64" s="103" t="s">
        <v>344</v>
      </c>
    </row>
    <row r="65" spans="1:12" x14ac:dyDescent="0.25">
      <c r="A65" s="3">
        <f t="shared" si="0"/>
        <v>38</v>
      </c>
      <c r="B65" s="100"/>
      <c r="C65" s="100" t="s">
        <v>299</v>
      </c>
      <c r="D65" s="103"/>
      <c r="E65" s="103"/>
      <c r="F65" s="103"/>
      <c r="G65" s="103"/>
      <c r="I65" s="106"/>
      <c r="K65" s="237"/>
      <c r="L65" s="111"/>
    </row>
    <row r="66" spans="1:12" x14ac:dyDescent="0.25">
      <c r="A66" s="3">
        <f t="shared" si="0"/>
        <v>39</v>
      </c>
      <c r="B66" s="100"/>
      <c r="C66" s="103"/>
      <c r="D66" s="103" t="s">
        <v>300</v>
      </c>
      <c r="E66" s="103"/>
      <c r="F66" s="103"/>
      <c r="G66" s="103"/>
      <c r="I66" s="106"/>
      <c r="K66" s="234">
        <v>35565817</v>
      </c>
      <c r="L66" s="103" t="s">
        <v>301</v>
      </c>
    </row>
    <row r="67" spans="1:12" x14ac:dyDescent="0.25">
      <c r="A67" s="3">
        <f t="shared" si="0"/>
        <v>40</v>
      </c>
      <c r="B67" s="100"/>
      <c r="C67" s="103"/>
      <c r="D67" s="103" t="s">
        <v>302</v>
      </c>
      <c r="E67" s="103"/>
      <c r="F67" s="103"/>
      <c r="G67" s="103"/>
      <c r="I67" s="106"/>
      <c r="K67" s="234">
        <v>473802</v>
      </c>
      <c r="L67" s="103" t="s">
        <v>303</v>
      </c>
    </row>
    <row r="68" spans="1:12" x14ac:dyDescent="0.25">
      <c r="A68" s="3">
        <f t="shared" si="0"/>
        <v>41</v>
      </c>
      <c r="B68" s="100"/>
      <c r="C68" s="103"/>
      <c r="D68" s="103" t="s">
        <v>304</v>
      </c>
      <c r="E68" s="103"/>
      <c r="F68" s="103"/>
      <c r="G68" s="103"/>
      <c r="I68" s="106"/>
      <c r="K68" s="234">
        <v>0</v>
      </c>
      <c r="L68" s="103" t="s">
        <v>305</v>
      </c>
    </row>
    <row r="69" spans="1:12" x14ac:dyDescent="0.25">
      <c r="A69" s="3">
        <f t="shared" si="0"/>
        <v>42</v>
      </c>
      <c r="B69" s="100"/>
      <c r="C69" s="103"/>
      <c r="D69" s="103"/>
      <c r="E69" s="103" t="s">
        <v>306</v>
      </c>
      <c r="F69" s="103"/>
      <c r="G69" s="103"/>
      <c r="I69" s="106"/>
      <c r="K69" s="234">
        <v>0</v>
      </c>
      <c r="L69" s="103" t="s">
        <v>307</v>
      </c>
    </row>
    <row r="70" spans="1:12" x14ac:dyDescent="0.25">
      <c r="A70" s="3">
        <f t="shared" si="0"/>
        <v>43</v>
      </c>
      <c r="B70" s="100"/>
      <c r="C70" s="103"/>
      <c r="D70" s="103"/>
      <c r="E70" s="103" t="s">
        <v>308</v>
      </c>
      <c r="F70" s="103"/>
      <c r="G70" s="103"/>
      <c r="I70" s="106"/>
      <c r="K70" s="234">
        <v>0</v>
      </c>
      <c r="L70" s="103" t="s">
        <v>309</v>
      </c>
    </row>
    <row r="71" spans="1:12" x14ac:dyDescent="0.25">
      <c r="A71" s="3">
        <f t="shared" si="0"/>
        <v>44</v>
      </c>
      <c r="B71" s="100"/>
      <c r="C71" s="103"/>
      <c r="D71" s="103"/>
      <c r="E71" s="103"/>
      <c r="F71" s="103" t="s">
        <v>310</v>
      </c>
      <c r="G71" s="103"/>
      <c r="I71" s="106"/>
      <c r="K71" s="236">
        <f>SUM(K66:K70)</f>
        <v>36039619</v>
      </c>
      <c r="L71" s="111" t="s">
        <v>345</v>
      </c>
    </row>
    <row r="72" spans="1:12" x14ac:dyDescent="0.25">
      <c r="A72" s="3">
        <f t="shared" si="0"/>
        <v>45</v>
      </c>
      <c r="B72" s="100"/>
      <c r="C72" s="100" t="s">
        <v>311</v>
      </c>
      <c r="D72" s="100"/>
      <c r="E72" s="100"/>
      <c r="F72" s="100"/>
      <c r="G72" s="103"/>
      <c r="I72" s="106"/>
      <c r="K72" s="238"/>
      <c r="L72" s="103"/>
    </row>
    <row r="73" spans="1:12" x14ac:dyDescent="0.25">
      <c r="A73" s="3">
        <f t="shared" si="0"/>
        <v>46</v>
      </c>
      <c r="B73" s="100"/>
      <c r="C73" s="103"/>
      <c r="D73" s="103" t="s">
        <v>312</v>
      </c>
      <c r="E73" s="103"/>
      <c r="F73" s="103"/>
      <c r="G73" s="103"/>
      <c r="I73" s="106"/>
      <c r="K73" s="234">
        <v>0</v>
      </c>
      <c r="L73" s="103" t="s">
        <v>313</v>
      </c>
    </row>
    <row r="74" spans="1:12" x14ac:dyDescent="0.25">
      <c r="A74" s="3">
        <f t="shared" si="0"/>
        <v>47</v>
      </c>
      <c r="B74" s="100"/>
      <c r="C74" s="103"/>
      <c r="D74" s="103" t="s">
        <v>314</v>
      </c>
      <c r="E74" s="103"/>
      <c r="F74" s="103"/>
      <c r="G74" s="103"/>
      <c r="I74" s="106"/>
      <c r="K74" s="234">
        <v>0</v>
      </c>
      <c r="L74" s="103" t="s">
        <v>315</v>
      </c>
    </row>
    <row r="75" spans="1:12" x14ac:dyDescent="0.25">
      <c r="A75" s="3">
        <f t="shared" si="0"/>
        <v>48</v>
      </c>
      <c r="B75" s="100"/>
      <c r="C75" s="103"/>
      <c r="D75" s="103" t="s">
        <v>316</v>
      </c>
      <c r="E75" s="103"/>
      <c r="F75" s="103"/>
      <c r="G75" s="103"/>
      <c r="I75" s="106"/>
      <c r="K75" s="234">
        <v>0</v>
      </c>
      <c r="L75" s="103" t="s">
        <v>317</v>
      </c>
    </row>
    <row r="76" spans="1:12" x14ac:dyDescent="0.25">
      <c r="A76" s="3">
        <f t="shared" ref="A76:A91" si="1">1+A75</f>
        <v>49</v>
      </c>
      <c r="B76" s="100"/>
      <c r="C76" s="103"/>
      <c r="D76" s="103" t="s">
        <v>318</v>
      </c>
      <c r="E76" s="103"/>
      <c r="F76" s="103"/>
      <c r="G76" s="103"/>
      <c r="I76" s="106"/>
      <c r="K76" s="234">
        <v>0</v>
      </c>
      <c r="L76" s="103" t="s">
        <v>319</v>
      </c>
    </row>
    <row r="77" spans="1:12" x14ac:dyDescent="0.25">
      <c r="A77" s="3">
        <f t="shared" si="1"/>
        <v>50</v>
      </c>
      <c r="B77" s="100"/>
      <c r="C77" s="103"/>
      <c r="D77" s="103" t="s">
        <v>320</v>
      </c>
      <c r="E77" s="103"/>
      <c r="F77" s="103"/>
      <c r="G77" s="103"/>
      <c r="I77" s="106"/>
      <c r="K77" s="234">
        <v>0</v>
      </c>
      <c r="L77" s="103" t="s">
        <v>321</v>
      </c>
    </row>
    <row r="78" spans="1:12" x14ac:dyDescent="0.25">
      <c r="A78" s="3">
        <f t="shared" si="1"/>
        <v>51</v>
      </c>
      <c r="B78" s="100"/>
      <c r="C78" s="103"/>
      <c r="D78" s="103" t="s">
        <v>322</v>
      </c>
      <c r="E78" s="103"/>
      <c r="F78" s="103"/>
      <c r="G78" s="103"/>
      <c r="I78" s="106"/>
      <c r="K78" s="234">
        <v>0</v>
      </c>
      <c r="L78" s="103" t="s">
        <v>323</v>
      </c>
    </row>
    <row r="79" spans="1:12" x14ac:dyDescent="0.25">
      <c r="A79" s="3">
        <f t="shared" si="1"/>
        <v>52</v>
      </c>
      <c r="B79" s="100"/>
      <c r="C79" s="103"/>
      <c r="D79" s="103"/>
      <c r="E79" s="103" t="s">
        <v>324</v>
      </c>
      <c r="F79" s="103"/>
      <c r="G79" s="103"/>
      <c r="I79" s="103"/>
      <c r="K79" s="239">
        <f>SUM(K73:K78)</f>
        <v>0</v>
      </c>
      <c r="L79" s="117" t="s">
        <v>346</v>
      </c>
    </row>
    <row r="80" spans="1:12" x14ac:dyDescent="0.25">
      <c r="A80" s="3">
        <f t="shared" si="1"/>
        <v>53</v>
      </c>
      <c r="B80" s="100"/>
      <c r="C80" s="103"/>
      <c r="D80" s="103" t="s">
        <v>325</v>
      </c>
      <c r="E80" s="103"/>
      <c r="F80" s="103"/>
      <c r="G80" s="103"/>
      <c r="I80" s="106"/>
      <c r="K80" s="234">
        <v>0</v>
      </c>
      <c r="L80" s="103" t="s">
        <v>326</v>
      </c>
    </row>
    <row r="81" spans="1:14" x14ac:dyDescent="0.25">
      <c r="A81" s="3">
        <f t="shared" si="1"/>
        <v>54</v>
      </c>
      <c r="B81" s="100"/>
      <c r="C81" s="100" t="s">
        <v>327</v>
      </c>
      <c r="D81" s="100"/>
      <c r="E81" s="100"/>
      <c r="F81" s="100"/>
      <c r="G81" s="103"/>
      <c r="I81" s="106"/>
      <c r="K81" s="238"/>
      <c r="L81" s="103"/>
    </row>
    <row r="82" spans="1:14" x14ac:dyDescent="0.25">
      <c r="A82" s="3">
        <f t="shared" si="1"/>
        <v>55</v>
      </c>
      <c r="B82" s="100"/>
      <c r="C82" s="103"/>
      <c r="D82" s="103" t="s">
        <v>328</v>
      </c>
      <c r="E82" s="103"/>
      <c r="F82" s="103"/>
      <c r="G82" s="103"/>
      <c r="I82" s="106"/>
      <c r="K82" s="234">
        <f>AVERAGE(745241946,777477466)</f>
        <v>761359706</v>
      </c>
      <c r="L82" s="103" t="s">
        <v>329</v>
      </c>
    </row>
    <row r="83" spans="1:14" x14ac:dyDescent="0.25">
      <c r="A83" s="3">
        <f t="shared" si="1"/>
        <v>56</v>
      </c>
      <c r="B83" s="100"/>
      <c r="C83" s="103"/>
      <c r="D83" s="103"/>
      <c r="E83" s="103" t="s">
        <v>330</v>
      </c>
      <c r="F83" s="103"/>
      <c r="G83" s="103"/>
      <c r="I83" s="106"/>
      <c r="K83" s="234">
        <v>0</v>
      </c>
      <c r="L83" s="103" t="s">
        <v>331</v>
      </c>
    </row>
    <row r="84" spans="1:14" x14ac:dyDescent="0.25">
      <c r="A84" s="3">
        <f t="shared" si="1"/>
        <v>57</v>
      </c>
      <c r="B84" s="100"/>
      <c r="C84" s="103"/>
      <c r="D84" s="103"/>
      <c r="E84" s="103" t="s">
        <v>332</v>
      </c>
      <c r="F84" s="103"/>
      <c r="G84" s="103"/>
      <c r="I84" s="106"/>
      <c r="K84" s="234">
        <f>AVERAGE(104020353,141156435)</f>
        <v>122588394</v>
      </c>
      <c r="L84" s="103" t="s">
        <v>333</v>
      </c>
    </row>
    <row r="85" spans="1:14" x14ac:dyDescent="0.25">
      <c r="A85" s="3">
        <f t="shared" si="1"/>
        <v>58</v>
      </c>
      <c r="B85" s="100"/>
      <c r="C85" s="103"/>
      <c r="D85" s="103"/>
      <c r="E85" s="103" t="s">
        <v>334</v>
      </c>
      <c r="F85" s="103"/>
      <c r="G85" s="103"/>
      <c r="I85" s="106"/>
      <c r="K85" s="234">
        <f>AVERAGE(0,0)</f>
        <v>0</v>
      </c>
      <c r="L85" s="111" t="s">
        <v>335</v>
      </c>
      <c r="M85" s="7"/>
      <c r="N85" s="7"/>
    </row>
    <row r="86" spans="1:14" x14ac:dyDescent="0.25">
      <c r="A86" s="3">
        <f t="shared" si="1"/>
        <v>59</v>
      </c>
      <c r="B86" s="100"/>
      <c r="C86" s="103"/>
      <c r="D86" s="103"/>
      <c r="E86" s="103"/>
      <c r="F86" s="103" t="s">
        <v>338</v>
      </c>
      <c r="G86" s="103"/>
      <c r="I86" s="117"/>
      <c r="J86" s="69"/>
      <c r="K86" s="235">
        <f>K82-K83-K84+K85</f>
        <v>638771312</v>
      </c>
      <c r="L86" s="118" t="s">
        <v>347</v>
      </c>
      <c r="M86" s="118"/>
      <c r="N86" s="7"/>
    </row>
    <row r="87" spans="1:14" x14ac:dyDescent="0.25">
      <c r="A87" s="3">
        <f t="shared" si="1"/>
        <v>60</v>
      </c>
      <c r="B87" s="100"/>
      <c r="C87" s="113" t="s">
        <v>336</v>
      </c>
      <c r="D87" s="108"/>
      <c r="E87" s="108"/>
      <c r="F87" s="108"/>
      <c r="G87" s="103"/>
      <c r="H87" s="112"/>
      <c r="I87" s="112"/>
      <c r="J87" s="112"/>
      <c r="K87" s="103"/>
    </row>
    <row r="88" spans="1:14" x14ac:dyDescent="0.25">
      <c r="A88" s="3">
        <f t="shared" si="1"/>
        <v>61</v>
      </c>
      <c r="B88" s="100"/>
      <c r="C88" s="103"/>
      <c r="D88" s="103"/>
      <c r="E88" s="103"/>
      <c r="F88" s="108" t="s">
        <v>470</v>
      </c>
      <c r="G88" s="103"/>
      <c r="H88" s="112"/>
      <c r="I88" s="112"/>
      <c r="J88" s="112"/>
      <c r="K88" s="103"/>
    </row>
    <row r="89" spans="1:14" x14ac:dyDescent="0.25">
      <c r="A89" s="3">
        <f t="shared" si="1"/>
        <v>62</v>
      </c>
      <c r="B89" s="103"/>
      <c r="C89" s="103"/>
      <c r="D89" s="103"/>
      <c r="E89" s="103"/>
      <c r="F89" s="108" t="s">
        <v>471</v>
      </c>
      <c r="G89" s="108"/>
      <c r="H89" s="114"/>
      <c r="I89" s="114"/>
      <c r="L89" s="119" t="s">
        <v>348</v>
      </c>
    </row>
    <row r="90" spans="1:14" x14ac:dyDescent="0.25">
      <c r="A90" s="3">
        <f t="shared" si="1"/>
        <v>63</v>
      </c>
      <c r="B90" s="103"/>
      <c r="C90" s="103"/>
      <c r="D90" s="103"/>
      <c r="E90" s="103"/>
      <c r="F90" s="108" t="s">
        <v>337</v>
      </c>
      <c r="I90" s="248">
        <v>0.1057</v>
      </c>
      <c r="J90" s="245"/>
      <c r="K90" s="246"/>
    </row>
    <row r="91" spans="1:14" x14ac:dyDescent="0.25">
      <c r="A91" s="3">
        <f t="shared" si="1"/>
        <v>64</v>
      </c>
      <c r="B91" s="103"/>
      <c r="C91" s="103" t="s">
        <v>361</v>
      </c>
      <c r="E91" s="103"/>
      <c r="F91" s="103"/>
      <c r="G91" s="108"/>
      <c r="H91" s="114"/>
      <c r="I91" s="114"/>
      <c r="J91" s="115"/>
      <c r="K91" s="108"/>
    </row>
    <row r="92" spans="1:14" x14ac:dyDescent="0.25">
      <c r="A92" s="3">
        <f>1+A91</f>
        <v>65</v>
      </c>
      <c r="C92" s="121" t="s">
        <v>359</v>
      </c>
      <c r="D92" s="103"/>
      <c r="E92" s="103"/>
      <c r="F92" s="103"/>
      <c r="G92" s="168"/>
      <c r="H92" s="107"/>
      <c r="I92" s="103"/>
      <c r="J92" s="114"/>
      <c r="K92" s="108"/>
    </row>
    <row r="93" spans="1:14" x14ac:dyDescent="0.25">
      <c r="A93" s="107"/>
      <c r="B93" s="103"/>
      <c r="C93" s="116"/>
      <c r="D93" s="103"/>
      <c r="E93" s="103"/>
      <c r="F93" s="103"/>
      <c r="G93" s="103"/>
      <c r="H93" s="103"/>
      <c r="I93" s="103"/>
      <c r="J93" s="103"/>
      <c r="K93" s="103"/>
    </row>
  </sheetData>
  <customSheetViews>
    <customSheetView guid="{64F6106B-9E0C-489A-BDF0-E26F35DDE29F}" scale="75" showPageBreaks="1" showGridLines="0" fitToPage="1" printArea="1" topLeftCell="A16">
      <selection activeCell="B36" sqref="B36"/>
      <pageMargins left="0.41" right="0" top="0.5" bottom="0" header="0.5" footer="0.25"/>
      <pageSetup scale="65" orientation="landscape" r:id="rId1"/>
      <headerFooter alignWithMargins="0"/>
    </customSheetView>
  </customSheetViews>
  <phoneticPr fontId="0" type="noConversion"/>
  <pageMargins left="0.41" right="0" top="0.5" bottom="0" header="0.5" footer="0.25"/>
  <pageSetup scale="48" orientation="portrait" r:id="rId2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9"/>
  <sheetViews>
    <sheetView showGridLines="0" topLeftCell="A7" zoomScaleNormal="100" workbookViewId="0">
      <selection activeCell="E33" sqref="E33"/>
    </sheetView>
  </sheetViews>
  <sheetFormatPr defaultRowHeight="15" x14ac:dyDescent="0.2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32.85546875" style="3" bestFit="1" customWidth="1"/>
    <col min="8" max="8" width="9.140625" style="3"/>
    <col min="9" max="9" width="15.5703125" style="3" bestFit="1" customWidth="1"/>
    <col min="10" max="16384" width="9.140625" style="3"/>
  </cols>
  <sheetData>
    <row r="5" spans="1:9" ht="19.5" x14ac:dyDescent="0.35">
      <c r="B5" s="70" t="s">
        <v>118</v>
      </c>
    </row>
    <row r="6" spans="1:9" x14ac:dyDescent="0.25">
      <c r="A6" s="2"/>
      <c r="B6" s="21" t="s">
        <v>135</v>
      </c>
      <c r="D6" s="69"/>
      <c r="E6" s="69"/>
      <c r="F6" s="69"/>
      <c r="G6" s="5" t="s">
        <v>119</v>
      </c>
    </row>
    <row r="7" spans="1:9" x14ac:dyDescent="0.25">
      <c r="B7" s="71" t="str">
        <f>+'5 Allocation'!B6</f>
        <v>Actual 2017</v>
      </c>
      <c r="G7" s="5" t="s">
        <v>183</v>
      </c>
    </row>
    <row r="8" spans="1:9" x14ac:dyDescent="0.25">
      <c r="B8" s="71" t="str">
        <f>+'5 Allocation'!B7</f>
        <v>Reg Liab in ADIT</v>
      </c>
      <c r="G8" s="5" t="s">
        <v>460</v>
      </c>
    </row>
    <row r="9" spans="1:9" x14ac:dyDescent="0.25">
      <c r="A9" s="69"/>
    </row>
    <row r="10" spans="1:9" x14ac:dyDescent="0.25">
      <c r="A10" s="5"/>
      <c r="C10" s="24" t="s">
        <v>66</v>
      </c>
      <c r="D10" s="24" t="s">
        <v>62</v>
      </c>
      <c r="F10" s="27" t="s">
        <v>64</v>
      </c>
    </row>
    <row r="11" spans="1:9" x14ac:dyDescent="0.25">
      <c r="A11" s="11"/>
      <c r="D11" s="21" t="s">
        <v>63</v>
      </c>
      <c r="E11" s="7"/>
      <c r="G11" s="7"/>
      <c r="H11" s="7"/>
      <c r="I11" s="7"/>
    </row>
    <row r="12" spans="1:9" x14ac:dyDescent="0.25">
      <c r="A12" s="5" t="s">
        <v>65</v>
      </c>
      <c r="D12" s="21" t="s">
        <v>67</v>
      </c>
      <c r="F12" s="28" t="s">
        <v>68</v>
      </c>
      <c r="G12" s="28" t="s">
        <v>69</v>
      </c>
    </row>
    <row r="13" spans="1:9" x14ac:dyDescent="0.25">
      <c r="A13" s="6" t="s">
        <v>70</v>
      </c>
      <c r="C13" s="29" t="s">
        <v>71</v>
      </c>
      <c r="D13" s="29" t="s">
        <v>72</v>
      </c>
      <c r="F13" s="29" t="s">
        <v>73</v>
      </c>
      <c r="G13" s="29" t="s">
        <v>74</v>
      </c>
    </row>
    <row r="14" spans="1:9" x14ac:dyDescent="0.25">
      <c r="B14" s="12" t="s">
        <v>9</v>
      </c>
    </row>
    <row r="15" spans="1:9" x14ac:dyDescent="0.25">
      <c r="A15" s="3">
        <v>1</v>
      </c>
      <c r="B15" s="3" t="s">
        <v>9</v>
      </c>
      <c r="C15" s="129">
        <f>+'7  13 mo avg plant'!C29</f>
        <v>197368192.36846155</v>
      </c>
      <c r="D15" s="30">
        <f>+'5 Allocation'!D$47</f>
        <v>0.88548841007249213</v>
      </c>
      <c r="E15" s="3" t="s">
        <v>3</v>
      </c>
      <c r="F15" s="80">
        <f>ROUND(C15*D15,0)</f>
        <v>174767247</v>
      </c>
      <c r="G15" s="94" t="s">
        <v>405</v>
      </c>
    </row>
    <row r="16" spans="1:9" x14ac:dyDescent="0.25">
      <c r="A16" s="3">
        <f>1+A15</f>
        <v>2</v>
      </c>
      <c r="B16" s="3" t="s">
        <v>11</v>
      </c>
      <c r="C16" s="128">
        <f>+'7  13 mo avg plant'!C46</f>
        <v>128718974.54692309</v>
      </c>
      <c r="D16" s="30">
        <f>+'5 Allocation'!$D$24</f>
        <v>2.7367451913869609E-2</v>
      </c>
      <c r="E16" s="3" t="s">
        <v>1</v>
      </c>
      <c r="F16" s="31">
        <f>ROUND(C16*D16,0)</f>
        <v>3522710</v>
      </c>
      <c r="G16" s="3" t="s">
        <v>408</v>
      </c>
    </row>
    <row r="17" spans="1:7" ht="15.75" thickBot="1" x14ac:dyDescent="0.3">
      <c r="A17" s="3">
        <f t="shared" ref="A17:A47" si="0">1+A16</f>
        <v>3</v>
      </c>
      <c r="B17" s="3" t="s">
        <v>75</v>
      </c>
      <c r="C17" s="62"/>
      <c r="F17" s="81">
        <f>F15+F16</f>
        <v>178289957</v>
      </c>
    </row>
    <row r="18" spans="1:7" ht="15.75" thickTop="1" x14ac:dyDescent="0.25">
      <c r="C18" s="62"/>
      <c r="F18" s="15"/>
    </row>
    <row r="19" spans="1:7" x14ac:dyDescent="0.25">
      <c r="A19" s="3">
        <v>4</v>
      </c>
      <c r="B19" s="32" t="s">
        <v>76</v>
      </c>
      <c r="C19" s="122"/>
      <c r="F19" s="16"/>
    </row>
    <row r="20" spans="1:7" x14ac:dyDescent="0.25">
      <c r="A20" s="3">
        <f t="shared" si="0"/>
        <v>5</v>
      </c>
      <c r="B20" s="3" t="s">
        <v>77</v>
      </c>
      <c r="C20" s="128">
        <f>+'8  13 mo avg accu dep'!C29</f>
        <v>57135630.362307698</v>
      </c>
      <c r="D20" s="30">
        <f>+'5 Allocation'!D$47</f>
        <v>0.88548841007249213</v>
      </c>
      <c r="E20" s="3" t="s">
        <v>3</v>
      </c>
      <c r="F20" s="16">
        <f>ROUND(C20*D20,0)</f>
        <v>50592938</v>
      </c>
      <c r="G20" s="3" t="s">
        <v>407</v>
      </c>
    </row>
    <row r="21" spans="1:7" x14ac:dyDescent="0.25">
      <c r="A21" s="3">
        <f t="shared" si="0"/>
        <v>6</v>
      </c>
      <c r="B21" s="3" t="s">
        <v>78</v>
      </c>
      <c r="C21" s="128">
        <f>+'8  13 mo avg accu dep'!C46</f>
        <v>32856850.04230769</v>
      </c>
      <c r="D21" s="30">
        <f>+'5 Allocation'!$D$24</f>
        <v>2.7367451913869609E-2</v>
      </c>
      <c r="E21" s="3" t="s">
        <v>1</v>
      </c>
      <c r="F21" s="31">
        <f>ROUND(C21*D21,0)</f>
        <v>899208</v>
      </c>
      <c r="G21" s="3" t="s">
        <v>409</v>
      </c>
    </row>
    <row r="22" spans="1:7" ht="15.75" thickBot="1" x14ac:dyDescent="0.3">
      <c r="A22" s="3">
        <f t="shared" si="0"/>
        <v>7</v>
      </c>
      <c r="B22" s="3" t="s">
        <v>200</v>
      </c>
      <c r="C22" s="62"/>
      <c r="D22" s="30"/>
      <c r="F22" s="81">
        <f>F20+F21</f>
        <v>51492146</v>
      </c>
    </row>
    <row r="23" spans="1:7" ht="15.75" thickTop="1" x14ac:dyDescent="0.25">
      <c r="C23" s="62"/>
      <c r="D23" s="30"/>
      <c r="F23" s="16"/>
    </row>
    <row r="24" spans="1:7" x14ac:dyDescent="0.25">
      <c r="A24" s="3">
        <v>8</v>
      </c>
      <c r="B24" s="12" t="s">
        <v>79</v>
      </c>
      <c r="C24" s="122"/>
      <c r="F24" s="15"/>
    </row>
    <row r="25" spans="1:7" x14ac:dyDescent="0.25">
      <c r="A25" s="3">
        <f t="shared" si="0"/>
        <v>9</v>
      </c>
      <c r="B25" s="69" t="s">
        <v>503</v>
      </c>
      <c r="C25" s="128"/>
      <c r="D25" s="30"/>
      <c r="F25" s="16"/>
    </row>
    <row r="26" spans="1:7" x14ac:dyDescent="0.25">
      <c r="A26" s="3">
        <f t="shared" si="0"/>
        <v>10</v>
      </c>
      <c r="B26" s="25" t="s">
        <v>162</v>
      </c>
      <c r="C26" s="128">
        <f>-'9 ADIT'!E20</f>
        <v>246934096.75</v>
      </c>
      <c r="D26" s="30">
        <f>+'5 Allocation'!$D$40</f>
        <v>0.10429099999999999</v>
      </c>
      <c r="E26" s="3" t="s">
        <v>2</v>
      </c>
      <c r="F26" s="16">
        <f>ROUND(C26*D26,0)</f>
        <v>25753004</v>
      </c>
      <c r="G26" s="3" t="s">
        <v>504</v>
      </c>
    </row>
    <row r="27" spans="1:7" x14ac:dyDescent="0.25">
      <c r="A27" s="3">
        <f t="shared" si="0"/>
        <v>11</v>
      </c>
      <c r="B27" s="25" t="s">
        <v>163</v>
      </c>
      <c r="C27" s="128">
        <f>-'9 ADIT'!E28</f>
        <v>204750042.5</v>
      </c>
      <c r="D27" s="30">
        <f>+'5 Allocation'!$D$40</f>
        <v>0.10429099999999999</v>
      </c>
      <c r="E27" s="3" t="s">
        <v>2</v>
      </c>
      <c r="F27" s="16">
        <f>ROUND(C27*D27,0)</f>
        <v>21353587</v>
      </c>
      <c r="G27" s="3" t="s">
        <v>505</v>
      </c>
    </row>
    <row r="28" spans="1:7" x14ac:dyDescent="0.25">
      <c r="A28" s="3">
        <f t="shared" si="0"/>
        <v>12</v>
      </c>
      <c r="B28" s="3" t="s">
        <v>80</v>
      </c>
      <c r="C28" s="128">
        <f>-'9 ADIT'!E36</f>
        <v>-143996817</v>
      </c>
      <c r="D28" s="30">
        <f>+'5 Allocation'!$D$40</f>
        <v>0.10429099999999999</v>
      </c>
      <c r="E28" s="3" t="s">
        <v>2</v>
      </c>
      <c r="F28" s="62">
        <f>ROUND(C28*D28,0)</f>
        <v>-15017572</v>
      </c>
      <c r="G28" s="3" t="s">
        <v>506</v>
      </c>
    </row>
    <row r="29" spans="1:7" ht="15.75" thickBot="1" x14ac:dyDescent="0.3">
      <c r="A29" s="3">
        <f t="shared" si="0"/>
        <v>13</v>
      </c>
      <c r="B29" s="3" t="s">
        <v>201</v>
      </c>
      <c r="C29" s="45">
        <f>SUM(C26:C28)</f>
        <v>307687322.25</v>
      </c>
      <c r="F29" s="82">
        <f>ROUND(+C29*D28,0)</f>
        <v>32089019</v>
      </c>
    </row>
    <row r="30" spans="1:7" ht="15.75" thickTop="1" x14ac:dyDescent="0.25">
      <c r="C30" s="16"/>
      <c r="F30" s="15"/>
    </row>
    <row r="31" spans="1:7" x14ac:dyDescent="0.25">
      <c r="A31" s="3">
        <v>14</v>
      </c>
      <c r="B31" s="12" t="s">
        <v>81</v>
      </c>
      <c r="C31" s="128">
        <f>+'10   165 Prepayment'!E28</f>
        <v>8434670.209999999</v>
      </c>
      <c r="D31" s="30">
        <f>+'5 Allocation'!$D$24</f>
        <v>2.7367451913869609E-2</v>
      </c>
      <c r="E31" s="3" t="s">
        <v>1</v>
      </c>
      <c r="F31" s="15">
        <f>ROUND(C31*D31,0)</f>
        <v>230835</v>
      </c>
      <c r="G31" s="3" t="s">
        <v>493</v>
      </c>
    </row>
    <row r="32" spans="1:7" x14ac:dyDescent="0.25">
      <c r="C32" s="62"/>
    </row>
    <row r="33" spans="1:7" x14ac:dyDescent="0.25">
      <c r="A33" s="3">
        <v>15</v>
      </c>
      <c r="B33" s="32" t="s">
        <v>82</v>
      </c>
      <c r="C33" s="220">
        <f>AVERAGE(48341,129524)</f>
        <v>88932.5</v>
      </c>
      <c r="D33" s="30">
        <f>+'5 Allocation'!D$47</f>
        <v>0.88548841007249213</v>
      </c>
      <c r="E33" s="3" t="s">
        <v>3</v>
      </c>
      <c r="F33" s="16">
        <f>ROUND(C33*D33,0)</f>
        <v>78749</v>
      </c>
      <c r="G33" s="3" t="s">
        <v>477</v>
      </c>
    </row>
    <row r="34" spans="1:7" x14ac:dyDescent="0.25">
      <c r="C34" s="15"/>
      <c r="D34" s="30"/>
      <c r="F34" s="16"/>
    </row>
    <row r="35" spans="1:7" x14ac:dyDescent="0.25">
      <c r="A35" s="3">
        <v>16</v>
      </c>
      <c r="B35" s="12" t="s">
        <v>19</v>
      </c>
      <c r="C35" s="15"/>
      <c r="F35" s="15"/>
    </row>
    <row r="36" spans="1:7" x14ac:dyDescent="0.25">
      <c r="A36" s="3">
        <f t="shared" si="0"/>
        <v>17</v>
      </c>
      <c r="B36" s="34" t="s">
        <v>31</v>
      </c>
      <c r="C36" s="15"/>
      <c r="F36" s="77">
        <f>+'4 Expense'!F31</f>
        <v>8100775</v>
      </c>
      <c r="G36" s="69" t="s">
        <v>174</v>
      </c>
    </row>
    <row r="37" spans="1:7" x14ac:dyDescent="0.25">
      <c r="A37" s="3">
        <f t="shared" si="0"/>
        <v>18</v>
      </c>
      <c r="B37" s="34" t="s">
        <v>33</v>
      </c>
      <c r="C37" s="20"/>
      <c r="F37" s="78">
        <f>+'4 Expense'!F40</f>
        <v>1160133</v>
      </c>
      <c r="G37" s="69" t="s">
        <v>175</v>
      </c>
    </row>
    <row r="38" spans="1:7" x14ac:dyDescent="0.25">
      <c r="A38" s="3">
        <f t="shared" si="0"/>
        <v>19</v>
      </c>
      <c r="B38" s="3" t="s">
        <v>202</v>
      </c>
      <c r="F38" s="83">
        <f>SUM(F36:F37)</f>
        <v>9260908</v>
      </c>
      <c r="G38" s="69"/>
    </row>
    <row r="39" spans="1:7" x14ac:dyDescent="0.25">
      <c r="A39" s="3">
        <f t="shared" si="0"/>
        <v>20</v>
      </c>
      <c r="B39" s="3" t="s">
        <v>161</v>
      </c>
      <c r="C39" s="15"/>
      <c r="F39" s="79">
        <f>45/360</f>
        <v>0.125</v>
      </c>
      <c r="G39" s="76" t="s">
        <v>356</v>
      </c>
    </row>
    <row r="40" spans="1:7" x14ac:dyDescent="0.25">
      <c r="A40" s="3">
        <f t="shared" si="0"/>
        <v>21</v>
      </c>
      <c r="B40" s="3" t="s">
        <v>203</v>
      </c>
      <c r="C40" s="15"/>
      <c r="F40" s="83">
        <f>ROUND(+F38*F39,4)</f>
        <v>1157613.5</v>
      </c>
      <c r="G40" s="69"/>
    </row>
    <row r="41" spans="1:7" x14ac:dyDescent="0.25">
      <c r="C41" s="15"/>
      <c r="F41" s="169"/>
    </row>
    <row r="42" spans="1:7" x14ac:dyDescent="0.25">
      <c r="C42" s="15"/>
      <c r="F42" s="16"/>
    </row>
    <row r="43" spans="1:7" x14ac:dyDescent="0.25">
      <c r="B43" s="12"/>
      <c r="C43" s="15"/>
      <c r="F43" s="15"/>
    </row>
    <row r="44" spans="1:7" x14ac:dyDescent="0.25">
      <c r="A44" s="3">
        <v>22</v>
      </c>
      <c r="B44" s="12" t="s">
        <v>126</v>
      </c>
      <c r="C44" s="15"/>
      <c r="F44" s="15"/>
    </row>
    <row r="45" spans="1:7" x14ac:dyDescent="0.25">
      <c r="A45" s="3">
        <f t="shared" si="0"/>
        <v>23</v>
      </c>
      <c r="B45" s="3" t="str">
        <f>+'5 Allocation'!B24</f>
        <v>(a) Transmission Wages and Salaries Allocation Factor</v>
      </c>
      <c r="C45" s="16"/>
      <c r="F45" s="15"/>
    </row>
    <row r="46" spans="1:7" x14ac:dyDescent="0.25">
      <c r="A46" s="3">
        <f t="shared" si="0"/>
        <v>24</v>
      </c>
      <c r="B46" s="3" t="str">
        <f>+'5 Allocation'!B40</f>
        <v>(b) Total Transmission Plant Allocation Factor</v>
      </c>
      <c r="C46" s="16"/>
      <c r="F46" s="15"/>
    </row>
    <row r="47" spans="1:7" x14ac:dyDescent="0.25">
      <c r="A47" s="3">
        <f t="shared" si="0"/>
        <v>25</v>
      </c>
      <c r="B47" s="3" t="str">
        <f>+'5 Allocation'!B47</f>
        <v>(c) Network Transmission Plant Allocation Factor</v>
      </c>
      <c r="C47" s="16"/>
      <c r="F47" s="15"/>
    </row>
    <row r="48" spans="1:7" x14ac:dyDescent="0.25">
      <c r="C48" s="16"/>
      <c r="F48" s="15"/>
    </row>
    <row r="49" spans="3:6" x14ac:dyDescent="0.25">
      <c r="C49" s="15"/>
      <c r="F49" s="15"/>
    </row>
    <row r="50" spans="3:6" x14ac:dyDescent="0.25">
      <c r="C50" s="15"/>
      <c r="F50" s="15"/>
    </row>
    <row r="51" spans="3:6" x14ac:dyDescent="0.25">
      <c r="C51" s="15"/>
      <c r="F51" s="15"/>
    </row>
    <row r="52" spans="3:6" x14ac:dyDescent="0.25">
      <c r="C52" s="15"/>
      <c r="F52" s="15"/>
    </row>
    <row r="53" spans="3:6" x14ac:dyDescent="0.25">
      <c r="F53" s="15"/>
    </row>
    <row r="54" spans="3:6" x14ac:dyDescent="0.25">
      <c r="F54" s="15"/>
    </row>
    <row r="55" spans="3:6" x14ac:dyDescent="0.25">
      <c r="F55" s="15"/>
    </row>
    <row r="56" spans="3:6" x14ac:dyDescent="0.25">
      <c r="F56" s="15"/>
    </row>
    <row r="57" spans="3:6" x14ac:dyDescent="0.25">
      <c r="F57" s="15"/>
    </row>
    <row r="58" spans="3:6" x14ac:dyDescent="0.25">
      <c r="F58" s="15"/>
    </row>
    <row r="59" spans="3:6" x14ac:dyDescent="0.25">
      <c r="F59" s="15"/>
    </row>
  </sheetData>
  <customSheetViews>
    <customSheetView guid="{64F6106B-9E0C-489A-BDF0-E26F35DDE29F}" showPageBreaks="1" showGridLines="0" fitToPage="1" printArea="1" topLeftCell="A15">
      <selection activeCell="G38" sqref="G38"/>
      <pageMargins left="0" right="0" top="0.27" bottom="0" header="0.17" footer="0.19"/>
      <pageSetup scale="71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27" bottom="0" header="0.17" footer="0.19"/>
  <pageSetup scale="70" orientation="portrait" r:id="rId2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8"/>
  <sheetViews>
    <sheetView showGridLines="0" topLeftCell="A4" zoomScaleNormal="100" zoomScaleSheetLayoutView="100" workbookViewId="0">
      <selection activeCell="E33" sqref="E33"/>
    </sheetView>
  </sheetViews>
  <sheetFormatPr defaultColWidth="6.7109375" defaultRowHeight="15" x14ac:dyDescent="0.25"/>
  <cols>
    <col min="1" max="1" width="6.7109375" style="3" customWidth="1"/>
    <col min="2" max="2" width="75.7109375" style="3" customWidth="1"/>
    <col min="3" max="3" width="17.140625" style="3" bestFit="1" customWidth="1"/>
    <col min="4" max="4" width="16.85546875" style="3" bestFit="1" customWidth="1"/>
    <col min="5" max="5" width="6.7109375" style="3" customWidth="1"/>
    <col min="6" max="6" width="18.28515625" style="3" bestFit="1" customWidth="1"/>
    <col min="7" max="7" width="9.42578125" style="3" customWidth="1"/>
    <col min="8" max="8" width="7.85546875" style="3" customWidth="1"/>
    <col min="9" max="16384" width="6.7109375" style="3"/>
  </cols>
  <sheetData>
    <row r="5" spans="1:10" ht="19.5" x14ac:dyDescent="0.35">
      <c r="B5" s="70" t="s">
        <v>118</v>
      </c>
    </row>
    <row r="6" spans="1:10" x14ac:dyDescent="0.25">
      <c r="B6" s="21" t="s">
        <v>136</v>
      </c>
    </row>
    <row r="7" spans="1:10" x14ac:dyDescent="0.25">
      <c r="A7" s="2"/>
      <c r="B7" s="71" t="str">
        <f>+'5 Allocation'!B6</f>
        <v>Actual 2017</v>
      </c>
      <c r="E7" s="69"/>
      <c r="F7" s="69"/>
      <c r="G7" s="69"/>
    </row>
    <row r="8" spans="1:10" x14ac:dyDescent="0.25">
      <c r="A8" s="2"/>
      <c r="B8" s="71" t="str">
        <f>+'5 Allocation'!B7</f>
        <v>Reg Liab in ADIT</v>
      </c>
      <c r="E8" s="69"/>
      <c r="F8" s="69"/>
      <c r="G8" s="69"/>
      <c r="H8" s="5" t="s">
        <v>119</v>
      </c>
    </row>
    <row r="9" spans="1:10" x14ac:dyDescent="0.25">
      <c r="A9" s="2"/>
      <c r="B9" s="71"/>
      <c r="E9" s="69"/>
      <c r="F9" s="69"/>
      <c r="G9" s="69"/>
      <c r="H9" s="5" t="s">
        <v>183</v>
      </c>
    </row>
    <row r="10" spans="1:10" x14ac:dyDescent="0.25">
      <c r="H10" s="5" t="s">
        <v>461</v>
      </c>
    </row>
    <row r="11" spans="1:10" x14ac:dyDescent="0.25">
      <c r="A11" s="5"/>
      <c r="D11" s="24"/>
    </row>
    <row r="12" spans="1:10" x14ac:dyDescent="0.25">
      <c r="A12" s="5"/>
      <c r="C12" s="24" t="s">
        <v>66</v>
      </c>
      <c r="D12" s="24" t="s">
        <v>62</v>
      </c>
      <c r="F12" s="27" t="s">
        <v>64</v>
      </c>
    </row>
    <row r="13" spans="1:10" x14ac:dyDescent="0.25">
      <c r="A13" s="11"/>
      <c r="D13" s="21" t="s">
        <v>63</v>
      </c>
      <c r="E13" s="7"/>
      <c r="F13" s="27"/>
      <c r="G13" s="7"/>
      <c r="H13" s="7"/>
      <c r="I13" s="7"/>
      <c r="J13" s="7"/>
    </row>
    <row r="14" spans="1:10" x14ac:dyDescent="0.25">
      <c r="A14" s="5" t="s">
        <v>65</v>
      </c>
      <c r="C14" s="24"/>
      <c r="D14" s="21" t="s">
        <v>67</v>
      </c>
      <c r="F14" s="28" t="s">
        <v>68</v>
      </c>
      <c r="H14" s="28" t="s">
        <v>69</v>
      </c>
    </row>
    <row r="15" spans="1:10" x14ac:dyDescent="0.25">
      <c r="A15" s="6" t="s">
        <v>70</v>
      </c>
      <c r="C15" s="29" t="s">
        <v>71</v>
      </c>
      <c r="D15" s="29" t="s">
        <v>72</v>
      </c>
      <c r="F15" s="29" t="s">
        <v>73</v>
      </c>
      <c r="H15" s="29" t="s">
        <v>74</v>
      </c>
    </row>
    <row r="16" spans="1:10" x14ac:dyDescent="0.25">
      <c r="B16" s="12" t="s">
        <v>24</v>
      </c>
    </row>
    <row r="17" spans="1:11" x14ac:dyDescent="0.25">
      <c r="A17" s="3">
        <v>1</v>
      </c>
      <c r="B17" s="3" t="s">
        <v>273</v>
      </c>
      <c r="C17" s="210">
        <v>3453837</v>
      </c>
      <c r="D17" s="30">
        <f>+'5 Allocation'!D$47</f>
        <v>0.88548841007249213</v>
      </c>
      <c r="E17" s="3" t="s">
        <v>3</v>
      </c>
      <c r="F17" s="72">
        <f>ROUND(C17*D17,0)</f>
        <v>3058333</v>
      </c>
      <c r="H17" s="3" t="s">
        <v>83</v>
      </c>
    </row>
    <row r="18" spans="1:11" x14ac:dyDescent="0.25">
      <c r="A18" s="3">
        <f>1+A17</f>
        <v>2</v>
      </c>
      <c r="B18" s="3" t="s">
        <v>84</v>
      </c>
      <c r="C18" s="209">
        <v>5413692</v>
      </c>
      <c r="D18" s="30">
        <f>+'5 Allocation'!$D$24</f>
        <v>2.7367451913869609E-2</v>
      </c>
      <c r="E18" s="3" t="s">
        <v>1</v>
      </c>
      <c r="F18" s="31">
        <f>ROUND(C18*D18,0)</f>
        <v>148159</v>
      </c>
      <c r="H18" s="3" t="s">
        <v>115</v>
      </c>
    </row>
    <row r="19" spans="1:11" x14ac:dyDescent="0.25">
      <c r="A19" s="3">
        <f t="shared" ref="A19:A70" si="0">1+A18</f>
        <v>3</v>
      </c>
      <c r="B19" s="3" t="s">
        <v>75</v>
      </c>
      <c r="C19" s="208"/>
      <c r="F19" s="72">
        <f>F17+F18</f>
        <v>3206492</v>
      </c>
    </row>
    <row r="20" spans="1:11" x14ac:dyDescent="0.25">
      <c r="C20" s="191"/>
      <c r="F20" s="15"/>
    </row>
    <row r="21" spans="1:11" x14ac:dyDescent="0.25">
      <c r="A21" s="3">
        <v>4</v>
      </c>
      <c r="B21" s="32" t="s">
        <v>85</v>
      </c>
      <c r="C21" s="209">
        <v>147129</v>
      </c>
      <c r="D21" s="30">
        <f>+'5 Allocation'!$D$40</f>
        <v>0.10429099999999999</v>
      </c>
      <c r="E21" s="3" t="s">
        <v>2</v>
      </c>
      <c r="F21" s="15">
        <f>ROUND(C21*D21,0)</f>
        <v>15344</v>
      </c>
      <c r="H21" s="3" t="s">
        <v>86</v>
      </c>
    </row>
    <row r="22" spans="1:11" x14ac:dyDescent="0.25">
      <c r="C22" s="68"/>
      <c r="F22" s="15"/>
    </row>
    <row r="23" spans="1:11" x14ac:dyDescent="0.25">
      <c r="A23" s="3">
        <v>5</v>
      </c>
      <c r="B23" s="12" t="s">
        <v>120</v>
      </c>
      <c r="C23" s="192"/>
      <c r="D23" s="30"/>
      <c r="F23" s="31"/>
      <c r="H23" s="25"/>
    </row>
    <row r="24" spans="1:11" x14ac:dyDescent="0.25">
      <c r="A24" s="3">
        <f t="shared" si="0"/>
        <v>6</v>
      </c>
      <c r="B24" s="3" t="s">
        <v>87</v>
      </c>
      <c r="C24" s="202">
        <f>+C68</f>
        <v>27210548</v>
      </c>
      <c r="D24" s="30">
        <f>+'5 Allocation'!$D$40</f>
        <v>0.10429099999999999</v>
      </c>
      <c r="E24" s="3" t="s">
        <v>2</v>
      </c>
      <c r="F24" s="15">
        <f>ROUND(C24*D24,0)</f>
        <v>2837815</v>
      </c>
      <c r="H24" s="3" t="s">
        <v>501</v>
      </c>
    </row>
    <row r="25" spans="1:11" x14ac:dyDescent="0.25">
      <c r="C25" s="193"/>
      <c r="F25" s="15"/>
    </row>
    <row r="26" spans="1:11" x14ac:dyDescent="0.25">
      <c r="A26" s="3">
        <v>8</v>
      </c>
      <c r="B26" s="12" t="s">
        <v>88</v>
      </c>
      <c r="C26" s="68"/>
      <c r="F26" s="15"/>
    </row>
    <row r="27" spans="1:11" x14ac:dyDescent="0.25">
      <c r="A27" s="3">
        <f t="shared" si="0"/>
        <v>9</v>
      </c>
      <c r="B27" s="3" t="s">
        <v>89</v>
      </c>
      <c r="C27" s="213">
        <v>98609018</v>
      </c>
      <c r="D27" s="20"/>
      <c r="F27" s="72"/>
      <c r="H27" s="3" t="s">
        <v>107</v>
      </c>
    </row>
    <row r="28" spans="1:11" x14ac:dyDescent="0.25">
      <c r="A28" s="3">
        <f t="shared" si="0"/>
        <v>10</v>
      </c>
      <c r="B28" s="3" t="s">
        <v>132</v>
      </c>
      <c r="C28" s="212">
        <v>89981963</v>
      </c>
      <c r="D28" s="20"/>
      <c r="F28" s="15"/>
      <c r="H28" s="3" t="s">
        <v>108</v>
      </c>
    </row>
    <row r="29" spans="1:11" x14ac:dyDescent="0.25">
      <c r="A29" s="3">
        <f t="shared" si="0"/>
        <v>11</v>
      </c>
      <c r="B29" s="3" t="s">
        <v>360</v>
      </c>
      <c r="C29" s="252">
        <f>'11 Rates'!E41</f>
        <v>3447536</v>
      </c>
      <c r="D29" s="20"/>
      <c r="F29" s="15"/>
      <c r="H29" s="3" t="s">
        <v>469</v>
      </c>
    </row>
    <row r="30" spans="1:11" x14ac:dyDescent="0.25">
      <c r="A30" s="3">
        <f t="shared" si="0"/>
        <v>12</v>
      </c>
      <c r="B30" s="3" t="s">
        <v>164</v>
      </c>
      <c r="C30" s="220">
        <f>3672722+280108+16020</f>
        <v>3968850</v>
      </c>
      <c r="D30" s="20"/>
      <c r="F30" s="16"/>
      <c r="H30" s="25" t="s">
        <v>554</v>
      </c>
      <c r="I30" s="25"/>
      <c r="J30" s="25"/>
      <c r="K30" s="25"/>
    </row>
    <row r="31" spans="1:11" ht="12.75" customHeight="1" thickBot="1" x14ac:dyDescent="0.3">
      <c r="A31" s="3">
        <f t="shared" si="0"/>
        <v>13</v>
      </c>
      <c r="B31" s="3" t="s">
        <v>197</v>
      </c>
      <c r="C31" s="194">
        <f>C27-C28-C29+C30</f>
        <v>9148369</v>
      </c>
      <c r="D31" s="30">
        <f>+'5 Allocation'!D$47</f>
        <v>0.88548841007249213</v>
      </c>
      <c r="E31" s="3" t="s">
        <v>3</v>
      </c>
      <c r="F31" s="81">
        <f>ROUND(C31*D31,0)</f>
        <v>8100775</v>
      </c>
    </row>
    <row r="32" spans="1:11" ht="15.75" thickTop="1" x14ac:dyDescent="0.25">
      <c r="C32" s="68"/>
      <c r="F32" s="15"/>
    </row>
    <row r="33" spans="1:12" x14ac:dyDescent="0.25">
      <c r="A33" s="3">
        <v>14</v>
      </c>
      <c r="B33" s="12" t="s">
        <v>90</v>
      </c>
      <c r="C33" s="68"/>
      <c r="F33" s="15"/>
    </row>
    <row r="34" spans="1:12" x14ac:dyDescent="0.25">
      <c r="A34" s="3">
        <f t="shared" si="0"/>
        <v>15</v>
      </c>
      <c r="B34" s="3" t="s">
        <v>91</v>
      </c>
      <c r="C34" s="215">
        <v>41129779</v>
      </c>
      <c r="H34" s="3" t="s">
        <v>109</v>
      </c>
    </row>
    <row r="35" spans="1:12" x14ac:dyDescent="0.25">
      <c r="A35" s="3">
        <f t="shared" si="0"/>
        <v>16</v>
      </c>
      <c r="B35" s="2" t="s">
        <v>152</v>
      </c>
      <c r="C35" s="220">
        <v>-563000</v>
      </c>
      <c r="H35" s="34" t="s">
        <v>544</v>
      </c>
    </row>
    <row r="36" spans="1:12" x14ac:dyDescent="0.25">
      <c r="A36" s="3">
        <f t="shared" si="0"/>
        <v>17</v>
      </c>
      <c r="B36" s="2" t="s">
        <v>92</v>
      </c>
      <c r="C36" s="214">
        <v>1402275</v>
      </c>
      <c r="H36" s="2" t="s">
        <v>110</v>
      </c>
    </row>
    <row r="37" spans="1:12" x14ac:dyDescent="0.25">
      <c r="A37" s="3">
        <f t="shared" si="0"/>
        <v>18</v>
      </c>
      <c r="B37" s="33" t="s">
        <v>93</v>
      </c>
      <c r="C37" s="214">
        <v>80349</v>
      </c>
      <c r="H37" s="2" t="s">
        <v>111</v>
      </c>
    </row>
    <row r="38" spans="1:12" x14ac:dyDescent="0.25">
      <c r="A38" s="3">
        <f t="shared" si="0"/>
        <v>19</v>
      </c>
      <c r="B38" s="2" t="s">
        <v>198</v>
      </c>
      <c r="C38" s="195">
        <f>+C34-C35-C36-C37</f>
        <v>40210155</v>
      </c>
      <c r="D38" s="30">
        <f>+'5 Allocation'!$D$24</f>
        <v>2.7367451913869609E-2</v>
      </c>
      <c r="E38" s="3" t="s">
        <v>1</v>
      </c>
      <c r="F38" s="80">
        <f>ROUND(C38*D38,0)</f>
        <v>1100449</v>
      </c>
    </row>
    <row r="39" spans="1:12" x14ac:dyDescent="0.25">
      <c r="A39" s="3">
        <f t="shared" si="0"/>
        <v>20</v>
      </c>
      <c r="B39" s="2" t="s">
        <v>410</v>
      </c>
      <c r="C39" s="192">
        <v>2180830</v>
      </c>
      <c r="D39" s="30"/>
      <c r="F39" s="16"/>
      <c r="G39" s="69"/>
      <c r="H39" s="69" t="s">
        <v>165</v>
      </c>
      <c r="I39" s="69"/>
      <c r="J39" s="69"/>
      <c r="K39" s="69"/>
      <c r="L39" s="69"/>
    </row>
    <row r="40" spans="1:12" ht="15.75" thickBot="1" x14ac:dyDescent="0.3">
      <c r="A40" s="3">
        <v>21</v>
      </c>
      <c r="B40" s="2" t="s">
        <v>209</v>
      </c>
      <c r="C40" s="196">
        <f>+C38+C39</f>
        <v>42390985</v>
      </c>
      <c r="D40" s="30">
        <f>+'5 Allocation'!$D$24</f>
        <v>2.7367451913869609E-2</v>
      </c>
      <c r="E40" s="3" t="s">
        <v>1</v>
      </c>
      <c r="F40" s="80">
        <f>ROUND(C40*D40,0)</f>
        <v>1160133</v>
      </c>
    </row>
    <row r="41" spans="1:12" ht="15.75" thickTop="1" x14ac:dyDescent="0.25">
      <c r="B41" s="2"/>
      <c r="C41" s="193"/>
      <c r="D41" s="30"/>
      <c r="F41" s="16"/>
    </row>
    <row r="42" spans="1:12" ht="15.75" thickBot="1" x14ac:dyDescent="0.3">
      <c r="A42" s="3">
        <v>22</v>
      </c>
      <c r="B42" s="34" t="s">
        <v>30</v>
      </c>
      <c r="C42" s="201">
        <f>+C56</f>
        <v>2721305</v>
      </c>
      <c r="D42" s="30">
        <f>+'5 Allocation'!$D$24</f>
        <v>2.7367451913869609E-2</v>
      </c>
      <c r="E42" s="3" t="s">
        <v>1</v>
      </c>
      <c r="F42" s="81">
        <f>ROUND(C42*D42,0)</f>
        <v>74475</v>
      </c>
      <c r="H42" s="3" t="s">
        <v>94</v>
      </c>
    </row>
    <row r="43" spans="1:12" ht="15.75" thickTop="1" x14ac:dyDescent="0.25">
      <c r="C43" s="193"/>
      <c r="D43" s="30"/>
      <c r="F43" s="16"/>
    </row>
    <row r="44" spans="1:12" x14ac:dyDescent="0.25">
      <c r="C44" s="193"/>
      <c r="D44" s="30"/>
      <c r="F44" s="16"/>
    </row>
    <row r="45" spans="1:12" x14ac:dyDescent="0.25">
      <c r="C45" s="193"/>
      <c r="D45" s="30"/>
      <c r="F45" s="16"/>
    </row>
    <row r="46" spans="1:12" x14ac:dyDescent="0.25">
      <c r="A46" s="3">
        <v>23</v>
      </c>
      <c r="B46" s="12" t="s">
        <v>186</v>
      </c>
      <c r="C46" s="193"/>
      <c r="D46" s="30"/>
      <c r="F46" s="16"/>
    </row>
    <row r="47" spans="1:12" x14ac:dyDescent="0.25">
      <c r="A47" s="3">
        <f t="shared" si="0"/>
        <v>24</v>
      </c>
      <c r="B47" s="3" t="str">
        <f>+'5 Allocation'!B24</f>
        <v>(a) Transmission Wages and Salaries Allocation Factor</v>
      </c>
      <c r="C47" s="5"/>
      <c r="F47" s="15"/>
      <c r="H47" s="7" t="s">
        <v>185</v>
      </c>
    </row>
    <row r="48" spans="1:12" x14ac:dyDescent="0.25">
      <c r="A48" s="3">
        <f t="shared" si="0"/>
        <v>25</v>
      </c>
      <c r="B48" s="3" t="str">
        <f>+'5 Allocation'!B40</f>
        <v>(b) Total Transmission Plant Allocation Factor</v>
      </c>
      <c r="C48" s="193"/>
      <c r="F48" s="15"/>
      <c r="H48" s="7" t="s">
        <v>185</v>
      </c>
    </row>
    <row r="49" spans="1:8" x14ac:dyDescent="0.25">
      <c r="A49" s="3">
        <f t="shared" si="0"/>
        <v>26</v>
      </c>
      <c r="B49" s="3" t="str">
        <f>+'5 Allocation'!B47</f>
        <v>(c) Network Transmission Plant Allocation Factor</v>
      </c>
      <c r="C49" s="5"/>
      <c r="F49" s="15"/>
      <c r="H49" s="7" t="s">
        <v>185</v>
      </c>
    </row>
    <row r="50" spans="1:8" x14ac:dyDescent="0.25">
      <c r="C50" s="5"/>
      <c r="F50" s="15"/>
    </row>
    <row r="51" spans="1:8" x14ac:dyDescent="0.25">
      <c r="A51" s="3">
        <f>1+A49</f>
        <v>27</v>
      </c>
      <c r="B51" s="3" t="s">
        <v>541</v>
      </c>
      <c r="C51" s="5"/>
      <c r="F51" s="15"/>
    </row>
    <row r="52" spans="1:8" x14ac:dyDescent="0.25">
      <c r="A52" s="3">
        <f t="shared" si="0"/>
        <v>28</v>
      </c>
      <c r="B52" s="3" t="s">
        <v>95</v>
      </c>
      <c r="C52" s="217">
        <v>0</v>
      </c>
      <c r="D52" s="25"/>
      <c r="F52" s="15"/>
    </row>
    <row r="53" spans="1:8" x14ac:dyDescent="0.25">
      <c r="A53" s="3">
        <f t="shared" si="0"/>
        <v>29</v>
      </c>
      <c r="B53" s="3" t="s">
        <v>96</v>
      </c>
      <c r="C53" s="216">
        <v>2721305</v>
      </c>
      <c r="D53" s="25"/>
      <c r="F53" s="15"/>
    </row>
    <row r="54" spans="1:8" x14ac:dyDescent="0.25">
      <c r="A54" s="3">
        <f t="shared" si="0"/>
        <v>30</v>
      </c>
      <c r="B54" s="3" t="s">
        <v>97</v>
      </c>
      <c r="C54" s="216">
        <v>0</v>
      </c>
      <c r="D54" s="25"/>
      <c r="F54" s="15"/>
    </row>
    <row r="55" spans="1:8" x14ac:dyDescent="0.25">
      <c r="A55" s="3">
        <f t="shared" si="0"/>
        <v>31</v>
      </c>
      <c r="B55" s="3" t="s">
        <v>129</v>
      </c>
      <c r="C55" s="216">
        <v>0</v>
      </c>
      <c r="D55" s="25"/>
      <c r="F55" s="15"/>
    </row>
    <row r="56" spans="1:8" x14ac:dyDescent="0.25">
      <c r="A56" s="3">
        <f t="shared" si="0"/>
        <v>32</v>
      </c>
      <c r="B56" s="3" t="s">
        <v>98</v>
      </c>
      <c r="C56" s="211">
        <f>SUM(C52:C55)</f>
        <v>2721305</v>
      </c>
      <c r="D56" s="3" t="s">
        <v>210</v>
      </c>
      <c r="F56" s="15"/>
    </row>
    <row r="57" spans="1:8" x14ac:dyDescent="0.25">
      <c r="C57" s="211"/>
      <c r="F57" s="15"/>
    </row>
    <row r="58" spans="1:8" x14ac:dyDescent="0.25">
      <c r="A58" s="3" t="s">
        <v>540</v>
      </c>
      <c r="C58" s="211"/>
      <c r="F58" s="15"/>
    </row>
    <row r="59" spans="1:8" x14ac:dyDescent="0.25">
      <c r="C59" s="211"/>
      <c r="F59" s="15"/>
    </row>
    <row r="60" spans="1:8" x14ac:dyDescent="0.25">
      <c r="C60" s="197"/>
      <c r="D60" s="25"/>
      <c r="F60" s="15"/>
    </row>
    <row r="61" spans="1:8" x14ac:dyDescent="0.25">
      <c r="A61" s="3">
        <v>35</v>
      </c>
      <c r="B61" s="3" t="s">
        <v>500</v>
      </c>
      <c r="C61" s="198"/>
      <c r="D61" s="25"/>
      <c r="F61" s="15"/>
    </row>
    <row r="62" spans="1:8" x14ac:dyDescent="0.25">
      <c r="A62" s="3">
        <f t="shared" si="0"/>
        <v>36</v>
      </c>
      <c r="B62" s="3" t="s">
        <v>140</v>
      </c>
      <c r="C62" s="219">
        <v>242263</v>
      </c>
      <c r="D62" s="25"/>
      <c r="F62" s="15"/>
    </row>
    <row r="63" spans="1:8" x14ac:dyDescent="0.25">
      <c r="A63" s="3">
        <f t="shared" si="0"/>
        <v>37</v>
      </c>
      <c r="B63" s="3" t="s">
        <v>141</v>
      </c>
      <c r="C63" s="218">
        <v>40014</v>
      </c>
      <c r="D63" s="25"/>
      <c r="F63" s="15"/>
    </row>
    <row r="64" spans="1:8" x14ac:dyDescent="0.25">
      <c r="A64" s="3">
        <f t="shared" si="0"/>
        <v>38</v>
      </c>
      <c r="B64" s="3" t="s">
        <v>142</v>
      </c>
      <c r="C64" s="218">
        <v>198573</v>
      </c>
      <c r="D64" s="25"/>
      <c r="F64" s="15"/>
    </row>
    <row r="65" spans="1:6" x14ac:dyDescent="0.25">
      <c r="A65" s="3">
        <f t="shared" si="0"/>
        <v>39</v>
      </c>
      <c r="B65" s="3" t="s">
        <v>181</v>
      </c>
      <c r="C65" s="218">
        <v>84650</v>
      </c>
      <c r="D65" s="25"/>
      <c r="F65" s="15"/>
    </row>
    <row r="66" spans="1:6" x14ac:dyDescent="0.25">
      <c r="A66" s="3">
        <f t="shared" si="0"/>
        <v>40</v>
      </c>
      <c r="B66" s="3" t="s">
        <v>143</v>
      </c>
      <c r="C66" s="218">
        <v>56113</v>
      </c>
      <c r="D66" s="25"/>
      <c r="F66" s="15"/>
    </row>
    <row r="67" spans="1:6" x14ac:dyDescent="0.25">
      <c r="A67" s="3">
        <f t="shared" si="0"/>
        <v>41</v>
      </c>
      <c r="B67" s="3" t="s">
        <v>144</v>
      </c>
      <c r="C67" s="218">
        <v>26588935</v>
      </c>
      <c r="F67" s="15"/>
    </row>
    <row r="68" spans="1:6" x14ac:dyDescent="0.25">
      <c r="A68" s="3">
        <f t="shared" si="0"/>
        <v>42</v>
      </c>
      <c r="B68" s="3" t="s">
        <v>145</v>
      </c>
      <c r="C68" s="211">
        <f>SUM(C62:C67)</f>
        <v>27210548</v>
      </c>
      <c r="D68" s="3" t="s">
        <v>199</v>
      </c>
      <c r="F68" s="15"/>
    </row>
    <row r="69" spans="1:6" x14ac:dyDescent="0.25">
      <c r="A69" s="3">
        <f t="shared" si="0"/>
        <v>43</v>
      </c>
      <c r="C69" s="77"/>
      <c r="F69" s="15"/>
    </row>
    <row r="70" spans="1:6" x14ac:dyDescent="0.25">
      <c r="A70" s="3">
        <f t="shared" si="0"/>
        <v>44</v>
      </c>
      <c r="B70" s="58" t="s">
        <v>275</v>
      </c>
      <c r="C70" s="16"/>
      <c r="D70" s="7"/>
      <c r="E70" s="7"/>
      <c r="F70" s="16"/>
    </row>
    <row r="71" spans="1:6" x14ac:dyDescent="0.25">
      <c r="A71" s="3">
        <f>1+A70</f>
        <v>45</v>
      </c>
      <c r="B71" s="130" t="s">
        <v>411</v>
      </c>
      <c r="C71" s="170"/>
      <c r="D71" s="171"/>
      <c r="E71" s="90"/>
      <c r="F71" s="16"/>
    </row>
    <row r="72" spans="1:6" x14ac:dyDescent="0.25">
      <c r="A72" s="7"/>
      <c r="B72" s="172"/>
      <c r="C72" s="170"/>
      <c r="D72" s="171"/>
      <c r="E72" s="90"/>
      <c r="F72" s="16"/>
    </row>
    <row r="73" spans="1:6" x14ac:dyDescent="0.25">
      <c r="A73" s="7"/>
      <c r="B73" s="172"/>
      <c r="C73" s="170"/>
      <c r="D73" s="171"/>
      <c r="E73" s="90"/>
      <c r="F73" s="16"/>
    </row>
    <row r="74" spans="1:6" x14ac:dyDescent="0.25">
      <c r="A74" s="7"/>
      <c r="B74" s="172"/>
      <c r="C74" s="170"/>
      <c r="D74" s="171"/>
      <c r="E74" s="90"/>
      <c r="F74" s="16"/>
    </row>
    <row r="75" spans="1:6" x14ac:dyDescent="0.25">
      <c r="A75" s="7"/>
      <c r="B75" s="172"/>
      <c r="C75" s="170"/>
      <c r="D75" s="171"/>
      <c r="E75" s="90"/>
      <c r="F75" s="16"/>
    </row>
    <row r="76" spans="1:6" x14ac:dyDescent="0.25">
      <c r="A76" s="7"/>
      <c r="C76" s="91"/>
      <c r="D76" s="90"/>
      <c r="E76" s="90"/>
      <c r="F76" s="16"/>
    </row>
    <row r="77" spans="1:6" x14ac:dyDescent="0.25">
      <c r="A77" s="7"/>
      <c r="B77" s="172"/>
      <c r="C77" s="91"/>
      <c r="D77" s="90"/>
      <c r="E77" s="90"/>
      <c r="F77" s="16"/>
    </row>
    <row r="78" spans="1:6" x14ac:dyDescent="0.25">
      <c r="A78" s="7"/>
      <c r="B78" s="172"/>
      <c r="C78" s="170"/>
      <c r="D78" s="171"/>
      <c r="E78" s="90"/>
      <c r="F78" s="16"/>
    </row>
    <row r="79" spans="1:6" x14ac:dyDescent="0.25">
      <c r="A79" s="7"/>
      <c r="B79" s="172"/>
      <c r="C79" s="170"/>
      <c r="D79" s="171"/>
      <c r="E79" s="90"/>
      <c r="F79" s="16"/>
    </row>
    <row r="80" spans="1:6" x14ac:dyDescent="0.25">
      <c r="A80" s="7"/>
      <c r="B80" s="172"/>
      <c r="C80" s="170"/>
      <c r="D80" s="171"/>
      <c r="E80" s="90"/>
      <c r="F80" s="16"/>
    </row>
    <row r="81" spans="1:6" x14ac:dyDescent="0.25">
      <c r="A81" s="7"/>
      <c r="B81" s="172"/>
      <c r="C81" s="170"/>
      <c r="D81" s="171"/>
      <c r="E81" s="90"/>
      <c r="F81" s="16"/>
    </row>
    <row r="82" spans="1:6" x14ac:dyDescent="0.25">
      <c r="A82" s="7"/>
      <c r="B82" s="172"/>
      <c r="C82" s="170"/>
      <c r="D82" s="171"/>
      <c r="E82" s="90"/>
      <c r="F82" s="16"/>
    </row>
    <row r="83" spans="1:6" x14ac:dyDescent="0.25">
      <c r="A83" s="7"/>
      <c r="B83" s="172"/>
      <c r="C83" s="170"/>
      <c r="D83" s="171"/>
      <c r="E83" s="90"/>
      <c r="F83" s="16"/>
    </row>
    <row r="84" spans="1:6" x14ac:dyDescent="0.25">
      <c r="A84" s="7"/>
      <c r="B84" s="172"/>
      <c r="C84" s="170"/>
      <c r="D84" s="171"/>
      <c r="E84" s="90"/>
      <c r="F84" s="16"/>
    </row>
    <row r="85" spans="1:6" x14ac:dyDescent="0.25">
      <c r="A85" s="7"/>
      <c r="B85" s="172"/>
      <c r="C85" s="170"/>
      <c r="D85" s="171"/>
      <c r="E85" s="90"/>
      <c r="F85" s="16"/>
    </row>
    <row r="86" spans="1:6" x14ac:dyDescent="0.25">
      <c r="A86" s="7"/>
      <c r="C86" s="170"/>
      <c r="D86" s="171"/>
      <c r="E86" s="90"/>
      <c r="F86" s="16"/>
    </row>
    <row r="87" spans="1:6" x14ac:dyDescent="0.25">
      <c r="A87" s="7"/>
      <c r="C87" s="89"/>
      <c r="D87" s="90"/>
      <c r="E87" s="90"/>
      <c r="F87" s="7"/>
    </row>
    <row r="88" spans="1:6" x14ac:dyDescent="0.25">
      <c r="A88" s="7"/>
      <c r="B88" s="7"/>
      <c r="C88" s="7"/>
      <c r="D88" s="7"/>
      <c r="E88" s="7"/>
      <c r="F88" s="7"/>
    </row>
  </sheetData>
  <customSheetViews>
    <customSheetView guid="{64F6106B-9E0C-489A-BDF0-E26F35DDE29F}" showPageBreaks="1" showGridLines="0" fitToPage="1" printArea="1" topLeftCell="A61">
      <selection activeCell="B22" sqref="B22"/>
      <pageMargins left="0" right="0" top="0.75" bottom="0" header="0.5" footer="0.5"/>
      <pageSetup scale="57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4" orientation="portrait" r:id="rId2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5" zoomScale="85" zoomScaleNormal="85" workbookViewId="0">
      <selection activeCell="B8" sqref="B8"/>
    </sheetView>
  </sheetViews>
  <sheetFormatPr defaultColWidth="6" defaultRowHeight="15" x14ac:dyDescent="0.25"/>
  <cols>
    <col min="1" max="1" width="7.7109375" style="3" bestFit="1" customWidth="1"/>
    <col min="2" max="2" width="78.140625" style="3" customWidth="1"/>
    <col min="3" max="3" width="6" style="3" customWidth="1"/>
    <col min="4" max="4" width="26.28515625" style="3" bestFit="1" customWidth="1"/>
    <col min="5" max="10" width="6" style="3"/>
    <col min="11" max="11" width="26.28515625" style="3" bestFit="1" customWidth="1"/>
    <col min="12" max="12" width="21" style="3" bestFit="1" customWidth="1"/>
    <col min="13" max="13" width="6" style="3"/>
    <col min="14" max="14" width="19.5703125" style="3" bestFit="1" customWidth="1"/>
    <col min="15" max="16384" width="6" style="3"/>
  </cols>
  <sheetData>
    <row r="1" spans="1:10" x14ac:dyDescent="0.25">
      <c r="A1" s="2"/>
      <c r="B1" s="4"/>
      <c r="C1" s="4"/>
      <c r="D1" s="4"/>
    </row>
    <row r="4" spans="1:10" ht="19.5" x14ac:dyDescent="0.35">
      <c r="B4" s="70" t="s">
        <v>118</v>
      </c>
    </row>
    <row r="5" spans="1:10" x14ac:dyDescent="0.25">
      <c r="B5" s="21" t="s">
        <v>137</v>
      </c>
    </row>
    <row r="6" spans="1:10" x14ac:dyDescent="0.25">
      <c r="B6" s="120" t="s">
        <v>555</v>
      </c>
    </row>
    <row r="7" spans="1:10" x14ac:dyDescent="0.25">
      <c r="B7" s="120" t="s">
        <v>556</v>
      </c>
      <c r="E7" s="5" t="s">
        <v>119</v>
      </c>
    </row>
    <row r="8" spans="1:10" x14ac:dyDescent="0.25">
      <c r="E8" s="5" t="s">
        <v>183</v>
      </c>
    </row>
    <row r="9" spans="1:10" x14ac:dyDescent="0.25">
      <c r="E9" s="5" t="s">
        <v>462</v>
      </c>
    </row>
    <row r="11" spans="1:10" x14ac:dyDescent="0.25">
      <c r="A11" s="34" t="s">
        <v>65</v>
      </c>
      <c r="E11" s="3" t="s">
        <v>99</v>
      </c>
      <c r="J11" s="12"/>
    </row>
    <row r="12" spans="1:10" x14ac:dyDescent="0.25">
      <c r="A12" s="65" t="s">
        <v>70</v>
      </c>
      <c r="C12" s="8"/>
      <c r="D12" s="8"/>
      <c r="E12" s="7" t="s">
        <v>4</v>
      </c>
      <c r="F12" s="268"/>
      <c r="G12" s="9"/>
      <c r="I12" s="12"/>
    </row>
    <row r="13" spans="1:10" x14ac:dyDescent="0.25">
      <c r="A13" s="11"/>
      <c r="F13" s="7"/>
      <c r="G13" s="7"/>
    </row>
    <row r="14" spans="1:10" x14ac:dyDescent="0.25">
      <c r="A14" s="21">
        <v>1</v>
      </c>
      <c r="B14" s="12" t="s">
        <v>130</v>
      </c>
      <c r="F14" s="7"/>
      <c r="G14" s="17"/>
    </row>
    <row r="15" spans="1:10" x14ac:dyDescent="0.25">
      <c r="A15" s="21"/>
      <c r="F15" s="7"/>
      <c r="G15" s="17"/>
    </row>
    <row r="16" spans="1:10" x14ac:dyDescent="0.25">
      <c r="A16" s="21">
        <v>2</v>
      </c>
      <c r="B16" s="3" t="s">
        <v>100</v>
      </c>
      <c r="D16" s="176">
        <v>778497</v>
      </c>
      <c r="E16" s="3" t="s">
        <v>112</v>
      </c>
      <c r="F16" s="7"/>
      <c r="G16" s="14"/>
    </row>
    <row r="17" spans="1:14" x14ac:dyDescent="0.25">
      <c r="A17" s="21"/>
      <c r="D17" s="177"/>
      <c r="F17" s="7"/>
      <c r="G17" s="17"/>
    </row>
    <row r="18" spans="1:14" x14ac:dyDescent="0.25">
      <c r="A18" s="21">
        <v>3</v>
      </c>
      <c r="B18" s="3" t="s">
        <v>101</v>
      </c>
      <c r="D18" s="178">
        <v>39113582</v>
      </c>
      <c r="E18" s="3" t="s">
        <v>113</v>
      </c>
      <c r="F18" s="7"/>
      <c r="G18" s="14"/>
    </row>
    <row r="19" spans="1:14" x14ac:dyDescent="0.25">
      <c r="A19" s="21">
        <f>1+A18</f>
        <v>4</v>
      </c>
      <c r="B19" s="3" t="s">
        <v>102</v>
      </c>
      <c r="C19" s="7"/>
      <c r="D19" s="178">
        <v>13924899</v>
      </c>
      <c r="E19" s="3" t="s">
        <v>114</v>
      </c>
      <c r="F19" s="7"/>
      <c r="G19" s="14"/>
    </row>
    <row r="20" spans="1:14" x14ac:dyDescent="0.25">
      <c r="A20" s="21">
        <f>1+A19</f>
        <v>5</v>
      </c>
      <c r="B20" s="3" t="s">
        <v>138</v>
      </c>
      <c r="C20" s="21"/>
      <c r="D20" s="179">
        <f>D18-D19</f>
        <v>25188683</v>
      </c>
      <c r="E20" s="3" t="s">
        <v>187</v>
      </c>
      <c r="F20" s="7"/>
      <c r="G20" s="23"/>
    </row>
    <row r="21" spans="1:14" x14ac:dyDescent="0.25">
      <c r="A21" s="21"/>
      <c r="D21" s="180"/>
      <c r="F21" s="7"/>
      <c r="G21" s="17"/>
    </row>
    <row r="22" spans="1:14" x14ac:dyDescent="0.25">
      <c r="A22" s="21">
        <v>7</v>
      </c>
      <c r="B22" s="3" t="s">
        <v>139</v>
      </c>
      <c r="D22" s="181">
        <f>+D16/D20</f>
        <v>3.0906617864856212E-2</v>
      </c>
      <c r="E22" s="3" t="s">
        <v>188</v>
      </c>
      <c r="F22" s="7"/>
      <c r="G22" s="19"/>
    </row>
    <row r="23" spans="1:14" x14ac:dyDescent="0.25">
      <c r="A23" s="21">
        <f>1+A22</f>
        <v>8</v>
      </c>
      <c r="B23" s="69" t="s">
        <v>125</v>
      </c>
      <c r="D23" s="182">
        <f>+D47</f>
        <v>0.88548841007249213</v>
      </c>
      <c r="E23" s="3" t="s">
        <v>189</v>
      </c>
      <c r="F23" s="7"/>
      <c r="G23" s="17"/>
    </row>
    <row r="24" spans="1:14" ht="16.5" thickBot="1" x14ac:dyDescent="0.35">
      <c r="A24" s="21">
        <f>1+A23</f>
        <v>9</v>
      </c>
      <c r="B24" s="84" t="s">
        <v>124</v>
      </c>
      <c r="D24" s="183">
        <f>+D22*D23</f>
        <v>2.7367451913869609E-2</v>
      </c>
      <c r="E24" s="3" t="s">
        <v>190</v>
      </c>
      <c r="F24" s="7"/>
      <c r="G24" s="17"/>
    </row>
    <row r="25" spans="1:14" ht="15.75" thickTop="1" x14ac:dyDescent="0.25">
      <c r="A25" s="21"/>
      <c r="D25" s="184"/>
      <c r="F25" s="7"/>
      <c r="G25" s="25"/>
    </row>
    <row r="26" spans="1:14" x14ac:dyDescent="0.25">
      <c r="A26" s="21">
        <v>10</v>
      </c>
      <c r="B26" s="12" t="s">
        <v>131</v>
      </c>
      <c r="D26" s="179"/>
      <c r="F26" s="7"/>
      <c r="G26" s="17"/>
    </row>
    <row r="27" spans="1:14" x14ac:dyDescent="0.25">
      <c r="A27" s="21"/>
      <c r="B27" s="12"/>
      <c r="D27" s="179"/>
      <c r="F27" s="7"/>
      <c r="G27" s="17"/>
    </row>
    <row r="28" spans="1:14" x14ac:dyDescent="0.25">
      <c r="A28" s="21">
        <v>11</v>
      </c>
      <c r="B28" s="94" t="s">
        <v>121</v>
      </c>
      <c r="D28" s="185">
        <f>+'7  13 mo avg plant'!C29</f>
        <v>197368192.36846155</v>
      </c>
      <c r="E28" s="94" t="s">
        <v>405</v>
      </c>
      <c r="F28" s="7"/>
      <c r="G28" s="17"/>
    </row>
    <row r="29" spans="1:14" ht="18.75" x14ac:dyDescent="0.3">
      <c r="A29" s="21">
        <f>1+A28</f>
        <v>12</v>
      </c>
      <c r="B29" s="94" t="s">
        <v>122</v>
      </c>
      <c r="D29" s="230">
        <v>19353829.50923077</v>
      </c>
      <c r="E29" s="94"/>
      <c r="F29" s="7"/>
      <c r="G29" s="17"/>
      <c r="K29" s="250"/>
      <c r="L29" s="253"/>
      <c r="M29" s="253"/>
      <c r="N29" s="253"/>
    </row>
    <row r="30" spans="1:14" x14ac:dyDescent="0.25">
      <c r="A30" s="21">
        <f>1+A29</f>
        <v>13</v>
      </c>
      <c r="B30" s="94" t="s">
        <v>475</v>
      </c>
      <c r="D30" s="230">
        <v>30166</v>
      </c>
      <c r="E30" s="94" t="s">
        <v>495</v>
      </c>
      <c r="F30" s="7"/>
      <c r="G30" s="17"/>
      <c r="N30" s="5"/>
    </row>
    <row r="31" spans="1:14" ht="18.75" x14ac:dyDescent="0.3">
      <c r="A31" s="21">
        <f>1+A30</f>
        <v>14</v>
      </c>
      <c r="B31" s="94" t="s">
        <v>511</v>
      </c>
      <c r="D31" s="230">
        <v>1653674</v>
      </c>
      <c r="E31" s="94" t="s">
        <v>495</v>
      </c>
      <c r="F31" s="7"/>
      <c r="G31" s="17"/>
      <c r="H31" s="251"/>
      <c r="K31" s="250"/>
      <c r="L31" s="253"/>
      <c r="M31" s="253"/>
      <c r="N31" s="253"/>
    </row>
    <row r="32" spans="1:14" x14ac:dyDescent="0.25">
      <c r="A32" s="21">
        <f>1+A31</f>
        <v>15</v>
      </c>
      <c r="B32" s="95" t="s">
        <v>180</v>
      </c>
      <c r="D32" s="207">
        <v>1563276</v>
      </c>
      <c r="E32" s="96" t="s">
        <v>543</v>
      </c>
      <c r="F32" s="7"/>
      <c r="G32" s="17"/>
      <c r="N32" s="5"/>
    </row>
    <row r="33" spans="1:10" x14ac:dyDescent="0.25">
      <c r="A33" s="21"/>
      <c r="D33" s="184"/>
      <c r="F33" s="7"/>
      <c r="G33" s="17"/>
    </row>
    <row r="34" spans="1:10" x14ac:dyDescent="0.25">
      <c r="A34" s="21">
        <v>16</v>
      </c>
      <c r="B34" s="3" t="s">
        <v>123</v>
      </c>
      <c r="D34" s="184">
        <f>+D28-D29-D30-D31-D32</f>
        <v>174767246.85923079</v>
      </c>
      <c r="E34" s="3" t="s">
        <v>191</v>
      </c>
      <c r="F34" s="7"/>
      <c r="G34" s="25"/>
    </row>
    <row r="35" spans="1:10" x14ac:dyDescent="0.25">
      <c r="A35" s="21">
        <f>1+A34</f>
        <v>17</v>
      </c>
      <c r="B35" s="2" t="s">
        <v>173</v>
      </c>
      <c r="D35" s="186">
        <f>+'3 Rate Base'!F16</f>
        <v>3522710</v>
      </c>
      <c r="E35" s="73" t="s">
        <v>357</v>
      </c>
      <c r="F35" s="73"/>
      <c r="G35" s="69"/>
      <c r="H35" s="69"/>
      <c r="I35" s="69"/>
      <c r="J35" s="69"/>
    </row>
    <row r="36" spans="1:10" x14ac:dyDescent="0.25">
      <c r="A36" s="21">
        <f>1+A35</f>
        <v>18</v>
      </c>
      <c r="B36" s="34" t="s">
        <v>217</v>
      </c>
      <c r="C36" s="24"/>
      <c r="D36" s="187">
        <f>+D34+D35</f>
        <v>178289956.85923079</v>
      </c>
      <c r="E36" s="3" t="s">
        <v>192</v>
      </c>
      <c r="F36" s="7"/>
      <c r="G36" s="25"/>
    </row>
    <row r="37" spans="1:10" x14ac:dyDescent="0.25">
      <c r="A37" s="21"/>
      <c r="D37" s="179"/>
      <c r="F37" s="7"/>
      <c r="G37" s="26"/>
    </row>
    <row r="38" spans="1:10" x14ac:dyDescent="0.25">
      <c r="A38" s="21">
        <v>19</v>
      </c>
      <c r="B38" s="3" t="s">
        <v>103</v>
      </c>
      <c r="D38" s="188">
        <f>+'7  13 mo avg plant'!C63</f>
        <v>1709542860.2292306</v>
      </c>
      <c r="E38" s="3" t="s">
        <v>406</v>
      </c>
      <c r="F38" s="7"/>
      <c r="G38" s="25"/>
    </row>
    <row r="39" spans="1:10" x14ac:dyDescent="0.25">
      <c r="A39" s="21"/>
      <c r="D39" s="179"/>
      <c r="F39" s="7"/>
      <c r="G39" s="16"/>
    </row>
    <row r="40" spans="1:10" ht="16.5" thickBot="1" x14ac:dyDescent="0.35">
      <c r="A40" s="21">
        <v>20</v>
      </c>
      <c r="B40" s="84" t="s">
        <v>134</v>
      </c>
      <c r="D40" s="183">
        <f>ROUND(D36/D38,6)</f>
        <v>0.10429099999999999</v>
      </c>
      <c r="E40" s="3" t="s">
        <v>193</v>
      </c>
      <c r="F40" s="7"/>
      <c r="G40" s="18"/>
    </row>
    <row r="41" spans="1:10" ht="15.75" thickTop="1" x14ac:dyDescent="0.25">
      <c r="A41" s="71"/>
      <c r="B41" s="69"/>
      <c r="C41" s="69"/>
      <c r="D41" s="189"/>
      <c r="E41" s="69"/>
      <c r="F41" s="73"/>
      <c r="G41" s="73"/>
      <c r="H41" s="69"/>
    </row>
    <row r="42" spans="1:10" x14ac:dyDescent="0.25">
      <c r="A42" s="71">
        <v>21</v>
      </c>
      <c r="B42" s="75" t="s">
        <v>133</v>
      </c>
      <c r="C42" s="69"/>
      <c r="D42" s="189"/>
      <c r="E42" s="69"/>
      <c r="F42" s="73"/>
      <c r="G42" s="73"/>
      <c r="H42" s="69"/>
    </row>
    <row r="43" spans="1:10" x14ac:dyDescent="0.25">
      <c r="A43" s="71"/>
      <c r="B43" s="69"/>
      <c r="C43" s="69"/>
      <c r="D43" s="189"/>
      <c r="E43" s="69"/>
      <c r="F43" s="69"/>
      <c r="G43" s="69"/>
      <c r="H43" s="69"/>
    </row>
    <row r="44" spans="1:10" x14ac:dyDescent="0.25">
      <c r="A44" s="71">
        <v>22</v>
      </c>
      <c r="B44" s="69" t="s">
        <v>123</v>
      </c>
      <c r="C44" s="69"/>
      <c r="D44" s="185">
        <f>+D34</f>
        <v>174767246.85923079</v>
      </c>
      <c r="E44" s="69" t="s">
        <v>194</v>
      </c>
      <c r="F44" s="73"/>
      <c r="G44" s="73"/>
      <c r="H44" s="69"/>
    </row>
    <row r="45" spans="1:10" x14ac:dyDescent="0.25">
      <c r="A45" s="71">
        <f>1+A44</f>
        <v>23</v>
      </c>
      <c r="B45" s="69" t="s">
        <v>121</v>
      </c>
      <c r="C45" s="69"/>
      <c r="D45" s="188">
        <f>+D28</f>
        <v>197368192.36846155</v>
      </c>
      <c r="E45" s="69" t="s">
        <v>195</v>
      </c>
      <c r="F45" s="73"/>
      <c r="G45" s="73"/>
      <c r="H45" s="69"/>
    </row>
    <row r="46" spans="1:10" x14ac:dyDescent="0.25">
      <c r="A46" s="71"/>
      <c r="B46" s="69"/>
      <c r="C46" s="69"/>
      <c r="D46" s="184"/>
      <c r="E46" s="69"/>
      <c r="F46" s="73"/>
      <c r="G46" s="73"/>
      <c r="H46" s="69"/>
    </row>
    <row r="47" spans="1:10" ht="16.5" thickBot="1" x14ac:dyDescent="0.35">
      <c r="A47" s="71">
        <v>24</v>
      </c>
      <c r="B47" s="85" t="s">
        <v>125</v>
      </c>
      <c r="C47" s="69"/>
      <c r="D47" s="190">
        <f>+D44/D45</f>
        <v>0.88548841007249213</v>
      </c>
      <c r="E47" s="69" t="s">
        <v>196</v>
      </c>
      <c r="F47" s="73"/>
      <c r="G47" s="74"/>
      <c r="H47" s="69"/>
    </row>
    <row r="48" spans="1:10" ht="15.75" thickTop="1" x14ac:dyDescent="0.25">
      <c r="A48" s="71"/>
      <c r="B48" s="69"/>
      <c r="C48" s="69"/>
      <c r="D48" s="69"/>
      <c r="E48" s="69"/>
      <c r="F48" s="69"/>
      <c r="G48" s="69"/>
      <c r="H48" s="69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76" spans="5:7" x14ac:dyDescent="0.25">
      <c r="E76" s="22"/>
      <c r="G76" s="22"/>
    </row>
  </sheetData>
  <customSheetViews>
    <customSheetView guid="{64F6106B-9E0C-489A-BDF0-E26F35DDE29F}" scale="90" showPageBreaks="1" showGridLines="0" fitToPage="1" printArea="1" topLeftCell="A3">
      <selection activeCell="B36" sqref="B36"/>
      <pageMargins left="0" right="0" top="0.75" bottom="0" header="0.5" footer="0.5"/>
      <pageSetup scale="64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45" orientation="portrait" r:id="rId2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 x14ac:dyDescent="0.2"/>
  <cols>
    <col min="1" max="1" width="48.28515625" customWidth="1"/>
    <col min="2" max="2" width="2.28515625" customWidth="1"/>
    <col min="3" max="3" width="53.28515625" customWidth="1"/>
  </cols>
  <sheetData>
    <row r="1" spans="1:1" ht="15" x14ac:dyDescent="0.25">
      <c r="A1" s="1" t="s">
        <v>104</v>
      </c>
    </row>
    <row r="3" spans="1:1" ht="15" x14ac:dyDescent="0.25">
      <c r="A3" s="1"/>
    </row>
  </sheetData>
  <customSheetViews>
    <customSheetView guid="{64F6106B-9E0C-489A-BDF0-E26F35DDE29F}" fitToPage="1" state="hidden">
      <pageMargins left="0.5" right="0" top="0.5" bottom="0.2" header="0" footer="0.25"/>
      <pageSetup orientation="landscape" horizontalDpi="4294967292" verticalDpi="300" r:id="rId1"/>
      <headerFooter alignWithMargins="0">
        <oddFooter>&amp;CBOOK1.XLT&amp;RPage &amp;P</oddFooter>
      </headerFooter>
    </customSheetView>
  </customSheetViews>
  <phoneticPr fontId="0" type="noConversion"/>
  <pageMargins left="0.5" right="0" top="0.5" bottom="0.2" header="0" footer="0.25"/>
  <pageSetup orientation="landscape" horizontalDpi="4294967292" verticalDpi="300" r:id="rId2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4"/>
  <sheetViews>
    <sheetView showGridLines="0" zoomScale="90" zoomScaleNormal="90" workbookViewId="0">
      <selection activeCell="E33" sqref="E33"/>
    </sheetView>
  </sheetViews>
  <sheetFormatPr defaultRowHeight="12.75" x14ac:dyDescent="0.2"/>
  <cols>
    <col min="1" max="1" width="75.7109375" customWidth="1"/>
    <col min="2" max="2" width="16.85546875" bestFit="1" customWidth="1"/>
    <col min="3" max="3" width="6.140625" customWidth="1"/>
    <col min="4" max="4" width="27.5703125" bestFit="1" customWidth="1"/>
  </cols>
  <sheetData>
    <row r="4" spans="1:5" ht="19.5" x14ac:dyDescent="0.35">
      <c r="A4" s="70" t="s">
        <v>118</v>
      </c>
      <c r="D4" s="5" t="s">
        <v>119</v>
      </c>
    </row>
    <row r="5" spans="1:5" ht="15" x14ac:dyDescent="0.25">
      <c r="A5" s="21" t="s">
        <v>276</v>
      </c>
      <c r="B5" s="98"/>
      <c r="D5" s="5" t="s">
        <v>183</v>
      </c>
    </row>
    <row r="6" spans="1:5" ht="15" x14ac:dyDescent="0.25">
      <c r="A6" s="99"/>
      <c r="B6" s="98"/>
      <c r="D6" s="5" t="s">
        <v>463</v>
      </c>
    </row>
    <row r="7" spans="1:5" ht="13.5" x14ac:dyDescent="0.25">
      <c r="A7" s="98"/>
      <c r="B7" s="98"/>
      <c r="C7" s="98"/>
    </row>
    <row r="8" spans="1:5" ht="13.5" x14ac:dyDescent="0.25">
      <c r="B8" s="257" t="s">
        <v>221</v>
      </c>
      <c r="D8" s="99" t="s">
        <v>222</v>
      </c>
      <c r="E8" t="s">
        <v>99</v>
      </c>
    </row>
    <row r="9" spans="1:5" ht="15" x14ac:dyDescent="0.25">
      <c r="A9" s="3" t="s">
        <v>223</v>
      </c>
      <c r="B9" s="257" t="s">
        <v>224</v>
      </c>
      <c r="D9" s="99" t="s">
        <v>507</v>
      </c>
      <c r="E9" t="s">
        <v>4</v>
      </c>
    </row>
    <row r="10" spans="1:5" ht="15" x14ac:dyDescent="0.25">
      <c r="A10" s="3"/>
      <c r="B10" s="3"/>
      <c r="D10" s="3"/>
    </row>
    <row r="11" spans="1:5" ht="15" x14ac:dyDescent="0.25">
      <c r="A11" s="3" t="s">
        <v>225</v>
      </c>
      <c r="B11" s="5" t="s">
        <v>226</v>
      </c>
      <c r="D11" s="242">
        <v>1.5900000000000001E-2</v>
      </c>
      <c r="E11" s="121" t="s">
        <v>513</v>
      </c>
    </row>
    <row r="12" spans="1:5" ht="15" x14ac:dyDescent="0.25">
      <c r="A12" s="3" t="s">
        <v>227</v>
      </c>
      <c r="B12" s="5" t="s">
        <v>228</v>
      </c>
      <c r="D12" s="242">
        <v>1.9E-2</v>
      </c>
      <c r="E12" s="121" t="s">
        <v>514</v>
      </c>
    </row>
    <row r="13" spans="1:5" ht="15" x14ac:dyDescent="0.25">
      <c r="A13" s="3" t="s">
        <v>229</v>
      </c>
      <c r="B13" s="5" t="s">
        <v>230</v>
      </c>
      <c r="D13" s="242">
        <v>8.9999999999999998E-4</v>
      </c>
      <c r="E13" s="121" t="s">
        <v>515</v>
      </c>
    </row>
    <row r="14" spans="1:5" ht="15" x14ac:dyDescent="0.25">
      <c r="A14" s="3" t="s">
        <v>231</v>
      </c>
      <c r="B14" s="5" t="s">
        <v>232</v>
      </c>
      <c r="D14" s="242">
        <v>1.8800000000000001E-2</v>
      </c>
      <c r="E14" s="121" t="s">
        <v>516</v>
      </c>
    </row>
    <row r="15" spans="1:5" ht="15" x14ac:dyDescent="0.25">
      <c r="A15" s="3" t="s">
        <v>233</v>
      </c>
      <c r="B15" s="5" t="s">
        <v>234</v>
      </c>
      <c r="D15" s="242">
        <v>1.44E-2</v>
      </c>
      <c r="E15" s="121" t="s">
        <v>517</v>
      </c>
    </row>
    <row r="16" spans="1:5" ht="15" x14ac:dyDescent="0.25">
      <c r="A16" s="3"/>
      <c r="B16" s="3"/>
      <c r="D16" s="243"/>
      <c r="E16" s="121"/>
    </row>
    <row r="17" spans="1:5" ht="15" x14ac:dyDescent="0.25">
      <c r="A17" s="88" t="s">
        <v>235</v>
      </c>
      <c r="B17" s="258">
        <v>36100</v>
      </c>
      <c r="D17" s="157">
        <v>1.6500000000000001E-2</v>
      </c>
      <c r="E17" s="121" t="s">
        <v>518</v>
      </c>
    </row>
    <row r="18" spans="1:5" ht="15" x14ac:dyDescent="0.25">
      <c r="A18" s="88" t="s">
        <v>236</v>
      </c>
      <c r="B18" s="258" t="s">
        <v>237</v>
      </c>
      <c r="D18" s="157">
        <v>2.01E-2</v>
      </c>
      <c r="E18" s="121" t="s">
        <v>519</v>
      </c>
    </row>
    <row r="19" spans="1:5" ht="15" x14ac:dyDescent="0.25">
      <c r="A19" s="88" t="s">
        <v>238</v>
      </c>
      <c r="B19" s="258" t="s">
        <v>239</v>
      </c>
      <c r="D19" s="157">
        <v>2.1100000000000001E-2</v>
      </c>
      <c r="E19" s="121" t="s">
        <v>520</v>
      </c>
    </row>
    <row r="20" spans="1:5" ht="15" x14ac:dyDescent="0.25">
      <c r="A20" s="88" t="s">
        <v>240</v>
      </c>
      <c r="B20" s="258" t="s">
        <v>241</v>
      </c>
      <c r="D20" s="157">
        <v>1.9400000000000001E-2</v>
      </c>
      <c r="E20" s="121" t="s">
        <v>521</v>
      </c>
    </row>
    <row r="21" spans="1:5" ht="15" x14ac:dyDescent="0.25">
      <c r="A21" s="88" t="s">
        <v>242</v>
      </c>
      <c r="B21" s="258" t="s">
        <v>243</v>
      </c>
      <c r="D21" s="157">
        <v>1.5299999999999999E-2</v>
      </c>
      <c r="E21" s="121" t="s">
        <v>522</v>
      </c>
    </row>
    <row r="22" spans="1:5" ht="15" x14ac:dyDescent="0.25">
      <c r="A22" s="88" t="s">
        <v>244</v>
      </c>
      <c r="B22" s="258" t="s">
        <v>245</v>
      </c>
      <c r="D22" s="157">
        <v>1.7999999999999999E-2</v>
      </c>
      <c r="E22" s="121" t="s">
        <v>523</v>
      </c>
    </row>
    <row r="23" spans="1:5" ht="15" x14ac:dyDescent="0.25">
      <c r="A23" s="88" t="s">
        <v>246</v>
      </c>
      <c r="B23" s="258" t="s">
        <v>247</v>
      </c>
      <c r="D23" s="157">
        <v>1.61E-2</v>
      </c>
      <c r="E23" s="121" t="s">
        <v>524</v>
      </c>
    </row>
    <row r="24" spans="1:5" ht="15" x14ac:dyDescent="0.25">
      <c r="A24" s="88" t="s">
        <v>248</v>
      </c>
      <c r="B24" s="258" t="s">
        <v>249</v>
      </c>
      <c r="D24" s="157">
        <v>0.02</v>
      </c>
      <c r="E24" s="121" t="s">
        <v>525</v>
      </c>
    </row>
    <row r="25" spans="1:5" ht="15" x14ac:dyDescent="0.25">
      <c r="A25" s="88" t="s">
        <v>250</v>
      </c>
      <c r="B25" s="258" t="s">
        <v>251</v>
      </c>
      <c r="D25" s="157">
        <v>7.17E-2</v>
      </c>
      <c r="E25" s="121" t="s">
        <v>526</v>
      </c>
    </row>
    <row r="26" spans="1:5" ht="15" x14ac:dyDescent="0.25">
      <c r="A26" s="88" t="s">
        <v>472</v>
      </c>
      <c r="B26" s="258" t="s">
        <v>252</v>
      </c>
      <c r="D26" s="157">
        <v>7.17E-2</v>
      </c>
      <c r="E26" s="121" t="s">
        <v>526</v>
      </c>
    </row>
    <row r="27" spans="1:5" ht="15" x14ac:dyDescent="0.25">
      <c r="A27" s="88" t="s">
        <v>358</v>
      </c>
      <c r="B27" s="258">
        <v>37100</v>
      </c>
      <c r="D27" s="157">
        <v>4.5199999999999997E-2</v>
      </c>
      <c r="E27" s="121" t="s">
        <v>527</v>
      </c>
    </row>
    <row r="28" spans="1:5" ht="15" x14ac:dyDescent="0.25">
      <c r="A28" s="88" t="s">
        <v>253</v>
      </c>
      <c r="B28" s="258" t="s">
        <v>254</v>
      </c>
      <c r="D28" s="157">
        <v>3.0300000000000001E-2</v>
      </c>
      <c r="E28" s="121" t="s">
        <v>528</v>
      </c>
    </row>
    <row r="29" spans="1:5" ht="15" x14ac:dyDescent="0.25">
      <c r="A29" s="3"/>
      <c r="B29" s="91"/>
      <c r="D29" s="244"/>
      <c r="E29" s="121"/>
    </row>
    <row r="30" spans="1:5" ht="15" x14ac:dyDescent="0.25">
      <c r="A30" s="88" t="s">
        <v>255</v>
      </c>
      <c r="B30" s="258" t="s">
        <v>256</v>
      </c>
      <c r="D30" s="157">
        <v>2.8400000000000002E-2</v>
      </c>
      <c r="E30" s="121" t="s">
        <v>529</v>
      </c>
    </row>
    <row r="31" spans="1:5" ht="15" x14ac:dyDescent="0.25">
      <c r="A31" s="88" t="s">
        <v>257</v>
      </c>
      <c r="B31" s="258" t="s">
        <v>258</v>
      </c>
      <c r="D31" s="157">
        <v>2.8400000000000002E-2</v>
      </c>
      <c r="E31" s="121" t="s">
        <v>529</v>
      </c>
    </row>
    <row r="32" spans="1:5" ht="15" x14ac:dyDescent="0.25">
      <c r="A32" s="88" t="s">
        <v>259</v>
      </c>
      <c r="B32" s="258" t="s">
        <v>260</v>
      </c>
      <c r="D32" s="157">
        <v>9.3200000000000005E-2</v>
      </c>
      <c r="E32" s="121" t="s">
        <v>530</v>
      </c>
    </row>
    <row r="33" spans="1:5" ht="15" x14ac:dyDescent="0.25">
      <c r="A33" s="88" t="s">
        <v>261</v>
      </c>
      <c r="B33" s="258" t="s">
        <v>262</v>
      </c>
      <c r="D33" s="157">
        <v>9.3200000000000005E-2</v>
      </c>
      <c r="E33" s="121" t="s">
        <v>530</v>
      </c>
    </row>
    <row r="34" spans="1:5" ht="15" x14ac:dyDescent="0.25">
      <c r="A34" s="88" t="s">
        <v>456</v>
      </c>
      <c r="B34" s="258">
        <v>39200</v>
      </c>
      <c r="D34" s="157">
        <v>6.0299999999999999E-2</v>
      </c>
      <c r="E34" s="121" t="s">
        <v>531</v>
      </c>
    </row>
    <row r="35" spans="1:5" ht="15" x14ac:dyDescent="0.25">
      <c r="A35" s="88" t="s">
        <v>457</v>
      </c>
      <c r="B35" s="258">
        <v>39210</v>
      </c>
      <c r="D35" s="157">
        <v>6.0299999999999999E-2</v>
      </c>
      <c r="E35" s="121" t="s">
        <v>531</v>
      </c>
    </row>
    <row r="36" spans="1:5" ht="15" x14ac:dyDescent="0.25">
      <c r="A36" s="88" t="s">
        <v>263</v>
      </c>
      <c r="B36" s="258" t="s">
        <v>264</v>
      </c>
      <c r="D36" s="157">
        <v>1.35E-2</v>
      </c>
      <c r="E36" s="121" t="s">
        <v>532</v>
      </c>
    </row>
    <row r="37" spans="1:5" ht="15" x14ac:dyDescent="0.25">
      <c r="A37" s="88" t="s">
        <v>265</v>
      </c>
      <c r="B37" s="258" t="s">
        <v>266</v>
      </c>
      <c r="D37" s="157">
        <v>3.2099999999999997E-2</v>
      </c>
      <c r="E37" s="121" t="s">
        <v>533</v>
      </c>
    </row>
    <row r="38" spans="1:5" ht="15" x14ac:dyDescent="0.25">
      <c r="A38" s="88" t="s">
        <v>267</v>
      </c>
      <c r="B38" s="258" t="s">
        <v>268</v>
      </c>
      <c r="D38" s="157">
        <v>4.0500000000000001E-2</v>
      </c>
      <c r="E38" s="121" t="s">
        <v>534</v>
      </c>
    </row>
    <row r="39" spans="1:5" ht="15" x14ac:dyDescent="0.25">
      <c r="A39" s="88" t="s">
        <v>269</v>
      </c>
      <c r="B39" s="258" t="s">
        <v>270</v>
      </c>
      <c r="D39" s="157">
        <v>4.0599999999999997E-2</v>
      </c>
      <c r="E39" s="121" t="s">
        <v>535</v>
      </c>
    </row>
    <row r="40" spans="1:5" ht="15" x14ac:dyDescent="0.25">
      <c r="A40" s="88" t="s">
        <v>271</v>
      </c>
      <c r="B40" s="258" t="s">
        <v>272</v>
      </c>
      <c r="D40" s="157">
        <v>4.4400000000000002E-2</v>
      </c>
      <c r="E40" s="121" t="s">
        <v>536</v>
      </c>
    </row>
    <row r="41" spans="1:5" ht="15" x14ac:dyDescent="0.25">
      <c r="A41" s="88" t="s">
        <v>339</v>
      </c>
      <c r="B41" s="258">
        <v>39900</v>
      </c>
      <c r="D41" s="269" t="s">
        <v>54</v>
      </c>
      <c r="E41" s="121"/>
    </row>
    <row r="42" spans="1:5" ht="15" x14ac:dyDescent="0.25">
      <c r="A42" s="3"/>
      <c r="B42" s="3"/>
      <c r="C42" s="3"/>
      <c r="D42" s="3"/>
    </row>
    <row r="43" spans="1:5" ht="15" x14ac:dyDescent="0.25">
      <c r="A43" s="259" t="s">
        <v>508</v>
      </c>
      <c r="B43" s="3"/>
      <c r="C43" s="3"/>
      <c r="D43" s="3"/>
    </row>
    <row r="44" spans="1:5" ht="15" x14ac:dyDescent="0.25">
      <c r="A44" s="3"/>
      <c r="B44" s="3"/>
      <c r="C44" s="3"/>
    </row>
  </sheetData>
  <customSheetViews>
    <customSheetView guid="{64F6106B-9E0C-489A-BDF0-E26F35DDE29F}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G63"/>
  <sheetViews>
    <sheetView showGridLines="0" zoomScale="85" zoomScaleNormal="85" workbookViewId="0">
      <selection activeCell="E33" sqref="E33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  <col min="6" max="6" width="10" bestFit="1" customWidth="1"/>
  </cols>
  <sheetData>
    <row r="4" spans="1:7" ht="19.5" x14ac:dyDescent="0.35">
      <c r="C4" s="70" t="s">
        <v>118</v>
      </c>
      <c r="D4" s="3"/>
      <c r="E4" s="3"/>
      <c r="F4" s="3"/>
      <c r="G4" s="3"/>
    </row>
    <row r="5" spans="1:7" ht="15" x14ac:dyDescent="0.25">
      <c r="C5" s="21" t="s">
        <v>375</v>
      </c>
      <c r="D5" s="3"/>
      <c r="E5" s="3"/>
      <c r="F5" s="3"/>
      <c r="G5" s="3"/>
    </row>
    <row r="6" spans="1:7" ht="15" x14ac:dyDescent="0.25">
      <c r="C6" s="71" t="str">
        <f>+'5 Allocation'!B6</f>
        <v>Actual 2017</v>
      </c>
      <c r="D6" s="3"/>
      <c r="E6" s="3"/>
      <c r="F6" s="3"/>
      <c r="G6" s="3"/>
    </row>
    <row r="7" spans="1:7" ht="15" x14ac:dyDescent="0.25">
      <c r="C7" s="71" t="str">
        <f>+'5 Allocation'!B7</f>
        <v>Reg Liab in ADIT</v>
      </c>
      <c r="D7" s="3"/>
      <c r="E7" s="3"/>
      <c r="F7" s="5" t="s">
        <v>119</v>
      </c>
      <c r="G7" s="3"/>
    </row>
    <row r="8" spans="1:7" ht="15" x14ac:dyDescent="0.25">
      <c r="C8" s="3"/>
      <c r="D8" s="3"/>
      <c r="E8" s="3"/>
      <c r="F8" s="5" t="s">
        <v>183</v>
      </c>
      <c r="G8" s="3"/>
    </row>
    <row r="9" spans="1:7" ht="15" x14ac:dyDescent="0.25">
      <c r="C9" s="3"/>
      <c r="D9" s="3"/>
      <c r="E9" s="3"/>
      <c r="F9" s="5" t="s">
        <v>464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377</v>
      </c>
      <c r="D11" s="7" t="s">
        <v>99</v>
      </c>
      <c r="F11" s="3"/>
    </row>
    <row r="12" spans="1:7" ht="15" x14ac:dyDescent="0.25">
      <c r="A12" s="28" t="s">
        <v>70</v>
      </c>
      <c r="B12" s="3"/>
      <c r="C12" s="21" t="s">
        <v>378</v>
      </c>
      <c r="D12" s="7" t="s">
        <v>4</v>
      </c>
      <c r="F12" s="97"/>
    </row>
    <row r="13" spans="1:7" ht="15" x14ac:dyDescent="0.25">
      <c r="A13" s="28"/>
      <c r="B13" s="3"/>
      <c r="C13" s="8"/>
      <c r="D13" s="32"/>
      <c r="F13" s="97"/>
    </row>
    <row r="14" spans="1:7" ht="19.5" x14ac:dyDescent="0.35">
      <c r="A14" s="28">
        <v>1</v>
      </c>
      <c r="B14" s="125" t="s">
        <v>68</v>
      </c>
      <c r="C14" s="8"/>
      <c r="D14" s="32"/>
      <c r="F14" s="97"/>
    </row>
    <row r="15" spans="1:7" ht="15" x14ac:dyDescent="0.25">
      <c r="A15" s="126">
        <f>1+A14</f>
        <v>2</v>
      </c>
      <c r="B15" s="123" t="s">
        <v>362</v>
      </c>
      <c r="C15" s="203">
        <v>214404254.47</v>
      </c>
      <c r="D15" s="121" t="s">
        <v>384</v>
      </c>
    </row>
    <row r="16" spans="1:7" ht="15" x14ac:dyDescent="0.25">
      <c r="A16" s="126">
        <f t="shared" ref="A16:A27" si="0">1+A15</f>
        <v>3</v>
      </c>
      <c r="B16" s="124" t="s">
        <v>373</v>
      </c>
      <c r="C16" s="204">
        <v>214893577.16</v>
      </c>
      <c r="D16" s="121" t="s">
        <v>495</v>
      </c>
    </row>
    <row r="17" spans="1:7" ht="15" x14ac:dyDescent="0.25">
      <c r="A17" s="126">
        <f t="shared" si="0"/>
        <v>4</v>
      </c>
      <c r="B17" s="123" t="s">
        <v>363</v>
      </c>
      <c r="C17" s="204">
        <v>217567403.85999998</v>
      </c>
      <c r="D17" s="121" t="s">
        <v>495</v>
      </c>
    </row>
    <row r="18" spans="1:7" ht="15" x14ac:dyDescent="0.25">
      <c r="A18" s="126">
        <f t="shared" si="0"/>
        <v>5</v>
      </c>
      <c r="B18" s="123" t="s">
        <v>364</v>
      </c>
      <c r="C18" s="204">
        <v>218094089.49000001</v>
      </c>
      <c r="D18" s="121" t="s">
        <v>495</v>
      </c>
    </row>
    <row r="19" spans="1:7" ht="15" x14ac:dyDescent="0.25">
      <c r="A19" s="126">
        <f t="shared" si="0"/>
        <v>6</v>
      </c>
      <c r="B19" s="123" t="s">
        <v>365</v>
      </c>
      <c r="C19" s="204">
        <v>219068899.41999999</v>
      </c>
      <c r="D19" s="121" t="s">
        <v>495</v>
      </c>
    </row>
    <row r="20" spans="1:7" ht="15" x14ac:dyDescent="0.25">
      <c r="A20" s="126">
        <f t="shared" si="0"/>
        <v>7</v>
      </c>
      <c r="B20" s="123" t="s">
        <v>366</v>
      </c>
      <c r="C20" s="204">
        <v>219613775.28</v>
      </c>
      <c r="D20" s="121" t="s">
        <v>495</v>
      </c>
    </row>
    <row r="21" spans="1:7" ht="15" x14ac:dyDescent="0.25">
      <c r="A21" s="126">
        <f t="shared" si="0"/>
        <v>8</v>
      </c>
      <c r="B21" s="123" t="s">
        <v>367</v>
      </c>
      <c r="C21" s="204">
        <v>179322009.13999999</v>
      </c>
      <c r="D21" s="121" t="s">
        <v>495</v>
      </c>
    </row>
    <row r="22" spans="1:7" ht="15" x14ac:dyDescent="0.25">
      <c r="A22" s="126">
        <f t="shared" si="0"/>
        <v>9</v>
      </c>
      <c r="B22" s="123" t="s">
        <v>368</v>
      </c>
      <c r="C22" s="204">
        <v>179672125.12</v>
      </c>
      <c r="D22" s="121" t="s">
        <v>495</v>
      </c>
    </row>
    <row r="23" spans="1:7" ht="15" x14ac:dyDescent="0.25">
      <c r="A23" s="126">
        <f t="shared" si="0"/>
        <v>10</v>
      </c>
      <c r="B23" s="123" t="s">
        <v>369</v>
      </c>
      <c r="C23" s="204">
        <v>179777263.05000001</v>
      </c>
      <c r="D23" s="121" t="s">
        <v>495</v>
      </c>
    </row>
    <row r="24" spans="1:7" ht="15" x14ac:dyDescent="0.25">
      <c r="A24" s="126">
        <f t="shared" si="0"/>
        <v>11</v>
      </c>
      <c r="B24" s="123" t="s">
        <v>370</v>
      </c>
      <c r="C24" s="204">
        <v>180460451.20999998</v>
      </c>
      <c r="D24" s="121" t="s">
        <v>495</v>
      </c>
    </row>
    <row r="25" spans="1:7" ht="15" x14ac:dyDescent="0.25">
      <c r="A25" s="126">
        <f t="shared" si="0"/>
        <v>12</v>
      </c>
      <c r="B25" s="123" t="s">
        <v>371</v>
      </c>
      <c r="C25" s="204">
        <v>180640336.65000001</v>
      </c>
      <c r="D25" s="121" t="s">
        <v>495</v>
      </c>
    </row>
    <row r="26" spans="1:7" ht="15" x14ac:dyDescent="0.25">
      <c r="A26" s="126">
        <f t="shared" si="0"/>
        <v>13</v>
      </c>
      <c r="B26" s="123" t="s">
        <v>372</v>
      </c>
      <c r="C26" s="204">
        <v>180871691.94999999</v>
      </c>
      <c r="D26" s="121" t="s">
        <v>495</v>
      </c>
    </row>
    <row r="27" spans="1:7" ht="15" x14ac:dyDescent="0.25">
      <c r="A27" s="126">
        <f t="shared" si="0"/>
        <v>14</v>
      </c>
      <c r="B27" s="124" t="s">
        <v>374</v>
      </c>
      <c r="C27" s="204">
        <v>181400623.99000001</v>
      </c>
      <c r="D27" s="121" t="s">
        <v>385</v>
      </c>
    </row>
    <row r="28" spans="1:7" ht="15" x14ac:dyDescent="0.25">
      <c r="C28" s="122"/>
    </row>
    <row r="29" spans="1:7" ht="15" x14ac:dyDescent="0.25">
      <c r="A29" s="126">
        <f>1+A27</f>
        <v>15</v>
      </c>
      <c r="B29" s="123" t="s">
        <v>376</v>
      </c>
      <c r="C29" s="72">
        <f>AVERAGE(C15:C27)</f>
        <v>197368192.36846155</v>
      </c>
      <c r="G29" s="3"/>
    </row>
    <row r="30" spans="1:7" ht="15" x14ac:dyDescent="0.25">
      <c r="C30" s="122"/>
      <c r="G30" s="9"/>
    </row>
    <row r="31" spans="1:7" ht="19.5" x14ac:dyDescent="0.35">
      <c r="A31" s="28">
        <f>1+A29</f>
        <v>16</v>
      </c>
      <c r="B31" s="125" t="s">
        <v>379</v>
      </c>
      <c r="C31" s="127"/>
      <c r="D31" s="32"/>
      <c r="F31" s="97"/>
    </row>
    <row r="32" spans="1:7" ht="15" x14ac:dyDescent="0.25">
      <c r="A32" s="126">
        <f>1+A31</f>
        <v>17</v>
      </c>
      <c r="B32" s="123" t="s">
        <v>362</v>
      </c>
      <c r="C32" s="205">
        <v>124899597.12999998</v>
      </c>
      <c r="D32" s="121" t="s">
        <v>386</v>
      </c>
    </row>
    <row r="33" spans="1:6" ht="15" x14ac:dyDescent="0.25">
      <c r="A33" s="126">
        <f t="shared" ref="A33:A44" si="1">1+A32</f>
        <v>18</v>
      </c>
      <c r="B33" s="124" t="s">
        <v>373</v>
      </c>
      <c r="C33" s="206">
        <v>125228286.11</v>
      </c>
      <c r="D33" s="121" t="s">
        <v>495</v>
      </c>
    </row>
    <row r="34" spans="1:6" ht="15" x14ac:dyDescent="0.25">
      <c r="A34" s="126">
        <f t="shared" si="1"/>
        <v>19</v>
      </c>
      <c r="B34" s="123" t="s">
        <v>363</v>
      </c>
      <c r="C34" s="206">
        <v>125366556.84</v>
      </c>
      <c r="D34" s="121" t="s">
        <v>495</v>
      </c>
    </row>
    <row r="35" spans="1:6" ht="15" x14ac:dyDescent="0.25">
      <c r="A35" s="126">
        <f t="shared" si="1"/>
        <v>20</v>
      </c>
      <c r="B35" s="123" t="s">
        <v>364</v>
      </c>
      <c r="C35" s="206">
        <v>126444134.84</v>
      </c>
      <c r="D35" s="121" t="s">
        <v>495</v>
      </c>
    </row>
    <row r="36" spans="1:6" ht="15" x14ac:dyDescent="0.25">
      <c r="A36" s="126">
        <f t="shared" si="1"/>
        <v>21</v>
      </c>
      <c r="B36" s="123" t="s">
        <v>365</v>
      </c>
      <c r="C36" s="206">
        <v>126665286.77</v>
      </c>
      <c r="D36" s="121" t="s">
        <v>495</v>
      </c>
    </row>
    <row r="37" spans="1:6" ht="15" x14ac:dyDescent="0.25">
      <c r="A37" s="126">
        <f t="shared" si="1"/>
        <v>22</v>
      </c>
      <c r="B37" s="123" t="s">
        <v>366</v>
      </c>
      <c r="C37" s="206">
        <v>126231970.90999998</v>
      </c>
      <c r="D37" s="121" t="s">
        <v>495</v>
      </c>
    </row>
    <row r="38" spans="1:6" ht="15" x14ac:dyDescent="0.25">
      <c r="A38" s="126">
        <f t="shared" si="1"/>
        <v>23</v>
      </c>
      <c r="B38" s="123" t="s">
        <v>367</v>
      </c>
      <c r="C38" s="206">
        <v>127463335.22999999</v>
      </c>
      <c r="D38" s="121" t="s">
        <v>495</v>
      </c>
    </row>
    <row r="39" spans="1:6" ht="15" x14ac:dyDescent="0.25">
      <c r="A39" s="126">
        <f t="shared" si="1"/>
        <v>24</v>
      </c>
      <c r="B39" s="123" t="s">
        <v>368</v>
      </c>
      <c r="C39" s="206">
        <v>128719487.63999997</v>
      </c>
      <c r="D39" s="121" t="s">
        <v>495</v>
      </c>
    </row>
    <row r="40" spans="1:6" ht="15" x14ac:dyDescent="0.25">
      <c r="A40" s="126">
        <f t="shared" si="1"/>
        <v>25</v>
      </c>
      <c r="B40" s="123" t="s">
        <v>369</v>
      </c>
      <c r="C40" s="206">
        <v>125646705.95999998</v>
      </c>
      <c r="D40" s="121" t="s">
        <v>495</v>
      </c>
    </row>
    <row r="41" spans="1:6" ht="15" x14ac:dyDescent="0.25">
      <c r="A41" s="126">
        <f t="shared" si="1"/>
        <v>26</v>
      </c>
      <c r="B41" s="123" t="s">
        <v>370</v>
      </c>
      <c r="C41" s="206">
        <v>133626068.94</v>
      </c>
      <c r="D41" s="121" t="s">
        <v>495</v>
      </c>
    </row>
    <row r="42" spans="1:6" ht="15" x14ac:dyDescent="0.25">
      <c r="A42" s="126">
        <f t="shared" si="1"/>
        <v>27</v>
      </c>
      <c r="B42" s="123" t="s">
        <v>371</v>
      </c>
      <c r="C42" s="206">
        <v>134108708.65000001</v>
      </c>
      <c r="D42" s="121" t="s">
        <v>495</v>
      </c>
    </row>
    <row r="43" spans="1:6" ht="15" x14ac:dyDescent="0.25">
      <c r="A43" s="126">
        <f t="shared" si="1"/>
        <v>28</v>
      </c>
      <c r="B43" s="123" t="s">
        <v>372</v>
      </c>
      <c r="C43" s="206">
        <v>134399891.42999998</v>
      </c>
      <c r="D43" s="121" t="s">
        <v>495</v>
      </c>
    </row>
    <row r="44" spans="1:6" ht="15" x14ac:dyDescent="0.25">
      <c r="A44" s="126">
        <f t="shared" si="1"/>
        <v>29</v>
      </c>
      <c r="B44" s="124" t="s">
        <v>374</v>
      </c>
      <c r="C44" s="206">
        <v>134546638.66</v>
      </c>
      <c r="D44" s="121" t="s">
        <v>387</v>
      </c>
    </row>
    <row r="45" spans="1:6" ht="15" x14ac:dyDescent="0.25">
      <c r="C45" s="122"/>
    </row>
    <row r="46" spans="1:6" ht="15" x14ac:dyDescent="0.25">
      <c r="A46" s="126">
        <f>1+A44</f>
        <v>30</v>
      </c>
      <c r="B46" s="123" t="s">
        <v>380</v>
      </c>
      <c r="C46" s="72">
        <f>AVERAGE(C32:C44)</f>
        <v>128718974.54692309</v>
      </c>
    </row>
    <row r="47" spans="1:6" ht="15" x14ac:dyDescent="0.25">
      <c r="C47" s="122"/>
    </row>
    <row r="48" spans="1:6" ht="19.5" x14ac:dyDescent="0.35">
      <c r="A48" s="28">
        <f>1+A46</f>
        <v>31</v>
      </c>
      <c r="B48" s="125" t="s">
        <v>381</v>
      </c>
      <c r="C48" s="122"/>
      <c r="D48" s="32"/>
      <c r="F48" s="97"/>
    </row>
    <row r="49" spans="1:4" ht="15" x14ac:dyDescent="0.25">
      <c r="A49" s="126">
        <f>1+A48</f>
        <v>32</v>
      </c>
      <c r="B49" s="123" t="s">
        <v>362</v>
      </c>
      <c r="C49" s="282">
        <f>1684848776.98-5191287</f>
        <v>1679657489.98</v>
      </c>
      <c r="D49" s="121" t="s">
        <v>388</v>
      </c>
    </row>
    <row r="50" spans="1:4" ht="15" x14ac:dyDescent="0.25">
      <c r="A50" s="126">
        <f t="shared" ref="A50:A61" si="2">1+A49</f>
        <v>33</v>
      </c>
      <c r="B50" s="124" t="s">
        <v>373</v>
      </c>
      <c r="C50" s="282">
        <f>1698495547-5191200</f>
        <v>1693304347</v>
      </c>
      <c r="D50" s="121" t="s">
        <v>495</v>
      </c>
    </row>
    <row r="51" spans="1:4" ht="15" x14ac:dyDescent="0.25">
      <c r="A51" s="126">
        <f t="shared" si="2"/>
        <v>34</v>
      </c>
      <c r="B51" s="123" t="s">
        <v>363</v>
      </c>
      <c r="C51" s="282">
        <f>1704440495-5191287</f>
        <v>1699249208</v>
      </c>
      <c r="D51" s="121" t="s">
        <v>495</v>
      </c>
    </row>
    <row r="52" spans="1:4" ht="15" x14ac:dyDescent="0.25">
      <c r="A52" s="126">
        <f t="shared" si="2"/>
        <v>35</v>
      </c>
      <c r="B52" s="123" t="s">
        <v>364</v>
      </c>
      <c r="C52" s="282">
        <f>1713231858-5191287</f>
        <v>1708040571</v>
      </c>
      <c r="D52" s="121" t="s">
        <v>495</v>
      </c>
    </row>
    <row r="53" spans="1:4" ht="15" x14ac:dyDescent="0.25">
      <c r="A53" s="126">
        <f t="shared" si="2"/>
        <v>36</v>
      </c>
      <c r="B53" s="123" t="s">
        <v>365</v>
      </c>
      <c r="C53" s="282">
        <f>1718752011-10097954</f>
        <v>1708654057</v>
      </c>
      <c r="D53" s="121" t="s">
        <v>495</v>
      </c>
    </row>
    <row r="54" spans="1:4" ht="15" x14ac:dyDescent="0.25">
      <c r="A54" s="126">
        <f t="shared" si="2"/>
        <v>37</v>
      </c>
      <c r="B54" s="123" t="s">
        <v>366</v>
      </c>
      <c r="C54" s="282">
        <f>1730993803-10097954</f>
        <v>1720895849</v>
      </c>
      <c r="D54" s="121" t="s">
        <v>495</v>
      </c>
    </row>
    <row r="55" spans="1:4" ht="15" x14ac:dyDescent="0.25">
      <c r="A55" s="126">
        <f t="shared" si="2"/>
        <v>38</v>
      </c>
      <c r="B55" s="123" t="s">
        <v>367</v>
      </c>
      <c r="C55" s="282">
        <f>1705329036-10097954</f>
        <v>1695231082</v>
      </c>
      <c r="D55" s="121" t="s">
        <v>495</v>
      </c>
    </row>
    <row r="56" spans="1:4" ht="15" x14ac:dyDescent="0.25">
      <c r="A56" s="126">
        <f t="shared" si="2"/>
        <v>39</v>
      </c>
      <c r="B56" s="123" t="s">
        <v>368</v>
      </c>
      <c r="C56" s="282">
        <f>1715226234-10097954</f>
        <v>1705128280</v>
      </c>
      <c r="D56" s="121" t="s">
        <v>495</v>
      </c>
    </row>
    <row r="57" spans="1:4" ht="15" x14ac:dyDescent="0.25">
      <c r="A57" s="126">
        <f t="shared" si="2"/>
        <v>40</v>
      </c>
      <c r="B57" s="123" t="s">
        <v>369</v>
      </c>
      <c r="C57" s="282">
        <f>1714940488-10097954</f>
        <v>1704842534</v>
      </c>
      <c r="D57" s="121" t="s">
        <v>495</v>
      </c>
    </row>
    <row r="58" spans="1:4" ht="15" x14ac:dyDescent="0.25">
      <c r="A58" s="126">
        <f t="shared" si="2"/>
        <v>41</v>
      </c>
      <c r="B58" s="123" t="s">
        <v>370</v>
      </c>
      <c r="C58" s="282">
        <f>1728813906-10097954</f>
        <v>1718715952</v>
      </c>
      <c r="D58" s="121" t="s">
        <v>495</v>
      </c>
    </row>
    <row r="59" spans="1:4" ht="15" x14ac:dyDescent="0.25">
      <c r="A59" s="126">
        <f t="shared" si="2"/>
        <v>42</v>
      </c>
      <c r="B59" s="123" t="s">
        <v>371</v>
      </c>
      <c r="C59" s="282">
        <f>1734081839-10097954</f>
        <v>1723983885</v>
      </c>
      <c r="D59" s="121" t="s">
        <v>495</v>
      </c>
    </row>
    <row r="60" spans="1:4" ht="15" x14ac:dyDescent="0.25">
      <c r="A60" s="126">
        <f t="shared" si="2"/>
        <v>43</v>
      </c>
      <c r="B60" s="123" t="s">
        <v>372</v>
      </c>
      <c r="C60" s="282">
        <f>1737461600-10097954</f>
        <v>1727363646</v>
      </c>
      <c r="D60" s="121" t="s">
        <v>495</v>
      </c>
    </row>
    <row r="61" spans="1:4" ht="15" x14ac:dyDescent="0.25">
      <c r="A61" s="126">
        <f t="shared" si="2"/>
        <v>44</v>
      </c>
      <c r="B61" s="124" t="s">
        <v>374</v>
      </c>
      <c r="C61" s="283">
        <f>1749088236-10097954</f>
        <v>1738990282</v>
      </c>
      <c r="D61" s="121" t="s">
        <v>389</v>
      </c>
    </row>
    <row r="62" spans="1:4" ht="15" x14ac:dyDescent="0.25">
      <c r="B62" s="121"/>
      <c r="C62" s="122"/>
    </row>
    <row r="63" spans="1:4" ht="15" x14ac:dyDescent="0.25">
      <c r="A63" s="126">
        <f>1+A61</f>
        <v>45</v>
      </c>
      <c r="B63" s="123" t="s">
        <v>393</v>
      </c>
      <c r="C63" s="72">
        <f>AVERAGE(C49:C61)</f>
        <v>1709542860.2292306</v>
      </c>
    </row>
  </sheetData>
  <pageMargins left="0.7" right="0.7" top="0.75" bottom="0.75" header="0.3" footer="0.3"/>
  <pageSetup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1 ATRR</vt:lpstr>
      <vt:lpstr>2 WACC</vt:lpstr>
      <vt:lpstr>3 Rate Base</vt:lpstr>
      <vt:lpstr>4 Expense</vt:lpstr>
      <vt:lpstr>5 Allocation</vt:lpstr>
      <vt:lpstr>Temp</vt:lpstr>
      <vt:lpstr>6 Dep Rates</vt:lpstr>
      <vt:lpstr>7  13 mo avg plant</vt:lpstr>
      <vt:lpstr>8  13 mo avg accu dep</vt:lpstr>
      <vt:lpstr>9 ADIT</vt:lpstr>
      <vt:lpstr>10   165 Prepayment</vt:lpstr>
      <vt:lpstr>11 Rates</vt:lpstr>
      <vt:lpstr>Sheet1</vt:lpstr>
      <vt:lpstr>_clp1</vt:lpstr>
      <vt:lpstr>_clp2</vt:lpstr>
      <vt:lpstr>Alloc</vt:lpstr>
      <vt:lpstr>clpcoc2</vt:lpstr>
      <vt:lpstr>'1 ATRR'!Print_Area</vt:lpstr>
      <vt:lpstr>'11 Rates'!Print_Area</vt:lpstr>
      <vt:lpstr>'2 WACC'!Print_Area</vt:lpstr>
      <vt:lpstr>'3 Rate Base'!Print_Area</vt:lpstr>
      <vt:lpstr>'4 Expense'!Print_Area</vt:lpstr>
      <vt:lpstr>'5 Allocation'!Print_Area</vt:lpstr>
      <vt:lpstr>'6 Dep Rates'!Print_Area</vt:lpstr>
      <vt:lpstr>'7  13 mo avg plant'!Print_Area</vt:lpstr>
      <vt:lpstr>'8  13 mo avg accu dep'!Print_Area</vt:lpstr>
      <vt:lpstr>'9 ADIT'!Print_Area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Ryan, Bill</cp:lastModifiedBy>
  <cp:lastPrinted>2018-06-01T15:14:09Z</cp:lastPrinted>
  <dcterms:created xsi:type="dcterms:W3CDTF">1996-11-14T19:03:55Z</dcterms:created>
  <dcterms:modified xsi:type="dcterms:W3CDTF">2018-06-01T15:24:26Z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