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7365" yWindow="240" windowWidth="15645" windowHeight="9930" tabRatio="701" activeTab="4"/>
  </bookViews>
  <sheets>
    <sheet name="1 ATRR" sheetId="1" r:id="rId1"/>
    <sheet name="2 WACC" sheetId="2" r:id="rId2"/>
    <sheet name="3 Rate Base" sheetId="3" r:id="rId3"/>
    <sheet name="4 Expense" sheetId="4" r:id="rId4"/>
    <sheet name="5 Allocation" sheetId="5" r:id="rId5"/>
    <sheet name="St.Macros" sheetId="6" state="veryHidden" r:id="rId6"/>
    <sheet name="Temp" sheetId="7" state="hidden" r:id="rId7"/>
    <sheet name="6 Dep Rates" sheetId="8" r:id="rId8"/>
    <sheet name="7  13 mo avg plant" sheetId="9" r:id="rId9"/>
    <sheet name="8  13 mo avg accu dep" sheetId="10" r:id="rId10"/>
    <sheet name="9 ADIT" sheetId="11" r:id="rId11"/>
    <sheet name="10   165 Prepayment" sheetId="12" r:id="rId12"/>
    <sheet name="11 Rates" sheetId="13" r:id="rId13"/>
  </sheets>
  <externalReferences>
    <externalReference r:id="rId14"/>
  </externalReferences>
  <definedNames>
    <definedName name="_clp1">'4 Expense'!$A$7:$H$54</definedName>
    <definedName name="_clp2">'3 Rate Base'!$A$6:$G$39</definedName>
    <definedName name="_coc2">#REF!</definedName>
    <definedName name="_hpe1">#REF!</definedName>
    <definedName name="_hpe2">#REF!</definedName>
    <definedName name="_hwp1">#REF!</definedName>
    <definedName name="_hwp2">#REF!</definedName>
    <definedName name="Alloc">'5 Allocation'!$A$1:$G$42</definedName>
    <definedName name="alloc1">#REF!</definedName>
    <definedName name="alloc2">#REF!</definedName>
    <definedName name="clpcoc">#REF!</definedName>
    <definedName name="clpcoc2">'2 WACC'!$A$1:$T$49</definedName>
    <definedName name="coc">#REF!</definedName>
    <definedName name="Contacts">#REF!</definedName>
    <definedName name="csDesignMode">1</definedName>
    <definedName name="Customers">#REF!</definedName>
    <definedName name="file">[1]A!$A$1</definedName>
    <definedName name="hwpcoc">#REF!</definedName>
    <definedName name="hwpcoc2">#REF!</definedName>
    <definedName name="index">#REF!</definedName>
    <definedName name="naec1">#REF!</definedName>
    <definedName name="naec2">#REF!</definedName>
    <definedName name="naeccoc">#REF!</definedName>
    <definedName name="NAECCOC2">#REF!</definedName>
    <definedName name="panel">#REF!</definedName>
    <definedName name="peaks">#REF!</definedName>
    <definedName name="PPage">#REF!</definedName>
    <definedName name="PPage1">#REF!</definedName>
    <definedName name="PPage2">#REF!</definedName>
    <definedName name="_xlnm.Print_Area" localSheetId="0">'1 ATRR'!$A$3:$L$70</definedName>
    <definedName name="_xlnm.Print_Area" localSheetId="12">'11 Rates'!$A$5:$H$82</definedName>
    <definedName name="_xlnm.Print_Area" localSheetId="1">'2 WACC'!$A$5:$U$92</definedName>
    <definedName name="_xlnm.Print_Area" localSheetId="2">'3 Rate Base'!$A$5:$G$47</definedName>
    <definedName name="_xlnm.Print_Area" localSheetId="3">'4 Expense'!$A$1:$M$68</definedName>
    <definedName name="_xlnm.Print_Area" localSheetId="4">'5 Allocation'!$A$1:$N$47</definedName>
    <definedName name="_xlnm.Print_Area" localSheetId="7">'6 Dep Rates'!$A$1:$F$43</definedName>
    <definedName name="_xlnm.Print_Area" localSheetId="8">'7  13 mo avg plant'!$A$4:$F$64</definedName>
    <definedName name="_xlnm.Print_Area" localSheetId="9">'8  13 mo avg accu dep'!$A$4:$G$47</definedName>
    <definedName name="_xlnm.Print_Area" localSheetId="10">'9 ADIT'!$A$4:$G$28</definedName>
    <definedName name="psnh1">#REF!</definedName>
    <definedName name="psnh2">#REF!</definedName>
    <definedName name="psnhcoc">#REF!</definedName>
    <definedName name="PSNHCOC2">#REF!</definedName>
    <definedName name="Purpose">#REF!</definedName>
    <definedName name="Source">#REF!</definedName>
    <definedName name="sum">#REF!</definedName>
    <definedName name="sumptf2">'1 ATRR'!$A$1:$W$45</definedName>
    <definedName name="sumtran2">#REF!</definedName>
    <definedName name="sumtrans">#REF!</definedName>
    <definedName name="totaltrans">#REF!</definedName>
    <definedName name="wages">#REF!</definedName>
    <definedName name="wmeco1">#REF!</definedName>
    <definedName name="wmeco2">#REF!</definedName>
    <definedName name="wmecococ">#REF!</definedName>
    <definedName name="WMECOCOC2">#REF!</definedName>
    <definedName name="Z_64F6106B_9E0C_489A_BDF0_E26F35DDE29F_.wvu.PrintArea" localSheetId="0" hidden="1">'1 ATRR'!$A$3:$L$70</definedName>
    <definedName name="Z_64F6106B_9E0C_489A_BDF0_E26F35DDE29F_.wvu.PrintArea" localSheetId="1" hidden="1">'2 WACC'!$A$2:$T$49</definedName>
    <definedName name="Z_64F6106B_9E0C_489A_BDF0_E26F35DDE29F_.wvu.PrintArea" localSheetId="2" hidden="1">'3 Rate Base'!$A$5:$G$47</definedName>
    <definedName name="Z_64F6106B_9E0C_489A_BDF0_E26F35DDE29F_.wvu.PrintArea" localSheetId="3" hidden="1">'4 Expense'!$A$5:$K$87</definedName>
    <definedName name="Z_64F6106B_9E0C_489A_BDF0_E26F35DDE29F_.wvu.PrintArea" localSheetId="4" hidden="1">'5 Allocation'!$A$4:$K$47</definedName>
  </definedNames>
  <calcPr calcId="145621"/>
  <customWorkbookViews>
    <customWorkbookView name="Carl Scott - Personal View" guid="{64F6106B-9E0C-489A-BDF0-E26F35DDE29F}" mergeInterval="0" personalView="1" maximized="1" xWindow="1" yWindow="1" windowWidth="1366" windowHeight="496" tabRatio="701" activeSheetId="1" showComments="commIndAndComment"/>
  </customWorkbookViews>
</workbook>
</file>

<file path=xl/calcChain.xml><?xml version="1.0" encoding="utf-8"?>
<calcChain xmlns="http://schemas.openxmlformats.org/spreadsheetml/2006/main">
  <c r="E48" i="13" l="1"/>
  <c r="E44" i="13"/>
  <c r="C29" i="3" l="1"/>
  <c r="K85" i="2" l="1"/>
  <c r="K84" i="2"/>
  <c r="K82" i="2"/>
  <c r="K60" i="2"/>
  <c r="K54" i="2"/>
  <c r="C33" i="3"/>
  <c r="C30" i="4"/>
  <c r="E16" i="12" l="1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D38" i="12" l="1"/>
  <c r="C38" i="12"/>
  <c r="A38" i="12"/>
  <c r="A37" i="12"/>
  <c r="A33" i="12"/>
  <c r="A34" i="12" s="1"/>
  <c r="A35" i="12" s="1"/>
  <c r="A36" i="12" s="1"/>
  <c r="E36" i="11" l="1"/>
  <c r="C28" i="3" s="1"/>
  <c r="E28" i="11"/>
  <c r="C27" i="3" s="1"/>
  <c r="E20" i="11"/>
  <c r="C26" i="3" s="1"/>
  <c r="K86" i="2"/>
  <c r="E15" i="2" s="1"/>
  <c r="C38" i="4"/>
  <c r="E57" i="1"/>
  <c r="C65" i="4"/>
  <c r="C24" i="4" s="1"/>
  <c r="K71" i="2"/>
  <c r="K58" i="2"/>
  <c r="E13" i="2" s="1"/>
  <c r="P15" i="2"/>
  <c r="F56" i="13"/>
  <c r="B71" i="13"/>
  <c r="K79" i="2"/>
  <c r="E14" i="2" s="1"/>
  <c r="P14" i="2"/>
  <c r="E46" i="13"/>
  <c r="E41" i="13"/>
  <c r="C29" i="4" s="1"/>
  <c r="C31" i="4" s="1"/>
  <c r="A36" i="13"/>
  <c r="A37" i="13"/>
  <c r="A38" i="13" s="1"/>
  <c r="A39" i="13" s="1"/>
  <c r="A41" i="13" s="1"/>
  <c r="A43" i="13" s="1"/>
  <c r="A44" i="13" s="1"/>
  <c r="A46" i="13" s="1"/>
  <c r="A48" i="13" s="1"/>
  <c r="A56" i="13"/>
  <c r="A58" i="13" s="1"/>
  <c r="A60" i="13"/>
  <c r="A62" i="13" s="1"/>
  <c r="A64" i="13" s="1"/>
  <c r="A66" i="13" s="1"/>
  <c r="A67" i="13" s="1"/>
  <c r="A70" i="13" s="1"/>
  <c r="A71" i="13" s="1"/>
  <c r="A73" i="13" s="1"/>
  <c r="A75" i="13" s="1"/>
  <c r="A77" i="13" s="1"/>
  <c r="A78" i="13" s="1"/>
  <c r="A80" i="13" s="1"/>
  <c r="A81" i="13" s="1"/>
  <c r="A18" i="13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30" i="13" s="1"/>
  <c r="A31" i="13" s="1"/>
  <c r="C8" i="13"/>
  <c r="C7" i="13"/>
  <c r="E15" i="12"/>
  <c r="C29" i="10"/>
  <c r="C20" i="3" s="1"/>
  <c r="C63" i="9"/>
  <c r="D38" i="5"/>
  <c r="C29" i="9"/>
  <c r="C15" i="3" s="1"/>
  <c r="C46" i="9"/>
  <c r="C16" i="3" s="1"/>
  <c r="A15" i="12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C7" i="12"/>
  <c r="C6" i="12"/>
  <c r="C7" i="11"/>
  <c r="C6" i="11"/>
  <c r="A15" i="10"/>
  <c r="A16" i="10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9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6" i="10" s="1"/>
  <c r="C7" i="10"/>
  <c r="C6" i="10"/>
  <c r="C7" i="9"/>
  <c r="C6" i="9"/>
  <c r="A15" i="9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9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6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3" i="9" s="1"/>
  <c r="C56" i="4"/>
  <c r="C42" i="4" s="1"/>
  <c r="A11" i="2"/>
  <c r="A14" i="2"/>
  <c r="A15" i="2" s="1"/>
  <c r="A24" i="2"/>
  <c r="A25" i="2" s="1"/>
  <c r="A28" i="2"/>
  <c r="A33" i="2"/>
  <c r="A34" i="2"/>
  <c r="A37" i="2"/>
  <c r="A54" i="2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19" i="5"/>
  <c r="A20" i="5"/>
  <c r="E51" i="1"/>
  <c r="A23" i="5"/>
  <c r="A24" i="5" s="1"/>
  <c r="A29" i="5"/>
  <c r="A30" i="5" s="1"/>
  <c r="A31" i="5" s="1"/>
  <c r="A32" i="5" s="1"/>
  <c r="A35" i="5"/>
  <c r="A36" i="5" s="1"/>
  <c r="A45" i="5"/>
  <c r="D20" i="5"/>
  <c r="D22" i="5" s="1"/>
  <c r="B7" i="4"/>
  <c r="B8" i="4"/>
  <c r="A18" i="4"/>
  <c r="A19" i="4" s="1"/>
  <c r="A24" i="4"/>
  <c r="A27" i="4"/>
  <c r="A28" i="4"/>
  <c r="A29" i="4" s="1"/>
  <c r="A30" i="4" s="1"/>
  <c r="A31" i="4" s="1"/>
  <c r="A34" i="4"/>
  <c r="A35" i="4" s="1"/>
  <c r="A36" i="4" s="1"/>
  <c r="A37" i="4" s="1"/>
  <c r="A38" i="4" s="1"/>
  <c r="A39" i="4" s="1"/>
  <c r="A47" i="4"/>
  <c r="A48" i="4" s="1"/>
  <c r="A49" i="4"/>
  <c r="A51" i="4" s="1"/>
  <c r="A52" i="4" s="1"/>
  <c r="A53" i="4" s="1"/>
  <c r="A54" i="4" s="1"/>
  <c r="A55" i="4" s="1"/>
  <c r="A56" i="4" s="1"/>
  <c r="B47" i="4"/>
  <c r="B48" i="4"/>
  <c r="B49" i="4"/>
  <c r="B7" i="3"/>
  <c r="B8" i="3"/>
  <c r="A16" i="3"/>
  <c r="A17" i="3" s="1"/>
  <c r="A20" i="3"/>
  <c r="A21" i="3" s="1"/>
  <c r="A22" i="3" s="1"/>
  <c r="A25" i="3"/>
  <c r="A26" i="3"/>
  <c r="A27" i="3" s="1"/>
  <c r="A28" i="3"/>
  <c r="A29" i="3" s="1"/>
  <c r="A36" i="3"/>
  <c r="A37" i="3" s="1"/>
  <c r="A38" i="3"/>
  <c r="A39" i="3" s="1"/>
  <c r="A40" i="3" s="1"/>
  <c r="A45" i="3"/>
  <c r="A46" i="3"/>
  <c r="A47" i="3" s="1"/>
  <c r="F39" i="3"/>
  <c r="B45" i="3"/>
  <c r="B46" i="3"/>
  <c r="B47" i="3"/>
  <c r="E6" i="2"/>
  <c r="E7" i="2"/>
  <c r="N28" i="2"/>
  <c r="N37" i="2"/>
  <c r="D5" i="1"/>
  <c r="D6" i="1"/>
  <c r="A59" i="4"/>
  <c r="A60" i="4" s="1"/>
  <c r="A61" i="4" s="1"/>
  <c r="A62" i="4" s="1"/>
  <c r="A63" i="4" s="1"/>
  <c r="A64" i="4" s="1"/>
  <c r="A65" i="4" s="1"/>
  <c r="A66" i="4" s="1"/>
  <c r="A67" i="4" s="1"/>
  <c r="A68" i="4" s="1"/>
  <c r="C46" i="10"/>
  <c r="C21" i="3" s="1"/>
  <c r="C40" i="4"/>
  <c r="K64" i="2"/>
  <c r="P13" i="2" s="1"/>
  <c r="C31" i="3" l="1"/>
  <c r="E38" i="12"/>
  <c r="E17" i="2"/>
  <c r="N15" i="2" s="1"/>
  <c r="R15" i="2" s="1"/>
  <c r="T15" i="2" s="1"/>
  <c r="D28" i="5"/>
  <c r="D45" i="5" s="1"/>
  <c r="D34" i="5"/>
  <c r="D44" i="5" s="1"/>
  <c r="D47" i="5" s="1"/>
  <c r="N13" i="2"/>
  <c r="N14" i="2"/>
  <c r="R14" i="2" s="1"/>
  <c r="T14" i="2" s="1"/>
  <c r="R13" i="2" l="1"/>
  <c r="R17" i="2" s="1"/>
  <c r="E21" i="2" s="1"/>
  <c r="N17" i="2"/>
  <c r="T17" i="2"/>
  <c r="D31" i="4"/>
  <c r="F31" i="4" s="1"/>
  <c r="D15" i="3"/>
  <c r="F15" i="3" s="1"/>
  <c r="D20" i="3"/>
  <c r="F20" i="3" s="1"/>
  <c r="D17" i="4"/>
  <c r="F17" i="4" s="1"/>
  <c r="D23" i="5"/>
  <c r="D24" i="5" s="1"/>
  <c r="D33" i="3"/>
  <c r="F33" i="3" s="1"/>
  <c r="E23" i="1" s="1"/>
  <c r="E36" i="2" l="1"/>
  <c r="E27" i="2"/>
  <c r="F36" i="3"/>
  <c r="E38" i="1"/>
  <c r="E14" i="1"/>
  <c r="D42" i="4"/>
  <c r="F42" i="4" s="1"/>
  <c r="E37" i="1" s="1"/>
  <c r="D18" i="4"/>
  <c r="F18" i="4" s="1"/>
  <c r="F19" i="4" s="1"/>
  <c r="E34" i="1" s="1"/>
  <c r="D31" i="3"/>
  <c r="F31" i="3" s="1"/>
  <c r="E22" i="1" s="1"/>
  <c r="D16" i="3"/>
  <c r="F16" i="3" s="1"/>
  <c r="D21" i="3"/>
  <c r="F21" i="3" s="1"/>
  <c r="F22" i="3" s="1"/>
  <c r="E18" i="1" s="1"/>
  <c r="D38" i="4"/>
  <c r="F38" i="4" s="1"/>
  <c r="D40" i="4"/>
  <c r="F40" i="4" s="1"/>
  <c r="E52" i="1" l="1"/>
  <c r="E54" i="1" s="1"/>
  <c r="E60" i="1" s="1"/>
  <c r="D35" i="5"/>
  <c r="D36" i="5" s="1"/>
  <c r="D40" i="5" s="1"/>
  <c r="E15" i="1"/>
  <c r="E16" i="1" s="1"/>
  <c r="F37" i="3"/>
  <c r="F38" i="3" s="1"/>
  <c r="F40" i="3" s="1"/>
  <c r="E24" i="1" s="1"/>
  <c r="E39" i="1"/>
  <c r="F17" i="3"/>
  <c r="D27" i="3" l="1"/>
  <c r="F27" i="3" s="1"/>
  <c r="D21" i="4"/>
  <c r="F21" i="4" s="1"/>
  <c r="D26" i="3"/>
  <c r="F26" i="3" s="1"/>
  <c r="D28" i="3"/>
  <c r="D24" i="4"/>
  <c r="F24" i="4" s="1"/>
  <c r="E36" i="1" s="1"/>
  <c r="F28" i="3" l="1"/>
  <c r="F29" i="3"/>
  <c r="E19" i="1" s="1"/>
  <c r="E20" i="1" s="1"/>
  <c r="E26" i="1" s="1"/>
  <c r="G27" i="2"/>
  <c r="E35" i="1"/>
  <c r="K27" i="2" l="1"/>
  <c r="K36" i="2" s="1"/>
  <c r="E45" i="2"/>
  <c r="G36" i="2"/>
  <c r="E30" i="2" l="1"/>
  <c r="N36" i="2" l="1"/>
  <c r="E39" i="2" s="1"/>
  <c r="E42" i="2" s="1"/>
  <c r="E47" i="2" s="1"/>
  <c r="E49" i="2" s="1"/>
  <c r="E33" i="1" s="1"/>
  <c r="E43" i="1" s="1"/>
  <c r="F54" i="13" l="1"/>
  <c r="C17" i="13"/>
  <c r="E56" i="1"/>
  <c r="E59" i="1" s="1"/>
  <c r="E62" i="1" s="1"/>
  <c r="E64" i="1" s="1"/>
  <c r="F78" i="13" l="1"/>
  <c r="F60" i="13"/>
  <c r="F62" i="13" s="1"/>
  <c r="F67" i="13"/>
  <c r="F80" i="13"/>
  <c r="F81" i="13"/>
  <c r="F77" i="13"/>
  <c r="F73" i="13"/>
  <c r="F64" i="13"/>
  <c r="F66" i="13"/>
  <c r="F75" i="13"/>
  <c r="C20" i="13"/>
  <c r="E20" i="13" s="1"/>
  <c r="C23" i="13"/>
  <c r="E23" i="13" s="1"/>
  <c r="C25" i="13"/>
  <c r="E25" i="13" s="1"/>
  <c r="C19" i="13"/>
  <c r="E19" i="13" s="1"/>
  <c r="C24" i="13"/>
  <c r="E24" i="13" s="1"/>
  <c r="C28" i="13"/>
  <c r="E28" i="13" s="1"/>
  <c r="C21" i="13"/>
  <c r="E21" i="13" s="1"/>
  <c r="C22" i="13"/>
  <c r="E22" i="13" s="1"/>
  <c r="C26" i="13"/>
  <c r="E26" i="13" s="1"/>
  <c r="E17" i="13"/>
  <c r="C18" i="13"/>
  <c r="E18" i="13" s="1"/>
  <c r="C27" i="13"/>
  <c r="E27" i="13" s="1"/>
</calcChain>
</file>

<file path=xl/sharedStrings.xml><?xml version="1.0" encoding="utf-8"?>
<sst xmlns="http://schemas.openxmlformats.org/spreadsheetml/2006/main" count="892" uniqueCount="540">
  <si>
    <t>=</t>
  </si>
  <si>
    <t>(a)</t>
  </si>
  <si>
    <t>(b)</t>
  </si>
  <si>
    <t>(c)</t>
  </si>
  <si>
    <t>Reference</t>
  </si>
  <si>
    <t>Total</t>
  </si>
  <si>
    <t>I.</t>
  </si>
  <si>
    <t>INVESTMENT BASE</t>
  </si>
  <si>
    <t>Section:</t>
  </si>
  <si>
    <t>Transmission Plant</t>
  </si>
  <si>
    <t>(A)(1)(a)</t>
  </si>
  <si>
    <t>General Plant</t>
  </si>
  <si>
    <t>(A)(1)(b)</t>
  </si>
  <si>
    <t>Accumulated Depreciation</t>
  </si>
  <si>
    <t>Accumulated Deferred Income Taxes</t>
  </si>
  <si>
    <t>(A)(1)(e)</t>
  </si>
  <si>
    <t>(A)(1)(f)</t>
  </si>
  <si>
    <t>Prepayments</t>
  </si>
  <si>
    <t>Materials &amp; Supplies</t>
  </si>
  <si>
    <t>Cash Working Capital</t>
  </si>
  <si>
    <t>II.</t>
  </si>
  <si>
    <t>REVENUE REQUIREMENTS</t>
  </si>
  <si>
    <t>Investment Return and Income Taxes</t>
  </si>
  <si>
    <t>(A)</t>
  </si>
  <si>
    <t>Depreciation Expense</t>
  </si>
  <si>
    <t>(B)</t>
  </si>
  <si>
    <t>Investment Tax Credit</t>
  </si>
  <si>
    <t>(D)</t>
  </si>
  <si>
    <t>Property Tax Expense</t>
  </si>
  <si>
    <t>(E)</t>
  </si>
  <si>
    <t>Payroll Tax Expense</t>
  </si>
  <si>
    <t>Operation &amp; Maintenance Expense</t>
  </si>
  <si>
    <t>(G)</t>
  </si>
  <si>
    <t>Administrative &amp; General Expense</t>
  </si>
  <si>
    <t>CAPITALIZATION</t>
  </si>
  <si>
    <t>COST OF</t>
  </si>
  <si>
    <t>EQUITY</t>
  </si>
  <si>
    <t>RATIOS</t>
  </si>
  <si>
    <t>CAPITAL</t>
  </si>
  <si>
    <t>PORTION</t>
  </si>
  <si>
    <t xml:space="preserve">LONG-TERM DEBT </t>
  </si>
  <si>
    <t>$</t>
  </si>
  <si>
    <t>PREFERRED STOCK</t>
  </si>
  <si>
    <t>COMMON EQUITY</t>
  </si>
  <si>
    <t>TOTAL INVESTMENT RETURN</t>
  </si>
  <si>
    <t>Cost of Capital Rate=</t>
  </si>
  <si>
    <t>(a)  Weighted Cost of Capital</t>
  </si>
  <si>
    <t>(b)  Federal Income Tax</t>
  </si>
  <si>
    <t>=        (</t>
  </si>
  <si>
    <t>(</t>
  </si>
  <si>
    <t>+</t>
  </si>
  <si>
    <t>x</t>
  </si>
  <si>
    <t>Federal Income Tax Rate</t>
  </si>
  <si>
    <t>)</t>
  </si>
  <si>
    <t>-</t>
  </si>
  <si>
    <t>+(</t>
  </si>
  <si>
    <t>(c)  State Income Tax</t>
  </si>
  <si>
    <t>Federal Income Tax</t>
  </si>
  <si>
    <t>)*</t>
  </si>
  <si>
    <t>State Income Tax Rate</t>
  </si>
  <si>
    <t>x  Cost of Capital Rate</t>
  </si>
  <si>
    <t>= Investment Return and Income Taxes</t>
  </si>
  <si>
    <t>(2)</t>
  </si>
  <si>
    <t>Wage/Plant</t>
  </si>
  <si>
    <t>(3) = (1)*(2)</t>
  </si>
  <si>
    <t xml:space="preserve">Line </t>
  </si>
  <si>
    <t>(1)</t>
  </si>
  <si>
    <t>Allocation</t>
  </si>
  <si>
    <t xml:space="preserve">Transmission </t>
  </si>
  <si>
    <t xml:space="preserve">FERC Form 1 </t>
  </si>
  <si>
    <t>No.</t>
  </si>
  <si>
    <t xml:space="preserve">Total </t>
  </si>
  <si>
    <t>Factors</t>
  </si>
  <si>
    <t>Allocated</t>
  </si>
  <si>
    <t>Reference for col (1)</t>
  </si>
  <si>
    <t xml:space="preserve">  Total (line 1+2)</t>
  </si>
  <si>
    <t>Transmission Accumulated Depreciation</t>
  </si>
  <si>
    <t>Transmission Accum. Depreciation</t>
  </si>
  <si>
    <t>General Plant Accum.Depreciation</t>
  </si>
  <si>
    <t>Transmission Accumulated Deferred Taxes</t>
  </si>
  <si>
    <t xml:space="preserve"> Accumulated Deferred Taxes (190)</t>
  </si>
  <si>
    <t>Transmission Prepayments</t>
  </si>
  <si>
    <t>Transmission Materials and Supplies</t>
  </si>
  <si>
    <t>Page 336.7b</t>
  </si>
  <si>
    <t>General Depreciation</t>
  </si>
  <si>
    <t>Amortization of Investment Tax Credits</t>
  </si>
  <si>
    <t>Page 266.8f</t>
  </si>
  <si>
    <t>Transmission Property Taxes</t>
  </si>
  <si>
    <t xml:space="preserve"> Transmission Operation and Maintenance</t>
  </si>
  <si>
    <t>Operation and Maintenance</t>
  </si>
  <si>
    <t>Transmission Administrative and General</t>
  </si>
  <si>
    <t>Administrative and General</t>
  </si>
  <si>
    <t xml:space="preserve">   less Regulatory Commission Expenses (#928)</t>
  </si>
  <si>
    <t xml:space="preserve">   less General Advertising Expense (#930.1)</t>
  </si>
  <si>
    <t>Footnote (d)</t>
  </si>
  <si>
    <t xml:space="preserve">     Federal Unemployment</t>
  </si>
  <si>
    <t xml:space="preserve">     FICA</t>
  </si>
  <si>
    <t xml:space="preserve">     VT Unemployment</t>
  </si>
  <si>
    <t xml:space="preserve">                Total</t>
  </si>
  <si>
    <t>FERC Form 1</t>
  </si>
  <si>
    <t>Direct Transmission Wages and Salaries</t>
  </si>
  <si>
    <t xml:space="preserve">Total  Wages and Salaries  </t>
  </si>
  <si>
    <t>Administrative and General Wages and Salaries</t>
  </si>
  <si>
    <t>Total Plant in Service</t>
  </si>
  <si>
    <t>This is a Temporary Sheet used for printing the Document Pages</t>
  </si>
  <si>
    <t>R.O.E.  +</t>
  </si>
  <si>
    <t>(F)</t>
  </si>
  <si>
    <t>Page 321.112b</t>
  </si>
  <si>
    <t>Page 321.96b</t>
  </si>
  <si>
    <t>Page 323.197b</t>
  </si>
  <si>
    <t>Page 323.189b</t>
  </si>
  <si>
    <t>Page 323.191b</t>
  </si>
  <si>
    <t>Page 354.21b</t>
  </si>
  <si>
    <t>Page 354.28b</t>
  </si>
  <si>
    <t>Page 354.27b</t>
  </si>
  <si>
    <t>Page 336.10b</t>
  </si>
  <si>
    <t>Worksheet 3, line 2 column 3</t>
  </si>
  <si>
    <t>(a)+(b)+(c)  Cost of Capital Rate</t>
  </si>
  <si>
    <t>Green Mountain Power Corporation</t>
  </si>
  <si>
    <t>RTO Schedule 21-GMP</t>
  </si>
  <si>
    <r>
      <t>Property Taxes</t>
    </r>
    <r>
      <rPr>
        <sz val="11"/>
        <rFont val="Courier New"/>
        <family val="3"/>
      </rPr>
      <t xml:space="preserve"> </t>
    </r>
  </si>
  <si>
    <t xml:space="preserve">Total Transmission Plant </t>
  </si>
  <si>
    <t xml:space="preserve">Less Highgate Transmission </t>
  </si>
  <si>
    <t>Less Pool Transmission Facilities</t>
  </si>
  <si>
    <t xml:space="preserve">Network Transmission Plant </t>
  </si>
  <si>
    <t>(a) Transmission Wages and Salaries Allocation Factor</t>
  </si>
  <si>
    <t>(c) Network Transmission Plant Allocation Factor</t>
  </si>
  <si>
    <t>From Worksheet 5:</t>
  </si>
  <si>
    <t>Network Transmission Plant</t>
  </si>
  <si>
    <t>Annual Transmission Revenue Requirements</t>
  </si>
  <si>
    <t xml:space="preserve">     VT Sales Tax - Company Use</t>
  </si>
  <si>
    <t>1.  Transmission Wages and Salaries Allocation Factor</t>
  </si>
  <si>
    <t>2.  Total Transmission Plant Allocation Factor</t>
  </si>
  <si>
    <t>less Transmission of Electricity by Others- account 565</t>
  </si>
  <si>
    <t>3.  Network Transmission Plant Allocation Factor</t>
  </si>
  <si>
    <t>(b) Total Transmission Plant Allocation Factor</t>
  </si>
  <si>
    <t>Plant Investment</t>
  </si>
  <si>
    <t>Expenses</t>
  </si>
  <si>
    <t>Allocation Factors</t>
  </si>
  <si>
    <t xml:space="preserve">Total Wages and Salaries excluding A&amp;G </t>
  </si>
  <si>
    <t>Total Transmission Wages and Salaries Allocation Factor</t>
  </si>
  <si>
    <t xml:space="preserve">     Connecticut property tax</t>
  </si>
  <si>
    <t xml:space="preserve">     Maine property tax</t>
  </si>
  <si>
    <t xml:space="preserve">     New Hampshire property tax</t>
  </si>
  <si>
    <t xml:space="preserve">     New York property tax</t>
  </si>
  <si>
    <t xml:space="preserve">     Vermont property tax</t>
  </si>
  <si>
    <t xml:space="preserve">         Total Municipal Tax Expense</t>
  </si>
  <si>
    <t>II.A.2.(a)</t>
  </si>
  <si>
    <t xml:space="preserve"> /</t>
  </si>
  <si>
    <t>)/</t>
  </si>
  <si>
    <t>Worksheet 3, line 1 column 3</t>
  </si>
  <si>
    <t>Worksheet 3, line 15 column 3</t>
  </si>
  <si>
    <t>Worksheet 4, line 3 column 3</t>
  </si>
  <si>
    <t xml:space="preserve">   less Annual PBOP Expense</t>
  </si>
  <si>
    <t xml:space="preserve">----------- </t>
  </si>
  <si>
    <t>Woodsville Annual Revenue Requirement</t>
  </si>
  <si>
    <t>Monthly Charge</t>
  </si>
  <si>
    <t xml:space="preserve">   Only the plant for the line used by Woodsville is included herein.</t>
  </si>
  <si>
    <t>DIRECT ASSIGMMENT AND INCREMENTALLY CHARGED FACILITIES</t>
  </si>
  <si>
    <t>III.</t>
  </si>
  <si>
    <t>*  Woodsville is the sole user of this non-integrated Green Mountain transmission facility.</t>
  </si>
  <si>
    <t>Page 330</t>
  </si>
  <si>
    <t xml:space="preserve">  Working Capital 1/8 formula</t>
  </si>
  <si>
    <t xml:space="preserve"> Accumulated Deferred Taxes (282)</t>
  </si>
  <si>
    <t xml:space="preserve"> Accumulated Deferred Taxes (283)</t>
  </si>
  <si>
    <t>plus Facility Support Payments</t>
  </si>
  <si>
    <t>Fixed in tariff</t>
  </si>
  <si>
    <t xml:space="preserve">        Net Investment (Line 3-5-6)</t>
  </si>
  <si>
    <t xml:space="preserve">        Total Investment Base  (Line 7+8+9+10)</t>
  </si>
  <si>
    <t>line 23 / line 24</t>
  </si>
  <si>
    <t>Worksheet 1, line 22</t>
  </si>
  <si>
    <t>line 25</t>
  </si>
  <si>
    <t>line 26 -  line 27</t>
  </si>
  <si>
    <t>line 28 * line 29</t>
  </si>
  <si>
    <t>Line 30 / 12</t>
  </si>
  <si>
    <t xml:space="preserve"> plus Transmission-Related General Plant</t>
  </si>
  <si>
    <t>Worksheet 1, Line 17</t>
  </si>
  <si>
    <t>Worksheet 1, Line 18</t>
  </si>
  <si>
    <t>(A)(1)(c)</t>
  </si>
  <si>
    <t>(A)(1)(d)</t>
  </si>
  <si>
    <t>(A)(1)(g)</t>
  </si>
  <si>
    <t>(C)</t>
  </si>
  <si>
    <t>Less Direct Metallic Neutral Return Phase II</t>
  </si>
  <si>
    <t>Page 422.2l</t>
  </si>
  <si>
    <t xml:space="preserve">     Massachusetts property tax</t>
  </si>
  <si>
    <t>Attachment D-1</t>
  </si>
  <si>
    <t>Attachment E-1</t>
  </si>
  <si>
    <t>Woodsville Transmission Plant *</t>
  </si>
  <si>
    <t>From Worksheet 5</t>
  </si>
  <si>
    <t>Footnotes:</t>
  </si>
  <si>
    <t>Line 3 - Line 4</t>
  </si>
  <si>
    <t>Line 2 / Line 5</t>
  </si>
  <si>
    <t>from Line 24</t>
  </si>
  <si>
    <t>Line 7 X Line 8</t>
  </si>
  <si>
    <t>Line 11 - Lines 12,13,14 and 15</t>
  </si>
  <si>
    <t>Line 16 + Line 17</t>
  </si>
  <si>
    <t>Line 18 / Line 19</t>
  </si>
  <si>
    <t>Line 16</t>
  </si>
  <si>
    <t>Line 11</t>
  </si>
  <si>
    <t>Line 22 / Line 23</t>
  </si>
  <si>
    <t xml:space="preserve">  O&amp;M line 9 less lines 10, 11, plus line 12</t>
  </si>
  <si>
    <t xml:space="preserve">   Subtotal  [line 15 minus (16 thru 18)]</t>
  </si>
  <si>
    <t xml:space="preserve"> To Line 6</t>
  </si>
  <si>
    <t xml:space="preserve">  Total (line 5+6)</t>
  </si>
  <si>
    <t xml:space="preserve">  Total (lines 9,10,11,12)</t>
  </si>
  <si>
    <t xml:space="preserve">  Subtotal (line 17+18)</t>
  </si>
  <si>
    <t xml:space="preserve">  Total (line 19 * line 20)</t>
  </si>
  <si>
    <t xml:space="preserve">        Total Plant (Lines 2+3)</t>
  </si>
  <si>
    <t>Investment</t>
  </si>
  <si>
    <t>Tax Credit</t>
  </si>
  <si>
    <t>Investment Base)</t>
  </si>
  <si>
    <t>) /</t>
  </si>
  <si>
    <t>Total A&amp;G  [line 19 +line 20]</t>
  </si>
  <si>
    <t xml:space="preserve"> To Line 22</t>
  </si>
  <si>
    <t>Worksheet 4, line 21 column 3</t>
  </si>
  <si>
    <t>Worksheet 5, line 13</t>
  </si>
  <si>
    <t>Worksheet 1, line 2</t>
  </si>
  <si>
    <t>Worksheet 4, line 12</t>
  </si>
  <si>
    <t>Network Revenue Requirements (Line 12 thru 21)</t>
  </si>
  <si>
    <t>Woodsville Allocation of Network Plant</t>
  </si>
  <si>
    <t>Total Transmission Plant plus allocated General Plant</t>
  </si>
  <si>
    <t>Network Transmission Annual Revenue Requirement</t>
  </si>
  <si>
    <t>Revenue Requirement excl. Facility Support Payments</t>
  </si>
  <si>
    <t>Less Facilities Support Payments</t>
  </si>
  <si>
    <t>FERC</t>
  </si>
  <si>
    <t>Depreciation</t>
  </si>
  <si>
    <t>FERC Plant Account</t>
  </si>
  <si>
    <t>Account</t>
  </si>
  <si>
    <t>Transmission Structures and Improvements</t>
  </si>
  <si>
    <t>35200</t>
  </si>
  <si>
    <t>Transmission Station Equipment</t>
  </si>
  <si>
    <t>35300</t>
  </si>
  <si>
    <t>Transmission Towers and Fixtures</t>
  </si>
  <si>
    <t>35400</t>
  </si>
  <si>
    <t>Transmission Poles and Fixtures</t>
  </si>
  <si>
    <t>35500</t>
  </si>
  <si>
    <t>Transmission Overhead Conductor</t>
  </si>
  <si>
    <t>35600</t>
  </si>
  <si>
    <t>Distribution Structures and Improvements</t>
  </si>
  <si>
    <t>Distribution Station Equipment</t>
  </si>
  <si>
    <t>36200</t>
  </si>
  <si>
    <t>Distribution Poles Towers and Fixtures</t>
  </si>
  <si>
    <t>36400</t>
  </si>
  <si>
    <t>Distribution Overhead Conductor and Devices</t>
  </si>
  <si>
    <t>36500</t>
  </si>
  <si>
    <t>Distribution Underground Conduit</t>
  </si>
  <si>
    <t>36600</t>
  </si>
  <si>
    <t>Distribution Underground Conductor and Devices</t>
  </si>
  <si>
    <t>36700</t>
  </si>
  <si>
    <t>Distribution Line Transformers</t>
  </si>
  <si>
    <t>36800</t>
  </si>
  <si>
    <t>Distribution Services</t>
  </si>
  <si>
    <t>36900</t>
  </si>
  <si>
    <t>Distribution Meters</t>
  </si>
  <si>
    <t>37000</t>
  </si>
  <si>
    <t>37010</t>
  </si>
  <si>
    <t>Distribution Street Lighting</t>
  </si>
  <si>
    <t>37300</t>
  </si>
  <si>
    <t>General Structures and Improvements</t>
  </si>
  <si>
    <t>39000</t>
  </si>
  <si>
    <t>General Structures &amp; Improvements(Leasehold Improvements)</t>
  </si>
  <si>
    <t>39071</t>
  </si>
  <si>
    <t>General Office Furniture and Equipment (Office Equipment)</t>
  </si>
  <si>
    <t>39110</t>
  </si>
  <si>
    <t>General Office Furniture and Equipment (Computer Hardware)</t>
  </si>
  <si>
    <t>39120</t>
  </si>
  <si>
    <t>General Stores Equipment (Stores Equipment)</t>
  </si>
  <si>
    <t>39300</t>
  </si>
  <si>
    <t>General Tools, Shop, and Garage Equipment</t>
  </si>
  <si>
    <t>39400</t>
  </si>
  <si>
    <t>General Laboratory Equipment</t>
  </si>
  <si>
    <t>39500</t>
  </si>
  <si>
    <t>General Communications Equipment</t>
  </si>
  <si>
    <t>39700</t>
  </si>
  <si>
    <t>General Miscellaneous Equipment</t>
  </si>
  <si>
    <t>39800</t>
  </si>
  <si>
    <t>Transmission Depreciation *</t>
  </si>
  <si>
    <t>Worksheet 3, line 7 column 3</t>
  </si>
  <si>
    <t>* See Worksheet 6 for detailed depreciation rates</t>
  </si>
  <si>
    <t>Depreciation Rates</t>
  </si>
  <si>
    <t>Description</t>
  </si>
  <si>
    <r>
      <t>1</t>
    </r>
    <r>
      <rPr>
        <u/>
        <sz val="10"/>
        <rFont val="Arial"/>
        <family val="2"/>
      </rPr>
      <t xml:space="preserve"> Long Term Debt</t>
    </r>
  </si>
  <si>
    <t>Acc 221 Bonds</t>
  </si>
  <si>
    <t>Form 1, pg 112, ln 18c,d</t>
  </si>
  <si>
    <t>Less Acc 222 Reacq'd Bonds</t>
  </si>
  <si>
    <t>Form 1, pg 112, ln 19c,d</t>
  </si>
  <si>
    <t>Acc 223 LT Advances from Assoc Cos.</t>
  </si>
  <si>
    <t>Form 1, pg 256, various ln, col a,b</t>
  </si>
  <si>
    <t>Acc 224 Other LT Debt</t>
  </si>
  <si>
    <t>Form 1, pg 112, ln 21c,d</t>
  </si>
  <si>
    <t>Gross Proceeds Outstanding LT Debt</t>
  </si>
  <si>
    <t>Less Acc 226 Unamort Discount</t>
  </si>
  <si>
    <t>Form 1, pg 112, ln 23 c,d</t>
  </si>
  <si>
    <t>Less Acc 181 Unamort Debt Expense</t>
  </si>
  <si>
    <t>Form 1, pg 111, ln 69c,d</t>
  </si>
  <si>
    <t>Less Acc 189 Unamort Loss on Reacqd Debt</t>
  </si>
  <si>
    <t>Form 1, pg 111, ln 81c,d</t>
  </si>
  <si>
    <t>Plus Acc 225 Unamort Premium</t>
  </si>
  <si>
    <t>Form 1, pg 112, ln 22c,d</t>
  </si>
  <si>
    <t>Plus Acc 257 Unamort Gain on Reacqd Debt</t>
  </si>
  <si>
    <t>Form 1, pg 113, ln 61c,d</t>
  </si>
  <si>
    <t>Net Proceeds Long Term Debt</t>
  </si>
  <si>
    <r>
      <t>1</t>
    </r>
    <r>
      <rPr>
        <u/>
        <sz val="10"/>
        <rFont val="Arial"/>
        <family val="2"/>
      </rPr>
      <t xml:space="preserve"> Long Term Debt Cost</t>
    </r>
  </si>
  <si>
    <t>Acc 427 and Acc 430 Interest Expense</t>
  </si>
  <si>
    <t>Form 1, pg 257, ln 33(i)</t>
  </si>
  <si>
    <t>Acc 428 Amort Debt Discount and Expense</t>
  </si>
  <si>
    <t>Form 1, pg 117, ln 63 c</t>
  </si>
  <si>
    <t>Acc 428.1 Amort Loss on Reacqd Debt</t>
  </si>
  <si>
    <t>Form 1, pg 117, ln 64c</t>
  </si>
  <si>
    <t>Less Acc 429 Amort Premium</t>
  </si>
  <si>
    <t>Form 1, pg 117, ln 65 c</t>
  </si>
  <si>
    <t>Less Acc 429.1 Amort Gain on Reacqd Debt</t>
  </si>
  <si>
    <t>Form 1, pg 117, ln 66c</t>
  </si>
  <si>
    <t>Total Long Term Debt Cost</t>
  </si>
  <si>
    <r>
      <t>2</t>
    </r>
    <r>
      <rPr>
        <u/>
        <sz val="10"/>
        <rFont val="Arial"/>
        <family val="2"/>
      </rPr>
      <t xml:space="preserve"> Preferred Stock and Dividend</t>
    </r>
  </si>
  <si>
    <t>Acc 204 Preferred Stock Issued</t>
  </si>
  <si>
    <t>Form 1, pg 112, ln 3 c, d</t>
  </si>
  <si>
    <t>Less Acc 217 Reacq Capital Stock (Pfd)</t>
  </si>
  <si>
    <t>Form 1, pg 112, ln 13 c, d (portion)</t>
  </si>
  <si>
    <t>Acc 207 Premium on Pfd Stock</t>
  </si>
  <si>
    <t>Form 1, pg 112, ln 6 c, d (portion)</t>
  </si>
  <si>
    <t>Acc 207-208 Other Paid In Capital (Pfd)</t>
  </si>
  <si>
    <t>Form 1, pg 112, ln7 c, d (portion)</t>
  </si>
  <si>
    <t>Less Acc 213 discount on Capital Stock (Pfd)</t>
  </si>
  <si>
    <t>Form 1, pg 112 ln 9 c, d (portion)</t>
  </si>
  <si>
    <t>Less Acc 214 Capital Stock Expense (Pfd)</t>
  </si>
  <si>
    <t>Form 1, pg 112, ln 10 c, d (portion)</t>
  </si>
  <si>
    <t xml:space="preserve">Total Preferred Stock </t>
  </si>
  <si>
    <t>Preferred Dividend</t>
  </si>
  <si>
    <t>Form 1, pg 118, ln 29 c</t>
  </si>
  <si>
    <r>
      <t>3</t>
    </r>
    <r>
      <rPr>
        <u/>
        <sz val="10"/>
        <rFont val="Arial"/>
        <family val="2"/>
      </rPr>
      <t xml:space="preserve"> Common Stock</t>
    </r>
  </si>
  <si>
    <t>Proprietary Capital</t>
  </si>
  <si>
    <t>Form 1, pg 112, ln 16, c,d</t>
  </si>
  <si>
    <t>Less: Preferred Stock</t>
  </si>
  <si>
    <t>Form 1, pg 112, ln 3 c,d</t>
  </si>
  <si>
    <t>Less Acc 216.1 Unap Undis Subsidiary Earnings</t>
  </si>
  <si>
    <t>Form 1, pg 112, ln 12, c, d</t>
  </si>
  <si>
    <t>Less:  Account 219 (enter negative)</t>
  </si>
  <si>
    <t>Form 1, pg 112, ln 15 c,d</t>
  </si>
  <si>
    <r>
      <t>4</t>
    </r>
    <r>
      <rPr>
        <sz val="10"/>
        <rFont val="Arial"/>
        <family val="2"/>
      </rPr>
      <t xml:space="preserve"> The cost of each component shall be as follows:</t>
    </r>
  </si>
  <si>
    <t>Return on Equity =</t>
  </si>
  <si>
    <t xml:space="preserve">Common Equity </t>
  </si>
  <si>
    <t xml:space="preserve">General Other Tangible Property </t>
  </si>
  <si>
    <t>From Worksheet 1, line 11</t>
  </si>
  <si>
    <t>To Worksheet 1, line 12</t>
  </si>
  <si>
    <t>Worksheet 2, line 24</t>
  </si>
  <si>
    <t>Sum Ln 27 through 30</t>
  </si>
  <si>
    <t>Sum Ln 31 through 36</t>
  </si>
  <si>
    <t>Sum Ln 39 through 43</t>
  </si>
  <si>
    <t>Sum Ln 46 through 51</t>
  </si>
  <si>
    <t>Ln 55 less Ln 56 through 58</t>
  </si>
  <si>
    <t>Ln 53/Ln 52</t>
  </si>
  <si>
    <t>Worksheet 3, line 13 column 3</t>
  </si>
  <si>
    <t>Worksheet 3, line 14 column 3</t>
  </si>
  <si>
    <t>Worksheet 3, line 21 column 3</t>
  </si>
  <si>
    <t>Worksheet 4, line 4 column 3</t>
  </si>
  <si>
    <t>Worksheet 4, line 6 column 3</t>
  </si>
  <si>
    <t>Worksheet 4, line 22 column 3</t>
  </si>
  <si>
    <t>Worksheet 4, line 13 column 3</t>
  </si>
  <si>
    <t xml:space="preserve"> 45 / 360</t>
  </si>
  <si>
    <t>Worksheet 3, line 3 column 3</t>
  </si>
  <si>
    <t>Distribution Installations on Customer Premises</t>
  </si>
  <si>
    <t>GMP may include hedging in debt expense in the future, consisting of pre-issuance cashflow hedges on interest rate derivatives cancelled at the debt issuance date, and must include gains as well as losses.</t>
  </si>
  <si>
    <t>less Load Dispatching - account 561.1-561.4</t>
  </si>
  <si>
    <t>**  Capital Structure is based on the average beginning-of-year and end-of-year balances for all components.</t>
  </si>
  <si>
    <t xml:space="preserve">December </t>
  </si>
  <si>
    <t xml:space="preserve">February </t>
  </si>
  <si>
    <t>March</t>
  </si>
  <si>
    <t>April</t>
  </si>
  <si>
    <t xml:space="preserve">May </t>
  </si>
  <si>
    <t>June</t>
  </si>
  <si>
    <t>July</t>
  </si>
  <si>
    <t>August</t>
  </si>
  <si>
    <t>September</t>
  </si>
  <si>
    <t>October</t>
  </si>
  <si>
    <t>November</t>
  </si>
  <si>
    <t>January</t>
  </si>
  <si>
    <t>December</t>
  </si>
  <si>
    <t xml:space="preserve">13 Month Average Plant </t>
  </si>
  <si>
    <t xml:space="preserve">13 Month Average Transmission </t>
  </si>
  <si>
    <t xml:space="preserve">Plant </t>
  </si>
  <si>
    <t>Balance</t>
  </si>
  <si>
    <t>General</t>
  </si>
  <si>
    <t>13 Month Average General</t>
  </si>
  <si>
    <t xml:space="preserve">Total Plant in Service </t>
  </si>
  <si>
    <t>13 Month Average Accumulated Depreciation</t>
  </si>
  <si>
    <t>Page 219.25c prior year</t>
  </si>
  <si>
    <t>Page 207.58b</t>
  </si>
  <si>
    <t>Page 207.58g</t>
  </si>
  <si>
    <t>Page 207.99b</t>
  </si>
  <si>
    <t>Page 207.99g</t>
  </si>
  <si>
    <t>Page 207.104b</t>
  </si>
  <si>
    <t>Page 207.104g</t>
  </si>
  <si>
    <t>Page 219.25c</t>
  </si>
  <si>
    <t>Page 219.28c prior year</t>
  </si>
  <si>
    <t>Page 219.28c</t>
  </si>
  <si>
    <t>13 Month Average Total Plant</t>
  </si>
  <si>
    <t>Account 282</t>
  </si>
  <si>
    <t>Account 283</t>
  </si>
  <si>
    <t>Total Account 283</t>
  </si>
  <si>
    <t>Account 190</t>
  </si>
  <si>
    <t xml:space="preserve">Beginning </t>
  </si>
  <si>
    <t xml:space="preserve">Ending </t>
  </si>
  <si>
    <t xml:space="preserve">Average </t>
  </si>
  <si>
    <t>ADIT</t>
  </si>
  <si>
    <t>Prepayment (165)</t>
  </si>
  <si>
    <t>Account 165 Prepayment</t>
  </si>
  <si>
    <t>Total Account 165</t>
  </si>
  <si>
    <t>Worksheet 7, line 15</t>
  </si>
  <si>
    <t>Worksheet 7, line 45</t>
  </si>
  <si>
    <t>Worksheet 8, line 15</t>
  </si>
  <si>
    <t>Worksheet 7, line 30</t>
  </si>
  <si>
    <t>Worksheet 8, line 30</t>
  </si>
  <si>
    <t xml:space="preserve">     plus PBOP Expense - Fixed **</t>
  </si>
  <si>
    <t>** The PBOP amount may not be changed absent a Section 205 or 206 filing with FERC.</t>
  </si>
  <si>
    <t>Firm Point-to-Point Transmission Service Rates:</t>
  </si>
  <si>
    <t>1. Yearly delivery</t>
  </si>
  <si>
    <t>per Kw-month</t>
  </si>
  <si>
    <t>2. Monthly delivery</t>
  </si>
  <si>
    <t>3. Weekly delivery</t>
  </si>
  <si>
    <t>per Kw-week</t>
  </si>
  <si>
    <t>4. Daily delivery - Monday through Friday</t>
  </si>
  <si>
    <t>per Kw-day</t>
  </si>
  <si>
    <t xml:space="preserve">                  - Saturday and Sunday</t>
  </si>
  <si>
    <t>1. Monthly delivery</t>
  </si>
  <si>
    <t>2. Weekly delivery</t>
  </si>
  <si>
    <t>3. Daily delivery - Monday through Friday</t>
  </si>
  <si>
    <t>4. Hourly delivery - On-Peak</t>
  </si>
  <si>
    <t>per Kw-hour</t>
  </si>
  <si>
    <t xml:space="preserve">                   - Off-Peak</t>
  </si>
  <si>
    <t xml:space="preserve">Annual    </t>
  </si>
  <si>
    <t xml:space="preserve">Firm Monthly </t>
  </si>
  <si>
    <t xml:space="preserve">Illustrative </t>
  </si>
  <si>
    <t xml:space="preserve">Revenue   </t>
  </si>
  <si>
    <t xml:space="preserve">Peak    </t>
  </si>
  <si>
    <t xml:space="preserve">Rate     </t>
  </si>
  <si>
    <t xml:space="preserve">Requirement </t>
  </si>
  <si>
    <t xml:space="preserve">(Kw)     </t>
  </si>
  <si>
    <t xml:space="preserve">$/Kw-month  </t>
  </si>
  <si>
    <t>February</t>
  </si>
  <si>
    <t>May</t>
  </si>
  <si>
    <t>(A)/(B)/12</t>
  </si>
  <si>
    <t>Firm Point-to-Point Transmission Service under Schedule 3</t>
  </si>
  <si>
    <t>Non-Firm Point-to-Point Transmission Service under Schedule 4</t>
  </si>
  <si>
    <t xml:space="preserve">Network Customers’ Local Network Loads </t>
  </si>
  <si>
    <t>Firm Local Point-to-Point Service reservations</t>
  </si>
  <si>
    <t>Load Dispatch-Reliability (561.1)</t>
  </si>
  <si>
    <t>Load Dispatch-Monitor &amp; Operate Trans System (561.2)</t>
  </si>
  <si>
    <t>Load Dispatch-Trans Service &amp; Scheduling (561.3)</t>
  </si>
  <si>
    <t>Scheduling, System Control and Dispatch Service under Schedule 1</t>
  </si>
  <si>
    <t>Scheduling, System Control and Dispatch Service rate</t>
  </si>
  <si>
    <t>Total Load Dispatching sum of lines 16-19</t>
  </si>
  <si>
    <t>Total Schedule 1 Load sum of lines 21 and 22</t>
  </si>
  <si>
    <t>line 27/line 28/12</t>
  </si>
  <si>
    <t>line 27/line 28/52</t>
  </si>
  <si>
    <t>line 27/line 28/260</t>
  </si>
  <si>
    <t>line 27/line 28/365</t>
  </si>
  <si>
    <t>line 27/line 28/4160</t>
  </si>
  <si>
    <t>line 27/line 28/8760</t>
  </si>
  <si>
    <t>General Office Transportation Equipment - large vehicles</t>
  </si>
  <si>
    <t>General Office Transportation Equipment - small vehicles</t>
  </si>
  <si>
    <t>Worksheet 1 of 11</t>
  </si>
  <si>
    <t>Worksheet 2 of 11</t>
  </si>
  <si>
    <t>Worksheet 3 of 11</t>
  </si>
  <si>
    <t>Worksheet 4 of 11</t>
  </si>
  <si>
    <t>Worksheet 5 of 11</t>
  </si>
  <si>
    <t>Worksheet  6  of  11</t>
  </si>
  <si>
    <t>Worksheet 7 of 11</t>
  </si>
  <si>
    <t>Worksheet  8  of  11</t>
  </si>
  <si>
    <t>Worksheet  9  of  11</t>
  </si>
  <si>
    <t>Worksheet 11 of 11</t>
  </si>
  <si>
    <t>Worksheet 10 of 11</t>
  </si>
  <si>
    <t>Worksheet 11, line 20</t>
  </si>
  <si>
    <t>Long Term Debt Rate = Long Term Debt Cost/ Net Proceeds Long Term Debt [Ln 44/Ln 37]</t>
  </si>
  <si>
    <t>Preferred Stock Rate  =  Preferred Dividends / Total Preferred Stock</t>
  </si>
  <si>
    <t>Distribution Meters (Smart Meters)</t>
  </si>
  <si>
    <t xml:space="preserve">Scheduling,System Control&amp;Dispatch Services (561.4) </t>
  </si>
  <si>
    <t>Transmission Rate Summary</t>
  </si>
  <si>
    <t>Less Direct Assignment and Incrementally Charged Facilities</t>
  </si>
  <si>
    <t>Page 123.30</t>
  </si>
  <si>
    <t>Actual</t>
  </si>
  <si>
    <t>Total Account 282</t>
  </si>
  <si>
    <t>Page 227.8 b,c</t>
  </si>
  <si>
    <t>Maximum of Lines 1B:12B</t>
  </si>
  <si>
    <t>Less Revenue from Schedule 3 Firm PT to PT</t>
  </si>
  <si>
    <t>Less Revenue from Schedule 4 Non-Firm PT to PT</t>
  </si>
  <si>
    <t>16511~PREPAYMENTS-INS GENERAL</t>
  </si>
  <si>
    <t>16512~PREPAYMENTS-EMPLOYEE MEDICAL</t>
  </si>
  <si>
    <t>16513~PREPAYMENTS-INS LIFE</t>
  </si>
  <si>
    <t>16514~PREPAYMENTS-INS LIABILITY</t>
  </si>
  <si>
    <t>16515~PREPAYMENTS-WORKER'S COMP</t>
  </si>
  <si>
    <t>16516~PREPAYMENTS-EXCESS LIABILITY</t>
  </si>
  <si>
    <t>16517~PREPAYMENTS-D.O.L.I.</t>
  </si>
  <si>
    <t>16521~PREPAYMENTS-PURCHASE POWER</t>
  </si>
  <si>
    <t>16522~PREPAYMENTS-REC BROKERAGE FEES</t>
  </si>
  <si>
    <t>16523~PREPAYMENT-401K MATCH</t>
  </si>
  <si>
    <t>16524~PREPAYMENT-LTD</t>
  </si>
  <si>
    <t>16525~PREPAYMENT-GROUP LIFE</t>
  </si>
  <si>
    <t>16531~PREPAYMENT-OTHER</t>
  </si>
  <si>
    <t>16532~PREPAYMENTS-MMWEC</t>
  </si>
  <si>
    <t>16533~PREPAYMENTS-INCOME TAXES</t>
  </si>
  <si>
    <t>16534~PREPAID DUES</t>
  </si>
  <si>
    <t>16537~PREPAID-OTHER EXPENSE</t>
  </si>
  <si>
    <t>16538~PREPAYMENTS-MCNEIL</t>
  </si>
  <si>
    <t>16539~PREPAYMENTS-HIGHGATE</t>
  </si>
  <si>
    <t>16540~AP PROPERTY TAX LIABILITY</t>
  </si>
  <si>
    <t>16541~PREPAYMENTS - COLCHESTER RE tax</t>
  </si>
  <si>
    <t>16542~PREPAYMENTS-PROPERTY TAXES</t>
  </si>
  <si>
    <t>Worksheet 10, line 25</t>
  </si>
  <si>
    <t>January 2015</t>
  </si>
  <si>
    <t>Page 111.57d,c</t>
  </si>
  <si>
    <t>16535~PREPAYMENTS-MEDICARE PRHC RECEIVABLES</t>
  </si>
  <si>
    <t>Page 450.1</t>
  </si>
  <si>
    <t>Page 276.19.b/277.19.k</t>
  </si>
  <si>
    <t>Page 234.18 a/b</t>
  </si>
  <si>
    <t>Source:  Column A, Worksheet 1, line 22e</t>
  </si>
  <si>
    <t>Page 321.85.b</t>
  </si>
  <si>
    <t>Page 321.86.b</t>
  </si>
  <si>
    <t>Page 321.87.b</t>
  </si>
  <si>
    <t>Page 321.88.b</t>
  </si>
  <si>
    <t xml:space="preserve">         Column B, Page 450.1-450.2</t>
  </si>
  <si>
    <t>2015 Annual Transmission Revenue Requirement</t>
  </si>
  <si>
    <t>2015 Calendar Year Maximum Firm Transmission System Load</t>
  </si>
  <si>
    <t>Rates effective June 1, 2016</t>
  </si>
  <si>
    <t>(d) Payroll taxes from FERC Form 1, page 263.i, 263.1i</t>
  </si>
  <si>
    <t>(e) Total Municipal Tax Expense detail:  Page 263.23i:28i</t>
  </si>
  <si>
    <t>Footnote (e)</t>
  </si>
  <si>
    <t>Page 274.5.b/275.5.k</t>
  </si>
  <si>
    <t>Total Account 190</t>
  </si>
  <si>
    <t>This line is intentionally left blank</t>
  </si>
  <si>
    <t>Worksheet 9, line 2</t>
  </si>
  <si>
    <t>Worksheet 9, line 4</t>
  </si>
  <si>
    <t>Worksheet 9, line 6</t>
  </si>
  <si>
    <t>Rates *</t>
  </si>
  <si>
    <t>* In effect 1/1/2014 - The depreciation rates may not be changed absent a Section 205 or 206 filing with FERC.</t>
  </si>
  <si>
    <t>Company Workpaper</t>
  </si>
  <si>
    <t>Page 400.g x 8760 hrs</t>
  </si>
  <si>
    <t>Line 20 / line 23</t>
  </si>
  <si>
    <t>Page 450.1 - see Company Workpaper</t>
  </si>
  <si>
    <t>(Y-25) Page 450.1 - see Company Workpaper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</si>
</sst>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dd\-mmm\-yy_)"/>
    <numFmt numFmtId="166" formatCode="General_)"/>
    <numFmt numFmtId="167" formatCode="0.000000%"/>
    <numFmt numFmtId="168" formatCode="0.0000"/>
    <numFmt numFmtId="169" formatCode="0.0000000"/>
    <numFmt numFmtId="170" formatCode="0.0000000000"/>
    <numFmt numFmtId="171" formatCode="#,##0.0000_);[Red]\(#,##0.0000\)"/>
    <numFmt numFmtId="172" formatCode="_(&quot;$&quot;* #,##0_);_(&quot;$&quot;* \(#,##0\);_(&quot;$&quot;* &quot;-&quot;??_);_(@_)"/>
    <numFmt numFmtId="173" formatCode="#,##0.0000_);\(#,##0.0000\)"/>
    <numFmt numFmtId="174" formatCode="#,##0.00000_);[Red]\(#,##0.00000\)"/>
    <numFmt numFmtId="175" formatCode="[$-409]mmmm\-yy;@"/>
    <numFmt numFmtId="176" formatCode="&quot;$&quot;#,##0.0000000_);\(&quot;$&quot;#,##0.0000000\)"/>
    <numFmt numFmtId="177" formatCode="0_)"/>
    <numFmt numFmtId="178" formatCode="#,##0.00000000_);\(#,##0.00000000\)"/>
    <numFmt numFmtId="179" formatCode="_(* #,##0_);_(* \(#,##0\);_(* &quot;-&quot;??_);_(@_)"/>
  </numFmts>
  <fonts count="54" x14ac:knownFonts="1">
    <font>
      <sz val="10"/>
      <name val="Arial"/>
    </font>
    <font>
      <sz val="10"/>
      <name val="Arial"/>
      <family val="2"/>
    </font>
    <font>
      <sz val="11"/>
      <name val="Bookman Old Style"/>
      <family val="1"/>
    </font>
    <font>
      <sz val="11"/>
      <name val="Courier New"/>
      <family val="3"/>
    </font>
    <font>
      <sz val="11"/>
      <color indexed="12"/>
      <name val="Courier New"/>
      <family val="3"/>
    </font>
    <font>
      <u/>
      <sz val="11"/>
      <name val="Courier New"/>
      <family val="3"/>
    </font>
    <font>
      <b/>
      <sz val="14"/>
      <name val="Courier New"/>
      <family val="3"/>
    </font>
    <font>
      <b/>
      <sz val="11"/>
      <name val="Courier New"/>
      <family val="3"/>
    </font>
    <font>
      <u/>
      <sz val="11"/>
      <color indexed="12"/>
      <name val="Courier New"/>
      <family val="3"/>
    </font>
    <font>
      <sz val="10"/>
      <name val="Courier New"/>
      <family val="3"/>
    </font>
    <font>
      <u/>
      <vertAlign val="superscript"/>
      <sz val="10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1"/>
      <name val="Times New Roman"/>
      <family val="1"/>
    </font>
    <font>
      <sz val="12"/>
      <name val="Courier New"/>
      <family val="3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ourier New"/>
      <family val="3"/>
    </font>
    <font>
      <sz val="11"/>
      <color rgb="FF0070C0"/>
      <name val="Courier New"/>
      <family val="3"/>
    </font>
    <font>
      <u/>
      <sz val="11"/>
      <color rgb="FF0070C0"/>
      <name val="Courier New"/>
      <family val="3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4"/>
      <color rgb="FFFF0000"/>
      <name val="Courier New"/>
      <family val="3"/>
    </font>
    <font>
      <sz val="11"/>
      <color rgb="FFFF0000"/>
      <name val="Courier New"/>
      <family val="3"/>
    </font>
    <font>
      <sz val="11"/>
      <color rgb="FFFF0000"/>
      <name val="Times New Roman"/>
      <family val="1"/>
    </font>
  </fonts>
  <fills count="4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</borders>
  <cellStyleXfs count="143">
    <xf numFmtId="0" fontId="0" fillId="0" borderId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7" borderId="0" applyNumberFormat="0" applyBorder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6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7" borderId="0" applyNumberFormat="0" applyBorder="0" applyAlignment="0" applyProtection="0"/>
    <xf numFmtId="0" fontId="15" fillId="29" borderId="0" applyNumberFormat="0" applyBorder="0" applyAlignment="0" applyProtection="0"/>
    <xf numFmtId="0" fontId="15" fillId="2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31" fillId="20" borderId="0" applyNumberFormat="0" applyBorder="0" applyAlignment="0" applyProtection="0"/>
    <xf numFmtId="0" fontId="32" fillId="32" borderId="1" applyNumberFormat="0" applyAlignment="0" applyProtection="0"/>
    <xf numFmtId="0" fontId="17" fillId="21" borderId="2" applyNumberFormat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18" fillId="3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45" fillId="0" borderId="0"/>
    <xf numFmtId="0" fontId="28" fillId="0" borderId="0"/>
    <xf numFmtId="0" fontId="26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6" fillId="0" borderId="0"/>
    <xf numFmtId="0" fontId="1" fillId="0" borderId="0"/>
    <xf numFmtId="0" fontId="26" fillId="0" borderId="0"/>
    <xf numFmtId="37" fontId="26" fillId="0" borderId="0"/>
    <xf numFmtId="37" fontId="26" fillId="0" borderId="0"/>
    <xf numFmtId="0" fontId="26" fillId="0" borderId="0"/>
    <xf numFmtId="0" fontId="1" fillId="29" borderId="7" applyNumberFormat="0" applyFont="0" applyAlignment="0" applyProtection="0"/>
    <xf numFmtId="0" fontId="1" fillId="29" borderId="7" applyNumberFormat="0" applyFont="0" applyAlignment="0" applyProtection="0"/>
    <xf numFmtId="0" fontId="23" fillId="32" borderId="8" applyNumberFormat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37" fillId="10" borderId="9" applyNumberFormat="0" applyProtection="0">
      <alignment vertical="center"/>
    </xf>
    <xf numFmtId="4" fontId="38" fillId="10" borderId="9" applyNumberFormat="0" applyProtection="0">
      <alignment vertical="center"/>
    </xf>
    <xf numFmtId="4" fontId="37" fillId="10" borderId="9" applyNumberFormat="0" applyProtection="0">
      <alignment horizontal="left" vertical="center" indent="1"/>
    </xf>
    <xf numFmtId="0" fontId="37" fillId="10" borderId="9" applyNumberFormat="0" applyProtection="0">
      <alignment horizontal="left" vertical="top" indent="1"/>
    </xf>
    <xf numFmtId="4" fontId="37" fillId="3" borderId="0" applyNumberFormat="0" applyProtection="0">
      <alignment horizontal="left" vertical="center" indent="1"/>
    </xf>
    <xf numFmtId="4" fontId="29" fillId="8" borderId="9" applyNumberFormat="0" applyProtection="0">
      <alignment horizontal="right" vertical="center"/>
    </xf>
    <xf numFmtId="4" fontId="29" fillId="4" borderId="9" applyNumberFormat="0" applyProtection="0">
      <alignment horizontal="right" vertical="center"/>
    </xf>
    <xf numFmtId="4" fontId="29" fillId="28" borderId="9" applyNumberFormat="0" applyProtection="0">
      <alignment horizontal="right" vertical="center"/>
    </xf>
    <xf numFmtId="4" fontId="29" fillId="14" borderId="9" applyNumberFormat="0" applyProtection="0">
      <alignment horizontal="right" vertical="center"/>
    </xf>
    <xf numFmtId="4" fontId="29" fillId="37" borderId="9" applyNumberFormat="0" applyProtection="0">
      <alignment horizontal="right" vertical="center"/>
    </xf>
    <xf numFmtId="4" fontId="29" fillId="13" borderId="9" applyNumberFormat="0" applyProtection="0">
      <alignment horizontal="right" vertical="center"/>
    </xf>
    <xf numFmtId="4" fontId="29" fillId="11" borderId="9" applyNumberFormat="0" applyProtection="0">
      <alignment horizontal="right" vertical="center"/>
    </xf>
    <xf numFmtId="4" fontId="29" fillId="38" borderId="9" applyNumberFormat="0" applyProtection="0">
      <alignment horizontal="right" vertical="center"/>
    </xf>
    <xf numFmtId="4" fontId="29" fillId="39" borderId="9" applyNumberFormat="0" applyProtection="0">
      <alignment horizontal="right" vertical="center"/>
    </xf>
    <xf numFmtId="4" fontId="37" fillId="40" borderId="10" applyNumberFormat="0" applyProtection="0">
      <alignment horizontal="left" vertical="center" indent="1"/>
    </xf>
    <xf numFmtId="4" fontId="29" fillId="41" borderId="0" applyNumberFormat="0" applyProtection="0">
      <alignment horizontal="left" vertical="center" indent="1"/>
    </xf>
    <xf numFmtId="4" fontId="39" fillId="9" borderId="0" applyNumberFormat="0" applyProtection="0">
      <alignment horizontal="left" vertical="center" indent="1"/>
    </xf>
    <xf numFmtId="4" fontId="29" fillId="3" borderId="9" applyNumberFormat="0" applyProtection="0">
      <alignment horizontal="right" vertical="center"/>
    </xf>
    <xf numFmtId="4" fontId="29" fillId="41" borderId="0" applyNumberFormat="0" applyProtection="0">
      <alignment horizontal="left" vertical="center" indent="1"/>
    </xf>
    <xf numFmtId="4" fontId="29" fillId="41" borderId="0" applyNumberFormat="0" applyProtection="0">
      <alignment horizontal="left" vertical="center" indent="1"/>
    </xf>
    <xf numFmtId="4" fontId="29" fillId="3" borderId="0" applyNumberFormat="0" applyProtection="0">
      <alignment horizontal="left" vertical="center" indent="1"/>
    </xf>
    <xf numFmtId="4" fontId="29" fillId="3" borderId="0" applyNumberFormat="0" applyProtection="0">
      <alignment horizontal="left" vertical="center" indent="1"/>
    </xf>
    <xf numFmtId="0" fontId="1" fillId="9" borderId="9" applyNumberFormat="0" applyProtection="0">
      <alignment horizontal="left" vertical="center" indent="1"/>
    </xf>
    <xf numFmtId="0" fontId="1" fillId="9" borderId="9" applyNumberFormat="0" applyProtection="0">
      <alignment horizontal="left" vertical="center" indent="1"/>
    </xf>
    <xf numFmtId="0" fontId="1" fillId="9" borderId="9" applyNumberFormat="0" applyProtection="0">
      <alignment horizontal="left" vertical="top" indent="1"/>
    </xf>
    <xf numFmtId="0" fontId="1" fillId="9" borderId="9" applyNumberFormat="0" applyProtection="0">
      <alignment horizontal="left" vertical="top" indent="1"/>
    </xf>
    <xf numFmtId="0" fontId="1" fillId="3" borderId="9" applyNumberFormat="0" applyProtection="0">
      <alignment horizontal="left" vertical="center" indent="1"/>
    </xf>
    <xf numFmtId="0" fontId="1" fillId="3" borderId="9" applyNumberFormat="0" applyProtection="0">
      <alignment horizontal="left" vertical="center" indent="1"/>
    </xf>
    <xf numFmtId="0" fontId="1" fillId="3" borderId="9" applyNumberFormat="0" applyProtection="0">
      <alignment horizontal="left" vertical="top" indent="1"/>
    </xf>
    <xf numFmtId="0" fontId="1" fillId="3" borderId="9" applyNumberFormat="0" applyProtection="0">
      <alignment horizontal="left" vertical="top" indent="1"/>
    </xf>
    <xf numFmtId="0" fontId="1" fillId="2" borderId="9" applyNumberFormat="0" applyProtection="0">
      <alignment horizontal="left" vertical="center" indent="1"/>
    </xf>
    <xf numFmtId="0" fontId="1" fillId="2" borderId="9" applyNumberFormat="0" applyProtection="0">
      <alignment horizontal="left" vertical="center" indent="1"/>
    </xf>
    <xf numFmtId="0" fontId="1" fillId="2" borderId="9" applyNumberFormat="0" applyProtection="0">
      <alignment horizontal="left" vertical="top" indent="1"/>
    </xf>
    <xf numFmtId="0" fontId="1" fillId="2" borderId="9" applyNumberFormat="0" applyProtection="0">
      <alignment horizontal="left" vertical="top" indent="1"/>
    </xf>
    <xf numFmtId="0" fontId="1" fillId="41" borderId="9" applyNumberFormat="0" applyProtection="0">
      <alignment horizontal="left" vertical="center" indent="1"/>
    </xf>
    <xf numFmtId="0" fontId="1" fillId="41" borderId="9" applyNumberFormat="0" applyProtection="0">
      <alignment horizontal="left" vertical="center" indent="1"/>
    </xf>
    <xf numFmtId="0" fontId="1" fillId="41" borderId="9" applyNumberFormat="0" applyProtection="0">
      <alignment horizontal="left" vertical="top" indent="1"/>
    </xf>
    <xf numFmtId="0" fontId="1" fillId="41" borderId="9" applyNumberFormat="0" applyProtection="0">
      <alignment horizontal="left" vertical="top" indent="1"/>
    </xf>
    <xf numFmtId="0" fontId="1" fillId="7" borderId="11" applyNumberFormat="0">
      <protection locked="0"/>
    </xf>
    <xf numFmtId="0" fontId="1" fillId="7" borderId="11" applyNumberFormat="0">
      <protection locked="0"/>
    </xf>
    <xf numFmtId="4" fontId="29" fillId="5" borderId="9" applyNumberFormat="0" applyProtection="0">
      <alignment vertical="center"/>
    </xf>
    <xf numFmtId="4" fontId="40" fillId="5" borderId="9" applyNumberFormat="0" applyProtection="0">
      <alignment vertical="center"/>
    </xf>
    <xf numFmtId="4" fontId="29" fillId="5" borderId="9" applyNumberFormat="0" applyProtection="0">
      <alignment horizontal="left" vertical="center" indent="1"/>
    </xf>
    <xf numFmtId="0" fontId="29" fillId="5" borderId="9" applyNumberFormat="0" applyProtection="0">
      <alignment horizontal="left" vertical="top" indent="1"/>
    </xf>
    <xf numFmtId="4" fontId="29" fillId="41" borderId="9" applyNumberFormat="0" applyProtection="0">
      <alignment horizontal="right" vertical="center"/>
    </xf>
    <xf numFmtId="4" fontId="40" fillId="41" borderId="9" applyNumberFormat="0" applyProtection="0">
      <alignment horizontal="right" vertical="center"/>
    </xf>
    <xf numFmtId="4" fontId="29" fillId="3" borderId="9" applyNumberFormat="0" applyProtection="0">
      <alignment horizontal="left" vertical="center" indent="1"/>
    </xf>
    <xf numFmtId="0" fontId="29" fillId="3" borderId="9" applyNumberFormat="0" applyProtection="0">
      <alignment horizontal="left" vertical="top" indent="1"/>
    </xf>
    <xf numFmtId="4" fontId="41" fillId="42" borderId="0" applyNumberFormat="0" applyProtection="0">
      <alignment horizontal="left" vertical="center" indent="1"/>
    </xf>
    <xf numFmtId="4" fontId="27" fillId="41" borderId="9" applyNumberFormat="0" applyProtection="0">
      <alignment horizontal="right" vertical="center"/>
    </xf>
    <xf numFmtId="4" fontId="27" fillId="41" borderId="9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1" fillId="0" borderId="0"/>
  </cellStyleXfs>
  <cellXfs count="277">
    <xf numFmtId="0" fontId="0" fillId="0" borderId="0" xfId="0"/>
    <xf numFmtId="0" fontId="2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center"/>
    </xf>
    <xf numFmtId="0" fontId="3" fillId="0" borderId="13" xfId="0" applyFont="1" applyBorder="1"/>
    <xf numFmtId="0" fontId="3" fillId="0" borderId="0" xfId="0" applyFont="1" applyBorder="1" applyAlignment="1">
      <alignment horizontal="right"/>
    </xf>
    <xf numFmtId="0" fontId="5" fillId="0" borderId="0" xfId="0" applyFont="1"/>
    <xf numFmtId="3" fontId="3" fillId="0" borderId="0" xfId="0" applyNumberFormat="1" applyFont="1"/>
    <xf numFmtId="38" fontId="4" fillId="0" borderId="0" xfId="0" applyNumberFormat="1" applyFont="1" applyFill="1" applyBorder="1"/>
    <xf numFmtId="38" fontId="3" fillId="0" borderId="0" xfId="0" applyNumberFormat="1" applyFont="1"/>
    <xf numFmtId="38" fontId="3" fillId="0" borderId="0" xfId="0" applyNumberFormat="1" applyFont="1" applyBorder="1"/>
    <xf numFmtId="0" fontId="3" fillId="0" borderId="0" xfId="0" applyFont="1" applyFill="1" applyBorder="1"/>
    <xf numFmtId="164" fontId="3" fillId="0" borderId="0" xfId="0" applyNumberFormat="1" applyFont="1" applyBorder="1"/>
    <xf numFmtId="164" fontId="3" fillId="0" borderId="0" xfId="0" applyNumberFormat="1" applyFont="1" applyFill="1" applyBorder="1"/>
    <xf numFmtId="10" fontId="3" fillId="0" borderId="0" xfId="0" applyNumberFormat="1" applyFont="1"/>
    <xf numFmtId="0" fontId="3" fillId="0" borderId="0" xfId="0" applyFont="1" applyAlignment="1">
      <alignment horizontal="center"/>
    </xf>
    <xf numFmtId="38" fontId="4" fillId="0" borderId="13" xfId="0" applyNumberFormat="1" applyFont="1" applyBorder="1"/>
    <xf numFmtId="38" fontId="3" fillId="0" borderId="0" xfId="0" applyNumberFormat="1" applyFont="1" applyFill="1" applyBorder="1"/>
    <xf numFmtId="0" fontId="3" fillId="0" borderId="0" xfId="0" quotePrefix="1" applyFont="1" applyBorder="1" applyAlignment="1">
      <alignment horizontal="center"/>
    </xf>
    <xf numFmtId="0" fontId="3" fillId="0" borderId="0" xfId="0" applyFont="1" applyFill="1"/>
    <xf numFmtId="0" fontId="3" fillId="0" borderId="0" xfId="0" quotePrefix="1" applyFont="1" applyFill="1"/>
    <xf numFmtId="0" fontId="3" fillId="0" borderId="0" xfId="0" quotePrefix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3" fillId="0" borderId="0" xfId="0" applyNumberFormat="1" applyFont="1"/>
    <xf numFmtId="38" fontId="3" fillId="0" borderId="13" xfId="0" applyNumberFormat="1" applyFont="1" applyBorder="1"/>
    <xf numFmtId="0" fontId="5" fillId="0" borderId="0" xfId="0" applyFont="1" applyBorder="1"/>
    <xf numFmtId="0" fontId="3" fillId="0" borderId="0" xfId="0" quotePrefix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quotePrefix="1" applyFont="1"/>
    <xf numFmtId="37" fontId="3" fillId="0" borderId="14" xfId="0" applyNumberFormat="1" applyFont="1" applyBorder="1"/>
    <xf numFmtId="0" fontId="3" fillId="0" borderId="15" xfId="0" applyFont="1" applyBorder="1" applyAlignment="1">
      <alignment horizontal="center"/>
    </xf>
    <xf numFmtId="10" fontId="3" fillId="0" borderId="0" xfId="0" applyNumberFormat="1" applyFont="1" applyProtection="1"/>
    <xf numFmtId="10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0" xfId="0" applyNumberFormat="1" applyFont="1" applyBorder="1" applyProtection="1"/>
    <xf numFmtId="10" fontId="3" fillId="0" borderId="16" xfId="0" applyNumberFormat="1" applyFont="1" applyBorder="1" applyProtection="1"/>
    <xf numFmtId="10" fontId="3" fillId="0" borderId="17" xfId="0" applyNumberFormat="1" applyFont="1" applyBorder="1"/>
    <xf numFmtId="168" fontId="3" fillId="0" borderId="0" xfId="0" applyNumberFormat="1" applyFont="1" applyBorder="1"/>
    <xf numFmtId="38" fontId="3" fillId="0" borderId="0" xfId="0" applyNumberFormat="1" applyFont="1" applyBorder="1" applyAlignment="1">
      <alignment horizontal="center"/>
    </xf>
    <xf numFmtId="0" fontId="3" fillId="0" borderId="13" xfId="0" quotePrefix="1" applyFont="1" applyBorder="1" applyAlignment="1">
      <alignment horizontal="center"/>
    </xf>
    <xf numFmtId="38" fontId="3" fillId="0" borderId="13" xfId="0" quotePrefix="1" applyNumberFormat="1" applyFont="1" applyBorder="1" applyAlignment="1">
      <alignment horizontal="center"/>
    </xf>
    <xf numFmtId="38" fontId="3" fillId="0" borderId="13" xfId="0" applyNumberFormat="1" applyFont="1" applyBorder="1" applyAlignment="1">
      <alignment horizontal="left"/>
    </xf>
    <xf numFmtId="38" fontId="3" fillId="0" borderId="13" xfId="0" quotePrefix="1" applyNumberFormat="1" applyFont="1" applyBorder="1" applyAlignment="1">
      <alignment horizontal="left"/>
    </xf>
    <xf numFmtId="38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Continuous"/>
    </xf>
    <xf numFmtId="0" fontId="3" fillId="0" borderId="0" xfId="0" quotePrefix="1" applyFont="1" applyAlignment="1">
      <alignment horizontal="right"/>
    </xf>
    <xf numFmtId="0" fontId="3" fillId="0" borderId="0" xfId="0" applyFont="1" applyBorder="1" applyAlignment="1">
      <alignment horizontal="centerContinuous"/>
    </xf>
    <xf numFmtId="168" fontId="3" fillId="0" borderId="13" xfId="0" quotePrefix="1" applyNumberFormat="1" applyFont="1" applyBorder="1" applyAlignment="1">
      <alignment horizontal="left"/>
    </xf>
    <xf numFmtId="169" fontId="3" fillId="0" borderId="17" xfId="0" applyNumberFormat="1" applyFont="1" applyBorder="1"/>
    <xf numFmtId="169" fontId="3" fillId="0" borderId="0" xfId="0" applyNumberFormat="1" applyFont="1" applyBorder="1"/>
    <xf numFmtId="0" fontId="3" fillId="0" borderId="13" xfId="0" quotePrefix="1" applyFont="1" applyBorder="1"/>
    <xf numFmtId="0" fontId="3" fillId="0" borderId="0" xfId="0" quotePrefix="1" applyFont="1" applyBorder="1"/>
    <xf numFmtId="170" fontId="3" fillId="0" borderId="0" xfId="0" applyNumberFormat="1" applyFont="1" applyBorder="1"/>
    <xf numFmtId="37" fontId="3" fillId="0" borderId="0" xfId="0" applyNumberFormat="1" applyFont="1" applyProtection="1"/>
    <xf numFmtId="169" fontId="3" fillId="0" borderId="0" xfId="0" applyNumberFormat="1" applyFont="1"/>
    <xf numFmtId="37" fontId="3" fillId="0" borderId="0" xfId="0" applyNumberFormat="1" applyFont="1" applyBorder="1"/>
    <xf numFmtId="165" fontId="3" fillId="0" borderId="0" xfId="0" applyNumberFormat="1" applyFont="1" applyProtection="1"/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6" fontId="3" fillId="0" borderId="0" xfId="0" applyNumberFormat="1" applyFont="1" applyAlignment="1" applyProtection="1">
      <alignment horizontal="center"/>
    </xf>
    <xf numFmtId="38" fontId="3" fillId="0" borderId="0" xfId="0" applyNumberFormat="1" applyFont="1" applyBorder="1" applyAlignment="1">
      <alignment horizontal="right"/>
    </xf>
    <xf numFmtId="0" fontId="3" fillId="43" borderId="0" xfId="0" applyFont="1" applyFill="1"/>
    <xf numFmtId="0" fontId="6" fillId="0" borderId="0" xfId="0" applyFont="1" applyAlignment="1">
      <alignment horizontal="center"/>
    </xf>
    <xf numFmtId="0" fontId="3" fillId="43" borderId="0" xfId="0" applyFont="1" applyFill="1" applyAlignment="1">
      <alignment horizontal="center"/>
    </xf>
    <xf numFmtId="5" fontId="3" fillId="0" borderId="0" xfId="0" applyNumberFormat="1" applyFont="1"/>
    <xf numFmtId="0" fontId="3" fillId="43" borderId="0" xfId="0" applyFont="1" applyFill="1" applyBorder="1"/>
    <xf numFmtId="164" fontId="3" fillId="43" borderId="0" xfId="0" applyNumberFormat="1" applyFont="1" applyFill="1" applyBorder="1"/>
    <xf numFmtId="0" fontId="5" fillId="43" borderId="0" xfId="0" applyFont="1" applyFill="1"/>
    <xf numFmtId="0" fontId="3" fillId="43" borderId="0" xfId="0" quotePrefix="1" applyFont="1" applyFill="1"/>
    <xf numFmtId="38" fontId="3" fillId="43" borderId="0" xfId="0" applyNumberFormat="1" applyFont="1" applyFill="1" applyBorder="1"/>
    <xf numFmtId="38" fontId="3" fillId="43" borderId="13" xfId="0" applyNumberFormat="1" applyFont="1" applyFill="1" applyBorder="1"/>
    <xf numFmtId="0" fontId="3" fillId="43" borderId="13" xfId="0" applyFont="1" applyFill="1" applyBorder="1"/>
    <xf numFmtId="5" fontId="3" fillId="0" borderId="0" xfId="0" applyNumberFormat="1" applyFont="1" applyBorder="1"/>
    <xf numFmtId="5" fontId="3" fillId="0" borderId="17" xfId="0" applyNumberFormat="1" applyFont="1" applyBorder="1"/>
    <xf numFmtId="5" fontId="3" fillId="0" borderId="14" xfId="0" applyNumberFormat="1" applyFont="1" applyBorder="1"/>
    <xf numFmtId="5" fontId="3" fillId="43" borderId="0" xfId="0" applyNumberFormat="1" applyFont="1" applyFill="1" applyBorder="1"/>
    <xf numFmtId="0" fontId="7" fillId="0" borderId="0" xfId="0" applyFont="1"/>
    <xf numFmtId="0" fontId="7" fillId="43" borderId="0" xfId="0" applyFont="1" applyFill="1"/>
    <xf numFmtId="10" fontId="3" fillId="0" borderId="13" xfId="0" applyNumberFormat="1" applyFont="1" applyBorder="1" applyAlignment="1">
      <alignment horizontal="center"/>
    </xf>
    <xf numFmtId="169" fontId="3" fillId="0" borderId="13" xfId="0" applyNumberFormat="1" applyFont="1" applyBorder="1" applyAlignment="1">
      <alignment horizontal="centerContinuous"/>
    </xf>
    <xf numFmtId="0" fontId="46" fillId="0" borderId="0" xfId="67" applyFont="1"/>
    <xf numFmtId="0" fontId="3" fillId="0" borderId="0" xfId="0" applyFont="1" applyBorder="1" applyAlignment="1">
      <alignment horizontal="center" vertical="top" wrapText="1"/>
    </xf>
    <xf numFmtId="10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3" fillId="43" borderId="13" xfId="0" applyFont="1" applyFill="1" applyBorder="1" applyAlignment="1">
      <alignment horizontal="right"/>
    </xf>
    <xf numFmtId="0" fontId="3" fillId="43" borderId="13" xfId="0" quotePrefix="1" applyFont="1" applyFill="1" applyBorder="1" applyAlignment="1">
      <alignment horizontal="right"/>
    </xf>
    <xf numFmtId="0" fontId="3" fillId="0" borderId="0" xfId="72" applyFont="1"/>
    <xf numFmtId="0" fontId="3" fillId="43" borderId="0" xfId="72" applyFont="1" applyFill="1"/>
    <xf numFmtId="0" fontId="3" fillId="43" borderId="0" xfId="72" applyFont="1" applyFill="1"/>
    <xf numFmtId="0" fontId="8" fillId="0" borderId="0" xfId="0" applyFont="1" applyBorder="1"/>
    <xf numFmtId="0" fontId="5" fillId="0" borderId="13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37" fontId="10" fillId="0" borderId="0" xfId="0" applyNumberFormat="1" applyFont="1"/>
    <xf numFmtId="37" fontId="11" fillId="0" borderId="13" xfId="0" applyNumberFormat="1" applyFont="1" applyBorder="1" applyAlignment="1"/>
    <xf numFmtId="37" fontId="1" fillId="0" borderId="13" xfId="0" applyNumberFormat="1" applyFont="1" applyBorder="1"/>
    <xf numFmtId="37" fontId="1" fillId="0" borderId="0" xfId="0" applyNumberFormat="1" applyFont="1"/>
    <xf numFmtId="37" fontId="11" fillId="0" borderId="13" xfId="0" applyNumberFormat="1" applyFont="1" applyBorder="1"/>
    <xf numFmtId="37" fontId="11" fillId="0" borderId="13" xfId="0" applyNumberFormat="1" applyFont="1" applyBorder="1" applyAlignment="1">
      <alignment horizontal="center"/>
    </xf>
    <xf numFmtId="37" fontId="1" fillId="0" borderId="0" xfId="0" applyNumberFormat="1" applyFont="1" applyFill="1" applyBorder="1" applyAlignment="1"/>
    <xf numFmtId="37" fontId="1" fillId="0" borderId="0" xfId="0" applyNumberFormat="1" applyFont="1" applyAlignment="1"/>
    <xf numFmtId="37" fontId="1" fillId="0" borderId="0" xfId="0" applyNumberFormat="1" applyFont="1" applyFill="1"/>
    <xf numFmtId="37" fontId="12" fillId="0" borderId="0" xfId="0" applyNumberFormat="1" applyFont="1"/>
    <xf numFmtId="37" fontId="13" fillId="0" borderId="0" xfId="0" applyNumberFormat="1" applyFont="1"/>
    <xf numFmtId="37" fontId="1" fillId="0" borderId="0" xfId="0" applyNumberFormat="1" applyFont="1" applyBorder="1"/>
    <xf numFmtId="37" fontId="13" fillId="0" borderId="0" xfId="0" applyNumberFormat="1" applyFont="1" applyAlignment="1">
      <alignment horizontal="right"/>
    </xf>
    <xf numFmtId="37" fontId="14" fillId="0" borderId="0" xfId="0" applyNumberFormat="1" applyFont="1" applyFill="1"/>
    <xf numFmtId="37" fontId="13" fillId="0" borderId="0" xfId="0" applyNumberFormat="1" applyFont="1" applyFill="1" applyAlignment="1">
      <alignment horizontal="right"/>
    </xf>
    <xf numFmtId="37" fontId="1" fillId="0" borderId="0" xfId="0" applyNumberFormat="1" applyFont="1" applyFill="1" applyAlignment="1">
      <alignment horizontal="right"/>
    </xf>
    <xf numFmtId="37" fontId="14" fillId="0" borderId="0" xfId="0" applyNumberFormat="1" applyFont="1"/>
    <xf numFmtId="37" fontId="1" fillId="43" borderId="0" xfId="0" applyNumberFormat="1" applyFont="1" applyFill="1"/>
    <xf numFmtId="37" fontId="1" fillId="43" borderId="0" xfId="0" applyNumberFormat="1" applyFont="1" applyFill="1" applyBorder="1"/>
    <xf numFmtId="37" fontId="1" fillId="0" borderId="0" xfId="0" applyNumberFormat="1" applyFont="1" applyFill="1" applyAlignment="1">
      <alignment horizontal="left"/>
    </xf>
    <xf numFmtId="0" fontId="3" fillId="44" borderId="0" xfId="0" applyFont="1" applyFill="1" applyAlignment="1">
      <alignment horizontal="center"/>
    </xf>
    <xf numFmtId="0" fontId="1" fillId="0" borderId="0" xfId="0" applyFont="1"/>
    <xf numFmtId="37" fontId="3" fillId="0" borderId="0" xfId="0" applyNumberFormat="1" applyFont="1"/>
    <xf numFmtId="49" fontId="9" fillId="0" borderId="0" xfId="76" applyNumberFormat="1" applyFont="1" applyFill="1"/>
    <xf numFmtId="17" fontId="9" fillId="0" borderId="0" xfId="76" applyNumberFormat="1" applyFont="1" applyFill="1"/>
    <xf numFmtId="0" fontId="6" fillId="0" borderId="0" xfId="0" applyFont="1"/>
    <xf numFmtId="0" fontId="0" fillId="0" borderId="0" xfId="0" applyAlignment="1">
      <alignment horizontal="center"/>
    </xf>
    <xf numFmtId="37" fontId="4" fillId="0" borderId="0" xfId="0" applyNumberFormat="1" applyFont="1"/>
    <xf numFmtId="37" fontId="3" fillId="43" borderId="0" xfId="0" applyNumberFormat="1" applyFont="1" applyFill="1" applyAlignment="1">
      <alignment horizontal="center"/>
    </xf>
    <xf numFmtId="37" fontId="3" fillId="43" borderId="0" xfId="46" applyNumberFormat="1" applyFont="1" applyFill="1"/>
    <xf numFmtId="0" fontId="42" fillId="0" borderId="0" xfId="0" applyFont="1"/>
    <xf numFmtId="0" fontId="43" fillId="0" borderId="0" xfId="0" applyFont="1"/>
    <xf numFmtId="3" fontId="43" fillId="43" borderId="0" xfId="0" applyNumberFormat="1" applyFont="1" applyFill="1" applyBorder="1" applyAlignment="1">
      <alignment horizontal="right"/>
    </xf>
    <xf numFmtId="174" fontId="43" fillId="43" borderId="0" xfId="0" applyNumberFormat="1" applyFont="1" applyFill="1" applyBorder="1" applyAlignment="1">
      <alignment horizontal="right"/>
    </xf>
    <xf numFmtId="38" fontId="43" fillId="43" borderId="0" xfId="0" applyNumberFormat="1" applyFont="1" applyFill="1" applyBorder="1" applyAlignment="1">
      <alignment horizontal="right"/>
    </xf>
    <xf numFmtId="49" fontId="3" fillId="0" borderId="0" xfId="0" applyNumberFormat="1" applyFont="1"/>
    <xf numFmtId="7" fontId="3" fillId="0" borderId="0" xfId="0" applyNumberFormat="1" applyFont="1" applyProtection="1"/>
    <xf numFmtId="39" fontId="3" fillId="0" borderId="0" xfId="0" applyNumberFormat="1" applyFont="1" applyProtection="1"/>
    <xf numFmtId="175" fontId="3" fillId="43" borderId="0" xfId="0" applyNumberFormat="1" applyFont="1" applyFill="1"/>
    <xf numFmtId="37" fontId="3" fillId="43" borderId="0" xfId="0" applyNumberFormat="1" applyFont="1" applyFill="1" applyProtection="1">
      <protection locked="0"/>
    </xf>
    <xf numFmtId="37" fontId="3" fillId="0" borderId="0" xfId="0" applyNumberFormat="1" applyFont="1" applyFill="1" applyBorder="1" applyProtection="1">
      <protection locked="0"/>
    </xf>
    <xf numFmtId="5" fontId="3" fillId="0" borderId="0" xfId="0" applyNumberFormat="1" applyFont="1" applyProtection="1"/>
    <xf numFmtId="0" fontId="3" fillId="44" borderId="0" xfId="0" applyFont="1" applyFill="1"/>
    <xf numFmtId="5" fontId="3" fillId="0" borderId="0" xfId="0" applyNumberFormat="1" applyFont="1" applyProtection="1">
      <protection locked="0"/>
    </xf>
    <xf numFmtId="173" fontId="3" fillId="0" borderId="0" xfId="0" applyNumberFormat="1" applyFont="1" applyProtection="1"/>
    <xf numFmtId="37" fontId="3" fillId="0" borderId="0" xfId="0" applyNumberFormat="1" applyFont="1" applyProtection="1">
      <protection locked="0"/>
    </xf>
    <xf numFmtId="37" fontId="3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center"/>
    </xf>
    <xf numFmtId="5" fontId="3" fillId="43" borderId="0" xfId="0" applyNumberFormat="1" applyFont="1" applyFill="1" applyBorder="1" applyAlignment="1">
      <alignment horizontal="center"/>
    </xf>
    <xf numFmtId="37" fontId="3" fillId="0" borderId="0" xfId="0" applyNumberFormat="1" applyFont="1" applyBorder="1" applyAlignment="1">
      <alignment horizontal="center"/>
    </xf>
    <xf numFmtId="5" fontId="3" fillId="0" borderId="0" xfId="0" quotePrefix="1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5" fontId="3" fillId="0" borderId="0" xfId="0" applyNumberFormat="1" applyFont="1" applyBorder="1" applyAlignment="1">
      <alignment horizontal="center"/>
    </xf>
    <xf numFmtId="10" fontId="3" fillId="43" borderId="0" xfId="72" applyNumberFormat="1" applyFont="1" applyFill="1" applyAlignment="1">
      <alignment horizontal="center"/>
    </xf>
    <xf numFmtId="10" fontId="3" fillId="43" borderId="0" xfId="72" applyNumberFormat="1" applyFont="1" applyFill="1" applyAlignment="1" applyProtection="1">
      <alignment horizontal="center"/>
    </xf>
    <xf numFmtId="37" fontId="3" fillId="43" borderId="0" xfId="72" applyNumberFormat="1" applyFont="1" applyFill="1" applyBorder="1" applyAlignment="1" applyProtection="1">
      <alignment horizontal="center"/>
    </xf>
    <xf numFmtId="37" fontId="3" fillId="43" borderId="13" xfId="72" applyNumberFormat="1" applyFont="1" applyFill="1" applyBorder="1" applyAlignment="1" applyProtection="1">
      <alignment horizontal="center"/>
    </xf>
    <xf numFmtId="10" fontId="46" fillId="0" borderId="0" xfId="84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37" fontId="3" fillId="43" borderId="0" xfId="79" applyNumberFormat="1" applyFont="1" applyFill="1"/>
    <xf numFmtId="37" fontId="3" fillId="0" borderId="0" xfId="0" applyNumberFormat="1" applyFont="1" applyAlignment="1" applyProtection="1">
      <alignment horizontal="center"/>
    </xf>
    <xf numFmtId="7" fontId="3" fillId="0" borderId="0" xfId="0" applyNumberFormat="1" applyFont="1" applyAlignment="1" applyProtection="1">
      <alignment horizontal="center"/>
    </xf>
    <xf numFmtId="39" fontId="3" fillId="0" borderId="0" xfId="0" applyNumberFormat="1" applyFont="1" applyAlignment="1" applyProtection="1">
      <alignment horizontal="center"/>
    </xf>
    <xf numFmtId="6" fontId="3" fillId="0" borderId="0" xfId="0" applyNumberFormat="1" applyFont="1" applyBorder="1"/>
    <xf numFmtId="10" fontId="3" fillId="0" borderId="0" xfId="0" applyNumberFormat="1" applyFont="1" applyBorder="1" applyProtection="1"/>
    <xf numFmtId="38" fontId="3" fillId="43" borderId="13" xfId="0" quotePrefix="1" applyNumberFormat="1" applyFont="1" applyFill="1" applyBorder="1" applyAlignment="1">
      <alignment horizontal="right"/>
    </xf>
    <xf numFmtId="38" fontId="3" fillId="0" borderId="13" xfId="0" quotePrefix="1" applyNumberFormat="1" applyFont="1" applyBorder="1" applyAlignment="1">
      <alignment horizontal="right"/>
    </xf>
    <xf numFmtId="0" fontId="3" fillId="44" borderId="13" xfId="72" applyFont="1" applyFill="1" applyBorder="1" applyAlignment="1">
      <alignment horizontal="centerContinuous"/>
    </xf>
    <xf numFmtId="10" fontId="11" fillId="0" borderId="0" xfId="83" applyNumberFormat="1" applyFont="1" applyFill="1" applyAlignment="1">
      <alignment horizontal="center"/>
    </xf>
    <xf numFmtId="171" fontId="3" fillId="0" borderId="0" xfId="0" applyNumberFormat="1" applyFont="1" applyBorder="1"/>
    <xf numFmtId="0" fontId="3" fillId="0" borderId="0" xfId="67" applyFont="1" applyAlignment="1">
      <alignment horizontal="right"/>
    </xf>
    <xf numFmtId="10" fontId="3" fillId="0" borderId="0" xfId="84" applyNumberFormat="1" applyFont="1" applyFill="1"/>
    <xf numFmtId="0" fontId="3" fillId="0" borderId="0" xfId="67" applyFont="1"/>
    <xf numFmtId="5" fontId="3" fillId="43" borderId="0" xfId="0" applyNumberFormat="1" applyFont="1" applyFill="1" applyAlignment="1" applyProtection="1">
      <alignment horizontal="center"/>
      <protection locked="0"/>
    </xf>
    <xf numFmtId="176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5" fontId="3" fillId="44" borderId="0" xfId="72" applyNumberFormat="1" applyFont="1" applyFill="1" applyAlignment="1"/>
    <xf numFmtId="37" fontId="3" fillId="43" borderId="0" xfId="72" applyNumberFormat="1" applyFont="1" applyFill="1" applyAlignment="1"/>
    <xf numFmtId="37" fontId="3" fillId="44" borderId="0" xfId="72" applyNumberFormat="1" applyFont="1" applyFill="1" applyAlignment="1"/>
    <xf numFmtId="38" fontId="3" fillId="0" borderId="0" xfId="0" applyNumberFormat="1" applyFont="1" applyAlignment="1"/>
    <xf numFmtId="0" fontId="3" fillId="0" borderId="0" xfId="0" applyFont="1" applyAlignment="1"/>
    <xf numFmtId="164" fontId="3" fillId="0" borderId="0" xfId="0" applyNumberFormat="1" applyFont="1" applyBorder="1" applyAlignment="1"/>
    <xf numFmtId="164" fontId="3" fillId="0" borderId="13" xfId="0" applyNumberFormat="1" applyFont="1" applyBorder="1" applyAlignment="1"/>
    <xf numFmtId="164" fontId="7" fillId="0" borderId="17" xfId="0" applyNumberFormat="1" applyFont="1" applyBorder="1" applyAlignment="1"/>
    <xf numFmtId="38" fontId="3" fillId="43" borderId="0" xfId="0" applyNumberFormat="1" applyFont="1" applyFill="1" applyAlignment="1"/>
    <xf numFmtId="5" fontId="3" fillId="43" borderId="0" xfId="0" applyNumberFormat="1" applyFont="1" applyFill="1" applyAlignment="1"/>
    <xf numFmtId="38" fontId="3" fillId="0" borderId="13" xfId="0" applyNumberFormat="1" applyFont="1" applyFill="1" applyBorder="1" applyAlignment="1"/>
    <xf numFmtId="5" fontId="3" fillId="0" borderId="0" xfId="0" applyNumberFormat="1" applyFont="1" applyAlignment="1"/>
    <xf numFmtId="37" fontId="3" fillId="43" borderId="0" xfId="0" applyNumberFormat="1" applyFont="1" applyFill="1" applyAlignment="1"/>
    <xf numFmtId="0" fontId="3" fillId="43" borderId="0" xfId="0" applyFont="1" applyFill="1" applyAlignment="1"/>
    <xf numFmtId="164" fontId="7" fillId="43" borderId="17" xfId="0" applyNumberFormat="1" applyFont="1" applyFill="1" applyBorder="1" applyAlignment="1"/>
    <xf numFmtId="0" fontId="1" fillId="0" borderId="0" xfId="72" applyAlignment="1">
      <alignment horizontal="right"/>
    </xf>
    <xf numFmtId="38" fontId="3" fillId="43" borderId="0" xfId="0" applyNumberFormat="1" applyFont="1" applyFill="1" applyAlignment="1">
      <alignment horizontal="right"/>
    </xf>
    <xf numFmtId="38" fontId="3" fillId="0" borderId="0" xfId="0" applyNumberFormat="1" applyFont="1" applyAlignment="1">
      <alignment horizontal="right"/>
    </xf>
    <xf numFmtId="5" fontId="3" fillId="0" borderId="17" xfId="0" applyNumberFormat="1" applyFont="1" applyBorder="1" applyAlignment="1">
      <alignment horizontal="right"/>
    </xf>
    <xf numFmtId="5" fontId="3" fillId="0" borderId="0" xfId="0" applyNumberFormat="1" applyFont="1" applyAlignment="1">
      <alignment horizontal="right"/>
    </xf>
    <xf numFmtId="5" fontId="3" fillId="0" borderId="14" xfId="0" applyNumberFormat="1" applyFont="1" applyBorder="1" applyAlignment="1">
      <alignment horizontal="right"/>
    </xf>
    <xf numFmtId="37" fontId="3" fillId="0" borderId="0" xfId="0" applyNumberFormat="1" applyFont="1" applyAlignment="1">
      <alignment horizontal="right"/>
    </xf>
    <xf numFmtId="37" fontId="3" fillId="43" borderId="0" xfId="0" applyNumberFormat="1" applyFont="1" applyFill="1" applyBorder="1" applyAlignment="1">
      <alignment horizontal="right"/>
    </xf>
    <xf numFmtId="37" fontId="3" fillId="44" borderId="0" xfId="72" applyNumberFormat="1" applyFont="1" applyFill="1" applyProtection="1"/>
    <xf numFmtId="5" fontId="3" fillId="44" borderId="0" xfId="72" applyNumberFormat="1" applyFont="1" applyFill="1"/>
    <xf numFmtId="37" fontId="3" fillId="44" borderId="0" xfId="72" applyNumberFormat="1" applyFont="1" applyFill="1"/>
    <xf numFmtId="37" fontId="5" fillId="44" borderId="0" xfId="72" applyNumberFormat="1" applyFont="1" applyFill="1"/>
    <xf numFmtId="37" fontId="3" fillId="0" borderId="0" xfId="72" applyNumberFormat="1" applyFont="1"/>
    <xf numFmtId="37" fontId="3" fillId="0" borderId="0" xfId="72" applyNumberFormat="1" applyFont="1" applyAlignment="1" applyProtection="1">
      <alignment horizontal="right"/>
    </xf>
    <xf numFmtId="37" fontId="3" fillId="43" borderId="0" xfId="72" applyNumberFormat="1" applyFont="1" applyFill="1" applyAlignment="1" applyProtection="1">
      <alignment horizontal="right"/>
    </xf>
    <xf numFmtId="5" fontId="3" fillId="44" borderId="0" xfId="46" applyNumberFormat="1" applyFont="1" applyFill="1" applyAlignment="1"/>
    <xf numFmtId="37" fontId="3" fillId="44" borderId="0" xfId="46" applyNumberFormat="1" applyFont="1" applyFill="1" applyAlignment="1"/>
    <xf numFmtId="5" fontId="3" fillId="44" borderId="0" xfId="46" applyNumberFormat="1" applyFont="1" applyFill="1"/>
    <xf numFmtId="37" fontId="3" fillId="44" borderId="0" xfId="46" applyNumberFormat="1" applyFont="1" applyFill="1"/>
    <xf numFmtId="5" fontId="3" fillId="44" borderId="0" xfId="46" applyNumberFormat="1" applyFont="1" applyFill="1" applyAlignment="1"/>
    <xf numFmtId="37" fontId="3" fillId="44" borderId="0" xfId="46" applyNumberFormat="1" applyFont="1" applyFill="1" applyAlignment="1"/>
    <xf numFmtId="5" fontId="3" fillId="44" borderId="0" xfId="46" applyNumberFormat="1" applyFont="1" applyFill="1" applyAlignment="1"/>
    <xf numFmtId="37" fontId="3" fillId="44" borderId="0" xfId="46" applyNumberFormat="1" applyFont="1" applyFill="1" applyAlignment="1"/>
    <xf numFmtId="5" fontId="3" fillId="44" borderId="0" xfId="46" applyNumberFormat="1" applyFont="1" applyFill="1"/>
    <xf numFmtId="37" fontId="3" fillId="44" borderId="0" xfId="46" applyNumberFormat="1" applyFont="1" applyFill="1"/>
    <xf numFmtId="37" fontId="3" fillId="44" borderId="0" xfId="52" applyNumberFormat="1" applyFont="1" applyFill="1"/>
    <xf numFmtId="37" fontId="3" fillId="44" borderId="0" xfId="72" applyNumberFormat="1" applyFont="1" applyFill="1" applyAlignment="1">
      <alignment horizontal="right"/>
    </xf>
    <xf numFmtId="38" fontId="3" fillId="0" borderId="0" xfId="72" applyNumberFormat="1" applyFont="1" applyBorder="1" applyAlignment="1">
      <alignment horizontal="right"/>
    </xf>
    <xf numFmtId="37" fontId="3" fillId="44" borderId="0" xfId="72" applyNumberFormat="1" applyFont="1" applyFill="1" applyAlignment="1">
      <alignment horizontal="right"/>
    </xf>
    <xf numFmtId="5" fontId="3" fillId="44" borderId="0" xfId="72" applyNumberFormat="1" applyFont="1" applyFill="1" applyAlignment="1">
      <alignment horizontal="right"/>
    </xf>
    <xf numFmtId="5" fontId="3" fillId="0" borderId="0" xfId="72" applyNumberFormat="1" applyFont="1" applyAlignment="1" applyProtection="1">
      <alignment horizontal="right"/>
    </xf>
    <xf numFmtId="37" fontId="3" fillId="44" borderId="0" xfId="72" applyNumberFormat="1" applyFont="1" applyFill="1" applyAlignment="1">
      <alignment horizontal="center"/>
    </xf>
    <xf numFmtId="5" fontId="3" fillId="44" borderId="0" xfId="72" applyNumberFormat="1" applyFont="1" applyFill="1" applyAlignment="1">
      <alignment horizontal="center"/>
    </xf>
    <xf numFmtId="37" fontId="3" fillId="44" borderId="0" xfId="72" applyNumberFormat="1" applyFont="1" applyFill="1" applyAlignment="1">
      <alignment horizontal="center"/>
    </xf>
    <xf numFmtId="5" fontId="3" fillId="44" borderId="0" xfId="72" applyNumberFormat="1" applyFont="1" applyFill="1" applyAlignment="1">
      <alignment horizontal="center"/>
    </xf>
    <xf numFmtId="37" fontId="3" fillId="44" borderId="0" xfId="72" applyNumberFormat="1" applyFont="1" applyFill="1" applyAlignment="1">
      <alignment horizontal="right"/>
    </xf>
    <xf numFmtId="5" fontId="3" fillId="44" borderId="0" xfId="72" applyNumberFormat="1" applyFont="1" applyFill="1" applyAlignment="1">
      <alignment horizontal="right"/>
    </xf>
    <xf numFmtId="37" fontId="3" fillId="44" borderId="0" xfId="72" applyNumberFormat="1" applyFont="1" applyFill="1" applyAlignment="1">
      <alignment horizontal="right"/>
    </xf>
    <xf numFmtId="5" fontId="3" fillId="44" borderId="0" xfId="72" applyNumberFormat="1" applyFont="1" applyFill="1" applyAlignment="1">
      <alignment horizontal="right"/>
    </xf>
    <xf numFmtId="37" fontId="3" fillId="44" borderId="0" xfId="72" applyNumberFormat="1" applyFont="1" applyFill="1" applyAlignment="1">
      <alignment horizontal="center"/>
    </xf>
    <xf numFmtId="0" fontId="1" fillId="0" borderId="0" xfId="72"/>
    <xf numFmtId="0" fontId="1" fillId="0" borderId="0" xfId="72" applyFont="1"/>
    <xf numFmtId="177" fontId="44" fillId="0" borderId="0" xfId="77" applyNumberFormat="1" applyFont="1" applyFill="1" applyAlignment="1" applyProtection="1">
      <alignment horizontal="left"/>
    </xf>
    <xf numFmtId="37" fontId="26" fillId="0" borderId="0" xfId="78" applyFill="1"/>
    <xf numFmtId="0" fontId="3" fillId="0" borderId="0" xfId="72" applyFont="1" applyBorder="1" applyAlignment="1">
      <alignment horizontal="center"/>
    </xf>
    <xf numFmtId="0" fontId="5" fillId="0" borderId="0" xfId="72" applyFont="1" applyBorder="1"/>
    <xf numFmtId="5" fontId="3" fillId="0" borderId="0" xfId="72" applyNumberFormat="1" applyFont="1"/>
    <xf numFmtId="0" fontId="6" fillId="0" borderId="0" xfId="72" applyFont="1"/>
    <xf numFmtId="0" fontId="1" fillId="0" borderId="0" xfId="72" applyFont="1" applyAlignment="1">
      <alignment horizontal="center"/>
    </xf>
    <xf numFmtId="37" fontId="3" fillId="44" borderId="0" xfId="72" applyNumberFormat="1" applyFont="1" applyFill="1" applyBorder="1" applyAlignment="1">
      <alignment horizontal="right"/>
    </xf>
    <xf numFmtId="37" fontId="47" fillId="0" borderId="0" xfId="72" applyNumberFormat="1" applyFont="1"/>
    <xf numFmtId="37" fontId="48" fillId="0" borderId="0" xfId="72" applyNumberFormat="1" applyFont="1"/>
    <xf numFmtId="43" fontId="1" fillId="44" borderId="0" xfId="46" applyFont="1" applyFill="1" applyAlignment="1">
      <alignment horizontal="center"/>
    </xf>
    <xf numFmtId="43" fontId="1" fillId="44" borderId="0" xfId="46" applyFont="1" applyFill="1"/>
    <xf numFmtId="172" fontId="3" fillId="44" borderId="0" xfId="52" applyNumberFormat="1" applyFont="1" applyFill="1" applyAlignment="1">
      <alignment horizontal="center"/>
    </xf>
    <xf numFmtId="172" fontId="3" fillId="43" borderId="0" xfId="52" applyNumberFormat="1" applyFont="1" applyFill="1" applyBorder="1"/>
    <xf numFmtId="172" fontId="3" fillId="0" borderId="0" xfId="52" applyNumberFormat="1" applyFont="1" applyFill="1" applyBorder="1"/>
    <xf numFmtId="172" fontId="3" fillId="0" borderId="0" xfId="52" applyNumberFormat="1" applyFont="1" applyBorder="1" applyAlignment="1">
      <alignment horizontal="center"/>
    </xf>
    <xf numFmtId="172" fontId="5" fillId="0" borderId="0" xfId="52" applyNumberFormat="1" applyFont="1" applyBorder="1" applyAlignment="1">
      <alignment horizontal="center"/>
    </xf>
    <xf numFmtId="172" fontId="3" fillId="0" borderId="0" xfId="52" applyNumberFormat="1" applyFont="1" applyFill="1" applyBorder="1" applyAlignment="1">
      <alignment horizontal="center"/>
    </xf>
    <xf numFmtId="37" fontId="3" fillId="0" borderId="0" xfId="0" applyNumberFormat="1" applyFont="1" applyFill="1" applyProtection="1"/>
    <xf numFmtId="172" fontId="3" fillId="0" borderId="0" xfId="52" applyNumberFormat="1" applyFont="1"/>
    <xf numFmtId="10" fontId="3" fillId="0" borderId="0" xfId="141" applyNumberFormat="1" applyFont="1" applyAlignment="1">
      <alignment horizontal="center"/>
    </xf>
    <xf numFmtId="0" fontId="3" fillId="0" borderId="0" xfId="141" applyFont="1" applyAlignment="1">
      <alignment horizontal="center"/>
    </xf>
    <xf numFmtId="10" fontId="3" fillId="0" borderId="0" xfId="141" applyNumberFormat="1" applyFont="1" applyBorder="1" applyAlignment="1">
      <alignment horizontal="center" vertical="top" wrapText="1"/>
    </xf>
    <xf numFmtId="37" fontId="3" fillId="0" borderId="0" xfId="0" applyNumberFormat="1" applyFont="1" applyFill="1" applyAlignment="1">
      <alignment horizontal="right"/>
    </xf>
    <xf numFmtId="37" fontId="50" fillId="0" borderId="0" xfId="0" applyNumberFormat="1" applyFont="1" applyFill="1" applyAlignment="1">
      <alignment horizontal="right"/>
    </xf>
    <xf numFmtId="37" fontId="49" fillId="0" borderId="0" xfId="0" applyNumberFormat="1" applyFont="1" applyFill="1"/>
    <xf numFmtId="178" fontId="3" fillId="0" borderId="0" xfId="0" applyNumberFormat="1" applyFont="1" applyProtection="1"/>
    <xf numFmtId="10" fontId="1" fillId="44" borderId="0" xfId="0" applyNumberFormat="1" applyFont="1" applyFill="1"/>
    <xf numFmtId="37" fontId="3" fillId="45" borderId="0" xfId="72" applyNumberFormat="1" applyFont="1" applyFill="1"/>
    <xf numFmtId="172" fontId="3" fillId="45" borderId="0" xfId="52" applyNumberFormat="1" applyFont="1" applyFill="1"/>
    <xf numFmtId="37" fontId="3" fillId="45" borderId="0" xfId="0" applyNumberFormat="1" applyFont="1" applyFill="1"/>
    <xf numFmtId="49" fontId="47" fillId="0" borderId="0" xfId="0" applyNumberFormat="1" applyFont="1"/>
    <xf numFmtId="179" fontId="51" fillId="0" borderId="0" xfId="46" applyNumberFormat="1" applyFont="1"/>
    <xf numFmtId="37" fontId="3" fillId="0" borderId="0" xfId="72" applyNumberFormat="1" applyFont="1" applyFill="1" applyBorder="1" applyAlignment="1">
      <alignment horizontal="right"/>
    </xf>
    <xf numFmtId="37" fontId="3" fillId="0" borderId="0" xfId="72" applyNumberFormat="1" applyFont="1" applyFill="1" applyAlignment="1">
      <alignment horizontal="center"/>
    </xf>
    <xf numFmtId="179" fontId="3" fillId="0" borderId="0" xfId="46" applyNumberFormat="1" applyFont="1"/>
    <xf numFmtId="0" fontId="1" fillId="0" borderId="0" xfId="72" applyFont="1" applyFill="1" applyAlignment="1">
      <alignment horizontal="center"/>
    </xf>
    <xf numFmtId="0" fontId="1" fillId="0" borderId="0" xfId="72" applyFont="1" applyFill="1"/>
    <xf numFmtId="49" fontId="6" fillId="0" borderId="0" xfId="76" applyNumberFormat="1" applyFont="1" applyFill="1"/>
    <xf numFmtId="0" fontId="9" fillId="0" borderId="0" xfId="0" applyFont="1" applyAlignment="1">
      <alignment horizontal="right"/>
    </xf>
    <xf numFmtId="0" fontId="46" fillId="0" borderId="0" xfId="67" applyFont="1" applyAlignment="1">
      <alignment horizontal="right"/>
    </xf>
    <xf numFmtId="0" fontId="53" fillId="0" borderId="0" xfId="0" applyFont="1"/>
    <xf numFmtId="37" fontId="52" fillId="0" borderId="0" xfId="0" applyNumberFormat="1" applyFont="1" applyFill="1" applyProtection="1">
      <protection locked="0"/>
    </xf>
  </cellXfs>
  <cellStyles count="143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- 20%" xfId="19"/>
    <cellStyle name="Accent1 - 40%" xfId="20"/>
    <cellStyle name="Accent1 - 60%" xfId="21"/>
    <cellStyle name="Accent1 2" xfId="22"/>
    <cellStyle name="Accent2 - 20%" xfId="23"/>
    <cellStyle name="Accent2 - 40%" xfId="24"/>
    <cellStyle name="Accent2 - 60%" xfId="25"/>
    <cellStyle name="Accent2 2" xfId="26"/>
    <cellStyle name="Accent3 - 20%" xfId="27"/>
    <cellStyle name="Accent3 - 40%" xfId="28"/>
    <cellStyle name="Accent3 - 60%" xfId="29"/>
    <cellStyle name="Accent3 2" xfId="30"/>
    <cellStyle name="Accent4 - 20%" xfId="31"/>
    <cellStyle name="Accent4 - 40%" xfId="32"/>
    <cellStyle name="Accent4 - 60%" xfId="33"/>
    <cellStyle name="Accent4 2" xfId="34"/>
    <cellStyle name="Accent5 - 20%" xfId="35"/>
    <cellStyle name="Accent5 - 40%" xfId="36"/>
    <cellStyle name="Accent5 - 60%" xfId="37"/>
    <cellStyle name="Accent5 2" xfId="38"/>
    <cellStyle name="Accent6 - 20%" xfId="39"/>
    <cellStyle name="Accent6 - 40%" xfId="40"/>
    <cellStyle name="Accent6 - 60%" xfId="41"/>
    <cellStyle name="Accent6 2" xfId="42"/>
    <cellStyle name="Bad 2" xfId="43"/>
    <cellStyle name="Calculation 2" xfId="44"/>
    <cellStyle name="Check Cell 2" xfId="45"/>
    <cellStyle name="Comma" xfId="46" builtinId="3"/>
    <cellStyle name="Comma 2" xfId="47"/>
    <cellStyle name="Comma 2 2" xfId="48"/>
    <cellStyle name="Comma 2 3" xfId="49"/>
    <cellStyle name="Comma 3" xfId="50"/>
    <cellStyle name="Comma 4" xfId="51"/>
    <cellStyle name="Currency" xfId="52" builtinId="4"/>
    <cellStyle name="Currency 2" xfId="53"/>
    <cellStyle name="Currency 3" xfId="54"/>
    <cellStyle name="Emphasis 1" xfId="55"/>
    <cellStyle name="Emphasis 2" xfId="56"/>
    <cellStyle name="Emphasis 3" xfId="57"/>
    <cellStyle name="Explanatory Text 2" xfId="58"/>
    <cellStyle name="Good 2" xfId="59"/>
    <cellStyle name="Heading 1 2" xfId="60"/>
    <cellStyle name="Heading 2 2" xfId="61"/>
    <cellStyle name="Heading 3 2" xfId="62"/>
    <cellStyle name="Heading 4 2" xfId="63"/>
    <cellStyle name="Input 2" xfId="64"/>
    <cellStyle name="Linked Cell 2" xfId="65"/>
    <cellStyle name="Neutral 2" xfId="66"/>
    <cellStyle name="Normal" xfId="0" builtinId="0"/>
    <cellStyle name="Normal 132" xfId="141"/>
    <cellStyle name="Normal 133" xfId="142"/>
    <cellStyle name="Normal 2" xfId="67"/>
    <cellStyle name="Normal 2 2" xfId="68"/>
    <cellStyle name="Normal 2 2 2" xfId="69"/>
    <cellStyle name="Normal 2 3" xfId="70"/>
    <cellStyle name="Normal 2 3 2" xfId="71"/>
    <cellStyle name="Normal 3" xfId="72"/>
    <cellStyle name="Normal 3 2" xfId="73"/>
    <cellStyle name="Normal 3 2 2" xfId="74"/>
    <cellStyle name="Normal 4" xfId="75"/>
    <cellStyle name="Normal 5" xfId="76"/>
    <cellStyle name="Normal 60" xfId="77"/>
    <cellStyle name="Normal 62" xfId="78"/>
    <cellStyle name="Normal_PSNH 0707" xfId="79"/>
    <cellStyle name="Note 2" xfId="80"/>
    <cellStyle name="Note 3" xfId="81"/>
    <cellStyle name="Output 2" xfId="82"/>
    <cellStyle name="Percent" xfId="83" builtinId="5"/>
    <cellStyle name="Percent 2" xfId="84"/>
    <cellStyle name="Percent 2 2" xfId="85"/>
    <cellStyle name="SAPBEXaggData" xfId="86"/>
    <cellStyle name="SAPBEXaggDataEmph" xfId="87"/>
    <cellStyle name="SAPBEXaggItem" xfId="88"/>
    <cellStyle name="SAPBEXaggItemX" xfId="89"/>
    <cellStyle name="SAPBEXchaText" xfId="90"/>
    <cellStyle name="SAPBEXexcBad7" xfId="91"/>
    <cellStyle name="SAPBEXexcBad8" xfId="92"/>
    <cellStyle name="SAPBEXexcBad9" xfId="93"/>
    <cellStyle name="SAPBEXexcCritical4" xfId="94"/>
    <cellStyle name="SAPBEXexcCritical5" xfId="95"/>
    <cellStyle name="SAPBEXexcCritical6" xfId="96"/>
    <cellStyle name="SAPBEXexcGood1" xfId="97"/>
    <cellStyle name="SAPBEXexcGood2" xfId="98"/>
    <cellStyle name="SAPBEXexcGood3" xfId="99"/>
    <cellStyle name="SAPBEXfilterDrill" xfId="100"/>
    <cellStyle name="SAPBEXfilterItem" xfId="101"/>
    <cellStyle name="SAPBEXfilterText" xfId="102"/>
    <cellStyle name="SAPBEXformats" xfId="103"/>
    <cellStyle name="SAPBEXheaderItem" xfId="104"/>
    <cellStyle name="SAPBEXheaderItem 2" xfId="105"/>
    <cellStyle name="SAPBEXheaderText" xfId="106"/>
    <cellStyle name="SAPBEXheaderText 2" xfId="107"/>
    <cellStyle name="SAPBEXHLevel0" xfId="108"/>
    <cellStyle name="SAPBEXHLevel0 2" xfId="109"/>
    <cellStyle name="SAPBEXHLevel0X" xfId="110"/>
    <cellStyle name="SAPBEXHLevel0X 2" xfId="111"/>
    <cellStyle name="SAPBEXHLevel1" xfId="112"/>
    <cellStyle name="SAPBEXHLevel1 2" xfId="113"/>
    <cellStyle name="SAPBEXHLevel1X" xfId="114"/>
    <cellStyle name="SAPBEXHLevel1X 2" xfId="115"/>
    <cellStyle name="SAPBEXHLevel2" xfId="116"/>
    <cellStyle name="SAPBEXHLevel2 2" xfId="117"/>
    <cellStyle name="SAPBEXHLevel2X" xfId="118"/>
    <cellStyle name="SAPBEXHLevel2X 2" xfId="119"/>
    <cellStyle name="SAPBEXHLevel3" xfId="120"/>
    <cellStyle name="SAPBEXHLevel3 2" xfId="121"/>
    <cellStyle name="SAPBEXHLevel3X" xfId="122"/>
    <cellStyle name="SAPBEXHLevel3X 2" xfId="123"/>
    <cellStyle name="SAPBEXinputData" xfId="124"/>
    <cellStyle name="SAPBEXinputData 2" xfId="125"/>
    <cellStyle name="SAPBEXresData" xfId="126"/>
    <cellStyle name="SAPBEXresDataEmph" xfId="127"/>
    <cellStyle name="SAPBEXresItem" xfId="128"/>
    <cellStyle name="SAPBEXresItemX" xfId="129"/>
    <cellStyle name="SAPBEXstdData" xfId="130"/>
    <cellStyle name="SAPBEXstdDataEmph" xfId="131"/>
    <cellStyle name="SAPBEXstdItem" xfId="132"/>
    <cellStyle name="SAPBEXstdItemX" xfId="133"/>
    <cellStyle name="SAPBEXtitle" xfId="134"/>
    <cellStyle name="SAPBEXundefined" xfId="135"/>
    <cellStyle name="SAPBEXundefined 2" xfId="136"/>
    <cellStyle name="Sheet Title" xfId="137"/>
    <cellStyle name="Title 2" xfId="138"/>
    <cellStyle name="Total 2" xfId="139"/>
    <cellStyle name="Warning Text 2" xfId="14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CONADM/TEST/NUTRANS/TARIFFS/FIRM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Voting Share"/>
      <sheetName val="Worksheet 1"/>
      <sheetName val="Worksheet 2a"/>
      <sheetName val="Worksheet 3a"/>
      <sheetName val="Worksheet 4a"/>
      <sheetName val="Worksheet 2b"/>
      <sheetName val="Worksheet 3b"/>
      <sheetName val="Worksheet 4b"/>
      <sheetName val="Worksheet 2c"/>
      <sheetName val="Worksheet 3c"/>
      <sheetName val="Worksheet 4c"/>
      <sheetName val="Worksheet 2d"/>
      <sheetName val="Worksheet 3d"/>
      <sheetName val="Worksheet 4d"/>
      <sheetName val="Worksheet 5"/>
      <sheetName val="Worksheet 6"/>
      <sheetName val="Worksheet 7"/>
      <sheetName val="Worksheet 8"/>
      <sheetName val="AFUDC Equity"/>
      <sheetName val="1998 PTF Info"/>
      <sheetName val="St.Macros"/>
      <sheetName val="Temp"/>
    </sheetNames>
    <sheetDataSet>
      <sheetData sheetId="0">
        <row r="1">
          <cell r="A1" t="str">
            <v>file:  K:\conadm\test\nutrans\tariffs\FIRM1.xls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40"/>
  <sheetViews>
    <sheetView showGridLines="0" topLeftCell="A19" zoomScale="85" zoomScaleNormal="85" workbookViewId="0">
      <selection activeCell="D6" sqref="D6"/>
    </sheetView>
  </sheetViews>
  <sheetFormatPr defaultRowHeight="15" x14ac:dyDescent="0.25"/>
  <cols>
    <col min="1" max="1" width="5.5703125" style="3" customWidth="1"/>
    <col min="2" max="2" width="5.140625" style="3" bestFit="1" customWidth="1"/>
    <col min="3" max="3" width="66.140625" style="3" bestFit="1" customWidth="1"/>
    <col min="4" max="4" width="15.85546875" style="3" customWidth="1"/>
    <col min="5" max="5" width="18.28515625" style="3" bestFit="1" customWidth="1"/>
    <col min="6" max="7" width="6.7109375" style="3" customWidth="1"/>
    <col min="8" max="8" width="1.7109375" style="3" customWidth="1"/>
    <col min="9" max="9" width="9.85546875" style="3" customWidth="1"/>
    <col min="10" max="10" width="1.7109375" style="3" customWidth="1"/>
    <col min="11" max="11" width="9.85546875" style="3" customWidth="1"/>
    <col min="12" max="12" width="1.7109375" style="3" customWidth="1"/>
    <col min="13" max="13" width="9.85546875" style="3" customWidth="1"/>
    <col min="14" max="14" width="1.7109375" style="3" customWidth="1"/>
    <col min="15" max="15" width="3" style="3" customWidth="1"/>
    <col min="16" max="16" width="9.85546875" style="3" customWidth="1"/>
    <col min="17" max="17" width="4.140625" style="3" customWidth="1"/>
    <col min="18" max="18" width="9.85546875" style="3" customWidth="1"/>
    <col min="19" max="19" width="2.140625" style="3" customWidth="1"/>
    <col min="20" max="20" width="9.85546875" style="3" customWidth="1"/>
    <col min="21" max="21" width="1.5703125" style="3" customWidth="1"/>
    <col min="22" max="22" width="10.28515625" style="3" customWidth="1"/>
    <col min="23" max="23" width="1.42578125" style="3" customWidth="1"/>
    <col min="24" max="24" width="12.28515625" style="3" customWidth="1"/>
    <col min="25" max="16384" width="9.140625" style="3"/>
  </cols>
  <sheetData>
    <row r="1" spans="1:46" x14ac:dyDescent="0.25">
      <c r="A1" s="2"/>
      <c r="C1" s="2"/>
      <c r="G1" s="17"/>
      <c r="H1" s="17"/>
      <c r="I1" s="17"/>
      <c r="J1" s="64"/>
      <c r="K1" s="17"/>
      <c r="L1" s="25"/>
      <c r="U1" s="34"/>
    </row>
    <row r="2" spans="1:46" x14ac:dyDescent="0.25">
      <c r="C2" s="63"/>
      <c r="G2" s="17"/>
      <c r="H2" s="17"/>
      <c r="I2" s="17"/>
      <c r="J2" s="64"/>
      <c r="K2" s="17"/>
      <c r="U2" s="21"/>
    </row>
    <row r="3" spans="1:46" ht="19.5" x14ac:dyDescent="0.35">
      <c r="C3" s="63"/>
      <c r="D3" s="70" t="s">
        <v>118</v>
      </c>
      <c r="G3" s="17"/>
      <c r="H3" s="17"/>
      <c r="I3" s="17"/>
      <c r="J3" s="64"/>
      <c r="K3" s="17"/>
      <c r="U3" s="21"/>
    </row>
    <row r="4" spans="1:46" x14ac:dyDescent="0.25">
      <c r="C4" s="63"/>
      <c r="D4" s="21" t="s">
        <v>129</v>
      </c>
      <c r="G4" s="17"/>
      <c r="J4" s="64"/>
      <c r="U4" s="21"/>
    </row>
    <row r="5" spans="1:46" x14ac:dyDescent="0.25">
      <c r="C5" s="63"/>
      <c r="D5" s="21" t="str">
        <f>+'5 Allocation'!B6</f>
        <v>Actual</v>
      </c>
      <c r="G5" s="7"/>
      <c r="J5" s="28"/>
      <c r="U5" s="21"/>
    </row>
    <row r="6" spans="1:46" x14ac:dyDescent="0.25">
      <c r="C6" s="63"/>
      <c r="D6" s="21">
        <f>+'5 Allocation'!B7</f>
        <v>2015</v>
      </c>
      <c r="I6" s="7"/>
      <c r="J6" s="28"/>
      <c r="K6" s="7"/>
      <c r="U6" s="21"/>
    </row>
    <row r="7" spans="1:46" x14ac:dyDescent="0.25">
      <c r="C7" s="63"/>
      <c r="I7" s="5" t="s">
        <v>119</v>
      </c>
      <c r="J7" s="28"/>
      <c r="K7" s="7"/>
      <c r="U7" s="21"/>
    </row>
    <row r="8" spans="1:46" x14ac:dyDescent="0.25">
      <c r="C8" s="63"/>
      <c r="I8" s="5" t="s">
        <v>186</v>
      </c>
      <c r="J8" s="28"/>
      <c r="K8" s="7"/>
      <c r="U8" s="21"/>
    </row>
    <row r="9" spans="1:46" x14ac:dyDescent="0.25">
      <c r="C9" s="63"/>
      <c r="I9" s="5" t="s">
        <v>461</v>
      </c>
      <c r="J9" s="28"/>
      <c r="K9" s="7"/>
      <c r="U9" s="21"/>
    </row>
    <row r="10" spans="1:46" x14ac:dyDescent="0.25">
      <c r="A10" s="69"/>
      <c r="U10" s="34"/>
    </row>
    <row r="11" spans="1:46" x14ac:dyDescent="0.25">
      <c r="D11" s="21" t="s">
        <v>185</v>
      </c>
      <c r="Q11" s="7"/>
    </row>
    <row r="12" spans="1:46" x14ac:dyDescent="0.25">
      <c r="D12" s="29" t="s">
        <v>4</v>
      </c>
      <c r="E12" s="29" t="s">
        <v>5</v>
      </c>
      <c r="F12" s="28"/>
      <c r="G12" s="29" t="s">
        <v>4</v>
      </c>
      <c r="H12" s="7"/>
      <c r="I12" s="64"/>
      <c r="J12" s="17"/>
      <c r="K12" s="64"/>
      <c r="L12" s="17"/>
      <c r="M12" s="64"/>
      <c r="N12" s="17"/>
      <c r="O12" s="25"/>
      <c r="P12" s="25"/>
      <c r="Q12" s="25"/>
      <c r="R12" s="64"/>
      <c r="S12" s="64"/>
      <c r="T12" s="64"/>
      <c r="U12" s="64"/>
      <c r="V12" s="64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</row>
    <row r="13" spans="1:46" ht="15" customHeight="1" x14ac:dyDescent="0.25">
      <c r="A13" s="3">
        <v>1</v>
      </c>
      <c r="B13" s="5" t="s">
        <v>6</v>
      </c>
      <c r="C13" s="66" t="s">
        <v>7</v>
      </c>
      <c r="D13" s="21" t="s">
        <v>8</v>
      </c>
      <c r="F13" s="7"/>
      <c r="H13" s="7"/>
      <c r="I13" s="17"/>
      <c r="J13" s="17"/>
      <c r="K13" s="17"/>
      <c r="L13" s="17"/>
      <c r="M13" s="17"/>
      <c r="N13" s="17"/>
      <c r="O13" s="25"/>
      <c r="P13" s="25"/>
      <c r="Q13" s="25"/>
      <c r="R13" s="17"/>
      <c r="S13" s="17"/>
      <c r="T13" s="17"/>
      <c r="U13" s="17"/>
      <c r="V13" s="17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</row>
    <row r="14" spans="1:46" ht="15" customHeight="1" x14ac:dyDescent="0.25">
      <c r="A14" s="3">
        <v>2</v>
      </c>
      <c r="C14" s="34" t="s">
        <v>128</v>
      </c>
      <c r="D14" s="21" t="s">
        <v>10</v>
      </c>
      <c r="E14" s="80">
        <f>+'3 Rate Base'!F15</f>
        <v>156172760</v>
      </c>
      <c r="F14" s="34" t="s">
        <v>150</v>
      </c>
      <c r="H14" s="7"/>
      <c r="I14" s="23"/>
      <c r="J14" s="23"/>
      <c r="K14" s="23"/>
      <c r="L14" s="23"/>
      <c r="M14" s="23"/>
      <c r="N14" s="23"/>
      <c r="O14" s="25"/>
      <c r="P14" s="25"/>
      <c r="Q14" s="25"/>
      <c r="R14" s="23"/>
      <c r="S14" s="17"/>
      <c r="T14" s="23"/>
      <c r="U14" s="17"/>
      <c r="V14" s="23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</row>
    <row r="15" spans="1:46" ht="15" customHeight="1" x14ac:dyDescent="0.25">
      <c r="A15" s="3">
        <v>3</v>
      </c>
      <c r="C15" s="34" t="s">
        <v>11</v>
      </c>
      <c r="D15" s="21" t="s">
        <v>12</v>
      </c>
      <c r="E15" s="31">
        <f>+'3 Rate Base'!F16</f>
        <v>3027917</v>
      </c>
      <c r="F15" s="34" t="s">
        <v>116</v>
      </c>
      <c r="H15" s="7"/>
      <c r="I15" s="23"/>
      <c r="J15" s="23"/>
      <c r="K15" s="23"/>
      <c r="L15" s="23"/>
      <c r="M15" s="23"/>
      <c r="N15" s="23"/>
      <c r="O15" s="25"/>
      <c r="P15" s="25"/>
      <c r="Q15" s="25"/>
      <c r="R15" s="23"/>
      <c r="S15" s="17"/>
      <c r="T15" s="23"/>
      <c r="U15" s="17"/>
      <c r="V15" s="23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</row>
    <row r="16" spans="1:46" ht="15" customHeight="1" x14ac:dyDescent="0.25">
      <c r="A16" s="3">
        <v>4</v>
      </c>
      <c r="C16" s="34" t="s">
        <v>207</v>
      </c>
      <c r="D16" s="21"/>
      <c r="E16" s="164">
        <f>ROUND(SUM(E14:E15),0)</f>
        <v>159200677</v>
      </c>
      <c r="F16" s="65"/>
      <c r="H16" s="33"/>
      <c r="I16" s="23"/>
      <c r="J16" s="23"/>
      <c r="K16" s="23"/>
      <c r="L16" s="23"/>
      <c r="M16" s="23"/>
      <c r="N16" s="23"/>
      <c r="O16" s="25"/>
      <c r="P16" s="25"/>
      <c r="Q16" s="25"/>
      <c r="R16" s="23"/>
      <c r="S16" s="17"/>
      <c r="T16" s="23"/>
      <c r="U16" s="17"/>
      <c r="V16" s="23"/>
      <c r="W16" s="17"/>
      <c r="X16" s="25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25"/>
      <c r="AQ16" s="25"/>
      <c r="AR16" s="25"/>
      <c r="AS16" s="25"/>
      <c r="AT16" s="25"/>
    </row>
    <row r="17" spans="1:59" ht="15" customHeight="1" x14ac:dyDescent="0.25">
      <c r="C17" s="2"/>
      <c r="D17" s="21"/>
      <c r="E17" s="7"/>
      <c r="F17" s="34"/>
      <c r="H17" s="7"/>
      <c r="I17" s="7"/>
      <c r="J17" s="7"/>
      <c r="K17" s="7"/>
      <c r="L17" s="7"/>
      <c r="M17" s="7"/>
      <c r="N17" s="7"/>
      <c r="R17" s="7"/>
      <c r="S17" s="7"/>
      <c r="T17" s="7"/>
      <c r="U17" s="7"/>
      <c r="V17" s="16"/>
    </row>
    <row r="18" spans="1:59" ht="15" customHeight="1" x14ac:dyDescent="0.25">
      <c r="A18" s="3">
        <v>5</v>
      </c>
      <c r="C18" s="65" t="s">
        <v>13</v>
      </c>
      <c r="D18" s="21" t="s">
        <v>178</v>
      </c>
      <c r="E18" s="15">
        <f>+'3 Rate Base'!F22</f>
        <v>49167682</v>
      </c>
      <c r="F18" s="34" t="s">
        <v>277</v>
      </c>
      <c r="H18" s="7"/>
      <c r="I18" s="16"/>
      <c r="J18" s="16"/>
      <c r="K18" s="16"/>
      <c r="L18" s="16"/>
      <c r="M18" s="16"/>
      <c r="N18" s="16"/>
      <c r="R18" s="16"/>
      <c r="S18" s="7"/>
      <c r="T18" s="16"/>
      <c r="U18" s="7"/>
      <c r="V18" s="16"/>
      <c r="W18" s="7"/>
      <c r="Y18" s="7"/>
      <c r="Z18" s="7"/>
    </row>
    <row r="19" spans="1:59" ht="15" customHeight="1" x14ac:dyDescent="0.25">
      <c r="A19" s="3">
        <v>6</v>
      </c>
      <c r="C19" s="34" t="s">
        <v>14</v>
      </c>
      <c r="D19" s="21" t="s">
        <v>179</v>
      </c>
      <c r="E19" s="31">
        <f>+'3 Rate Base'!F29</f>
        <v>28500958</v>
      </c>
      <c r="F19" s="34" t="s">
        <v>352</v>
      </c>
      <c r="H19" s="7"/>
      <c r="I19" s="16"/>
      <c r="J19" s="16"/>
      <c r="K19" s="16"/>
      <c r="L19" s="16"/>
      <c r="M19" s="16"/>
      <c r="N19" s="16"/>
      <c r="R19" s="16"/>
      <c r="S19" s="7"/>
      <c r="T19" s="16"/>
      <c r="U19" s="7"/>
      <c r="V19" s="16"/>
    </row>
    <row r="20" spans="1:59" ht="15" customHeight="1" x14ac:dyDescent="0.25">
      <c r="A20" s="3">
        <v>7</v>
      </c>
      <c r="C20" s="34" t="s">
        <v>167</v>
      </c>
      <c r="D20" s="21"/>
      <c r="E20" s="164">
        <f>ROUND((E16-E18-E19),0)</f>
        <v>81532037</v>
      </c>
      <c r="F20" s="65"/>
      <c r="H20" s="7"/>
      <c r="I20" s="16"/>
      <c r="J20" s="16"/>
      <c r="K20" s="16"/>
      <c r="L20" s="16"/>
      <c r="M20" s="16"/>
      <c r="N20" s="16"/>
      <c r="R20" s="16"/>
      <c r="S20" s="7"/>
      <c r="T20" s="16"/>
      <c r="U20" s="7"/>
      <c r="V20" s="16"/>
      <c r="W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</row>
    <row r="21" spans="1:59" ht="15" customHeight="1" x14ac:dyDescent="0.25">
      <c r="C21" s="34"/>
      <c r="D21" s="21"/>
      <c r="E21" s="7"/>
      <c r="F21" s="65"/>
      <c r="H21" s="7"/>
      <c r="I21" s="7"/>
      <c r="J21" s="7"/>
      <c r="K21" s="7"/>
      <c r="L21" s="7"/>
      <c r="M21" s="7"/>
      <c r="N21" s="7"/>
      <c r="R21" s="7"/>
      <c r="S21" s="7"/>
      <c r="T21" s="7"/>
      <c r="U21" s="7"/>
      <c r="V21" s="16"/>
      <c r="W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</row>
    <row r="22" spans="1:59" ht="15" customHeight="1" x14ac:dyDescent="0.25">
      <c r="A22" s="3">
        <v>8</v>
      </c>
      <c r="C22" s="3" t="s">
        <v>17</v>
      </c>
      <c r="D22" s="21" t="s">
        <v>15</v>
      </c>
      <c r="E22" s="15">
        <f>+'3 Rate Base'!F31</f>
        <v>254530</v>
      </c>
      <c r="F22" s="34" t="s">
        <v>353</v>
      </c>
      <c r="H22" s="7"/>
      <c r="I22" s="16"/>
      <c r="J22" s="16"/>
      <c r="K22" s="16"/>
      <c r="L22" s="16"/>
      <c r="M22" s="16"/>
      <c r="N22" s="16"/>
      <c r="R22" s="16"/>
      <c r="S22" s="7"/>
      <c r="T22" s="16"/>
      <c r="U22" s="7"/>
      <c r="V22" s="16"/>
      <c r="W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</row>
    <row r="23" spans="1:59" ht="15" customHeight="1" x14ac:dyDescent="0.25">
      <c r="A23" s="3">
        <v>9</v>
      </c>
      <c r="C23" s="34" t="s">
        <v>18</v>
      </c>
      <c r="D23" s="21" t="s">
        <v>16</v>
      </c>
      <c r="E23" s="15">
        <f>+'3 Rate Base'!F33</f>
        <v>57728</v>
      </c>
      <c r="F23" s="34" t="s">
        <v>151</v>
      </c>
      <c r="H23" s="7"/>
      <c r="I23" s="16"/>
      <c r="J23" s="16"/>
      <c r="K23" s="16"/>
      <c r="L23" s="16"/>
      <c r="M23" s="16"/>
      <c r="N23" s="16"/>
      <c r="R23" s="16"/>
      <c r="S23" s="7"/>
      <c r="T23" s="16"/>
      <c r="U23" s="7"/>
      <c r="V23" s="16"/>
      <c r="W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</row>
    <row r="24" spans="1:59" ht="15" customHeight="1" x14ac:dyDescent="0.25">
      <c r="A24" s="3">
        <v>10</v>
      </c>
      <c r="C24" s="34" t="s">
        <v>19</v>
      </c>
      <c r="D24" s="21" t="s">
        <v>180</v>
      </c>
      <c r="E24" s="31">
        <f>+'3 Rate Base'!F40</f>
        <v>1099315.125</v>
      </c>
      <c r="F24" s="34" t="s">
        <v>354</v>
      </c>
      <c r="H24" s="7"/>
      <c r="I24" s="62"/>
      <c r="J24" s="62"/>
      <c r="K24" s="62"/>
      <c r="L24" s="62"/>
      <c r="M24" s="62"/>
      <c r="N24" s="62"/>
      <c r="R24" s="62"/>
      <c r="S24" s="7"/>
      <c r="T24" s="62"/>
      <c r="U24" s="7"/>
      <c r="V24" s="16"/>
      <c r="W24" s="33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</row>
    <row r="25" spans="1:59" ht="15" customHeight="1" x14ac:dyDescent="0.25">
      <c r="D25" s="21"/>
      <c r="E25" s="7"/>
      <c r="F25" s="7"/>
      <c r="G25" s="7"/>
      <c r="H25" s="7"/>
      <c r="I25" s="7"/>
      <c r="J25" s="7"/>
      <c r="K25" s="7"/>
      <c r="L25" s="7"/>
      <c r="M25" s="7"/>
      <c r="N25" s="7"/>
      <c r="R25" s="7"/>
      <c r="S25" s="7"/>
      <c r="T25" s="7"/>
      <c r="U25" s="7"/>
      <c r="V25" s="16"/>
      <c r="W25" s="33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</row>
    <row r="26" spans="1:59" ht="15" customHeight="1" thickBot="1" x14ac:dyDescent="0.3">
      <c r="A26" s="3">
        <v>11</v>
      </c>
      <c r="C26" s="34" t="s">
        <v>168</v>
      </c>
      <c r="D26" s="21"/>
      <c r="E26" s="81">
        <f>+E20+E22+E23+E24</f>
        <v>82943610.125</v>
      </c>
      <c r="F26" s="16"/>
      <c r="H26" s="7"/>
      <c r="I26" s="16"/>
      <c r="J26" s="16"/>
      <c r="K26" s="16"/>
      <c r="L26" s="16"/>
      <c r="M26" s="16"/>
      <c r="N26" s="16"/>
      <c r="R26" s="16"/>
      <c r="S26" s="7"/>
      <c r="T26" s="16"/>
      <c r="U26" s="7"/>
      <c r="V26" s="16"/>
    </row>
    <row r="27" spans="1:59" ht="15" customHeight="1" thickTop="1" x14ac:dyDescent="0.25">
      <c r="D27" s="11"/>
      <c r="E27" s="7"/>
      <c r="F27" s="7"/>
      <c r="G27" s="7"/>
      <c r="H27" s="7"/>
      <c r="I27" s="7"/>
      <c r="J27" s="7"/>
      <c r="K27" s="7"/>
      <c r="L27" s="7"/>
      <c r="M27" s="7"/>
      <c r="N27" s="7"/>
      <c r="R27" s="7"/>
      <c r="S27" s="7"/>
      <c r="T27" s="7"/>
      <c r="U27" s="7"/>
      <c r="V27" s="16"/>
      <c r="W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59" ht="15" customHeight="1" x14ac:dyDescent="0.25">
      <c r="F28" s="7"/>
      <c r="H28" s="7"/>
      <c r="I28" s="7"/>
      <c r="J28" s="7"/>
      <c r="K28" s="7"/>
      <c r="L28" s="7"/>
      <c r="M28" s="7"/>
      <c r="N28" s="7"/>
      <c r="R28" s="7"/>
      <c r="S28" s="7"/>
      <c r="T28" s="7"/>
      <c r="U28" s="7"/>
      <c r="V28" s="16"/>
    </row>
    <row r="29" spans="1:59" ht="15" customHeight="1" x14ac:dyDescent="0.25">
      <c r="F29" s="7"/>
      <c r="H29" s="7"/>
      <c r="I29" s="7"/>
      <c r="J29" s="7"/>
      <c r="K29" s="7"/>
      <c r="L29" s="7"/>
      <c r="M29" s="7"/>
      <c r="N29" s="7"/>
      <c r="R29" s="7"/>
      <c r="S29" s="7"/>
      <c r="T29" s="7"/>
      <c r="U29" s="7"/>
      <c r="V29" s="16"/>
    </row>
    <row r="30" spans="1:59" ht="15" customHeight="1" x14ac:dyDescent="0.25">
      <c r="E30" s="38"/>
      <c r="F30" s="165"/>
      <c r="H30" s="7"/>
      <c r="I30" s="165"/>
      <c r="J30" s="165"/>
      <c r="K30" s="165"/>
      <c r="L30" s="165"/>
      <c r="M30" s="165"/>
      <c r="N30" s="165"/>
      <c r="R30" s="165"/>
      <c r="S30" s="7"/>
      <c r="T30" s="165"/>
      <c r="U30" s="7"/>
      <c r="V30" s="16"/>
    </row>
    <row r="31" spans="1:59" ht="15" customHeight="1" x14ac:dyDescent="0.25">
      <c r="E31" s="15"/>
      <c r="F31" s="7"/>
      <c r="H31" s="7"/>
      <c r="I31" s="7"/>
      <c r="J31" s="7"/>
      <c r="K31" s="7"/>
      <c r="L31" s="7"/>
      <c r="M31" s="7"/>
      <c r="N31" s="7"/>
      <c r="R31" s="7"/>
      <c r="S31" s="7"/>
      <c r="T31" s="7"/>
      <c r="U31" s="7"/>
      <c r="V31" s="16"/>
    </row>
    <row r="32" spans="1:59" ht="15" customHeight="1" x14ac:dyDescent="0.25">
      <c r="B32" s="3" t="s">
        <v>20</v>
      </c>
      <c r="C32" s="66" t="s">
        <v>21</v>
      </c>
      <c r="E32" s="7"/>
      <c r="F32" s="7"/>
      <c r="H32" s="7"/>
      <c r="I32" s="7"/>
      <c r="J32" s="7"/>
      <c r="K32" s="7"/>
      <c r="L32" s="7"/>
      <c r="M32" s="7"/>
      <c r="N32" s="7"/>
      <c r="R32" s="7"/>
      <c r="S32" s="7"/>
      <c r="T32" s="7"/>
      <c r="U32" s="7"/>
      <c r="V32" s="16"/>
    </row>
    <row r="33" spans="1:27" ht="15" customHeight="1" x14ac:dyDescent="0.25">
      <c r="A33" s="3">
        <v>12</v>
      </c>
      <c r="C33" s="3" t="s">
        <v>22</v>
      </c>
      <c r="D33" s="21" t="s">
        <v>23</v>
      </c>
      <c r="E33" s="80">
        <f>+'2 WACC'!E49</f>
        <v>9427279</v>
      </c>
      <c r="F33" s="34" t="s">
        <v>345</v>
      </c>
      <c r="H33" s="7"/>
      <c r="I33" s="62"/>
      <c r="J33" s="62"/>
      <c r="K33" s="62"/>
      <c r="L33" s="62"/>
      <c r="M33" s="62"/>
      <c r="N33" s="62"/>
      <c r="R33" s="16"/>
      <c r="S33" s="7"/>
      <c r="T33" s="16"/>
      <c r="U33" s="7"/>
      <c r="V33" s="16"/>
    </row>
    <row r="34" spans="1:27" ht="15" customHeight="1" x14ac:dyDescent="0.25">
      <c r="A34" s="3">
        <v>13</v>
      </c>
      <c r="C34" s="34" t="s">
        <v>24</v>
      </c>
      <c r="D34" s="67" t="s">
        <v>25</v>
      </c>
      <c r="E34" s="16">
        <f>+'4 Expense'!F19</f>
        <v>2849347</v>
      </c>
      <c r="F34" s="34" t="s">
        <v>152</v>
      </c>
      <c r="I34" s="16"/>
      <c r="J34" s="16"/>
      <c r="K34" s="16"/>
      <c r="L34" s="16"/>
      <c r="M34" s="16"/>
      <c r="N34" s="16"/>
      <c r="S34" s="7"/>
      <c r="T34" s="16"/>
      <c r="U34" s="7"/>
      <c r="V34" s="16"/>
    </row>
    <row r="35" spans="1:27" ht="15" customHeight="1" x14ac:dyDescent="0.25">
      <c r="A35" s="3">
        <v>14</v>
      </c>
      <c r="C35" s="34" t="s">
        <v>26</v>
      </c>
      <c r="D35" s="21" t="s">
        <v>181</v>
      </c>
      <c r="E35" s="16">
        <f>+'4 Expense'!F21</f>
        <v>26466</v>
      </c>
      <c r="F35" s="34" t="s">
        <v>355</v>
      </c>
      <c r="H35" s="7"/>
      <c r="I35" s="16"/>
      <c r="J35" s="16"/>
      <c r="K35" s="16"/>
      <c r="L35" s="16"/>
      <c r="M35" s="16"/>
      <c r="N35" s="16"/>
      <c r="R35" s="16"/>
      <c r="S35" s="7"/>
      <c r="T35" s="16"/>
      <c r="U35" s="7"/>
      <c r="V35" s="16"/>
    </row>
    <row r="36" spans="1:27" ht="15" customHeight="1" x14ac:dyDescent="0.25">
      <c r="A36" s="3">
        <v>15</v>
      </c>
      <c r="C36" s="34" t="s">
        <v>28</v>
      </c>
      <c r="D36" s="67" t="s">
        <v>27</v>
      </c>
      <c r="E36" s="16">
        <f>+'4 Expense'!F24</f>
        <v>2477990</v>
      </c>
      <c r="F36" s="34" t="s">
        <v>356</v>
      </c>
      <c r="H36" s="7"/>
      <c r="I36" s="16"/>
      <c r="J36" s="16"/>
      <c r="K36" s="16"/>
      <c r="L36" s="16"/>
      <c r="M36" s="16"/>
      <c r="N36" s="16"/>
      <c r="R36" s="16"/>
      <c r="S36" s="7"/>
      <c r="T36" s="16"/>
      <c r="U36" s="7"/>
      <c r="V36" s="16"/>
    </row>
    <row r="37" spans="1:27" ht="15" customHeight="1" x14ac:dyDescent="0.25">
      <c r="A37" s="3">
        <v>16</v>
      </c>
      <c r="C37" s="34" t="s">
        <v>30</v>
      </c>
      <c r="D37" s="67" t="s">
        <v>29</v>
      </c>
      <c r="E37" s="16">
        <f>+'4 Expense'!F42</f>
        <v>83300</v>
      </c>
      <c r="F37" s="2" t="s">
        <v>357</v>
      </c>
      <c r="H37" s="7"/>
      <c r="I37" s="16"/>
      <c r="J37" s="16"/>
      <c r="K37" s="16"/>
      <c r="L37" s="16"/>
      <c r="M37" s="16"/>
      <c r="N37" s="16"/>
      <c r="R37" s="16"/>
      <c r="S37" s="7"/>
      <c r="T37" s="16"/>
      <c r="U37" s="7"/>
      <c r="V37" s="16"/>
    </row>
    <row r="38" spans="1:27" ht="15" customHeight="1" x14ac:dyDescent="0.25">
      <c r="A38" s="3">
        <v>17</v>
      </c>
      <c r="C38" s="34" t="s">
        <v>31</v>
      </c>
      <c r="D38" s="67" t="s">
        <v>106</v>
      </c>
      <c r="E38" s="16">
        <f>+'4 Expense'!F31</f>
        <v>7515187</v>
      </c>
      <c r="F38" s="34" t="s">
        <v>358</v>
      </c>
      <c r="I38" s="16"/>
      <c r="J38" s="16"/>
      <c r="K38" s="16"/>
      <c r="L38" s="16"/>
      <c r="M38" s="16"/>
      <c r="N38" s="16"/>
      <c r="U38" s="7"/>
      <c r="V38" s="16"/>
    </row>
    <row r="39" spans="1:27" ht="15" customHeight="1" x14ac:dyDescent="0.25">
      <c r="A39" s="3">
        <v>18</v>
      </c>
      <c r="C39" s="34" t="s">
        <v>33</v>
      </c>
      <c r="D39" s="67" t="s">
        <v>32</v>
      </c>
      <c r="E39" s="16">
        <f>+'4 Expense'!F40</f>
        <v>1279334</v>
      </c>
      <c r="F39" s="34" t="s">
        <v>214</v>
      </c>
      <c r="H39" s="7"/>
      <c r="I39" s="16"/>
      <c r="J39" s="16"/>
      <c r="K39" s="16"/>
      <c r="L39" s="16"/>
      <c r="M39" s="16"/>
      <c r="N39" s="16"/>
      <c r="R39" s="16"/>
      <c r="S39" s="41"/>
      <c r="T39" s="16"/>
      <c r="U39" s="7"/>
      <c r="V39" s="16"/>
      <c r="W39" s="7"/>
    </row>
    <row r="40" spans="1:27" ht="15" customHeight="1" x14ac:dyDescent="0.25">
      <c r="A40" s="3">
        <v>19</v>
      </c>
      <c r="C40" s="34" t="s">
        <v>484</v>
      </c>
      <c r="D40" s="21"/>
      <c r="E40" s="257">
        <v>-280320</v>
      </c>
      <c r="F40" s="3" t="s">
        <v>161</v>
      </c>
      <c r="G40" s="21"/>
      <c r="H40" s="7"/>
      <c r="I40" s="62"/>
      <c r="J40" s="62"/>
      <c r="K40" s="62"/>
      <c r="L40" s="62"/>
      <c r="M40" s="62"/>
      <c r="N40" s="62"/>
      <c r="R40" s="16"/>
      <c r="S40" s="7"/>
      <c r="T40" s="7"/>
      <c r="U40" s="7"/>
      <c r="V40" s="16"/>
    </row>
    <row r="41" spans="1:27" ht="15" customHeight="1" x14ac:dyDescent="0.25">
      <c r="A41" s="3">
        <v>20</v>
      </c>
      <c r="C41" s="34" t="s">
        <v>485</v>
      </c>
      <c r="D41" s="21"/>
      <c r="E41" s="257">
        <v>0</v>
      </c>
      <c r="F41" s="3" t="s">
        <v>161</v>
      </c>
      <c r="G41" s="21"/>
      <c r="H41" s="7"/>
      <c r="I41" s="62"/>
      <c r="J41" s="62"/>
      <c r="K41" s="62"/>
      <c r="L41" s="62"/>
      <c r="M41" s="62"/>
      <c r="N41" s="62"/>
      <c r="R41" s="16"/>
      <c r="S41" s="7"/>
      <c r="T41" s="7"/>
      <c r="U41" s="7"/>
      <c r="V41" s="16"/>
    </row>
    <row r="42" spans="1:27" ht="15" customHeight="1" x14ac:dyDescent="0.25">
      <c r="E42" s="7"/>
      <c r="F42" s="7"/>
      <c r="H42" s="7"/>
      <c r="I42" s="7"/>
      <c r="J42" s="7"/>
      <c r="K42" s="7"/>
      <c r="L42" s="7"/>
      <c r="M42" s="7"/>
      <c r="N42" s="7"/>
      <c r="R42" s="7"/>
      <c r="S42" s="7"/>
      <c r="T42" s="16"/>
      <c r="U42" s="7"/>
      <c r="V42" s="16"/>
      <c r="W42" s="7"/>
      <c r="Y42" s="7"/>
      <c r="Z42" s="7"/>
      <c r="AA42" s="7"/>
    </row>
    <row r="43" spans="1:27" ht="15" customHeight="1" thickBot="1" x14ac:dyDescent="0.3">
      <c r="A43" s="3">
        <v>22</v>
      </c>
      <c r="C43" s="65" t="s">
        <v>218</v>
      </c>
      <c r="D43" s="7"/>
      <c r="E43" s="81">
        <f>SUM(E33:E41)</f>
        <v>23378583</v>
      </c>
      <c r="F43" s="16"/>
      <c r="G43" s="7"/>
      <c r="H43" s="7"/>
      <c r="I43" s="16"/>
      <c r="J43" s="16"/>
      <c r="K43" s="16"/>
      <c r="L43" s="16"/>
      <c r="M43" s="16"/>
      <c r="N43" s="16"/>
      <c r="R43" s="16"/>
      <c r="S43" s="7"/>
      <c r="T43" s="7"/>
      <c r="U43" s="7"/>
      <c r="V43" s="7"/>
      <c r="W43" s="7"/>
      <c r="Y43" s="7"/>
      <c r="Z43" s="7"/>
      <c r="AA43" s="7"/>
    </row>
    <row r="44" spans="1:27" ht="15" customHeight="1" thickTop="1" x14ac:dyDescent="0.25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R44" s="7"/>
      <c r="S44" s="7"/>
      <c r="T44" s="62"/>
      <c r="U44" s="7"/>
      <c r="V44" s="7"/>
      <c r="W44" s="7"/>
      <c r="Y44" s="7"/>
      <c r="Z44" s="7"/>
      <c r="AA44" s="7"/>
    </row>
    <row r="45" spans="1:27" x14ac:dyDescent="0.25">
      <c r="C45" s="28"/>
      <c r="D45" s="11"/>
      <c r="E45" s="68"/>
      <c r="F45" s="62"/>
      <c r="G45" s="7"/>
      <c r="H45" s="7"/>
      <c r="I45" s="62"/>
      <c r="J45" s="62"/>
      <c r="K45" s="62"/>
      <c r="L45" s="62"/>
      <c r="M45" s="62"/>
      <c r="N45" s="62"/>
      <c r="R45" s="62"/>
      <c r="S45" s="7"/>
      <c r="T45" s="7"/>
      <c r="U45" s="7"/>
      <c r="V45" s="7"/>
    </row>
    <row r="46" spans="1:27" x14ac:dyDescent="0.25">
      <c r="E46" s="16"/>
      <c r="I46" s="62"/>
      <c r="J46" s="7"/>
      <c r="K46" s="62"/>
      <c r="L46" s="7"/>
      <c r="M46" s="62"/>
      <c r="N46" s="7"/>
    </row>
    <row r="47" spans="1:27" x14ac:dyDescent="0.25">
      <c r="C47" s="2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27" x14ac:dyDescent="0.25">
      <c r="B48" s="3" t="s">
        <v>159</v>
      </c>
      <c r="C48" s="66" t="s">
        <v>158</v>
      </c>
      <c r="E48" s="7"/>
      <c r="F48" s="7"/>
      <c r="G48" s="7"/>
      <c r="H48" s="7"/>
      <c r="I48" s="7"/>
      <c r="J48" s="7"/>
      <c r="K48" s="7"/>
      <c r="L48" s="7"/>
      <c r="M48" s="7"/>
      <c r="N48" s="7"/>
      <c r="V48" s="60"/>
    </row>
    <row r="49" spans="1:18" x14ac:dyDescent="0.25">
      <c r="E49" s="7"/>
      <c r="F49" s="7"/>
      <c r="G49" s="7"/>
      <c r="H49" s="7"/>
      <c r="I49" s="7"/>
      <c r="J49" s="7"/>
      <c r="K49" s="7"/>
      <c r="L49" s="7"/>
      <c r="M49" s="7"/>
      <c r="N49" s="7"/>
      <c r="Q49" s="7"/>
      <c r="R49" s="16"/>
    </row>
    <row r="50" spans="1:18" x14ac:dyDescent="0.25"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8" x14ac:dyDescent="0.25">
      <c r="A51" s="3">
        <v>23</v>
      </c>
      <c r="C51" s="3" t="s">
        <v>187</v>
      </c>
      <c r="D51" s="7"/>
      <c r="E51" s="149">
        <f>+'5 Allocation'!D30</f>
        <v>30166</v>
      </c>
      <c r="F51" s="7" t="s">
        <v>215</v>
      </c>
      <c r="G51" s="7"/>
      <c r="H51" s="7"/>
      <c r="I51" s="7"/>
      <c r="J51" s="7"/>
      <c r="K51" s="7"/>
      <c r="L51" s="7"/>
      <c r="M51" s="7"/>
      <c r="N51" s="7"/>
    </row>
    <row r="52" spans="1:18" x14ac:dyDescent="0.25">
      <c r="A52" s="3">
        <v>24</v>
      </c>
      <c r="C52" s="3" t="s">
        <v>128</v>
      </c>
      <c r="D52" s="7"/>
      <c r="E52" s="150">
        <f>+E14</f>
        <v>156172760</v>
      </c>
      <c r="F52" s="7" t="s">
        <v>216</v>
      </c>
      <c r="G52" s="7"/>
      <c r="H52" s="7"/>
      <c r="I52" s="7"/>
      <c r="J52" s="7"/>
      <c r="K52" s="7"/>
      <c r="L52" s="7"/>
      <c r="M52" s="7"/>
      <c r="N52" s="7"/>
    </row>
    <row r="53" spans="1:18" x14ac:dyDescent="0.25">
      <c r="D53" s="7"/>
      <c r="E53" s="151" t="s">
        <v>154</v>
      </c>
      <c r="F53" s="7"/>
      <c r="G53" s="7"/>
      <c r="H53" s="7"/>
      <c r="I53" s="7"/>
      <c r="J53" s="7"/>
      <c r="K53" s="7"/>
      <c r="L53" s="7"/>
      <c r="M53" s="7"/>
      <c r="N53" s="7"/>
    </row>
    <row r="54" spans="1:18" x14ac:dyDescent="0.25">
      <c r="A54" s="3">
        <v>25</v>
      </c>
      <c r="C54" s="3" t="s">
        <v>219</v>
      </c>
      <c r="E54" s="152">
        <f>+E51/E52</f>
        <v>1.9315788489618804E-4</v>
      </c>
      <c r="F54" s="7" t="s">
        <v>169</v>
      </c>
      <c r="G54" s="7"/>
      <c r="H54" s="7"/>
      <c r="I54" s="7"/>
      <c r="J54" s="7"/>
      <c r="K54" s="7"/>
      <c r="L54" s="7"/>
      <c r="M54" s="7"/>
      <c r="N54" s="7"/>
    </row>
    <row r="55" spans="1:18" x14ac:dyDescent="0.25">
      <c r="E55" s="152"/>
      <c r="F55" s="7"/>
      <c r="G55" s="7"/>
      <c r="H55" s="7"/>
      <c r="I55" s="7"/>
      <c r="J55" s="7"/>
      <c r="K55" s="7"/>
      <c r="L55" s="7"/>
      <c r="M55" s="7"/>
      <c r="N55" s="7"/>
    </row>
    <row r="56" spans="1:18" x14ac:dyDescent="0.25">
      <c r="A56" s="3">
        <v>26</v>
      </c>
      <c r="C56" s="3" t="s">
        <v>221</v>
      </c>
      <c r="D56" s="7"/>
      <c r="E56" s="153">
        <f>+E43</f>
        <v>23378583</v>
      </c>
      <c r="F56" s="7" t="s">
        <v>170</v>
      </c>
      <c r="G56" s="7"/>
      <c r="H56" s="7"/>
      <c r="I56" s="7"/>
      <c r="J56" s="7"/>
      <c r="K56" s="7"/>
      <c r="L56" s="7"/>
      <c r="M56" s="7"/>
      <c r="N56" s="7"/>
    </row>
    <row r="57" spans="1:18" x14ac:dyDescent="0.25">
      <c r="A57" s="3">
        <v>27</v>
      </c>
      <c r="C57" s="3" t="s">
        <v>223</v>
      </c>
      <c r="D57" s="7"/>
      <c r="E57" s="150">
        <f>+'4 Expense'!C30</f>
        <v>4030675</v>
      </c>
      <c r="F57" s="7" t="s">
        <v>217</v>
      </c>
      <c r="G57" s="7"/>
      <c r="H57" s="7"/>
      <c r="I57" s="7"/>
      <c r="J57" s="7"/>
      <c r="K57" s="7"/>
      <c r="L57" s="7"/>
      <c r="M57" s="7"/>
      <c r="N57" s="7"/>
    </row>
    <row r="58" spans="1:18" x14ac:dyDescent="0.25">
      <c r="D58" s="7"/>
      <c r="E58" s="151" t="s">
        <v>154</v>
      </c>
      <c r="F58" s="7"/>
      <c r="G58" s="7"/>
      <c r="H58" s="7"/>
      <c r="I58" s="7"/>
      <c r="J58" s="7"/>
      <c r="K58" s="7"/>
      <c r="L58" s="7"/>
      <c r="M58" s="7"/>
      <c r="N58" s="7"/>
    </row>
    <row r="59" spans="1:18" x14ac:dyDescent="0.25">
      <c r="A59" s="3">
        <v>28</v>
      </c>
      <c r="C59" s="3" t="s">
        <v>222</v>
      </c>
      <c r="D59" s="7"/>
      <c r="E59" s="153">
        <f>+E56-E57</f>
        <v>19347908</v>
      </c>
      <c r="F59" s="7" t="s">
        <v>172</v>
      </c>
      <c r="G59" s="7"/>
      <c r="H59" s="7"/>
      <c r="I59" s="7"/>
      <c r="J59" s="7"/>
      <c r="K59" s="7"/>
      <c r="L59" s="7"/>
      <c r="M59" s="7"/>
      <c r="N59" s="7"/>
    </row>
    <row r="60" spans="1:18" x14ac:dyDescent="0.25">
      <c r="A60" s="3">
        <v>29</v>
      </c>
      <c r="C60" s="3" t="s">
        <v>219</v>
      </c>
      <c r="D60" s="7"/>
      <c r="E60" s="152">
        <f>+E54</f>
        <v>1.9315788489618804E-4</v>
      </c>
      <c r="F60" s="7" t="s">
        <v>171</v>
      </c>
      <c r="G60" s="7"/>
      <c r="H60" s="7"/>
      <c r="I60" s="7"/>
      <c r="J60" s="7"/>
      <c r="K60" s="7"/>
      <c r="L60" s="7"/>
      <c r="M60" s="7"/>
      <c r="N60" s="7"/>
    </row>
    <row r="61" spans="1:18" x14ac:dyDescent="0.25">
      <c r="D61" s="7"/>
      <c r="E61" s="151" t="s">
        <v>154</v>
      </c>
      <c r="F61" s="7"/>
      <c r="G61" s="7"/>
      <c r="H61" s="7"/>
      <c r="I61" s="7"/>
      <c r="J61" s="7"/>
      <c r="K61" s="7"/>
      <c r="L61" s="7"/>
      <c r="M61" s="7"/>
      <c r="N61" s="7"/>
    </row>
    <row r="62" spans="1:18" x14ac:dyDescent="0.25">
      <c r="A62" s="3">
        <v>30</v>
      </c>
      <c r="C62" s="3" t="s">
        <v>155</v>
      </c>
      <c r="D62" s="7"/>
      <c r="E62" s="153">
        <f>+E59*E60</f>
        <v>3737.200986446036</v>
      </c>
      <c r="F62" s="7" t="s">
        <v>173</v>
      </c>
      <c r="G62" s="7"/>
      <c r="H62" s="7"/>
      <c r="I62" s="7"/>
      <c r="J62" s="7"/>
      <c r="K62" s="7"/>
      <c r="L62" s="7"/>
      <c r="M62" s="7"/>
      <c r="N62" s="7"/>
    </row>
    <row r="63" spans="1:18" x14ac:dyDescent="0.25">
      <c r="D63" s="7"/>
      <c r="E63" s="153"/>
      <c r="F63" s="7"/>
      <c r="G63" s="7"/>
      <c r="H63" s="7"/>
      <c r="I63" s="7"/>
      <c r="J63" s="7"/>
      <c r="K63" s="7"/>
      <c r="L63" s="7"/>
      <c r="M63" s="7"/>
      <c r="N63" s="7"/>
    </row>
    <row r="64" spans="1:18" x14ac:dyDescent="0.25">
      <c r="A64" s="3">
        <v>31</v>
      </c>
      <c r="C64" s="3" t="s">
        <v>156</v>
      </c>
      <c r="D64" s="7"/>
      <c r="E64" s="153">
        <f>+E62/12</f>
        <v>311.43341553716965</v>
      </c>
      <c r="F64" s="7" t="s">
        <v>174</v>
      </c>
      <c r="G64" s="7"/>
      <c r="H64" s="7"/>
      <c r="I64" s="7"/>
      <c r="J64" s="7"/>
      <c r="K64" s="7"/>
      <c r="L64" s="7"/>
      <c r="M64" s="7"/>
      <c r="N64" s="7"/>
    </row>
    <row r="65" spans="3:14" x14ac:dyDescent="0.25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3:14" x14ac:dyDescent="0.25">
      <c r="C66" s="3" t="s">
        <v>160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3:14" x14ac:dyDescent="0.25">
      <c r="C67" s="3" t="s">
        <v>157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3:14" x14ac:dyDescent="0.25"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3:14" x14ac:dyDescent="0.25"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3:14" x14ac:dyDescent="0.25"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3:14" x14ac:dyDescent="0.25"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3:14" x14ac:dyDescent="0.25"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3:14" x14ac:dyDescent="0.25"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3:14" x14ac:dyDescent="0.25"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3:14" x14ac:dyDescent="0.25"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3:14" x14ac:dyDescent="0.25"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3:14" x14ac:dyDescent="0.25"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3:14" x14ac:dyDescent="0.25"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3:14" x14ac:dyDescent="0.25"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3:14" x14ac:dyDescent="0.25"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4:14" x14ac:dyDescent="0.25"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4:14" x14ac:dyDescent="0.25"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4:14" x14ac:dyDescent="0.25"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4:14" x14ac:dyDescent="0.25"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4:14" x14ac:dyDescent="0.25"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4:14" x14ac:dyDescent="0.25"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4:14" x14ac:dyDescent="0.25"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4:14" x14ac:dyDescent="0.25"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4:14" x14ac:dyDescent="0.25"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4:14" x14ac:dyDescent="0.25"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4:14" x14ac:dyDescent="0.25"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4:14" x14ac:dyDescent="0.25"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4:14" x14ac:dyDescent="0.25"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4:14" x14ac:dyDescent="0.25"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4:14" x14ac:dyDescent="0.25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4:14" x14ac:dyDescent="0.25"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4:14" x14ac:dyDescent="0.25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4:14" x14ac:dyDescent="0.25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4:14" x14ac:dyDescent="0.25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4:14" x14ac:dyDescent="0.25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4:14" x14ac:dyDescent="0.25"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4:14" x14ac:dyDescent="0.25"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4:14" x14ac:dyDescent="0.25"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4:14" x14ac:dyDescent="0.25"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4:14" x14ac:dyDescent="0.25"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4:14" x14ac:dyDescent="0.25"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4:14" x14ac:dyDescent="0.25"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4:14" x14ac:dyDescent="0.25"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4:14" x14ac:dyDescent="0.25"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4:14" x14ac:dyDescent="0.25"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4:14" x14ac:dyDescent="0.25"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4:14" x14ac:dyDescent="0.25"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4:14" x14ac:dyDescent="0.25"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4:14" x14ac:dyDescent="0.25"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4:14" x14ac:dyDescent="0.25"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4:14" x14ac:dyDescent="0.25"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4:14" x14ac:dyDescent="0.25"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4:14" x14ac:dyDescent="0.25"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4:14" x14ac:dyDescent="0.25"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4:14" x14ac:dyDescent="0.25"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4:14" x14ac:dyDescent="0.25"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4:14" x14ac:dyDescent="0.25"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4:14" x14ac:dyDescent="0.25"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4:14" x14ac:dyDescent="0.25"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4:14" x14ac:dyDescent="0.25"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4:14" x14ac:dyDescent="0.25"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4:14" x14ac:dyDescent="0.25"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4:14" x14ac:dyDescent="0.25"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5:14" x14ac:dyDescent="0.25"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5:14" x14ac:dyDescent="0.25"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5:14" x14ac:dyDescent="0.25"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5:14" x14ac:dyDescent="0.25"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5:14" x14ac:dyDescent="0.25"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5:14" x14ac:dyDescent="0.25"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5:14" x14ac:dyDescent="0.25"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5:14" x14ac:dyDescent="0.25"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5:14" x14ac:dyDescent="0.25"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5:14" x14ac:dyDescent="0.25"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5:14" x14ac:dyDescent="0.25"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5:14" x14ac:dyDescent="0.25">
      <c r="E140" s="7"/>
      <c r="F140" s="7"/>
      <c r="G140" s="7"/>
      <c r="H140" s="7"/>
      <c r="I140" s="7"/>
      <c r="J140" s="7"/>
      <c r="K140" s="7"/>
      <c r="L140" s="7"/>
      <c r="M140" s="7"/>
      <c r="N140" s="7"/>
    </row>
  </sheetData>
  <customSheetViews>
    <customSheetView guid="{64F6106B-9E0C-489A-BDF0-E26F35DDE29F}" scale="90" showPageBreaks="1" showGridLines="0" fitToPage="1" printArea="1" topLeftCell="A39">
      <selection activeCell="F59" sqref="F59"/>
      <pageMargins left="0" right="0" top="0.75" bottom="0" header="0.5" footer="0.5"/>
      <pageSetup scale="69" fitToHeight="0" orientation="portrait" r:id="rId1"/>
      <headerFooter alignWithMargins="0"/>
    </customSheetView>
  </customSheetViews>
  <phoneticPr fontId="0" type="noConversion"/>
  <pageMargins left="0" right="0" top="0.75" bottom="0" header="0.5" footer="0.5"/>
  <pageSetup scale="69" fitToHeight="0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G46"/>
  <sheetViews>
    <sheetView showGridLines="0" topLeftCell="A7" zoomScale="70" zoomScaleNormal="70" workbookViewId="0">
      <selection activeCell="D16" sqref="D16"/>
    </sheetView>
  </sheetViews>
  <sheetFormatPr defaultRowHeight="12.75" x14ac:dyDescent="0.2"/>
  <cols>
    <col min="1" max="1" width="7.7109375" bestFit="1" customWidth="1"/>
    <col min="2" max="2" width="36.5703125" customWidth="1"/>
    <col min="3" max="3" width="20.85546875" customWidth="1"/>
    <col min="4" max="4" width="26.28515625" bestFit="1" customWidth="1"/>
  </cols>
  <sheetData>
    <row r="4" spans="1:7" ht="19.5" x14ac:dyDescent="0.35">
      <c r="C4" s="70" t="s">
        <v>118</v>
      </c>
      <c r="D4" s="3"/>
      <c r="E4" s="3"/>
      <c r="F4" s="3"/>
      <c r="G4" s="3"/>
    </row>
    <row r="5" spans="1:7" ht="15" x14ac:dyDescent="0.25">
      <c r="C5" s="21" t="s">
        <v>385</v>
      </c>
      <c r="D5" s="3"/>
      <c r="E5" s="3"/>
      <c r="F5" s="3"/>
      <c r="G5" s="3"/>
    </row>
    <row r="6" spans="1:7" ht="15" x14ac:dyDescent="0.25">
      <c r="C6" s="71" t="str">
        <f>+'5 Allocation'!B6</f>
        <v>Actual</v>
      </c>
      <c r="D6" s="3"/>
      <c r="E6" s="3"/>
      <c r="F6" s="3"/>
      <c r="G6" s="3"/>
    </row>
    <row r="7" spans="1:7" ht="15" x14ac:dyDescent="0.25">
      <c r="C7" s="71">
        <f>+'5 Allocation'!B7</f>
        <v>2015</v>
      </c>
      <c r="D7" s="3"/>
      <c r="E7" s="3"/>
      <c r="F7" s="5" t="s">
        <v>119</v>
      </c>
      <c r="G7" s="3"/>
    </row>
    <row r="8" spans="1:7" ht="15" x14ac:dyDescent="0.25">
      <c r="C8" s="3"/>
      <c r="D8" s="3"/>
      <c r="E8" s="3"/>
      <c r="F8" s="5" t="s">
        <v>186</v>
      </c>
      <c r="G8" s="3"/>
    </row>
    <row r="9" spans="1:7" ht="15" x14ac:dyDescent="0.25">
      <c r="C9" s="3"/>
      <c r="D9" s="3"/>
      <c r="E9" s="3"/>
      <c r="F9" s="5" t="s">
        <v>468</v>
      </c>
      <c r="G9" s="3"/>
    </row>
    <row r="10" spans="1:7" ht="15" x14ac:dyDescent="0.25">
      <c r="B10" s="3"/>
      <c r="C10" s="3"/>
      <c r="D10" s="3"/>
      <c r="E10" s="5"/>
      <c r="F10" s="3"/>
      <c r="G10" s="3"/>
    </row>
    <row r="11" spans="1:7" ht="15" x14ac:dyDescent="0.25">
      <c r="A11" s="21" t="s">
        <v>65</v>
      </c>
      <c r="B11" s="3"/>
      <c r="C11" s="21" t="s">
        <v>380</v>
      </c>
      <c r="D11" s="7" t="s">
        <v>99</v>
      </c>
      <c r="F11" s="3"/>
    </row>
    <row r="12" spans="1:7" ht="15" x14ac:dyDescent="0.25">
      <c r="A12" s="28" t="s">
        <v>70</v>
      </c>
      <c r="B12" s="3"/>
      <c r="C12" s="21" t="s">
        <v>381</v>
      </c>
      <c r="D12" s="7" t="s">
        <v>4</v>
      </c>
      <c r="F12" s="97"/>
    </row>
    <row r="13" spans="1:7" ht="15" x14ac:dyDescent="0.25">
      <c r="A13" s="28"/>
      <c r="B13" s="3"/>
      <c r="C13" s="8"/>
      <c r="D13" s="32"/>
      <c r="F13" s="97"/>
    </row>
    <row r="14" spans="1:7" ht="19.5" x14ac:dyDescent="0.35">
      <c r="A14" s="28">
        <v>1</v>
      </c>
      <c r="B14" s="126" t="s">
        <v>68</v>
      </c>
      <c r="C14" s="8"/>
      <c r="D14" s="32"/>
      <c r="F14" s="97"/>
    </row>
    <row r="15" spans="1:7" ht="15" x14ac:dyDescent="0.25">
      <c r="A15" s="127">
        <f>1+A14</f>
        <v>2</v>
      </c>
      <c r="B15" s="124" t="s">
        <v>365</v>
      </c>
      <c r="C15" s="207">
        <v>62364575.030000001</v>
      </c>
      <c r="D15" s="122" t="s">
        <v>386</v>
      </c>
    </row>
    <row r="16" spans="1:7" ht="15" x14ac:dyDescent="0.25">
      <c r="A16" s="127">
        <f t="shared" ref="A16:A27" si="0">1+A15</f>
        <v>3</v>
      </c>
      <c r="B16" s="125" t="s">
        <v>376</v>
      </c>
      <c r="C16" s="208">
        <v>62634415.819999993</v>
      </c>
      <c r="D16" s="122" t="s">
        <v>512</v>
      </c>
    </row>
    <row r="17" spans="1:7" ht="15" x14ac:dyDescent="0.25">
      <c r="A17" s="127">
        <f t="shared" si="0"/>
        <v>4</v>
      </c>
      <c r="B17" s="124" t="s">
        <v>366</v>
      </c>
      <c r="C17" s="208">
        <v>62916393.670000002</v>
      </c>
      <c r="D17" s="122" t="s">
        <v>512</v>
      </c>
    </row>
    <row r="18" spans="1:7" ht="15" x14ac:dyDescent="0.25">
      <c r="A18" s="127">
        <f t="shared" si="0"/>
        <v>5</v>
      </c>
      <c r="B18" s="124" t="s">
        <v>367</v>
      </c>
      <c r="C18" s="208">
        <v>63275545.479999997</v>
      </c>
      <c r="D18" s="122" t="s">
        <v>512</v>
      </c>
    </row>
    <row r="19" spans="1:7" ht="15" x14ac:dyDescent="0.25">
      <c r="A19" s="127">
        <f t="shared" si="0"/>
        <v>6</v>
      </c>
      <c r="B19" s="124" t="s">
        <v>368</v>
      </c>
      <c r="C19" s="208">
        <v>63574726.780000001</v>
      </c>
      <c r="D19" s="122" t="s">
        <v>512</v>
      </c>
    </row>
    <row r="20" spans="1:7" ht="15" x14ac:dyDescent="0.25">
      <c r="A20" s="127">
        <f t="shared" si="0"/>
        <v>7</v>
      </c>
      <c r="B20" s="124" t="s">
        <v>369</v>
      </c>
      <c r="C20" s="208">
        <v>63868740.899999999</v>
      </c>
      <c r="D20" s="122" t="s">
        <v>512</v>
      </c>
    </row>
    <row r="21" spans="1:7" ht="15" x14ac:dyDescent="0.25">
      <c r="A21" s="127">
        <f t="shared" si="0"/>
        <v>8</v>
      </c>
      <c r="B21" s="124" t="s">
        <v>370</v>
      </c>
      <c r="C21" s="208">
        <v>64090313.320000008</v>
      </c>
      <c r="D21" s="122" t="s">
        <v>512</v>
      </c>
    </row>
    <row r="22" spans="1:7" ht="15" x14ac:dyDescent="0.25">
      <c r="A22" s="127">
        <f t="shared" si="0"/>
        <v>9</v>
      </c>
      <c r="B22" s="124" t="s">
        <v>371</v>
      </c>
      <c r="C22" s="208">
        <v>64383391.030000001</v>
      </c>
      <c r="D22" s="122" t="s">
        <v>512</v>
      </c>
    </row>
    <row r="23" spans="1:7" ht="15" x14ac:dyDescent="0.25">
      <c r="A23" s="127">
        <f t="shared" si="0"/>
        <v>10</v>
      </c>
      <c r="B23" s="124" t="s">
        <v>372</v>
      </c>
      <c r="C23" s="208">
        <v>64686023.090000004</v>
      </c>
      <c r="D23" s="122" t="s">
        <v>512</v>
      </c>
    </row>
    <row r="24" spans="1:7" ht="15" x14ac:dyDescent="0.25">
      <c r="A24" s="127">
        <f t="shared" si="0"/>
        <v>11</v>
      </c>
      <c r="B24" s="124" t="s">
        <v>373</v>
      </c>
      <c r="C24" s="208">
        <v>64852504.310000002</v>
      </c>
      <c r="D24" s="122" t="s">
        <v>512</v>
      </c>
    </row>
    <row r="25" spans="1:7" ht="15" x14ac:dyDescent="0.25">
      <c r="A25" s="127">
        <f t="shared" si="0"/>
        <v>12</v>
      </c>
      <c r="B25" s="124" t="s">
        <v>374</v>
      </c>
      <c r="C25" s="208">
        <v>65163595.999999993</v>
      </c>
      <c r="D25" s="122" t="s">
        <v>512</v>
      </c>
    </row>
    <row r="26" spans="1:7" ht="15" x14ac:dyDescent="0.25">
      <c r="A26" s="127">
        <f t="shared" si="0"/>
        <v>13</v>
      </c>
      <c r="B26" s="124" t="s">
        <v>375</v>
      </c>
      <c r="C26" s="208">
        <v>65397121.580000006</v>
      </c>
      <c r="D26" s="122" t="s">
        <v>512</v>
      </c>
    </row>
    <row r="27" spans="1:7" ht="15" x14ac:dyDescent="0.25">
      <c r="A27" s="127">
        <f t="shared" si="0"/>
        <v>14</v>
      </c>
      <c r="B27" s="125" t="s">
        <v>377</v>
      </c>
      <c r="C27" s="208">
        <v>65689254.730000004</v>
      </c>
      <c r="D27" s="122" t="s">
        <v>393</v>
      </c>
    </row>
    <row r="28" spans="1:7" ht="15" x14ac:dyDescent="0.25">
      <c r="C28" s="123"/>
    </row>
    <row r="29" spans="1:7" ht="15" x14ac:dyDescent="0.25">
      <c r="A29" s="127">
        <f>1+A27</f>
        <v>15</v>
      </c>
      <c r="B29" s="124" t="s">
        <v>379</v>
      </c>
      <c r="C29" s="72">
        <f>AVERAGE(C15:C27)</f>
        <v>64068969.364615396</v>
      </c>
      <c r="G29" s="3"/>
    </row>
    <row r="30" spans="1:7" ht="15" x14ac:dyDescent="0.25">
      <c r="C30" s="123"/>
      <c r="G30" s="9"/>
    </row>
    <row r="31" spans="1:7" ht="19.5" x14ac:dyDescent="0.35">
      <c r="A31" s="28">
        <f>1+A29</f>
        <v>16</v>
      </c>
      <c r="B31" s="126" t="s">
        <v>382</v>
      </c>
      <c r="C31" s="128"/>
      <c r="D31" s="32"/>
      <c r="F31" s="97"/>
    </row>
    <row r="32" spans="1:7" ht="15" x14ac:dyDescent="0.25">
      <c r="A32" s="127">
        <f>1+A31</f>
        <v>17</v>
      </c>
      <c r="B32" s="124" t="s">
        <v>365</v>
      </c>
      <c r="C32" s="209">
        <v>30835454.43</v>
      </c>
      <c r="D32" s="122" t="s">
        <v>394</v>
      </c>
    </row>
    <row r="33" spans="1:4" ht="15" x14ac:dyDescent="0.25">
      <c r="A33" s="127">
        <f t="shared" ref="A33:A44" si="1">1+A32</f>
        <v>18</v>
      </c>
      <c r="B33" s="125" t="s">
        <v>376</v>
      </c>
      <c r="C33" s="210">
        <v>31096633.5</v>
      </c>
      <c r="D33" s="122" t="s">
        <v>512</v>
      </c>
    </row>
    <row r="34" spans="1:4" ht="15" x14ac:dyDescent="0.25">
      <c r="A34" s="127">
        <f t="shared" si="1"/>
        <v>19</v>
      </c>
      <c r="B34" s="124" t="s">
        <v>366</v>
      </c>
      <c r="C34" s="210">
        <v>31190494.209999997</v>
      </c>
      <c r="D34" s="122" t="s">
        <v>512</v>
      </c>
    </row>
    <row r="35" spans="1:4" ht="15" x14ac:dyDescent="0.25">
      <c r="A35" s="127">
        <f t="shared" si="1"/>
        <v>20</v>
      </c>
      <c r="B35" s="124" t="s">
        <v>367</v>
      </c>
      <c r="C35" s="210">
        <v>27528068.189999998</v>
      </c>
      <c r="D35" s="122" t="s">
        <v>512</v>
      </c>
    </row>
    <row r="36" spans="1:4" ht="15" x14ac:dyDescent="0.25">
      <c r="A36" s="127">
        <f t="shared" si="1"/>
        <v>21</v>
      </c>
      <c r="B36" s="124" t="s">
        <v>368</v>
      </c>
      <c r="C36" s="210">
        <v>27967337.109999996</v>
      </c>
      <c r="D36" s="122" t="s">
        <v>512</v>
      </c>
    </row>
    <row r="37" spans="1:4" ht="15" x14ac:dyDescent="0.25">
      <c r="A37" s="127">
        <f t="shared" si="1"/>
        <v>22</v>
      </c>
      <c r="B37" s="124" t="s">
        <v>369</v>
      </c>
      <c r="C37" s="210">
        <v>29084040.619999997</v>
      </c>
      <c r="D37" s="122" t="s">
        <v>512</v>
      </c>
    </row>
    <row r="38" spans="1:4" ht="15" x14ac:dyDescent="0.25">
      <c r="A38" s="127">
        <f t="shared" si="1"/>
        <v>23</v>
      </c>
      <c r="B38" s="124" t="s">
        <v>370</v>
      </c>
      <c r="C38" s="210">
        <v>29617496.150000002</v>
      </c>
      <c r="D38" s="122" t="s">
        <v>512</v>
      </c>
    </row>
    <row r="39" spans="1:4" ht="15" x14ac:dyDescent="0.25">
      <c r="A39" s="127">
        <f t="shared" si="1"/>
        <v>24</v>
      </c>
      <c r="B39" s="124" t="s">
        <v>371</v>
      </c>
      <c r="C39" s="210">
        <v>29894484.820000004</v>
      </c>
      <c r="D39" s="122" t="s">
        <v>512</v>
      </c>
    </row>
    <row r="40" spans="1:4" ht="15" x14ac:dyDescent="0.25">
      <c r="A40" s="127">
        <f t="shared" si="1"/>
        <v>25</v>
      </c>
      <c r="B40" s="124" t="s">
        <v>372</v>
      </c>
      <c r="C40" s="210">
        <v>25406113.659999996</v>
      </c>
      <c r="D40" s="122" t="s">
        <v>512</v>
      </c>
    </row>
    <row r="41" spans="1:4" ht="15" x14ac:dyDescent="0.25">
      <c r="A41" s="127">
        <f t="shared" si="1"/>
        <v>26</v>
      </c>
      <c r="B41" s="124" t="s">
        <v>373</v>
      </c>
      <c r="C41" s="210">
        <v>25976565.959999997</v>
      </c>
      <c r="D41" s="122" t="s">
        <v>512</v>
      </c>
    </row>
    <row r="42" spans="1:4" ht="15" x14ac:dyDescent="0.25">
      <c r="A42" s="127">
        <f t="shared" si="1"/>
        <v>27</v>
      </c>
      <c r="B42" s="124" t="s">
        <v>374</v>
      </c>
      <c r="C42" s="210">
        <v>26260006.309999999</v>
      </c>
      <c r="D42" s="122" t="s">
        <v>512</v>
      </c>
    </row>
    <row r="43" spans="1:4" ht="15" x14ac:dyDescent="0.25">
      <c r="A43" s="127">
        <f t="shared" si="1"/>
        <v>28</v>
      </c>
      <c r="B43" s="124" t="s">
        <v>375</v>
      </c>
      <c r="C43" s="210">
        <v>26768805.870000001</v>
      </c>
      <c r="D43" s="122" t="s">
        <v>512</v>
      </c>
    </row>
    <row r="44" spans="1:4" ht="15" x14ac:dyDescent="0.25">
      <c r="A44" s="127">
        <f t="shared" si="1"/>
        <v>29</v>
      </c>
      <c r="B44" s="125" t="s">
        <v>377</v>
      </c>
      <c r="C44" s="210">
        <v>28299577.899999999</v>
      </c>
      <c r="D44" s="122" t="s">
        <v>395</v>
      </c>
    </row>
    <row r="45" spans="1:4" ht="15" x14ac:dyDescent="0.25">
      <c r="C45" s="123"/>
    </row>
    <row r="46" spans="1:4" ht="15" x14ac:dyDescent="0.25">
      <c r="A46" s="127">
        <f>1+A44</f>
        <v>30</v>
      </c>
      <c r="B46" s="124" t="s">
        <v>383</v>
      </c>
      <c r="C46" s="72">
        <f>AVERAGE(C32:C44)</f>
        <v>28455775.286923073</v>
      </c>
    </row>
  </sheetData>
  <pageMargins left="0.7" right="0.7" top="0.75" bottom="0.75" header="0.3" footer="0.3"/>
  <pageSetup scale="7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G36"/>
  <sheetViews>
    <sheetView showGridLines="0" zoomScale="80" zoomScaleNormal="80" workbookViewId="0">
      <selection activeCell="B14" sqref="B14"/>
    </sheetView>
  </sheetViews>
  <sheetFormatPr defaultRowHeight="12.75" x14ac:dyDescent="0.2"/>
  <cols>
    <col min="1" max="1" width="7.7109375" style="122" bestFit="1" customWidth="1"/>
    <col min="2" max="2" width="66.7109375" style="122" bestFit="1" customWidth="1"/>
    <col min="3" max="4" width="18.7109375" style="122" customWidth="1"/>
    <col min="5" max="5" width="20.28515625" style="122" customWidth="1"/>
    <col min="6" max="16384" width="9.140625" style="122"/>
  </cols>
  <sheetData>
    <row r="4" spans="1:7" ht="19.5" x14ac:dyDescent="0.35">
      <c r="C4" s="70" t="s">
        <v>118</v>
      </c>
      <c r="D4" s="3"/>
      <c r="E4" s="3"/>
      <c r="F4" s="3"/>
      <c r="G4" s="3"/>
    </row>
    <row r="5" spans="1:7" ht="15" x14ac:dyDescent="0.25">
      <c r="C5" s="21" t="s">
        <v>404</v>
      </c>
      <c r="D5" s="3"/>
      <c r="E5" s="3"/>
      <c r="F5" s="3"/>
      <c r="G5" s="3"/>
    </row>
    <row r="6" spans="1:7" ht="15" x14ac:dyDescent="0.25">
      <c r="C6" s="121" t="str">
        <f>+'5 Allocation'!B6</f>
        <v>Actual</v>
      </c>
      <c r="D6" s="3"/>
      <c r="E6" s="3"/>
      <c r="F6" s="3"/>
      <c r="G6" s="3"/>
    </row>
    <row r="7" spans="1:7" ht="15" x14ac:dyDescent="0.25">
      <c r="C7" s="121">
        <f>+'5 Allocation'!B7</f>
        <v>2015</v>
      </c>
      <c r="D7" s="3"/>
      <c r="E7" s="3"/>
      <c r="F7" s="5" t="s">
        <v>119</v>
      </c>
      <c r="G7" s="3"/>
    </row>
    <row r="8" spans="1:7" ht="15" x14ac:dyDescent="0.25">
      <c r="C8" s="3"/>
      <c r="D8" s="3"/>
      <c r="E8" s="3"/>
      <c r="F8" s="5" t="s">
        <v>186</v>
      </c>
      <c r="G8" s="3"/>
    </row>
    <row r="9" spans="1:7" ht="15" x14ac:dyDescent="0.25">
      <c r="C9" s="3"/>
      <c r="D9" s="3"/>
      <c r="E9" s="3"/>
      <c r="F9" s="5" t="s">
        <v>469</v>
      </c>
      <c r="G9" s="3"/>
    </row>
    <row r="10" spans="1:7" ht="15" x14ac:dyDescent="0.25">
      <c r="B10" s="3"/>
      <c r="C10" s="3"/>
      <c r="D10" s="3"/>
      <c r="E10" s="5"/>
      <c r="F10" s="3"/>
      <c r="G10" s="3"/>
    </row>
    <row r="11" spans="1:7" ht="15" x14ac:dyDescent="0.25">
      <c r="A11" s="21" t="s">
        <v>65</v>
      </c>
      <c r="B11" s="3"/>
      <c r="C11" s="21" t="s">
        <v>401</v>
      </c>
      <c r="D11" s="21" t="s">
        <v>402</v>
      </c>
      <c r="E11" s="21" t="s">
        <v>403</v>
      </c>
      <c r="F11" s="7" t="s">
        <v>99</v>
      </c>
    </row>
    <row r="12" spans="1:7" ht="15" x14ac:dyDescent="0.25">
      <c r="A12" s="28" t="s">
        <v>70</v>
      </c>
      <c r="B12" s="3"/>
      <c r="C12" s="21" t="s">
        <v>381</v>
      </c>
      <c r="D12" s="21" t="s">
        <v>381</v>
      </c>
      <c r="E12" s="21" t="s">
        <v>381</v>
      </c>
      <c r="F12" s="7" t="s">
        <v>4</v>
      </c>
    </row>
    <row r="13" spans="1:7" ht="15" x14ac:dyDescent="0.25">
      <c r="A13" s="28"/>
      <c r="B13" s="3"/>
      <c r="C13" s="3"/>
      <c r="D13" s="3"/>
      <c r="F13" s="32"/>
    </row>
    <row r="14" spans="1:7" ht="19.5" x14ac:dyDescent="0.35">
      <c r="A14" s="28">
        <v>1</v>
      </c>
      <c r="B14" s="126" t="s">
        <v>397</v>
      </c>
      <c r="C14" s="3"/>
      <c r="D14" s="3"/>
      <c r="F14" s="32"/>
    </row>
    <row r="15" spans="1:7" ht="15" x14ac:dyDescent="0.2">
      <c r="B15" s="234"/>
      <c r="C15" s="270"/>
      <c r="D15" s="270"/>
      <c r="E15" s="235"/>
      <c r="F15" s="233"/>
      <c r="G15" s="232"/>
    </row>
    <row r="16" spans="1:7" ht="15" x14ac:dyDescent="0.2">
      <c r="A16" s="159"/>
      <c r="B16" s="234"/>
      <c r="C16" s="270"/>
      <c r="D16" s="270"/>
      <c r="E16" s="235"/>
      <c r="F16" s="233"/>
      <c r="G16" s="232"/>
    </row>
    <row r="17" spans="1:7" ht="15" x14ac:dyDescent="0.2">
      <c r="B17" s="234"/>
      <c r="C17" s="270"/>
      <c r="D17" s="270"/>
      <c r="E17" s="235"/>
      <c r="F17" s="233"/>
      <c r="G17" s="232"/>
    </row>
    <row r="18" spans="1:7" ht="15.75" x14ac:dyDescent="0.25">
      <c r="A18" s="28"/>
      <c r="B18" s="234"/>
      <c r="C18" s="270"/>
      <c r="D18" s="270"/>
      <c r="E18" s="235"/>
      <c r="F18" s="233"/>
      <c r="G18" s="232"/>
    </row>
    <row r="19" spans="1:7" ht="15" x14ac:dyDescent="0.2">
      <c r="A19" s="159"/>
      <c r="B19" s="234"/>
      <c r="C19" s="270"/>
      <c r="D19" s="270"/>
      <c r="E19" s="235"/>
      <c r="F19" s="233"/>
      <c r="G19" s="232"/>
    </row>
    <row r="20" spans="1:7" ht="19.5" x14ac:dyDescent="0.35">
      <c r="A20" s="159">
        <v>2</v>
      </c>
      <c r="B20" s="272" t="s">
        <v>481</v>
      </c>
      <c r="C20" s="244">
        <v>-220031816</v>
      </c>
      <c r="D20" s="244">
        <v>-265267582</v>
      </c>
      <c r="E20" s="253">
        <f>AVERAGE(C20:D20)</f>
        <v>-242649699</v>
      </c>
      <c r="F20" s="3" t="s">
        <v>527</v>
      </c>
    </row>
    <row r="21" spans="1:7" ht="15" x14ac:dyDescent="0.25">
      <c r="C21" s="159"/>
      <c r="D21" s="159"/>
      <c r="E21" s="159"/>
      <c r="F21" s="3"/>
    </row>
    <row r="22" spans="1:7" ht="19.5" x14ac:dyDescent="0.35">
      <c r="A22" s="236">
        <v>3</v>
      </c>
      <c r="B22" s="239" t="s">
        <v>398</v>
      </c>
      <c r="C22" s="94"/>
      <c r="D22" s="94"/>
      <c r="E22" s="232"/>
      <c r="F22" s="232"/>
      <c r="G22" s="232"/>
    </row>
    <row r="23" spans="1:7" ht="15" x14ac:dyDescent="0.25">
      <c r="A23" s="270"/>
      <c r="B23" s="124"/>
      <c r="C23" s="271"/>
      <c r="D23" s="271"/>
      <c r="E23" s="238"/>
      <c r="F23" s="233"/>
      <c r="G23" s="232"/>
    </row>
    <row r="24" spans="1:7" ht="15" x14ac:dyDescent="0.25">
      <c r="A24" s="270"/>
      <c r="B24" s="125"/>
      <c r="C24" s="271"/>
      <c r="D24" s="271"/>
      <c r="E24" s="204"/>
      <c r="F24" s="233"/>
      <c r="G24" s="232"/>
    </row>
    <row r="25" spans="1:7" ht="15" x14ac:dyDescent="0.25">
      <c r="A25" s="270"/>
      <c r="B25" s="124"/>
      <c r="C25" s="271"/>
      <c r="D25" s="271"/>
      <c r="E25" s="204"/>
      <c r="F25" s="233"/>
      <c r="G25" s="232"/>
    </row>
    <row r="26" spans="1:7" ht="15" x14ac:dyDescent="0.25">
      <c r="A26" s="270"/>
      <c r="B26" s="124"/>
      <c r="C26" s="271"/>
      <c r="D26" s="271"/>
      <c r="E26" s="204"/>
      <c r="F26" s="233"/>
      <c r="G26" s="232"/>
    </row>
    <row r="27" spans="1:7" ht="15" x14ac:dyDescent="0.25">
      <c r="A27" s="270"/>
      <c r="B27" s="124"/>
      <c r="C27" s="271"/>
      <c r="D27" s="271"/>
      <c r="E27" s="204"/>
      <c r="F27" s="233"/>
      <c r="G27" s="232"/>
    </row>
    <row r="28" spans="1:7" ht="19.5" x14ac:dyDescent="0.35">
      <c r="A28" s="240">
        <v>4</v>
      </c>
      <c r="B28" s="272" t="s">
        <v>399</v>
      </c>
      <c r="C28" s="245">
        <v>-146469230</v>
      </c>
      <c r="D28" s="245">
        <v>-160559946</v>
      </c>
      <c r="E28" s="253">
        <f>AVERAGE(C28:D28)</f>
        <v>-153514588</v>
      </c>
      <c r="F28" s="94" t="s">
        <v>513</v>
      </c>
    </row>
    <row r="29" spans="1:7" ht="15" x14ac:dyDescent="0.25">
      <c r="A29" s="232"/>
      <c r="B29" s="232"/>
      <c r="C29" s="232"/>
      <c r="D29" s="232"/>
      <c r="E29" s="232"/>
      <c r="F29" s="94"/>
    </row>
    <row r="30" spans="1:7" ht="19.5" x14ac:dyDescent="0.35">
      <c r="A30" s="236">
        <v>5</v>
      </c>
      <c r="B30" s="239" t="s">
        <v>400</v>
      </c>
      <c r="C30" s="94"/>
      <c r="D30" s="94"/>
      <c r="E30" s="232"/>
      <c r="F30" s="237"/>
    </row>
    <row r="31" spans="1:7" ht="15" x14ac:dyDescent="0.25">
      <c r="A31" s="240"/>
      <c r="B31" s="124"/>
      <c r="C31" s="271"/>
      <c r="D31" s="271"/>
      <c r="E31" s="238"/>
      <c r="F31" s="233"/>
    </row>
    <row r="32" spans="1:7" ht="15" x14ac:dyDescent="0.25">
      <c r="A32" s="240"/>
      <c r="B32" s="125"/>
      <c r="C32" s="271"/>
      <c r="D32" s="271"/>
      <c r="E32" s="204"/>
      <c r="F32" s="233"/>
    </row>
    <row r="33" spans="1:6" ht="15" x14ac:dyDescent="0.25">
      <c r="A33" s="240"/>
      <c r="B33" s="124"/>
      <c r="C33" s="271"/>
      <c r="D33" s="271"/>
      <c r="E33" s="204"/>
      <c r="F33" s="233"/>
    </row>
    <row r="34" spans="1:6" ht="15" x14ac:dyDescent="0.25">
      <c r="A34" s="240"/>
      <c r="B34" s="124"/>
      <c r="C34" s="271"/>
      <c r="D34" s="271"/>
      <c r="E34" s="204"/>
      <c r="F34" s="233"/>
    </row>
    <row r="35" spans="1:6" ht="15" x14ac:dyDescent="0.25">
      <c r="A35" s="240"/>
      <c r="B35" s="124"/>
      <c r="C35" s="271"/>
      <c r="D35" s="271"/>
      <c r="E35" s="204"/>
      <c r="F35" s="233"/>
    </row>
    <row r="36" spans="1:6" ht="19.5" x14ac:dyDescent="0.35">
      <c r="A36" s="240">
        <v>6</v>
      </c>
      <c r="B36" s="272" t="s">
        <v>528</v>
      </c>
      <c r="C36" s="245">
        <v>104076559</v>
      </c>
      <c r="D36" s="245">
        <v>128713013</v>
      </c>
      <c r="E36" s="253">
        <f>AVERAGE(C36:D36)</f>
        <v>116394786</v>
      </c>
      <c r="F36" s="94" t="s">
        <v>514</v>
      </c>
    </row>
  </sheetData>
  <pageMargins left="0.7" right="0.7" top="0.75" bottom="0.75" header="0.3" footer="0.3"/>
  <pageSetup scale="4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G39"/>
  <sheetViews>
    <sheetView showGridLines="0" topLeftCell="B11" zoomScaleNormal="100" workbookViewId="0">
      <selection activeCell="B5" sqref="B5"/>
    </sheetView>
  </sheetViews>
  <sheetFormatPr defaultRowHeight="12.75" x14ac:dyDescent="0.2"/>
  <cols>
    <col min="1" max="1" width="7.7109375" style="122" bestFit="1" customWidth="1"/>
    <col min="2" max="2" width="51.28515625" style="122" customWidth="1"/>
    <col min="3" max="5" width="18.7109375" style="122" customWidth="1"/>
    <col min="6" max="16384" width="9.140625" style="122"/>
  </cols>
  <sheetData>
    <row r="4" spans="1:7" ht="19.5" x14ac:dyDescent="0.35">
      <c r="C4" s="70" t="s">
        <v>118</v>
      </c>
      <c r="D4" s="3"/>
      <c r="E4" s="3"/>
      <c r="F4" s="3"/>
      <c r="G4" s="3"/>
    </row>
    <row r="5" spans="1:7" ht="15" x14ac:dyDescent="0.25">
      <c r="C5" s="21" t="s">
        <v>405</v>
      </c>
      <c r="D5" s="3"/>
      <c r="E5" s="3"/>
      <c r="F5" s="3"/>
      <c r="G5" s="3"/>
    </row>
    <row r="6" spans="1:7" ht="15" x14ac:dyDescent="0.25">
      <c r="C6" s="121" t="str">
        <f>+'5 Allocation'!B6</f>
        <v>Actual</v>
      </c>
      <c r="D6" s="3"/>
      <c r="E6" s="3"/>
      <c r="F6" s="3"/>
      <c r="G6" s="3"/>
    </row>
    <row r="7" spans="1:7" ht="15" x14ac:dyDescent="0.25">
      <c r="C7" s="121">
        <f>+'5 Allocation'!B7</f>
        <v>2015</v>
      </c>
      <c r="D7" s="3"/>
      <c r="E7" s="3"/>
      <c r="F7" s="5" t="s">
        <v>119</v>
      </c>
      <c r="G7" s="3"/>
    </row>
    <row r="8" spans="1:7" ht="15" x14ac:dyDescent="0.25">
      <c r="C8" s="3"/>
      <c r="D8" s="3"/>
      <c r="E8" s="3"/>
      <c r="F8" s="5" t="s">
        <v>186</v>
      </c>
      <c r="G8" s="3"/>
    </row>
    <row r="9" spans="1:7" ht="15" x14ac:dyDescent="0.25">
      <c r="C9" s="3"/>
      <c r="D9" s="3"/>
      <c r="E9" s="3"/>
      <c r="F9" s="5" t="s">
        <v>471</v>
      </c>
      <c r="G9" s="3"/>
    </row>
    <row r="10" spans="1:7" ht="15" x14ac:dyDescent="0.25">
      <c r="B10" s="3"/>
      <c r="C10" s="3"/>
      <c r="D10" s="3"/>
      <c r="E10" s="5"/>
      <c r="F10" s="3"/>
      <c r="G10" s="3"/>
    </row>
    <row r="11" spans="1:7" ht="15" x14ac:dyDescent="0.25">
      <c r="A11" s="21" t="s">
        <v>65</v>
      </c>
      <c r="B11" s="3"/>
      <c r="C11" s="21" t="s">
        <v>401</v>
      </c>
      <c r="D11" s="21" t="s">
        <v>402</v>
      </c>
      <c r="E11" s="21" t="s">
        <v>403</v>
      </c>
      <c r="F11" s="7" t="s">
        <v>99</v>
      </c>
    </row>
    <row r="12" spans="1:7" ht="15" x14ac:dyDescent="0.25">
      <c r="A12" s="28" t="s">
        <v>70</v>
      </c>
      <c r="B12" s="3"/>
      <c r="C12" s="21" t="s">
        <v>381</v>
      </c>
      <c r="D12" s="21" t="s">
        <v>381</v>
      </c>
      <c r="E12" s="21" t="s">
        <v>381</v>
      </c>
      <c r="F12" s="7" t="s">
        <v>4</v>
      </c>
    </row>
    <row r="13" spans="1:7" ht="15" x14ac:dyDescent="0.25">
      <c r="A13" s="28"/>
      <c r="B13" s="3"/>
      <c r="C13" s="3"/>
      <c r="D13" s="3"/>
      <c r="F13" s="32"/>
    </row>
    <row r="14" spans="1:7" ht="19.5" x14ac:dyDescent="0.35">
      <c r="A14" s="28">
        <v>1</v>
      </c>
      <c r="B14" s="126" t="s">
        <v>406</v>
      </c>
      <c r="C14" s="3"/>
      <c r="D14" s="3"/>
      <c r="F14" s="32"/>
    </row>
    <row r="15" spans="1:7" ht="15" x14ac:dyDescent="0.25">
      <c r="A15" s="159">
        <f>1+A14</f>
        <v>2</v>
      </c>
      <c r="B15" s="124" t="s">
        <v>486</v>
      </c>
      <c r="C15" s="263">
        <v>1211758.3</v>
      </c>
      <c r="D15" s="263">
        <v>1181010.06</v>
      </c>
      <c r="E15" s="72">
        <f>AVERAGE(C15:D15)</f>
        <v>1196384.1800000002</v>
      </c>
      <c r="F15" s="122" t="s">
        <v>512</v>
      </c>
    </row>
    <row r="16" spans="1:7" ht="15" x14ac:dyDescent="0.25">
      <c r="A16" s="159">
        <f t="shared" ref="A16:A38" si="0">1+A15</f>
        <v>3</v>
      </c>
      <c r="B16" s="125" t="s">
        <v>487</v>
      </c>
      <c r="C16" s="262">
        <v>-52852.92</v>
      </c>
      <c r="D16" s="262">
        <v>-1418174.54</v>
      </c>
      <c r="E16" s="72">
        <f t="shared" ref="E16:E37" si="1">AVERAGE(C16:D16)</f>
        <v>-735513.73</v>
      </c>
      <c r="F16" s="122" t="s">
        <v>512</v>
      </c>
    </row>
    <row r="17" spans="1:6" ht="15" x14ac:dyDescent="0.25">
      <c r="A17" s="159">
        <f t="shared" si="0"/>
        <v>4</v>
      </c>
      <c r="B17" s="124" t="s">
        <v>488</v>
      </c>
      <c r="C17" s="262">
        <v>0</v>
      </c>
      <c r="D17" s="262">
        <v>0</v>
      </c>
      <c r="E17" s="72">
        <f t="shared" si="1"/>
        <v>0</v>
      </c>
      <c r="F17" s="122" t="s">
        <v>512</v>
      </c>
    </row>
    <row r="18" spans="1:6" ht="15" x14ac:dyDescent="0.25">
      <c r="A18" s="159">
        <f t="shared" si="0"/>
        <v>5</v>
      </c>
      <c r="B18" s="124" t="s">
        <v>489</v>
      </c>
      <c r="C18" s="262">
        <v>148014.54999999999</v>
      </c>
      <c r="D18" s="262">
        <v>154630.21</v>
      </c>
      <c r="E18" s="72">
        <f t="shared" si="1"/>
        <v>151322.38</v>
      </c>
      <c r="F18" s="122" t="s">
        <v>512</v>
      </c>
    </row>
    <row r="19" spans="1:6" ht="15" x14ac:dyDescent="0.25">
      <c r="A19" s="159">
        <f t="shared" si="0"/>
        <v>6</v>
      </c>
      <c r="B19" s="124" t="s">
        <v>490</v>
      </c>
      <c r="C19" s="262">
        <v>277668.56</v>
      </c>
      <c r="D19" s="262">
        <v>0</v>
      </c>
      <c r="E19" s="72">
        <f t="shared" si="1"/>
        <v>138834.28</v>
      </c>
      <c r="F19" s="122" t="s">
        <v>512</v>
      </c>
    </row>
    <row r="20" spans="1:6" ht="15" x14ac:dyDescent="0.25">
      <c r="A20" s="159">
        <f t="shared" si="0"/>
        <v>7</v>
      </c>
      <c r="B20" s="124" t="s">
        <v>491</v>
      </c>
      <c r="C20" s="262">
        <v>1166557.81</v>
      </c>
      <c r="D20" s="262">
        <v>915970.43</v>
      </c>
      <c r="E20" s="72">
        <f t="shared" si="1"/>
        <v>1041264.1200000001</v>
      </c>
      <c r="F20" s="122" t="s">
        <v>512</v>
      </c>
    </row>
    <row r="21" spans="1:6" ht="15" x14ac:dyDescent="0.25">
      <c r="A21" s="159">
        <f t="shared" si="0"/>
        <v>8</v>
      </c>
      <c r="B21" s="124" t="s">
        <v>492</v>
      </c>
      <c r="C21" s="262">
        <v>416951.92</v>
      </c>
      <c r="D21" s="262">
        <v>309394.13</v>
      </c>
      <c r="E21" s="72">
        <f t="shared" si="1"/>
        <v>363173.02500000002</v>
      </c>
      <c r="F21" s="122" t="s">
        <v>512</v>
      </c>
    </row>
    <row r="22" spans="1:6" ht="15" x14ac:dyDescent="0.25">
      <c r="A22" s="159">
        <f t="shared" si="0"/>
        <v>9</v>
      </c>
      <c r="B22" s="124" t="s">
        <v>493</v>
      </c>
      <c r="C22" s="262">
        <v>36470.04</v>
      </c>
      <c r="D22" s="262">
        <v>0.02</v>
      </c>
      <c r="E22" s="72">
        <f t="shared" si="1"/>
        <v>18235.03</v>
      </c>
      <c r="F22" s="122" t="s">
        <v>512</v>
      </c>
    </row>
    <row r="23" spans="1:6" ht="15" x14ac:dyDescent="0.25">
      <c r="A23" s="159">
        <f t="shared" si="0"/>
        <v>10</v>
      </c>
      <c r="B23" s="124" t="s">
        <v>494</v>
      </c>
      <c r="C23" s="262">
        <v>143425</v>
      </c>
      <c r="D23" s="262">
        <v>137688.26</v>
      </c>
      <c r="E23" s="72">
        <f t="shared" si="1"/>
        <v>140556.63</v>
      </c>
      <c r="F23" s="122" t="s">
        <v>512</v>
      </c>
    </row>
    <row r="24" spans="1:6" ht="15" x14ac:dyDescent="0.25">
      <c r="A24" s="159">
        <f t="shared" si="0"/>
        <v>11</v>
      </c>
      <c r="B24" s="124" t="s">
        <v>495</v>
      </c>
      <c r="C24" s="262">
        <v>0</v>
      </c>
      <c r="D24" s="262">
        <v>-98194.13</v>
      </c>
      <c r="E24" s="72">
        <f t="shared" si="1"/>
        <v>-49097.065000000002</v>
      </c>
      <c r="F24" s="122" t="s">
        <v>512</v>
      </c>
    </row>
    <row r="25" spans="1:6" ht="15" x14ac:dyDescent="0.25">
      <c r="A25" s="159">
        <f t="shared" si="0"/>
        <v>12</v>
      </c>
      <c r="B25" s="124" t="s">
        <v>496</v>
      </c>
      <c r="C25" s="262">
        <v>0</v>
      </c>
      <c r="D25" s="262">
        <v>-6755.96</v>
      </c>
      <c r="E25" s="72">
        <f t="shared" si="1"/>
        <v>-3377.98</v>
      </c>
      <c r="F25" s="122" t="s">
        <v>512</v>
      </c>
    </row>
    <row r="26" spans="1:6" ht="15" x14ac:dyDescent="0.25">
      <c r="A26" s="159">
        <f t="shared" si="0"/>
        <v>13</v>
      </c>
      <c r="B26" s="124" t="s">
        <v>497</v>
      </c>
      <c r="C26" s="262">
        <v>0</v>
      </c>
      <c r="D26" s="262">
        <v>-21891.56</v>
      </c>
      <c r="E26" s="72">
        <f t="shared" si="1"/>
        <v>-10945.78</v>
      </c>
      <c r="F26" s="122" t="s">
        <v>512</v>
      </c>
    </row>
    <row r="27" spans="1:6" ht="15" x14ac:dyDescent="0.25">
      <c r="A27" s="159">
        <f t="shared" si="0"/>
        <v>14</v>
      </c>
      <c r="B27" s="124" t="s">
        <v>498</v>
      </c>
      <c r="C27" s="262">
        <v>1342207.01</v>
      </c>
      <c r="D27" s="262">
        <v>1078932.3700000001</v>
      </c>
      <c r="E27" s="72">
        <f t="shared" si="1"/>
        <v>1210569.69</v>
      </c>
      <c r="F27" s="122" t="s">
        <v>512</v>
      </c>
    </row>
    <row r="28" spans="1:6" ht="15" x14ac:dyDescent="0.25">
      <c r="A28" s="159">
        <f t="shared" si="0"/>
        <v>15</v>
      </c>
      <c r="B28" s="124" t="s">
        <v>499</v>
      </c>
      <c r="C28" s="262">
        <v>-11389.87</v>
      </c>
      <c r="D28" s="262">
        <v>16995.810000000001</v>
      </c>
      <c r="E28" s="72">
        <f t="shared" si="1"/>
        <v>2802.9700000000003</v>
      </c>
      <c r="F28" s="122" t="s">
        <v>512</v>
      </c>
    </row>
    <row r="29" spans="1:6" ht="15" x14ac:dyDescent="0.25">
      <c r="A29" s="159">
        <f t="shared" si="0"/>
        <v>16</v>
      </c>
      <c r="B29" s="124" t="s">
        <v>500</v>
      </c>
      <c r="C29" s="262">
        <v>0</v>
      </c>
      <c r="D29" s="262">
        <v>0</v>
      </c>
      <c r="E29" s="72">
        <f t="shared" si="1"/>
        <v>0</v>
      </c>
      <c r="F29" s="122" t="s">
        <v>512</v>
      </c>
    </row>
    <row r="30" spans="1:6" ht="15" x14ac:dyDescent="0.25">
      <c r="A30" s="159">
        <f t="shared" si="0"/>
        <v>17</v>
      </c>
      <c r="B30" s="124" t="s">
        <v>501</v>
      </c>
      <c r="C30" s="262">
        <v>0</v>
      </c>
      <c r="D30" s="262">
        <v>0</v>
      </c>
      <c r="E30" s="72">
        <f t="shared" si="1"/>
        <v>0</v>
      </c>
      <c r="F30" s="122" t="s">
        <v>512</v>
      </c>
    </row>
    <row r="31" spans="1:6" ht="15" x14ac:dyDescent="0.25">
      <c r="A31" s="159">
        <f t="shared" si="0"/>
        <v>18</v>
      </c>
      <c r="B31" s="124" t="s">
        <v>511</v>
      </c>
      <c r="C31" s="262">
        <v>0</v>
      </c>
      <c r="D31" s="262">
        <v>0</v>
      </c>
      <c r="E31" s="72">
        <f t="shared" si="1"/>
        <v>0</v>
      </c>
      <c r="F31" s="122" t="s">
        <v>512</v>
      </c>
    </row>
    <row r="32" spans="1:6" ht="15" x14ac:dyDescent="0.25">
      <c r="A32" s="159">
        <f t="shared" si="0"/>
        <v>19</v>
      </c>
      <c r="B32" s="124" t="s">
        <v>502</v>
      </c>
      <c r="C32" s="262">
        <v>36708</v>
      </c>
      <c r="D32" s="262">
        <v>0</v>
      </c>
      <c r="E32" s="72">
        <f t="shared" si="1"/>
        <v>18354</v>
      </c>
      <c r="F32" s="122" t="s">
        <v>512</v>
      </c>
    </row>
    <row r="33" spans="1:7" ht="15" x14ac:dyDescent="0.25">
      <c r="A33" s="159">
        <f t="shared" si="0"/>
        <v>20</v>
      </c>
      <c r="B33" s="124" t="s">
        <v>503</v>
      </c>
      <c r="C33" s="262">
        <v>749819.66</v>
      </c>
      <c r="D33" s="262">
        <v>1198481.27</v>
      </c>
      <c r="E33" s="72">
        <f t="shared" si="1"/>
        <v>974150.46500000008</v>
      </c>
      <c r="F33" s="122" t="s">
        <v>512</v>
      </c>
    </row>
    <row r="34" spans="1:7" ht="15" x14ac:dyDescent="0.25">
      <c r="A34" s="159">
        <f t="shared" si="0"/>
        <v>21</v>
      </c>
      <c r="B34" s="124" t="s">
        <v>504</v>
      </c>
      <c r="C34" s="262">
        <v>0</v>
      </c>
      <c r="D34" s="262">
        <v>0</v>
      </c>
      <c r="E34" s="72">
        <f t="shared" si="1"/>
        <v>0</v>
      </c>
      <c r="F34" s="122" t="s">
        <v>512</v>
      </c>
    </row>
    <row r="35" spans="1:7" ht="15" x14ac:dyDescent="0.25">
      <c r="A35" s="159">
        <f t="shared" si="0"/>
        <v>22</v>
      </c>
      <c r="B35" s="124" t="s">
        <v>505</v>
      </c>
      <c r="C35" s="262">
        <v>10573389.619999999</v>
      </c>
      <c r="D35" s="262">
        <v>33198634.440000001</v>
      </c>
      <c r="E35" s="72">
        <f t="shared" si="1"/>
        <v>21886012.030000001</v>
      </c>
      <c r="F35" s="122" t="s">
        <v>512</v>
      </c>
    </row>
    <row r="36" spans="1:7" ht="15" x14ac:dyDescent="0.25">
      <c r="A36" s="159">
        <f t="shared" si="0"/>
        <v>23</v>
      </c>
      <c r="B36" s="124" t="s">
        <v>506</v>
      </c>
      <c r="C36" s="262">
        <v>0</v>
      </c>
      <c r="D36" s="262">
        <v>0</v>
      </c>
      <c r="E36" s="72">
        <f t="shared" si="1"/>
        <v>0</v>
      </c>
      <c r="F36" s="122" t="s">
        <v>512</v>
      </c>
    </row>
    <row r="37" spans="1:7" ht="15" x14ac:dyDescent="0.25">
      <c r="A37" s="159">
        <f t="shared" si="0"/>
        <v>24</v>
      </c>
      <c r="B37" s="99" t="s">
        <v>507</v>
      </c>
      <c r="C37" s="264">
        <v>-5649876.5499999998</v>
      </c>
      <c r="D37" s="264">
        <v>-28828117.469999999</v>
      </c>
      <c r="E37" s="72">
        <f t="shared" si="1"/>
        <v>-17238997.009999998</v>
      </c>
      <c r="F37" s="122" t="s">
        <v>512</v>
      </c>
    </row>
    <row r="38" spans="1:7" ht="15" x14ac:dyDescent="0.25">
      <c r="A38" s="159">
        <f t="shared" si="0"/>
        <v>25</v>
      </c>
      <c r="B38" s="124" t="s">
        <v>407</v>
      </c>
      <c r="C38" s="253">
        <f>SUM(C15:C37)</f>
        <v>10388851.129999999</v>
      </c>
      <c r="D38" s="253">
        <f t="shared" ref="D38:E38" si="2">SUM(D15:D37)</f>
        <v>7818603.3400000036</v>
      </c>
      <c r="E38" s="72">
        <f t="shared" si="2"/>
        <v>9103727.2350000031</v>
      </c>
      <c r="F38" s="3" t="s">
        <v>510</v>
      </c>
      <c r="G38" s="3"/>
    </row>
    <row r="39" spans="1:7" ht="15" x14ac:dyDescent="0.25">
      <c r="G39" s="28"/>
    </row>
  </sheetData>
  <pageMargins left="0.7" right="0.7" top="0.75" bottom="0.75" header="0.3" footer="0.3"/>
  <pageSetup scale="6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85"/>
  <sheetViews>
    <sheetView showGridLines="0" topLeftCell="A13" zoomScaleNormal="100" workbookViewId="0">
      <selection activeCell="F49" sqref="F49"/>
    </sheetView>
  </sheetViews>
  <sheetFormatPr defaultRowHeight="12.75" x14ac:dyDescent="0.2"/>
  <cols>
    <col min="1" max="1" width="5.140625" style="122" customWidth="1"/>
    <col min="2" max="2" width="21" style="122" customWidth="1"/>
    <col min="3" max="3" width="25.42578125" style="122" customWidth="1"/>
    <col min="4" max="4" width="23.85546875" style="122" customWidth="1"/>
    <col min="5" max="6" width="21" style="122" customWidth="1"/>
    <col min="7" max="7" width="19.140625" style="122" customWidth="1"/>
    <col min="8" max="8" width="32" style="122" customWidth="1"/>
    <col min="9" max="11" width="9.140625" style="122"/>
    <col min="12" max="12" width="21.7109375" style="122" bestFit="1" customWidth="1"/>
    <col min="13" max="16384" width="9.140625" style="122"/>
  </cols>
  <sheetData>
    <row r="5" spans="1:9" ht="19.5" x14ac:dyDescent="0.35">
      <c r="B5" s="132"/>
      <c r="C5" s="70" t="s">
        <v>118</v>
      </c>
      <c r="D5" s="132"/>
      <c r="E5" s="132"/>
      <c r="F5" s="5" t="s">
        <v>119</v>
      </c>
      <c r="G5" s="132"/>
      <c r="H5" s="132"/>
    </row>
    <row r="6" spans="1:9" ht="16.5" x14ac:dyDescent="0.3">
      <c r="B6" s="132"/>
      <c r="C6" s="176" t="s">
        <v>477</v>
      </c>
      <c r="D6" s="132"/>
      <c r="E6" s="132"/>
      <c r="F6" s="5" t="s">
        <v>186</v>
      </c>
      <c r="G6" s="132"/>
      <c r="H6" s="132"/>
    </row>
    <row r="7" spans="1:9" ht="15.75" x14ac:dyDescent="0.25">
      <c r="B7" s="132"/>
      <c r="C7" s="21" t="str">
        <f>+'5 Allocation'!B6</f>
        <v>Actual</v>
      </c>
      <c r="D7" s="132"/>
      <c r="E7" s="132"/>
      <c r="F7" s="5" t="s">
        <v>470</v>
      </c>
      <c r="G7" s="132"/>
      <c r="H7" s="132"/>
    </row>
    <row r="8" spans="1:9" ht="15.75" x14ac:dyDescent="0.25">
      <c r="B8" s="132"/>
      <c r="C8" s="21">
        <f>+'5 Allocation'!B7</f>
        <v>2015</v>
      </c>
      <c r="D8" s="132"/>
      <c r="E8" s="132"/>
      <c r="G8" s="132"/>
      <c r="H8" s="132"/>
    </row>
    <row r="9" spans="1:9" ht="15.75" x14ac:dyDescent="0.25">
      <c r="B9" s="132"/>
      <c r="C9" s="132"/>
      <c r="D9" s="132"/>
      <c r="E9" s="132"/>
      <c r="G9" s="132"/>
      <c r="H9" s="132"/>
    </row>
    <row r="10" spans="1:9" ht="15.75" x14ac:dyDescent="0.25">
      <c r="B10" s="132"/>
      <c r="C10" s="132"/>
      <c r="D10" s="132"/>
      <c r="E10" s="132"/>
      <c r="F10" s="5"/>
      <c r="G10" s="132"/>
      <c r="H10" s="132"/>
    </row>
    <row r="11" spans="1:9" ht="15" x14ac:dyDescent="0.25">
      <c r="A11" s="3"/>
      <c r="B11" s="3"/>
      <c r="C11" s="27" t="s">
        <v>23</v>
      </c>
      <c r="D11" s="27" t="s">
        <v>25</v>
      </c>
      <c r="E11" s="27" t="s">
        <v>181</v>
      </c>
      <c r="F11" s="146"/>
      <c r="G11" s="3"/>
      <c r="H11" s="3"/>
      <c r="I11" s="3"/>
    </row>
    <row r="12" spans="1:9" ht="15" x14ac:dyDescent="0.25">
      <c r="A12" s="3"/>
      <c r="B12" s="3"/>
      <c r="C12" s="21" t="s">
        <v>430</v>
      </c>
      <c r="D12" s="21" t="s">
        <v>431</v>
      </c>
      <c r="E12" s="21" t="s">
        <v>432</v>
      </c>
      <c r="F12" s="146"/>
      <c r="G12" s="3"/>
      <c r="H12" s="3"/>
      <c r="I12" s="3"/>
    </row>
    <row r="13" spans="1:9" ht="15" x14ac:dyDescent="0.25">
      <c r="A13" s="3"/>
      <c r="B13" s="3"/>
      <c r="C13" s="21" t="s">
        <v>68</v>
      </c>
      <c r="D13" s="21" t="s">
        <v>68</v>
      </c>
      <c r="E13" s="21" t="s">
        <v>68</v>
      </c>
      <c r="F13" s="146"/>
      <c r="G13" s="3"/>
      <c r="H13" s="3"/>
      <c r="I13" s="3"/>
    </row>
    <row r="14" spans="1:9" ht="15" x14ac:dyDescent="0.25">
      <c r="A14" s="3"/>
      <c r="B14" s="3"/>
      <c r="C14" s="21" t="s">
        <v>433</v>
      </c>
      <c r="D14" s="21" t="s">
        <v>434</v>
      </c>
      <c r="E14" s="21" t="s">
        <v>435</v>
      </c>
      <c r="F14" s="146"/>
      <c r="G14" s="3"/>
      <c r="H14" s="3"/>
      <c r="I14" s="3"/>
    </row>
    <row r="15" spans="1:9" ht="15" x14ac:dyDescent="0.25">
      <c r="A15" s="3"/>
      <c r="B15" s="3"/>
      <c r="C15" s="21" t="s">
        <v>436</v>
      </c>
      <c r="D15" s="21" t="s">
        <v>437</v>
      </c>
      <c r="E15" s="21" t="s">
        <v>438</v>
      </c>
      <c r="F15" s="146"/>
      <c r="G15" s="3"/>
      <c r="H15" s="3"/>
      <c r="I15" s="3"/>
    </row>
    <row r="16" spans="1:9" ht="15" x14ac:dyDescent="0.25">
      <c r="A16" s="3"/>
      <c r="B16" s="3"/>
      <c r="C16" s="3"/>
      <c r="D16" s="21"/>
      <c r="E16" s="21"/>
      <c r="F16" s="146"/>
      <c r="G16" s="3"/>
      <c r="H16" s="3"/>
      <c r="I16" s="3"/>
    </row>
    <row r="17" spans="1:12" ht="15.75" x14ac:dyDescent="0.25">
      <c r="A17" s="21">
        <v>1</v>
      </c>
      <c r="B17" s="265" t="s">
        <v>509</v>
      </c>
      <c r="C17" s="174">
        <f>+'1 ATRR'!E43</f>
        <v>23378583</v>
      </c>
      <c r="D17" s="200">
        <v>800614</v>
      </c>
      <c r="E17" s="162">
        <f t="shared" ref="E17:E28" si="0">ROUND(+C17/D17/12,2)</f>
        <v>2.4300000000000002</v>
      </c>
      <c r="F17" s="146" t="s">
        <v>441</v>
      </c>
      <c r="G17" s="139"/>
      <c r="H17" s="140"/>
      <c r="I17" s="160"/>
      <c r="J17" s="133"/>
      <c r="K17" s="134"/>
      <c r="L17" s="135"/>
    </row>
    <row r="18" spans="1:12" ht="15.75" x14ac:dyDescent="0.25">
      <c r="A18" s="21">
        <f>1+A17</f>
        <v>2</v>
      </c>
      <c r="B18" s="136" t="s">
        <v>439</v>
      </c>
      <c r="C18" s="161">
        <f>C$17</f>
        <v>23378583</v>
      </c>
      <c r="D18" s="200">
        <v>793492</v>
      </c>
      <c r="E18" s="163">
        <f t="shared" si="0"/>
        <v>2.46</v>
      </c>
      <c r="F18" s="146" t="s">
        <v>441</v>
      </c>
      <c r="G18" s="139"/>
      <c r="H18" s="140"/>
      <c r="I18" s="160"/>
      <c r="J18" s="133"/>
      <c r="K18" s="134"/>
      <c r="L18" s="135"/>
    </row>
    <row r="19" spans="1:12" ht="15.75" x14ac:dyDescent="0.25">
      <c r="A19" s="21">
        <f t="shared" ref="A19:A28" si="1">1+A18</f>
        <v>3</v>
      </c>
      <c r="B19" s="136" t="s">
        <v>367</v>
      </c>
      <c r="C19" s="161">
        <f t="shared" ref="C19:C28" si="2">C$17</f>
        <v>23378583</v>
      </c>
      <c r="D19" s="200">
        <v>750462</v>
      </c>
      <c r="E19" s="163">
        <f t="shared" si="0"/>
        <v>2.6</v>
      </c>
      <c r="F19" s="146" t="s">
        <v>441</v>
      </c>
      <c r="G19" s="139"/>
      <c r="H19" s="140"/>
      <c r="I19" s="160"/>
      <c r="J19" s="133"/>
      <c r="K19" s="134"/>
      <c r="L19" s="135"/>
    </row>
    <row r="20" spans="1:12" ht="15.75" x14ac:dyDescent="0.25">
      <c r="A20" s="21">
        <f t="shared" si="1"/>
        <v>4</v>
      </c>
      <c r="B20" s="136" t="s">
        <v>368</v>
      </c>
      <c r="C20" s="161">
        <f t="shared" si="2"/>
        <v>23378583</v>
      </c>
      <c r="D20" s="200">
        <v>656790</v>
      </c>
      <c r="E20" s="163">
        <f t="shared" si="0"/>
        <v>2.97</v>
      </c>
      <c r="F20" s="146" t="s">
        <v>441</v>
      </c>
      <c r="G20" s="139"/>
      <c r="H20" s="140"/>
      <c r="I20" s="160"/>
      <c r="J20" s="133"/>
      <c r="K20" s="134"/>
      <c r="L20" s="135"/>
    </row>
    <row r="21" spans="1:12" ht="15.75" x14ac:dyDescent="0.25">
      <c r="A21" s="21">
        <f t="shared" si="1"/>
        <v>5</v>
      </c>
      <c r="B21" s="136" t="s">
        <v>440</v>
      </c>
      <c r="C21" s="161">
        <f t="shared" si="2"/>
        <v>23378583</v>
      </c>
      <c r="D21" s="200">
        <v>689167</v>
      </c>
      <c r="E21" s="163">
        <f t="shared" si="0"/>
        <v>2.83</v>
      </c>
      <c r="F21" s="146" t="s">
        <v>441</v>
      </c>
      <c r="G21" s="139"/>
      <c r="H21" s="140"/>
      <c r="I21" s="160"/>
      <c r="J21" s="133"/>
      <c r="K21" s="134"/>
      <c r="L21" s="135"/>
    </row>
    <row r="22" spans="1:12" ht="15.75" x14ac:dyDescent="0.25">
      <c r="A22" s="21">
        <f t="shared" si="1"/>
        <v>6</v>
      </c>
      <c r="B22" s="136" t="s">
        <v>370</v>
      </c>
      <c r="C22" s="161">
        <f t="shared" si="2"/>
        <v>23378583</v>
      </c>
      <c r="D22" s="200">
        <v>668410</v>
      </c>
      <c r="E22" s="163">
        <f t="shared" si="0"/>
        <v>2.91</v>
      </c>
      <c r="F22" s="146" t="s">
        <v>441</v>
      </c>
      <c r="G22" s="139"/>
      <c r="H22" s="140"/>
      <c r="I22" s="160"/>
      <c r="J22" s="133"/>
      <c r="K22" s="134"/>
      <c r="L22" s="135"/>
    </row>
    <row r="23" spans="1:12" ht="15.75" x14ac:dyDescent="0.25">
      <c r="A23" s="21">
        <f t="shared" si="1"/>
        <v>7</v>
      </c>
      <c r="B23" s="136" t="s">
        <v>371</v>
      </c>
      <c r="C23" s="161">
        <f t="shared" si="2"/>
        <v>23378583</v>
      </c>
      <c r="D23" s="200">
        <v>764574</v>
      </c>
      <c r="E23" s="163">
        <f t="shared" si="0"/>
        <v>2.5499999999999998</v>
      </c>
      <c r="F23" s="146" t="s">
        <v>441</v>
      </c>
      <c r="G23" s="139"/>
      <c r="H23" s="140"/>
      <c r="I23" s="160"/>
      <c r="J23" s="133"/>
      <c r="K23" s="134"/>
      <c r="L23" s="135"/>
    </row>
    <row r="24" spans="1:12" ht="15.75" x14ac:dyDescent="0.25">
      <c r="A24" s="21">
        <f t="shared" si="1"/>
        <v>8</v>
      </c>
      <c r="B24" s="136" t="s">
        <v>372</v>
      </c>
      <c r="C24" s="161">
        <f t="shared" si="2"/>
        <v>23378583</v>
      </c>
      <c r="D24" s="200">
        <v>764198</v>
      </c>
      <c r="E24" s="163">
        <f t="shared" si="0"/>
        <v>2.5499999999999998</v>
      </c>
      <c r="F24" s="146" t="s">
        <v>441</v>
      </c>
      <c r="G24" s="139"/>
      <c r="H24" s="140"/>
      <c r="I24" s="160"/>
      <c r="J24" s="133"/>
      <c r="K24" s="134"/>
      <c r="L24" s="135"/>
    </row>
    <row r="25" spans="1:12" ht="15.75" x14ac:dyDescent="0.25">
      <c r="A25" s="21">
        <f t="shared" si="1"/>
        <v>9</v>
      </c>
      <c r="B25" s="136" t="s">
        <v>373</v>
      </c>
      <c r="C25" s="161">
        <f t="shared" si="2"/>
        <v>23378583</v>
      </c>
      <c r="D25" s="200">
        <v>778489</v>
      </c>
      <c r="E25" s="163">
        <f t="shared" si="0"/>
        <v>2.5</v>
      </c>
      <c r="F25" s="146" t="s">
        <v>441</v>
      </c>
      <c r="G25" s="139"/>
      <c r="H25" s="141"/>
      <c r="I25" s="160"/>
      <c r="J25" s="133"/>
      <c r="K25" s="134"/>
      <c r="L25" s="135"/>
    </row>
    <row r="26" spans="1:12" ht="15.75" x14ac:dyDescent="0.25">
      <c r="A26" s="21">
        <f t="shared" si="1"/>
        <v>10</v>
      </c>
      <c r="B26" s="136" t="s">
        <v>374</v>
      </c>
      <c r="C26" s="161">
        <f t="shared" si="2"/>
        <v>23378583</v>
      </c>
      <c r="D26" s="200">
        <v>647220</v>
      </c>
      <c r="E26" s="163">
        <f t="shared" si="0"/>
        <v>3.01</v>
      </c>
      <c r="F26" s="146" t="s">
        <v>441</v>
      </c>
      <c r="G26" s="139"/>
      <c r="H26" s="140"/>
      <c r="I26" s="160"/>
      <c r="J26" s="133"/>
      <c r="K26" s="134"/>
      <c r="L26" s="135"/>
    </row>
    <row r="27" spans="1:12" ht="15.75" x14ac:dyDescent="0.25">
      <c r="A27" s="21">
        <f t="shared" si="1"/>
        <v>11</v>
      </c>
      <c r="B27" s="136" t="s">
        <v>375</v>
      </c>
      <c r="C27" s="161">
        <f t="shared" si="2"/>
        <v>23378583</v>
      </c>
      <c r="D27" s="200">
        <v>724668</v>
      </c>
      <c r="E27" s="163">
        <f t="shared" si="0"/>
        <v>2.69</v>
      </c>
      <c r="F27" s="146" t="s">
        <v>441</v>
      </c>
      <c r="G27" s="139"/>
      <c r="H27" s="140"/>
      <c r="I27" s="160"/>
      <c r="J27" s="133"/>
      <c r="K27" s="134"/>
      <c r="L27" s="135"/>
    </row>
    <row r="28" spans="1:12" ht="15.75" x14ac:dyDescent="0.25">
      <c r="A28" s="21">
        <f t="shared" si="1"/>
        <v>12</v>
      </c>
      <c r="B28" s="136" t="s">
        <v>377</v>
      </c>
      <c r="C28" s="161">
        <f t="shared" si="2"/>
        <v>23378583</v>
      </c>
      <c r="D28" s="200">
        <v>794694</v>
      </c>
      <c r="E28" s="163">
        <f t="shared" si="0"/>
        <v>2.4500000000000002</v>
      </c>
      <c r="F28" s="146" t="s">
        <v>441</v>
      </c>
      <c r="G28" s="139"/>
      <c r="H28" s="140"/>
      <c r="I28" s="160"/>
      <c r="J28" s="133"/>
      <c r="K28" s="134"/>
      <c r="L28" s="135"/>
    </row>
    <row r="29" spans="1:12" ht="15.75" x14ac:dyDescent="0.25">
      <c r="A29" s="21"/>
      <c r="B29" s="3"/>
      <c r="C29" s="3"/>
      <c r="D29" s="3"/>
      <c r="E29" s="3"/>
      <c r="F29" s="146"/>
      <c r="G29" s="139"/>
      <c r="H29" s="140"/>
      <c r="I29" s="160"/>
      <c r="J29" s="133"/>
      <c r="K29" s="134"/>
      <c r="L29" s="135"/>
    </row>
    <row r="30" spans="1:12" ht="15.75" x14ac:dyDescent="0.25">
      <c r="A30" s="21">
        <f>1+A28</f>
        <v>13</v>
      </c>
      <c r="B30" s="3" t="s">
        <v>515</v>
      </c>
      <c r="C30" s="3"/>
      <c r="D30" s="3"/>
      <c r="E30" s="3"/>
      <c r="F30" s="146"/>
      <c r="G30" s="139"/>
      <c r="H30" s="140"/>
      <c r="I30" s="160"/>
      <c r="J30" s="133"/>
      <c r="K30" s="134"/>
      <c r="L30" s="134"/>
    </row>
    <row r="31" spans="1:12" ht="15.75" x14ac:dyDescent="0.25">
      <c r="A31" s="21">
        <f>1+A30</f>
        <v>14</v>
      </c>
      <c r="B31" s="3" t="s">
        <v>520</v>
      </c>
      <c r="C31" s="3"/>
      <c r="D31" s="25"/>
      <c r="E31" s="3"/>
      <c r="F31" s="146"/>
      <c r="G31" s="139"/>
      <c r="H31" s="140"/>
      <c r="I31" s="160"/>
      <c r="J31" s="133"/>
      <c r="K31" s="134"/>
      <c r="L31" s="134"/>
    </row>
    <row r="32" spans="1:12" ht="15.75" x14ac:dyDescent="0.25">
      <c r="A32" s="3"/>
      <c r="B32" s="3"/>
      <c r="C32" s="3"/>
      <c r="D32" s="3"/>
      <c r="E32" s="3"/>
      <c r="F32" s="146"/>
      <c r="G32" s="139"/>
      <c r="H32" s="140"/>
      <c r="I32" s="160"/>
      <c r="J32" s="133"/>
      <c r="K32" s="134"/>
      <c r="L32" s="134"/>
    </row>
    <row r="33" spans="1:12" ht="15.75" x14ac:dyDescent="0.25">
      <c r="A33" s="3"/>
      <c r="B33" s="3"/>
      <c r="C33" s="3"/>
      <c r="D33" s="3"/>
      <c r="E33" s="3"/>
      <c r="F33" s="146"/>
      <c r="G33" s="139"/>
      <c r="H33" s="140"/>
      <c r="I33" s="160"/>
      <c r="J33" s="133"/>
      <c r="K33" s="134"/>
      <c r="L33" s="134"/>
    </row>
    <row r="34" spans="1:12" ht="15.75" x14ac:dyDescent="0.25">
      <c r="A34" s="3">
        <v>15</v>
      </c>
      <c r="B34" s="12" t="s">
        <v>449</v>
      </c>
      <c r="C34" s="3"/>
      <c r="D34" s="3"/>
      <c r="E34" s="3"/>
      <c r="F34" s="146"/>
      <c r="G34" s="139"/>
      <c r="H34" s="140"/>
      <c r="I34" s="160"/>
      <c r="J34" s="133"/>
      <c r="K34" s="134"/>
      <c r="L34" s="134"/>
    </row>
    <row r="35" spans="1:12" ht="15.75" x14ac:dyDescent="0.25">
      <c r="A35" s="3"/>
      <c r="B35" s="3"/>
      <c r="C35" s="3"/>
      <c r="D35" s="3"/>
      <c r="E35" s="3"/>
      <c r="F35" s="146"/>
      <c r="G35" s="139"/>
      <c r="H35" s="140"/>
      <c r="I35" s="160"/>
      <c r="J35" s="133"/>
      <c r="K35" s="134"/>
      <c r="L35" s="134"/>
    </row>
    <row r="36" spans="1:12" ht="15.75" x14ac:dyDescent="0.25">
      <c r="A36" s="3">
        <f>1+A34</f>
        <v>16</v>
      </c>
      <c r="B36" s="3" t="s">
        <v>446</v>
      </c>
      <c r="C36" s="3"/>
      <c r="D36" s="3"/>
      <c r="E36" s="201">
        <v>144459</v>
      </c>
      <c r="F36" s="3" t="s">
        <v>516</v>
      </c>
      <c r="G36" s="139"/>
      <c r="H36" s="140"/>
      <c r="I36" s="160"/>
      <c r="J36" s="133"/>
      <c r="K36" s="134"/>
      <c r="L36" s="134"/>
    </row>
    <row r="37" spans="1:12" ht="15.75" x14ac:dyDescent="0.25">
      <c r="A37" s="3">
        <f>1+A36</f>
        <v>17</v>
      </c>
      <c r="B37" s="3" t="s">
        <v>447</v>
      </c>
      <c r="C37" s="3"/>
      <c r="D37" s="3"/>
      <c r="E37" s="202">
        <v>0</v>
      </c>
      <c r="F37" s="3" t="s">
        <v>517</v>
      </c>
      <c r="G37" s="139"/>
      <c r="H37" s="140"/>
      <c r="I37" s="160"/>
      <c r="J37" s="133"/>
      <c r="K37" s="134"/>
      <c r="L37" s="134"/>
    </row>
    <row r="38" spans="1:12" ht="15.75" x14ac:dyDescent="0.25">
      <c r="A38" s="3">
        <f>1+A37</f>
        <v>18</v>
      </c>
      <c r="B38" s="3" t="s">
        <v>448</v>
      </c>
      <c r="C38" s="3"/>
      <c r="D38" s="3"/>
      <c r="E38" s="202">
        <v>0</v>
      </c>
      <c r="F38" s="3" t="s">
        <v>518</v>
      </c>
      <c r="G38" s="139"/>
      <c r="H38" s="140"/>
      <c r="I38" s="160"/>
      <c r="J38" s="133"/>
      <c r="K38" s="134"/>
      <c r="L38" s="134"/>
    </row>
    <row r="39" spans="1:12" ht="15.75" x14ac:dyDescent="0.25">
      <c r="A39" s="3">
        <f>1+A38</f>
        <v>19</v>
      </c>
      <c r="B39" s="3" t="s">
        <v>476</v>
      </c>
      <c r="C39" s="3"/>
      <c r="D39" s="3"/>
      <c r="E39" s="203">
        <v>2220328</v>
      </c>
      <c r="F39" s="3" t="s">
        <v>519</v>
      </c>
      <c r="G39" s="139"/>
      <c r="H39" s="140"/>
      <c r="I39" s="160"/>
      <c r="J39" s="133"/>
      <c r="K39" s="134"/>
      <c r="L39" s="134"/>
    </row>
    <row r="40" spans="1:12" ht="15.75" x14ac:dyDescent="0.25">
      <c r="A40" s="3"/>
      <c r="B40" s="3"/>
      <c r="C40" s="3"/>
      <c r="D40" s="3"/>
      <c r="E40" s="147"/>
      <c r="F40" s="146"/>
      <c r="G40" s="139"/>
      <c r="H40" s="140"/>
      <c r="I40" s="160"/>
      <c r="J40" s="133"/>
      <c r="K40" s="134"/>
      <c r="L40" s="134"/>
    </row>
    <row r="41" spans="1:12" ht="15.75" x14ac:dyDescent="0.25">
      <c r="A41" s="3">
        <f>1+A39</f>
        <v>20</v>
      </c>
      <c r="B41" s="3" t="s">
        <v>451</v>
      </c>
      <c r="C41" s="3"/>
      <c r="D41" s="3"/>
      <c r="E41" s="148">
        <f>SUM(E36:E39)</f>
        <v>2364787</v>
      </c>
      <c r="F41" s="146"/>
      <c r="G41" s="139"/>
      <c r="H41" s="140"/>
      <c r="I41" s="160"/>
      <c r="J41" s="133"/>
      <c r="K41" s="134"/>
      <c r="L41" s="134"/>
    </row>
    <row r="42" spans="1:12" ht="15.75" x14ac:dyDescent="0.25">
      <c r="A42" s="3"/>
      <c r="B42" s="3"/>
      <c r="C42" s="3"/>
      <c r="D42" s="3"/>
      <c r="E42" s="147"/>
      <c r="F42" s="276"/>
      <c r="G42" s="139"/>
      <c r="H42" s="140"/>
      <c r="I42" s="160"/>
      <c r="J42" s="133"/>
      <c r="K42" s="134"/>
      <c r="L42" s="134"/>
    </row>
    <row r="43" spans="1:12" ht="15.75" x14ac:dyDescent="0.25">
      <c r="A43" s="3">
        <f>1+A41</f>
        <v>21</v>
      </c>
      <c r="B43" s="3" t="s">
        <v>444</v>
      </c>
      <c r="C43" s="3"/>
      <c r="D43" s="3"/>
      <c r="E43" s="242">
        <v>4887969945</v>
      </c>
      <c r="F43" s="146" t="s">
        <v>535</v>
      </c>
      <c r="G43" s="139"/>
      <c r="H43" s="140"/>
      <c r="I43" s="160"/>
      <c r="J43" s="133"/>
      <c r="K43" s="134"/>
      <c r="L43" s="134"/>
    </row>
    <row r="44" spans="1:12" ht="15.75" x14ac:dyDescent="0.25">
      <c r="A44" s="3">
        <f>1+A43</f>
        <v>22</v>
      </c>
      <c r="B44" s="3" t="s">
        <v>445</v>
      </c>
      <c r="C44" s="3"/>
      <c r="D44" s="3"/>
      <c r="E44" s="243">
        <f>10000*8760</f>
        <v>87600000</v>
      </c>
      <c r="F44" s="146" t="s">
        <v>536</v>
      </c>
      <c r="G44" s="139"/>
      <c r="H44" s="140"/>
      <c r="I44" s="160"/>
      <c r="J44" s="133"/>
      <c r="K44" s="134"/>
      <c r="L44" s="134"/>
    </row>
    <row r="45" spans="1:12" ht="15.75" x14ac:dyDescent="0.25">
      <c r="A45" s="3"/>
      <c r="B45" s="3"/>
      <c r="C45" s="3"/>
      <c r="D45" s="3"/>
      <c r="E45" s="21"/>
      <c r="F45" s="146"/>
      <c r="G45" s="139"/>
      <c r="H45" s="140"/>
      <c r="I45" s="160"/>
      <c r="J45" s="133"/>
      <c r="K45" s="134"/>
      <c r="L45" s="134"/>
    </row>
    <row r="46" spans="1:12" ht="15.75" x14ac:dyDescent="0.25">
      <c r="A46" s="3">
        <f>1+A44</f>
        <v>23</v>
      </c>
      <c r="B46" s="3" t="s">
        <v>452</v>
      </c>
      <c r="C46" s="3"/>
      <c r="D46" s="3"/>
      <c r="E46" s="147">
        <f>+E43+E44</f>
        <v>4975569945</v>
      </c>
      <c r="F46" s="146"/>
      <c r="G46" s="139"/>
      <c r="H46" s="140"/>
      <c r="I46" s="160"/>
      <c r="J46" s="133"/>
      <c r="K46" s="134"/>
      <c r="L46" s="134"/>
    </row>
    <row r="47" spans="1:12" ht="15.75" x14ac:dyDescent="0.25">
      <c r="A47" s="3"/>
      <c r="B47" s="3"/>
      <c r="C47" s="3"/>
      <c r="D47" s="3"/>
      <c r="E47" s="21"/>
      <c r="F47" s="146"/>
      <c r="G47" s="139"/>
      <c r="H47" s="140"/>
      <c r="I47" s="160"/>
      <c r="J47" s="133"/>
      <c r="K47" s="134"/>
      <c r="L47" s="134"/>
    </row>
    <row r="48" spans="1:12" ht="15.75" x14ac:dyDescent="0.25">
      <c r="A48" s="3">
        <f>1+A46</f>
        <v>24</v>
      </c>
      <c r="B48" s="3" t="s">
        <v>450</v>
      </c>
      <c r="C48" s="3"/>
      <c r="D48" s="3"/>
      <c r="E48" s="175">
        <f>ROUND(+E41/E46,7)</f>
        <v>4.7530000000000001E-4</v>
      </c>
      <c r="F48" s="146" t="s">
        <v>537</v>
      </c>
      <c r="G48" s="139"/>
      <c r="H48" s="140"/>
      <c r="I48" s="160"/>
      <c r="J48" s="133"/>
      <c r="K48" s="134"/>
      <c r="L48" s="134"/>
    </row>
    <row r="49" spans="1:12" ht="15.75" x14ac:dyDescent="0.25">
      <c r="A49" s="3"/>
      <c r="B49" s="3"/>
      <c r="C49" s="3"/>
      <c r="D49" s="3"/>
      <c r="E49" s="3"/>
      <c r="F49" s="146"/>
      <c r="G49" s="139"/>
      <c r="H49" s="140"/>
      <c r="I49" s="160"/>
      <c r="J49" s="133"/>
      <c r="K49" s="134"/>
      <c r="L49" s="134"/>
    </row>
    <row r="50" spans="1:12" ht="15" x14ac:dyDescent="0.25">
      <c r="A50" s="3"/>
      <c r="B50" s="3"/>
      <c r="C50" s="60"/>
      <c r="D50" s="3"/>
      <c r="E50" s="260"/>
      <c r="F50" s="142"/>
      <c r="G50" s="3"/>
      <c r="H50" s="3"/>
      <c r="I50" s="3"/>
    </row>
    <row r="51" spans="1:12" ht="15" x14ac:dyDescent="0.25">
      <c r="A51" s="21">
        <v>25</v>
      </c>
      <c r="B51" s="12" t="s">
        <v>442</v>
      </c>
      <c r="C51" s="60"/>
      <c r="D51" s="3"/>
      <c r="E51" s="260"/>
      <c r="F51" s="142"/>
      <c r="G51" s="3"/>
      <c r="H51" s="3"/>
      <c r="I51" s="3"/>
    </row>
    <row r="52" spans="1:12" ht="15" x14ac:dyDescent="0.25">
      <c r="A52" s="21">
        <v>26</v>
      </c>
      <c r="B52" s="143" t="s">
        <v>523</v>
      </c>
      <c r="C52" s="143"/>
      <c r="D52" s="143"/>
      <c r="E52" s="60"/>
      <c r="F52" s="142"/>
      <c r="G52" s="60"/>
      <c r="H52" s="137"/>
      <c r="I52" s="3"/>
    </row>
    <row r="53" spans="1:12" ht="15" x14ac:dyDescent="0.25">
      <c r="A53" s="21"/>
      <c r="B53" s="3"/>
      <c r="C53" s="3"/>
      <c r="D53" s="3"/>
      <c r="E53" s="60"/>
      <c r="F53" s="142"/>
      <c r="G53" s="60"/>
      <c r="H53" s="137"/>
      <c r="I53" s="3"/>
    </row>
    <row r="54" spans="1:12" ht="15" x14ac:dyDescent="0.25">
      <c r="A54" s="21">
        <v>27</v>
      </c>
      <c r="B54" s="3" t="s">
        <v>521</v>
      </c>
      <c r="C54" s="60"/>
      <c r="D54" s="3"/>
      <c r="E54" s="3"/>
      <c r="F54" s="144">
        <f>+'1 ATRR'!E43</f>
        <v>23378583</v>
      </c>
      <c r="G54" s="142" t="s">
        <v>170</v>
      </c>
      <c r="H54" s="138"/>
      <c r="I54" s="3"/>
    </row>
    <row r="55" spans="1:12" ht="15" x14ac:dyDescent="0.25">
      <c r="A55" s="21"/>
      <c r="B55" s="3"/>
      <c r="C55" s="60"/>
      <c r="D55" s="3"/>
      <c r="E55" s="3"/>
      <c r="F55" s="60"/>
      <c r="G55" s="142"/>
      <c r="H55" s="138"/>
      <c r="I55" s="3"/>
    </row>
    <row r="56" spans="1:12" ht="15" x14ac:dyDescent="0.25">
      <c r="A56" s="21">
        <f>1+A54</f>
        <v>28</v>
      </c>
      <c r="B56" s="3" t="s">
        <v>522</v>
      </c>
      <c r="C56" s="60"/>
      <c r="D56" s="3"/>
      <c r="E56" s="3"/>
      <c r="F56" s="252">
        <f>MAX(D17:D28)</f>
        <v>800614</v>
      </c>
      <c r="G56" s="142" t="s">
        <v>483</v>
      </c>
      <c r="H56" s="138"/>
      <c r="I56" s="3"/>
    </row>
    <row r="57" spans="1:12" ht="15" x14ac:dyDescent="0.25">
      <c r="A57" s="21"/>
      <c r="B57" s="3"/>
      <c r="C57" s="3"/>
      <c r="D57" s="3"/>
      <c r="E57" s="3"/>
      <c r="F57" s="60"/>
      <c r="G57" s="142"/>
      <c r="H57" s="138"/>
      <c r="I57" s="3"/>
    </row>
    <row r="58" spans="1:12" ht="15" x14ac:dyDescent="0.25">
      <c r="A58" s="21">
        <f>1+A56</f>
        <v>29</v>
      </c>
      <c r="B58" s="3" t="s">
        <v>415</v>
      </c>
      <c r="C58" s="3"/>
      <c r="D58" s="137"/>
      <c r="E58" s="3"/>
      <c r="F58" s="3"/>
      <c r="G58" s="3"/>
      <c r="H58" s="3"/>
      <c r="I58" s="3"/>
    </row>
    <row r="59" spans="1:12" ht="15" x14ac:dyDescent="0.25">
      <c r="A59" s="21"/>
      <c r="B59" s="3"/>
      <c r="C59" s="3"/>
      <c r="D59" s="137"/>
      <c r="E59" s="3"/>
      <c r="F59" s="137"/>
      <c r="G59" s="60"/>
      <c r="H59" s="3"/>
      <c r="I59" s="3"/>
    </row>
    <row r="60" spans="1:12" ht="15" x14ac:dyDescent="0.25">
      <c r="A60" s="21">
        <f>1+A58</f>
        <v>30</v>
      </c>
      <c r="B60" s="3"/>
      <c r="C60" s="3" t="s">
        <v>416</v>
      </c>
      <c r="D60" s="137"/>
      <c r="E60" s="3"/>
      <c r="F60" s="137">
        <f>F54/F56/12</f>
        <v>2.4334014269048505</v>
      </c>
      <c r="G60" s="60" t="s">
        <v>417</v>
      </c>
      <c r="H60" s="3" t="s">
        <v>453</v>
      </c>
      <c r="I60" s="3"/>
    </row>
    <row r="61" spans="1:12" ht="15" x14ac:dyDescent="0.25">
      <c r="A61" s="21"/>
      <c r="B61" s="3"/>
      <c r="C61" s="3"/>
      <c r="D61" s="137"/>
      <c r="E61" s="3"/>
      <c r="F61" s="137"/>
      <c r="G61" s="60"/>
      <c r="H61" s="3"/>
      <c r="I61" s="3"/>
    </row>
    <row r="62" spans="1:12" ht="15" x14ac:dyDescent="0.25">
      <c r="A62" s="21">
        <f>1+A60</f>
        <v>31</v>
      </c>
      <c r="B62" s="3"/>
      <c r="C62" s="3" t="s">
        <v>418</v>
      </c>
      <c r="D62" s="137"/>
      <c r="E62" s="3"/>
      <c r="F62" s="138">
        <f>F60</f>
        <v>2.4334014269048505</v>
      </c>
      <c r="G62" s="60" t="s">
        <v>417</v>
      </c>
      <c r="H62" s="3" t="s">
        <v>453</v>
      </c>
      <c r="I62" s="3"/>
    </row>
    <row r="63" spans="1:12" ht="15" x14ac:dyDescent="0.25">
      <c r="A63" s="21"/>
      <c r="B63" s="3"/>
      <c r="C63" s="3"/>
      <c r="D63" s="137"/>
      <c r="E63" s="3"/>
      <c r="F63" s="137"/>
      <c r="G63" s="60"/>
      <c r="H63" s="3"/>
      <c r="I63" s="3"/>
    </row>
    <row r="64" spans="1:12" ht="15" x14ac:dyDescent="0.25">
      <c r="A64" s="21">
        <f>1+A62</f>
        <v>32</v>
      </c>
      <c r="B64" s="3"/>
      <c r="C64" s="3" t="s">
        <v>419</v>
      </c>
      <c r="D64" s="137"/>
      <c r="E64" s="3"/>
      <c r="F64" s="145">
        <f>F54/F56/52</f>
        <v>0.56155417543958097</v>
      </c>
      <c r="G64" s="60" t="s">
        <v>420</v>
      </c>
      <c r="H64" s="3" t="s">
        <v>454</v>
      </c>
      <c r="I64" s="3"/>
    </row>
    <row r="65" spans="1:9" ht="15" x14ac:dyDescent="0.25">
      <c r="A65" s="21"/>
      <c r="B65" s="3"/>
      <c r="C65" s="3"/>
      <c r="D65" s="137"/>
      <c r="E65" s="3"/>
      <c r="F65" s="145"/>
      <c r="G65" s="60"/>
      <c r="H65" s="3"/>
      <c r="I65" s="3"/>
    </row>
    <row r="66" spans="1:9" ht="15" x14ac:dyDescent="0.25">
      <c r="A66" s="21">
        <f>1+A64</f>
        <v>33</v>
      </c>
      <c r="B66" s="3"/>
      <c r="C66" s="3" t="s">
        <v>421</v>
      </c>
      <c r="D66" s="137"/>
      <c r="E66" s="3"/>
      <c r="F66" s="145">
        <f>F54/F56/260</f>
        <v>0.11231083508791619</v>
      </c>
      <c r="G66" s="60" t="s">
        <v>422</v>
      </c>
      <c r="H66" s="3" t="s">
        <v>455</v>
      </c>
      <c r="I66" s="3"/>
    </row>
    <row r="67" spans="1:9" ht="15" x14ac:dyDescent="0.25">
      <c r="A67" s="21">
        <f>1+A66</f>
        <v>34</v>
      </c>
      <c r="B67" s="3"/>
      <c r="C67" s="3" t="s">
        <v>423</v>
      </c>
      <c r="D67" s="137"/>
      <c r="E67" s="3"/>
      <c r="F67" s="145">
        <f>F54/F56/365</f>
        <v>8.0002238692762212E-2</v>
      </c>
      <c r="G67" s="60" t="s">
        <v>422</v>
      </c>
      <c r="H67" s="3" t="s">
        <v>456</v>
      </c>
      <c r="I67" s="3"/>
    </row>
    <row r="68" spans="1:9" ht="15" x14ac:dyDescent="0.25">
      <c r="A68" s="3"/>
      <c r="B68" s="3"/>
      <c r="C68" s="3"/>
      <c r="D68" s="137"/>
      <c r="E68" s="3"/>
      <c r="F68" s="137"/>
      <c r="G68" s="60"/>
      <c r="H68" s="3"/>
      <c r="I68" s="3"/>
    </row>
    <row r="69" spans="1:9" ht="15" x14ac:dyDescent="0.25">
      <c r="A69" s="21"/>
      <c r="B69" s="3"/>
      <c r="C69" s="3"/>
      <c r="D69" s="137"/>
      <c r="E69" s="3"/>
      <c r="F69" s="137"/>
      <c r="G69" s="60"/>
      <c r="H69" s="3"/>
      <c r="I69" s="3"/>
    </row>
    <row r="70" spans="1:9" ht="15" x14ac:dyDescent="0.25">
      <c r="A70" s="21">
        <f>1+A67</f>
        <v>35</v>
      </c>
      <c r="B70" s="12" t="s">
        <v>443</v>
      </c>
      <c r="C70" s="3"/>
      <c r="D70" s="3"/>
      <c r="E70" s="3"/>
      <c r="F70" s="142"/>
      <c r="G70" s="3"/>
      <c r="H70" s="3"/>
      <c r="I70" s="3"/>
    </row>
    <row r="71" spans="1:9" ht="15" x14ac:dyDescent="0.25">
      <c r="A71" s="21">
        <f>1+A70</f>
        <v>36</v>
      </c>
      <c r="B71" s="143" t="str">
        <f>+B52</f>
        <v>Rates effective June 1, 2016</v>
      </c>
      <c r="C71" s="143"/>
      <c r="D71" s="143"/>
      <c r="E71" s="3"/>
      <c r="F71" s="3"/>
      <c r="G71" s="3"/>
      <c r="H71" s="3"/>
      <c r="I71" s="3"/>
    </row>
    <row r="72" spans="1:9" ht="15" x14ac:dyDescent="0.25">
      <c r="A72" s="3"/>
      <c r="B72" s="3"/>
      <c r="C72" s="3"/>
      <c r="D72" s="137"/>
      <c r="E72" s="3"/>
      <c r="F72" s="137"/>
      <c r="G72" s="60"/>
      <c r="H72" s="3"/>
      <c r="I72" s="3"/>
    </row>
    <row r="73" spans="1:9" ht="15" x14ac:dyDescent="0.25">
      <c r="A73" s="21">
        <f>1+A71</f>
        <v>37</v>
      </c>
      <c r="B73" s="3"/>
      <c r="C73" s="3" t="s">
        <v>424</v>
      </c>
      <c r="D73" s="137"/>
      <c r="E73" s="3"/>
      <c r="F73" s="137">
        <f>F54/F56/12</f>
        <v>2.4334014269048505</v>
      </c>
      <c r="G73" s="60" t="s">
        <v>417</v>
      </c>
      <c r="H73" s="3" t="s">
        <v>453</v>
      </c>
      <c r="I73" s="3"/>
    </row>
    <row r="74" spans="1:9" ht="15" x14ac:dyDescent="0.25">
      <c r="A74" s="21"/>
      <c r="B74" s="3"/>
      <c r="C74" s="3"/>
      <c r="D74" s="137"/>
      <c r="E74" s="3"/>
      <c r="F74" s="137"/>
      <c r="G74" s="60"/>
      <c r="H74" s="3"/>
      <c r="I74" s="3"/>
    </row>
    <row r="75" spans="1:9" ht="15" x14ac:dyDescent="0.25">
      <c r="A75" s="21">
        <f>1+A73</f>
        <v>38</v>
      </c>
      <c r="B75" s="3"/>
      <c r="C75" s="3" t="s">
        <v>425</v>
      </c>
      <c r="D75" s="137"/>
      <c r="E75" s="3"/>
      <c r="F75" s="145">
        <f>F54/F56/52</f>
        <v>0.56155417543958097</v>
      </c>
      <c r="G75" s="60" t="s">
        <v>420</v>
      </c>
      <c r="H75" s="3" t="s">
        <v>454</v>
      </c>
      <c r="I75" s="3"/>
    </row>
    <row r="76" spans="1:9" ht="15" x14ac:dyDescent="0.25">
      <c r="A76" s="21"/>
      <c r="B76" s="3"/>
      <c r="C76" s="3"/>
      <c r="D76" s="137"/>
      <c r="E76" s="3"/>
      <c r="F76" s="145"/>
      <c r="G76" s="60"/>
      <c r="H76" s="3"/>
      <c r="I76" s="3"/>
    </row>
    <row r="77" spans="1:9" ht="15" x14ac:dyDescent="0.25">
      <c r="A77" s="21">
        <f>1+A75</f>
        <v>39</v>
      </c>
      <c r="B77" s="3"/>
      <c r="C77" s="3" t="s">
        <v>426</v>
      </c>
      <c r="D77" s="137"/>
      <c r="E77" s="3"/>
      <c r="F77" s="145">
        <f>F54/F56/260</f>
        <v>0.11231083508791619</v>
      </c>
      <c r="G77" s="60" t="s">
        <v>422</v>
      </c>
      <c r="H77" s="3" t="s">
        <v>455</v>
      </c>
      <c r="I77" s="3"/>
    </row>
    <row r="78" spans="1:9" ht="15" x14ac:dyDescent="0.25">
      <c r="A78" s="21">
        <f>1+A77</f>
        <v>40</v>
      </c>
      <c r="B78" s="3"/>
      <c r="C78" s="3" t="s">
        <v>423</v>
      </c>
      <c r="D78" s="137"/>
      <c r="E78" s="3"/>
      <c r="F78" s="145">
        <f>F54/F56/365</f>
        <v>8.0002238692762212E-2</v>
      </c>
      <c r="G78" s="60" t="s">
        <v>422</v>
      </c>
      <c r="H78" s="3" t="s">
        <v>456</v>
      </c>
      <c r="I78" s="3"/>
    </row>
    <row r="79" spans="1:9" ht="15" x14ac:dyDescent="0.25">
      <c r="A79" s="3"/>
      <c r="B79" s="3"/>
      <c r="C79" s="3"/>
      <c r="D79" s="3"/>
      <c r="E79" s="3"/>
      <c r="F79" s="3"/>
      <c r="G79" s="3"/>
      <c r="H79" s="3"/>
      <c r="I79" s="3"/>
    </row>
    <row r="80" spans="1:9" ht="15" x14ac:dyDescent="0.25">
      <c r="A80" s="21">
        <f>1+A78</f>
        <v>41</v>
      </c>
      <c r="B80" s="3"/>
      <c r="C80" s="3" t="s">
        <v>427</v>
      </c>
      <c r="D80" s="137"/>
      <c r="E80" s="3"/>
      <c r="F80" s="145">
        <f>F54/F56/4160</f>
        <v>7.0194271929947616E-3</v>
      </c>
      <c r="G80" s="60" t="s">
        <v>428</v>
      </c>
      <c r="H80" s="3" t="s">
        <v>457</v>
      </c>
      <c r="I80" s="3"/>
    </row>
    <row r="81" spans="1:9" ht="15" x14ac:dyDescent="0.25">
      <c r="A81" s="21">
        <f>1+A80</f>
        <v>42</v>
      </c>
      <c r="B81" s="3"/>
      <c r="C81" s="3" t="s">
        <v>429</v>
      </c>
      <c r="D81" s="137"/>
      <c r="E81" s="3"/>
      <c r="F81" s="145">
        <f>F54/F56/8760</f>
        <v>3.3334266121984256E-3</v>
      </c>
      <c r="G81" s="60" t="s">
        <v>428</v>
      </c>
      <c r="H81" s="3" t="s">
        <v>458</v>
      </c>
      <c r="I81" s="3"/>
    </row>
    <row r="82" spans="1:9" ht="15" x14ac:dyDescent="0.25">
      <c r="A82" s="21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159"/>
    </row>
    <row r="84" spans="1:9" x14ac:dyDescent="0.2">
      <c r="A84" s="159"/>
    </row>
    <row r="85" spans="1:9" x14ac:dyDescent="0.2">
      <c r="A85" s="159"/>
    </row>
  </sheetData>
  <pageMargins left="0.7" right="0.7" top="0.75" bottom="0.75" header="0.3" footer="0.3"/>
  <pageSetup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3"/>
  <sheetViews>
    <sheetView showGridLines="0" zoomScaleNormal="100" workbookViewId="0">
      <selection activeCell="E7" sqref="E7"/>
    </sheetView>
  </sheetViews>
  <sheetFormatPr defaultColWidth="7.85546875" defaultRowHeight="15" x14ac:dyDescent="0.25"/>
  <cols>
    <col min="1" max="1" width="4" style="3" bestFit="1" customWidth="1"/>
    <col min="2" max="2" width="7.140625" style="3" customWidth="1"/>
    <col min="3" max="3" width="25" style="3" customWidth="1"/>
    <col min="4" max="4" width="4.7109375" style="3" customWidth="1"/>
    <col min="5" max="5" width="19.7109375" style="3" bestFit="1" customWidth="1"/>
    <col min="6" max="6" width="1.7109375" style="3" customWidth="1"/>
    <col min="7" max="7" width="17.5703125" style="3" bestFit="1" customWidth="1"/>
    <col min="8" max="8" width="3" style="3" customWidth="1"/>
    <col min="9" max="9" width="8" style="3" customWidth="1"/>
    <col min="10" max="10" width="5.7109375" style="3" customWidth="1"/>
    <col min="11" max="11" width="23.5703125" style="3" bestFit="1" customWidth="1"/>
    <col min="12" max="12" width="2.7109375" style="3" customWidth="1"/>
    <col min="13" max="13" width="4.140625" style="3" customWidth="1"/>
    <col min="14" max="14" width="17" style="3" customWidth="1"/>
    <col min="15" max="15" width="4.140625" style="3" customWidth="1"/>
    <col min="16" max="16" width="11" style="3" customWidth="1"/>
    <col min="17" max="17" width="1.85546875" style="3" customWidth="1"/>
    <col min="18" max="18" width="14.28515625" style="3" customWidth="1"/>
    <col min="19" max="19" width="1.85546875" style="3" customWidth="1"/>
    <col min="20" max="20" width="10.28515625" style="3" customWidth="1"/>
    <col min="21" max="16384" width="7.85546875" style="3"/>
  </cols>
  <sheetData>
    <row r="1" spans="1:20" x14ac:dyDescent="0.25">
      <c r="A1" s="2"/>
    </row>
    <row r="2" spans="1:20" x14ac:dyDescent="0.25">
      <c r="F2" s="71"/>
      <c r="G2" s="71"/>
      <c r="H2" s="71"/>
      <c r="I2" s="71"/>
      <c r="J2" s="71"/>
      <c r="K2" s="71"/>
      <c r="L2" s="71"/>
      <c r="T2" s="5"/>
    </row>
    <row r="3" spans="1:20" x14ac:dyDescent="0.25">
      <c r="F3" s="21"/>
      <c r="G3" s="21"/>
      <c r="H3" s="21"/>
      <c r="I3" s="21"/>
      <c r="J3" s="21"/>
      <c r="K3" s="21"/>
      <c r="L3" s="21"/>
      <c r="T3" s="5"/>
    </row>
    <row r="4" spans="1:20" x14ac:dyDescent="0.25">
      <c r="F4" s="21"/>
      <c r="G4" s="21"/>
      <c r="H4" s="21"/>
      <c r="I4" s="21"/>
      <c r="J4" s="21"/>
      <c r="K4" s="21"/>
      <c r="L4" s="21"/>
    </row>
    <row r="5" spans="1:20" ht="19.5" x14ac:dyDescent="0.35">
      <c r="E5" s="70" t="s">
        <v>118</v>
      </c>
      <c r="T5" s="5" t="s">
        <v>119</v>
      </c>
    </row>
    <row r="6" spans="1:20" x14ac:dyDescent="0.25">
      <c r="D6" s="69"/>
      <c r="E6" s="71" t="str">
        <f>+'5 Allocation'!B6</f>
        <v>Actual</v>
      </c>
      <c r="F6" s="69"/>
      <c r="G6" s="5"/>
      <c r="T6" s="5" t="s">
        <v>186</v>
      </c>
    </row>
    <row r="7" spans="1:20" x14ac:dyDescent="0.25">
      <c r="E7" s="71">
        <f>+'5 Allocation'!B7</f>
        <v>2015</v>
      </c>
      <c r="T7" s="5" t="s">
        <v>462</v>
      </c>
    </row>
    <row r="9" spans="1:20" x14ac:dyDescent="0.25">
      <c r="N9" s="3" t="s">
        <v>147</v>
      </c>
    </row>
    <row r="10" spans="1:20" x14ac:dyDescent="0.25">
      <c r="A10" s="3">
        <v>1</v>
      </c>
      <c r="D10" s="13"/>
      <c r="E10" s="21" t="s">
        <v>34</v>
      </c>
      <c r="F10" s="21"/>
      <c r="G10" s="21"/>
      <c r="H10" s="21"/>
      <c r="I10" s="21"/>
      <c r="J10" s="21"/>
      <c r="K10" s="21"/>
      <c r="L10" s="21"/>
      <c r="N10" s="21" t="s">
        <v>34</v>
      </c>
      <c r="P10" s="21" t="s">
        <v>35</v>
      </c>
      <c r="R10" s="21" t="s">
        <v>35</v>
      </c>
      <c r="T10" s="21" t="s">
        <v>36</v>
      </c>
    </row>
    <row r="11" spans="1:20" x14ac:dyDescent="0.25">
      <c r="A11" s="3">
        <f>1+A10</f>
        <v>2</v>
      </c>
      <c r="E11" s="121">
        <v>2015</v>
      </c>
      <c r="F11" s="24"/>
      <c r="G11" s="24"/>
      <c r="H11" s="24"/>
      <c r="I11" s="24"/>
      <c r="J11" s="24"/>
      <c r="K11" s="24"/>
      <c r="L11" s="24"/>
      <c r="N11" s="37" t="s">
        <v>37</v>
      </c>
      <c r="P11" s="37" t="s">
        <v>38</v>
      </c>
      <c r="R11" s="37" t="s">
        <v>38</v>
      </c>
      <c r="T11" s="37" t="s">
        <v>39</v>
      </c>
    </row>
    <row r="13" spans="1:20" x14ac:dyDescent="0.25">
      <c r="A13" s="3">
        <v>3</v>
      </c>
      <c r="B13" s="34" t="s">
        <v>40</v>
      </c>
      <c r="D13" s="5" t="s">
        <v>41</v>
      </c>
      <c r="E13" s="156">
        <f>+K58</f>
        <v>615512546</v>
      </c>
      <c r="M13" s="21"/>
      <c r="N13" s="38">
        <f>ROUND(E13/$E$17,4)</f>
        <v>0.52349999999999997</v>
      </c>
      <c r="O13" s="38"/>
      <c r="P13" s="154">
        <f>+K71/K64</f>
        <v>5.4803574991752813E-2</v>
      </c>
      <c r="Q13" s="38"/>
      <c r="R13" s="38">
        <f>ROUND(N13*P13,4)</f>
        <v>2.87E-2</v>
      </c>
      <c r="S13" s="38"/>
      <c r="T13" s="38"/>
    </row>
    <row r="14" spans="1:20" x14ac:dyDescent="0.25">
      <c r="A14" s="3">
        <f>1+A13</f>
        <v>4</v>
      </c>
      <c r="B14" s="34" t="s">
        <v>42</v>
      </c>
      <c r="E14" s="156">
        <f>+K79</f>
        <v>0</v>
      </c>
      <c r="M14" s="21"/>
      <c r="N14" s="38">
        <f>ROUND(E14/$E$17,4)</f>
        <v>0</v>
      </c>
      <c r="O14" s="38"/>
      <c r="P14" s="154">
        <f>IF(K79=0,0,+K80/K79)</f>
        <v>0</v>
      </c>
      <c r="Q14" s="38"/>
      <c r="R14" s="38">
        <f>ROUND(N14*P14,4)</f>
        <v>0</v>
      </c>
      <c r="S14" s="38"/>
      <c r="T14" s="38">
        <f>R14</f>
        <v>0</v>
      </c>
    </row>
    <row r="15" spans="1:20" x14ac:dyDescent="0.25">
      <c r="A15" s="3">
        <f>1+A14</f>
        <v>5</v>
      </c>
      <c r="B15" s="34" t="s">
        <v>43</v>
      </c>
      <c r="E15" s="157">
        <f>+K86</f>
        <v>560274285.5</v>
      </c>
      <c r="M15" s="21"/>
      <c r="N15" s="39">
        <f>ROUND(E15/$E$17,4)</f>
        <v>0.47649999999999998</v>
      </c>
      <c r="O15" s="38"/>
      <c r="P15" s="155">
        <f>+I90</f>
        <v>0.1057</v>
      </c>
      <c r="Q15" s="38"/>
      <c r="R15" s="39">
        <f>ROUND(N15*P15,4)</f>
        <v>5.04E-2</v>
      </c>
      <c r="S15" s="38"/>
      <c r="T15" s="39">
        <f>R15</f>
        <v>5.04E-2</v>
      </c>
    </row>
    <row r="16" spans="1:20" x14ac:dyDescent="0.25">
      <c r="E16" s="21"/>
      <c r="N16" s="38"/>
      <c r="O16" s="38"/>
      <c r="P16" s="38"/>
      <c r="Q16" s="38"/>
      <c r="R16" s="38"/>
      <c r="S16" s="38"/>
      <c r="T16" s="38"/>
    </row>
    <row r="17" spans="1:20" ht="15.75" thickBot="1" x14ac:dyDescent="0.3">
      <c r="A17" s="3">
        <v>6</v>
      </c>
      <c r="B17" s="34" t="s">
        <v>44</v>
      </c>
      <c r="D17" s="5" t="s">
        <v>41</v>
      </c>
      <c r="E17" s="40">
        <f>SUM(E13:E15)</f>
        <v>1175786831.5</v>
      </c>
      <c r="F17" s="41"/>
      <c r="G17" s="41"/>
      <c r="H17" s="41"/>
      <c r="I17" s="41"/>
      <c r="J17" s="41"/>
      <c r="K17" s="41"/>
      <c r="L17" s="41"/>
      <c r="N17" s="42">
        <f>SUM(N13:N15)</f>
        <v>1</v>
      </c>
      <c r="O17" s="38"/>
      <c r="P17" s="38"/>
      <c r="Q17" s="38"/>
      <c r="R17" s="42">
        <f>SUM(R13:R15)</f>
        <v>7.9100000000000004E-2</v>
      </c>
      <c r="S17" s="38"/>
      <c r="T17" s="42">
        <f>SUM(T13:T15)</f>
        <v>5.04E-2</v>
      </c>
    </row>
    <row r="18" spans="1:20" ht="15.75" thickTop="1" x14ac:dyDescent="0.25">
      <c r="N18" s="38"/>
      <c r="O18" s="38"/>
      <c r="P18" s="38"/>
      <c r="Q18" s="38"/>
      <c r="R18" s="38"/>
      <c r="S18" s="38"/>
      <c r="T18" s="38"/>
    </row>
    <row r="19" spans="1:20" x14ac:dyDescent="0.25">
      <c r="A19" s="3">
        <v>7</v>
      </c>
      <c r="B19" s="3" t="s">
        <v>45</v>
      </c>
    </row>
    <row r="21" spans="1:20" ht="15.75" thickBot="1" x14ac:dyDescent="0.3">
      <c r="A21" s="3">
        <v>8</v>
      </c>
      <c r="B21" s="35" t="s">
        <v>46</v>
      </c>
      <c r="D21" s="35"/>
      <c r="E21" s="43">
        <f>+R17</f>
        <v>7.9100000000000004E-2</v>
      </c>
      <c r="F21" s="44"/>
      <c r="G21" s="44"/>
      <c r="H21" s="44"/>
      <c r="I21" s="44"/>
      <c r="J21" s="44"/>
      <c r="K21" s="44"/>
      <c r="L21" s="44"/>
    </row>
    <row r="22" spans="1:20" ht="15.75" thickTop="1" x14ac:dyDescent="0.25">
      <c r="B22" s="35"/>
      <c r="D22" s="35"/>
      <c r="E22" s="44"/>
      <c r="F22" s="44"/>
      <c r="G22" s="44"/>
      <c r="H22" s="44"/>
      <c r="I22" s="44"/>
      <c r="J22" s="44"/>
      <c r="K22" s="44"/>
      <c r="L22" s="44"/>
    </row>
    <row r="23" spans="1:20" x14ac:dyDescent="0.25">
      <c r="A23" s="3">
        <v>9</v>
      </c>
      <c r="G23" s="21" t="s">
        <v>208</v>
      </c>
      <c r="I23" s="45"/>
    </row>
    <row r="24" spans="1:20" x14ac:dyDescent="0.25">
      <c r="A24" s="3">
        <f>1+A23</f>
        <v>10</v>
      </c>
      <c r="B24" s="35" t="s">
        <v>47</v>
      </c>
      <c r="D24" s="35" t="s">
        <v>48</v>
      </c>
      <c r="E24" s="46" t="s">
        <v>105</v>
      </c>
      <c r="F24" s="29" t="s">
        <v>49</v>
      </c>
      <c r="G24" s="47" t="s">
        <v>209</v>
      </c>
      <c r="H24" s="48"/>
      <c r="I24" s="48"/>
      <c r="J24" s="49" t="s">
        <v>211</v>
      </c>
      <c r="K24" s="50" t="s">
        <v>210</v>
      </c>
      <c r="L24" s="50"/>
      <c r="M24" s="46" t="s">
        <v>51</v>
      </c>
      <c r="N24" s="51" t="s">
        <v>52</v>
      </c>
      <c r="O24" s="51"/>
      <c r="P24" s="51"/>
      <c r="Q24" s="35" t="s">
        <v>53</v>
      </c>
    </row>
    <row r="25" spans="1:20" x14ac:dyDescent="0.25">
      <c r="A25" s="3">
        <f>1+A24</f>
        <v>11</v>
      </c>
      <c r="D25" s="52" t="s">
        <v>49</v>
      </c>
      <c r="E25" s="21"/>
      <c r="F25" s="21"/>
      <c r="G25" s="21"/>
      <c r="H25" s="21"/>
      <c r="I25" s="21"/>
      <c r="J25" s="21"/>
      <c r="K25" s="21"/>
      <c r="L25" s="21"/>
      <c r="M25" s="27" t="s">
        <v>54</v>
      </c>
      <c r="N25" s="53" t="s">
        <v>52</v>
      </c>
      <c r="O25" s="4"/>
      <c r="P25" s="4"/>
      <c r="Q25" s="35" t="s">
        <v>53</v>
      </c>
    </row>
    <row r="27" spans="1:20" x14ac:dyDescent="0.25">
      <c r="A27" s="3">
        <v>12</v>
      </c>
      <c r="D27" s="35" t="s">
        <v>48</v>
      </c>
      <c r="E27" s="86">
        <f>+T17</f>
        <v>5.04E-2</v>
      </c>
      <c r="F27" s="54" t="s">
        <v>55</v>
      </c>
      <c r="G27" s="50">
        <f>+'4 Expense'!F21</f>
        <v>26466</v>
      </c>
      <c r="H27" s="48"/>
      <c r="I27" s="166"/>
      <c r="J27" s="48" t="s">
        <v>148</v>
      </c>
      <c r="K27" s="50">
        <f>+'1 ATRR'!E26</f>
        <v>82943610.125</v>
      </c>
      <c r="L27" s="49" t="s">
        <v>53</v>
      </c>
      <c r="M27" s="46" t="s">
        <v>51</v>
      </c>
      <c r="N27" s="121">
        <v>0.35</v>
      </c>
      <c r="O27" s="92"/>
      <c r="P27" s="93"/>
      <c r="Q27" s="35" t="s">
        <v>53</v>
      </c>
    </row>
    <row r="28" spans="1:20" x14ac:dyDescent="0.25">
      <c r="A28" s="3">
        <f>1+A27</f>
        <v>13</v>
      </c>
      <c r="D28" s="52" t="s">
        <v>49</v>
      </c>
      <c r="E28" s="21">
        <v>1</v>
      </c>
      <c r="F28" s="21"/>
      <c r="G28" s="21"/>
      <c r="H28" s="21"/>
      <c r="I28" s="21"/>
      <c r="J28" s="21"/>
      <c r="K28" s="21"/>
      <c r="L28" s="21"/>
      <c r="M28" s="21" t="s">
        <v>54</v>
      </c>
      <c r="N28" s="5">
        <f>+N27</f>
        <v>0.35</v>
      </c>
      <c r="O28" s="5"/>
      <c r="P28" s="5"/>
      <c r="Q28" s="35" t="s">
        <v>53</v>
      </c>
    </row>
    <row r="30" spans="1:20" ht="15.75" thickBot="1" x14ac:dyDescent="0.3">
      <c r="A30" s="3">
        <v>14</v>
      </c>
      <c r="D30" s="35" t="s">
        <v>0</v>
      </c>
      <c r="E30" s="55">
        <f>ROUND(((+E27+((G27)/K27))*N27)/(E28-N28),7)</f>
        <v>2.7310299999999999E-2</v>
      </c>
      <c r="F30" s="56"/>
      <c r="G30" s="56"/>
      <c r="H30" s="56"/>
      <c r="I30" s="56"/>
      <c r="J30" s="56"/>
      <c r="K30" s="56"/>
      <c r="L30" s="56"/>
    </row>
    <row r="31" spans="1:20" ht="15.75" thickTop="1" x14ac:dyDescent="0.25"/>
    <row r="32" spans="1:20" x14ac:dyDescent="0.25">
      <c r="A32" s="3">
        <v>15</v>
      </c>
      <c r="E32" s="24"/>
      <c r="G32" s="21" t="s">
        <v>208</v>
      </c>
      <c r="I32" s="45"/>
    </row>
    <row r="33" spans="1:20" x14ac:dyDescent="0.25">
      <c r="A33" s="3">
        <f>1+A32</f>
        <v>16</v>
      </c>
      <c r="B33" s="35" t="s">
        <v>56</v>
      </c>
      <c r="D33" s="35" t="s">
        <v>48</v>
      </c>
      <c r="E33" s="46" t="s">
        <v>105</v>
      </c>
      <c r="F33" s="29" t="s">
        <v>49</v>
      </c>
      <c r="G33" s="47" t="s">
        <v>209</v>
      </c>
      <c r="H33" s="48"/>
      <c r="I33" s="48"/>
      <c r="J33" s="49" t="s">
        <v>211</v>
      </c>
      <c r="K33" s="50" t="s">
        <v>210</v>
      </c>
      <c r="L33" s="10"/>
      <c r="M33" s="29" t="s">
        <v>50</v>
      </c>
      <c r="N33" s="51" t="s">
        <v>57</v>
      </c>
      <c r="O33" s="51"/>
      <c r="P33" s="51"/>
      <c r="Q33" s="57" t="s">
        <v>58</v>
      </c>
      <c r="R33" s="10" t="s">
        <v>59</v>
      </c>
      <c r="S33" s="10"/>
      <c r="T33" s="10"/>
    </row>
    <row r="34" spans="1:20" x14ac:dyDescent="0.25">
      <c r="A34" s="3">
        <f>1+A33</f>
        <v>17</v>
      </c>
      <c r="D34" s="52"/>
      <c r="E34" s="21">
        <v>1</v>
      </c>
      <c r="F34" s="21"/>
      <c r="G34" s="21"/>
      <c r="H34" s="21"/>
      <c r="I34" s="21"/>
      <c r="J34" s="21"/>
      <c r="K34" s="21"/>
      <c r="L34" s="21"/>
      <c r="M34" s="27" t="s">
        <v>54</v>
      </c>
      <c r="N34" s="53" t="s">
        <v>59</v>
      </c>
      <c r="O34" s="4"/>
      <c r="P34" s="4"/>
      <c r="Q34" s="58" t="s">
        <v>53</v>
      </c>
    </row>
    <row r="36" spans="1:20" x14ac:dyDescent="0.25">
      <c r="A36" s="3">
        <v>18</v>
      </c>
      <c r="D36" s="35" t="s">
        <v>48</v>
      </c>
      <c r="E36" s="86">
        <f>+T17</f>
        <v>5.04E-2</v>
      </c>
      <c r="F36" s="54" t="s">
        <v>55</v>
      </c>
      <c r="G36" s="50">
        <f>+G27</f>
        <v>26466</v>
      </c>
      <c r="H36" s="48"/>
      <c r="I36" s="167"/>
      <c r="J36" s="49" t="s">
        <v>149</v>
      </c>
      <c r="K36" s="50">
        <f>+K27</f>
        <v>82943610.125</v>
      </c>
      <c r="L36" s="49" t="s">
        <v>53</v>
      </c>
      <c r="M36" s="29" t="s">
        <v>50</v>
      </c>
      <c r="N36" s="87">
        <f>+E30</f>
        <v>2.7310299999999999E-2</v>
      </c>
      <c r="O36" s="51"/>
      <c r="P36" s="51"/>
      <c r="Q36" s="57" t="s">
        <v>58</v>
      </c>
      <c r="R36" s="121">
        <v>8.5000000000000006E-2</v>
      </c>
      <c r="S36" s="168"/>
      <c r="T36" s="168"/>
    </row>
    <row r="37" spans="1:20" x14ac:dyDescent="0.25">
      <c r="A37" s="3">
        <f>1+A36</f>
        <v>19</v>
      </c>
      <c r="D37" s="52" t="s">
        <v>49</v>
      </c>
      <c r="E37" s="21">
        <v>1</v>
      </c>
      <c r="F37" s="21"/>
      <c r="G37" s="21"/>
      <c r="H37" s="21"/>
      <c r="I37" s="21"/>
      <c r="J37" s="21"/>
      <c r="K37" s="21"/>
      <c r="L37" s="21"/>
      <c r="M37" s="21" t="s">
        <v>54</v>
      </c>
      <c r="N37" s="5">
        <f>+R36</f>
        <v>8.5000000000000006E-2</v>
      </c>
      <c r="O37" s="5"/>
      <c r="P37" s="5"/>
      <c r="Q37" s="35" t="s">
        <v>53</v>
      </c>
    </row>
    <row r="39" spans="1:20" ht="15.75" thickBot="1" x14ac:dyDescent="0.3">
      <c r="A39" s="3">
        <v>20</v>
      </c>
      <c r="D39" s="35" t="s">
        <v>0</v>
      </c>
      <c r="E39" s="55">
        <f>ROUND((((+E36+((G36)/K36))+N36)*R36)/(E37-N37),7)</f>
        <v>7.2486E-3</v>
      </c>
      <c r="F39" s="56"/>
      <c r="G39" s="56"/>
      <c r="H39" s="56"/>
      <c r="I39" s="56"/>
      <c r="J39" s="56"/>
      <c r="K39" s="56"/>
      <c r="L39" s="56"/>
    </row>
    <row r="40" spans="1:20" ht="15.75" thickTop="1" x14ac:dyDescent="0.25">
      <c r="B40" s="35"/>
      <c r="D40" s="35"/>
      <c r="E40" s="59"/>
      <c r="F40" s="59"/>
      <c r="G40" s="59"/>
      <c r="H40" s="59"/>
      <c r="I40" s="59"/>
      <c r="J40" s="59"/>
      <c r="K40" s="59"/>
      <c r="L40" s="59"/>
    </row>
    <row r="42" spans="1:20" ht="15.75" thickBot="1" x14ac:dyDescent="0.3">
      <c r="A42" s="3">
        <v>21</v>
      </c>
      <c r="B42" s="35" t="s">
        <v>117</v>
      </c>
      <c r="D42" s="35" t="s">
        <v>0</v>
      </c>
      <c r="E42" s="55">
        <f>+E21+E30+E39</f>
        <v>0.11365889999999999</v>
      </c>
      <c r="F42" s="56"/>
      <c r="G42" s="56"/>
      <c r="H42" s="56"/>
      <c r="I42" s="56"/>
      <c r="J42" s="56"/>
      <c r="K42" s="56"/>
      <c r="L42" s="56"/>
    </row>
    <row r="43" spans="1:20" ht="15.75" thickTop="1" x14ac:dyDescent="0.25">
      <c r="B43" s="35"/>
      <c r="D43" s="35"/>
      <c r="E43" s="59"/>
      <c r="F43" s="59"/>
      <c r="G43" s="59"/>
      <c r="H43" s="59"/>
      <c r="I43" s="59"/>
      <c r="J43" s="59"/>
      <c r="K43" s="59"/>
      <c r="L43" s="59"/>
    </row>
    <row r="44" spans="1:20" x14ac:dyDescent="0.25">
      <c r="M44" s="7"/>
      <c r="N44" s="7"/>
    </row>
    <row r="45" spans="1:20" x14ac:dyDescent="0.25">
      <c r="A45" s="3">
        <v>22</v>
      </c>
      <c r="B45" s="34" t="s">
        <v>7</v>
      </c>
      <c r="D45" s="5" t="s">
        <v>41</v>
      </c>
      <c r="E45" s="60">
        <f>+'1 ATRR'!E26</f>
        <v>82943610.125</v>
      </c>
      <c r="F45" s="60"/>
      <c r="G45" s="34" t="s">
        <v>343</v>
      </c>
      <c r="H45" s="60"/>
      <c r="I45" s="60"/>
      <c r="J45" s="60"/>
      <c r="K45" s="60"/>
      <c r="L45" s="60"/>
      <c r="M45" s="11"/>
      <c r="N45" s="41"/>
    </row>
    <row r="46" spans="1:20" x14ac:dyDescent="0.25">
      <c r="M46" s="7"/>
      <c r="N46" s="7"/>
    </row>
    <row r="47" spans="1:20" x14ac:dyDescent="0.25">
      <c r="A47" s="3">
        <v>23</v>
      </c>
      <c r="B47" s="35" t="s">
        <v>60</v>
      </c>
      <c r="E47" s="61">
        <f>+E42</f>
        <v>0.11365889999999999</v>
      </c>
      <c r="F47" s="61"/>
      <c r="H47" s="61"/>
      <c r="I47" s="61"/>
      <c r="J47" s="61"/>
      <c r="K47" s="61"/>
      <c r="L47" s="61"/>
      <c r="M47" s="7"/>
      <c r="N47" s="56"/>
    </row>
    <row r="48" spans="1:20" x14ac:dyDescent="0.25">
      <c r="M48" s="7"/>
      <c r="N48" s="7"/>
    </row>
    <row r="49" spans="1:14" ht="15.75" thickBot="1" x14ac:dyDescent="0.3">
      <c r="A49" s="3">
        <v>24</v>
      </c>
      <c r="B49" s="35" t="s">
        <v>61</v>
      </c>
      <c r="E49" s="36">
        <f>ROUND(+E45*E47,0)</f>
        <v>9427279</v>
      </c>
      <c r="F49" s="62"/>
      <c r="G49" s="34" t="s">
        <v>344</v>
      </c>
      <c r="H49" s="62"/>
      <c r="I49" s="62"/>
      <c r="J49" s="62"/>
      <c r="K49" s="62"/>
      <c r="L49" s="62"/>
      <c r="M49" s="7"/>
      <c r="N49" s="62"/>
    </row>
    <row r="50" spans="1:14" ht="15.75" thickTop="1" x14ac:dyDescent="0.25"/>
    <row r="51" spans="1:14" x14ac:dyDescent="0.25">
      <c r="A51" s="3">
        <v>25</v>
      </c>
      <c r="B51" s="101"/>
      <c r="C51" s="102" t="s">
        <v>280</v>
      </c>
      <c r="D51" s="103"/>
      <c r="E51" s="103"/>
      <c r="F51" s="103"/>
      <c r="G51" s="104"/>
      <c r="I51" s="7"/>
      <c r="K51" s="106" t="s">
        <v>5</v>
      </c>
      <c r="L51" s="105" t="s">
        <v>4</v>
      </c>
      <c r="M51" s="10"/>
      <c r="N51" s="10"/>
    </row>
    <row r="52" spans="1:14" x14ac:dyDescent="0.25">
      <c r="B52" s="101"/>
      <c r="C52" s="104"/>
      <c r="D52" s="104"/>
      <c r="E52" s="104"/>
      <c r="F52" s="104"/>
      <c r="G52" s="104"/>
      <c r="I52" s="112"/>
      <c r="K52" s="104"/>
      <c r="L52" s="104"/>
    </row>
    <row r="53" spans="1:14" x14ac:dyDescent="0.25">
      <c r="A53" s="3">
        <v>26</v>
      </c>
      <c r="B53" s="101"/>
      <c r="C53" s="101" t="s">
        <v>281</v>
      </c>
      <c r="D53" s="101"/>
      <c r="E53" s="101"/>
      <c r="F53" s="101"/>
      <c r="G53" s="104"/>
      <c r="I53" s="107"/>
      <c r="K53" s="108"/>
      <c r="L53" s="104"/>
    </row>
    <row r="54" spans="1:14" x14ac:dyDescent="0.25">
      <c r="A54" s="3">
        <f t="shared" ref="A54:A75" si="0">1+A53</f>
        <v>27</v>
      </c>
      <c r="B54" s="101"/>
      <c r="C54" s="104"/>
      <c r="D54" s="104" t="s">
        <v>282</v>
      </c>
      <c r="E54" s="104"/>
      <c r="F54" s="104"/>
      <c r="G54" s="104"/>
      <c r="I54" s="107"/>
      <c r="K54" s="246">
        <f>AVERAGE(636905046,594120046)</f>
        <v>615512546</v>
      </c>
      <c r="L54" s="104" t="s">
        <v>283</v>
      </c>
    </row>
    <row r="55" spans="1:14" x14ac:dyDescent="0.25">
      <c r="A55" s="3">
        <f t="shared" si="0"/>
        <v>28</v>
      </c>
      <c r="B55" s="101"/>
      <c r="C55" s="104"/>
      <c r="D55" s="104"/>
      <c r="E55" s="104" t="s">
        <v>284</v>
      </c>
      <c r="F55" s="104"/>
      <c r="G55" s="104"/>
      <c r="I55" s="107"/>
      <c r="K55" s="246">
        <v>0</v>
      </c>
      <c r="L55" s="104" t="s">
        <v>285</v>
      </c>
    </row>
    <row r="56" spans="1:14" x14ac:dyDescent="0.25">
      <c r="A56" s="3">
        <f t="shared" si="0"/>
        <v>29</v>
      </c>
      <c r="B56" s="101"/>
      <c r="C56" s="104"/>
      <c r="D56" s="104" t="s">
        <v>286</v>
      </c>
      <c r="E56" s="110"/>
      <c r="F56" s="110"/>
      <c r="G56" s="104"/>
      <c r="I56" s="107"/>
      <c r="K56" s="246">
        <v>0</v>
      </c>
      <c r="L56" s="104" t="s">
        <v>287</v>
      </c>
    </row>
    <row r="57" spans="1:14" x14ac:dyDescent="0.25">
      <c r="A57" s="3">
        <f t="shared" si="0"/>
        <v>30</v>
      </c>
      <c r="B57" s="101"/>
      <c r="C57" s="104"/>
      <c r="D57" s="104" t="s">
        <v>288</v>
      </c>
      <c r="E57" s="104"/>
      <c r="F57" s="104"/>
      <c r="G57" s="104"/>
      <c r="I57" s="107"/>
      <c r="K57" s="246">
        <v>0</v>
      </c>
      <c r="L57" s="104" t="s">
        <v>289</v>
      </c>
    </row>
    <row r="58" spans="1:14" x14ac:dyDescent="0.25">
      <c r="A58" s="3">
        <f t="shared" si="0"/>
        <v>31</v>
      </c>
      <c r="B58" s="101"/>
      <c r="C58" s="104"/>
      <c r="D58" s="111" t="s">
        <v>290</v>
      </c>
      <c r="E58" s="104"/>
      <c r="F58" s="104"/>
      <c r="G58" s="104"/>
      <c r="I58" s="107"/>
      <c r="K58" s="246">
        <f>SUM(K54:K57)</f>
        <v>615512546</v>
      </c>
      <c r="L58" s="104" t="s">
        <v>346</v>
      </c>
    </row>
    <row r="59" spans="1:14" x14ac:dyDescent="0.25">
      <c r="A59" s="3">
        <f t="shared" si="0"/>
        <v>32</v>
      </c>
      <c r="B59" s="101"/>
      <c r="C59" s="104"/>
      <c r="D59" s="104"/>
      <c r="E59" s="104" t="s">
        <v>291</v>
      </c>
      <c r="F59" s="104"/>
      <c r="G59" s="104"/>
      <c r="I59" s="107"/>
      <c r="K59" s="246">
        <v>0</v>
      </c>
      <c r="L59" s="104" t="s">
        <v>292</v>
      </c>
    </row>
    <row r="60" spans="1:14" x14ac:dyDescent="0.25">
      <c r="A60" s="3">
        <f t="shared" si="0"/>
        <v>33</v>
      </c>
      <c r="B60" s="101"/>
      <c r="C60" s="104"/>
      <c r="D60" s="104"/>
      <c r="E60" s="104" t="s">
        <v>293</v>
      </c>
      <c r="F60" s="104"/>
      <c r="G60" s="104"/>
      <c r="I60" s="107"/>
      <c r="K60" s="246">
        <f>-AVERAGE(5294372,5347597)</f>
        <v>-5320984.5</v>
      </c>
      <c r="L60" s="104" t="s">
        <v>294</v>
      </c>
    </row>
    <row r="61" spans="1:14" x14ac:dyDescent="0.25">
      <c r="A61" s="3">
        <f t="shared" si="0"/>
        <v>34</v>
      </c>
      <c r="B61" s="101"/>
      <c r="C61" s="104"/>
      <c r="D61" s="104"/>
      <c r="E61" s="104" t="s">
        <v>295</v>
      </c>
      <c r="F61" s="104"/>
      <c r="G61" s="104"/>
      <c r="I61" s="107"/>
      <c r="K61" s="246">
        <v>0</v>
      </c>
      <c r="L61" s="104" t="s">
        <v>296</v>
      </c>
    </row>
    <row r="62" spans="1:14" x14ac:dyDescent="0.25">
      <c r="A62" s="3">
        <f t="shared" si="0"/>
        <v>35</v>
      </c>
      <c r="B62" s="101"/>
      <c r="C62" s="104"/>
      <c r="D62" s="104"/>
      <c r="E62" s="104" t="s">
        <v>297</v>
      </c>
      <c r="F62" s="104"/>
      <c r="G62" s="104"/>
      <c r="I62" s="107"/>
      <c r="K62" s="246">
        <v>0</v>
      </c>
      <c r="L62" s="104" t="s">
        <v>298</v>
      </c>
    </row>
    <row r="63" spans="1:14" x14ac:dyDescent="0.25">
      <c r="A63" s="3">
        <f t="shared" si="0"/>
        <v>36</v>
      </c>
      <c r="B63" s="101"/>
      <c r="C63" s="104"/>
      <c r="D63" s="104"/>
      <c r="E63" s="104" t="s">
        <v>299</v>
      </c>
      <c r="F63" s="104"/>
      <c r="G63" s="104"/>
      <c r="I63" s="107"/>
      <c r="K63" s="246">
        <v>0</v>
      </c>
      <c r="L63" s="104" t="s">
        <v>300</v>
      </c>
    </row>
    <row r="64" spans="1:14" x14ac:dyDescent="0.25">
      <c r="A64" s="3">
        <f t="shared" si="0"/>
        <v>37</v>
      </c>
      <c r="B64" s="101"/>
      <c r="C64" s="104"/>
      <c r="D64" s="111" t="s">
        <v>301</v>
      </c>
      <c r="E64" s="104"/>
      <c r="F64" s="104"/>
      <c r="G64" s="104"/>
      <c r="I64" s="107"/>
      <c r="K64" s="248">
        <f>SUM(K58:K63)</f>
        <v>610191561.5</v>
      </c>
      <c r="L64" s="104" t="s">
        <v>347</v>
      </c>
    </row>
    <row r="65" spans="1:12" x14ac:dyDescent="0.25">
      <c r="A65" s="3">
        <f t="shared" si="0"/>
        <v>38</v>
      </c>
      <c r="B65" s="101"/>
      <c r="C65" s="101" t="s">
        <v>302</v>
      </c>
      <c r="D65" s="104"/>
      <c r="E65" s="104"/>
      <c r="F65" s="104"/>
      <c r="G65" s="104"/>
      <c r="I65" s="107"/>
      <c r="K65" s="249"/>
      <c r="L65" s="112"/>
    </row>
    <row r="66" spans="1:12" x14ac:dyDescent="0.25">
      <c r="A66" s="3">
        <f t="shared" si="0"/>
        <v>39</v>
      </c>
      <c r="B66" s="101"/>
      <c r="C66" s="104"/>
      <c r="D66" s="104" t="s">
        <v>303</v>
      </c>
      <c r="E66" s="104"/>
      <c r="F66" s="104"/>
      <c r="G66" s="104"/>
      <c r="I66" s="107"/>
      <c r="K66" s="246">
        <v>32993342</v>
      </c>
      <c r="L66" s="104" t="s">
        <v>304</v>
      </c>
    </row>
    <row r="67" spans="1:12" x14ac:dyDescent="0.25">
      <c r="A67" s="3">
        <f t="shared" si="0"/>
        <v>40</v>
      </c>
      <c r="B67" s="101"/>
      <c r="C67" s="104"/>
      <c r="D67" s="104" t="s">
        <v>305</v>
      </c>
      <c r="E67" s="104"/>
      <c r="F67" s="104"/>
      <c r="G67" s="104"/>
      <c r="I67" s="107"/>
      <c r="K67" s="246">
        <v>447337</v>
      </c>
      <c r="L67" s="104" t="s">
        <v>306</v>
      </c>
    </row>
    <row r="68" spans="1:12" x14ac:dyDescent="0.25">
      <c r="A68" s="3">
        <f t="shared" si="0"/>
        <v>41</v>
      </c>
      <c r="B68" s="101"/>
      <c r="C68" s="104"/>
      <c r="D68" s="104" t="s">
        <v>307</v>
      </c>
      <c r="E68" s="104"/>
      <c r="F68" s="104"/>
      <c r="G68" s="104"/>
      <c r="I68" s="107"/>
      <c r="K68" s="246">
        <v>0</v>
      </c>
      <c r="L68" s="104" t="s">
        <v>308</v>
      </c>
    </row>
    <row r="69" spans="1:12" x14ac:dyDescent="0.25">
      <c r="A69" s="3">
        <f t="shared" si="0"/>
        <v>42</v>
      </c>
      <c r="B69" s="101"/>
      <c r="C69" s="104"/>
      <c r="D69" s="104"/>
      <c r="E69" s="104" t="s">
        <v>309</v>
      </c>
      <c r="F69" s="104"/>
      <c r="G69" s="104"/>
      <c r="I69" s="107"/>
      <c r="K69" s="246">
        <v>0</v>
      </c>
      <c r="L69" s="104" t="s">
        <v>310</v>
      </c>
    </row>
    <row r="70" spans="1:12" x14ac:dyDescent="0.25">
      <c r="A70" s="3">
        <f t="shared" si="0"/>
        <v>43</v>
      </c>
      <c r="B70" s="101"/>
      <c r="C70" s="104"/>
      <c r="D70" s="104"/>
      <c r="E70" s="104" t="s">
        <v>311</v>
      </c>
      <c r="F70" s="104"/>
      <c r="G70" s="104"/>
      <c r="I70" s="107"/>
      <c r="K70" s="246">
        <v>0</v>
      </c>
      <c r="L70" s="104" t="s">
        <v>312</v>
      </c>
    </row>
    <row r="71" spans="1:12" x14ac:dyDescent="0.25">
      <c r="A71" s="3">
        <f t="shared" si="0"/>
        <v>44</v>
      </c>
      <c r="B71" s="101"/>
      <c r="C71" s="104"/>
      <c r="D71" s="104"/>
      <c r="E71" s="104"/>
      <c r="F71" s="104" t="s">
        <v>313</v>
      </c>
      <c r="G71" s="104"/>
      <c r="I71" s="107"/>
      <c r="K71" s="248">
        <f>SUM(K66:K70)</f>
        <v>33440679</v>
      </c>
      <c r="L71" s="112" t="s">
        <v>348</v>
      </c>
    </row>
    <row r="72" spans="1:12" x14ac:dyDescent="0.25">
      <c r="A72" s="3">
        <f t="shared" si="0"/>
        <v>45</v>
      </c>
      <c r="B72" s="101"/>
      <c r="C72" s="101" t="s">
        <v>314</v>
      </c>
      <c r="D72" s="101"/>
      <c r="E72" s="101"/>
      <c r="F72" s="101"/>
      <c r="G72" s="104"/>
      <c r="I72" s="107"/>
      <c r="K72" s="250"/>
      <c r="L72" s="104"/>
    </row>
    <row r="73" spans="1:12" x14ac:dyDescent="0.25">
      <c r="A73" s="3">
        <f t="shared" si="0"/>
        <v>46</v>
      </c>
      <c r="B73" s="101"/>
      <c r="C73" s="104"/>
      <c r="D73" s="104" t="s">
        <v>315</v>
      </c>
      <c r="E73" s="104"/>
      <c r="F73" s="104"/>
      <c r="G73" s="104"/>
      <c r="I73" s="107"/>
      <c r="K73" s="246">
        <v>0</v>
      </c>
      <c r="L73" s="104" t="s">
        <v>316</v>
      </c>
    </row>
    <row r="74" spans="1:12" x14ac:dyDescent="0.25">
      <c r="A74" s="3">
        <f t="shared" si="0"/>
        <v>47</v>
      </c>
      <c r="B74" s="101"/>
      <c r="C74" s="104"/>
      <c r="D74" s="104" t="s">
        <v>317</v>
      </c>
      <c r="E74" s="104"/>
      <c r="F74" s="104"/>
      <c r="G74" s="104"/>
      <c r="I74" s="107"/>
      <c r="K74" s="246">
        <v>0</v>
      </c>
      <c r="L74" s="104" t="s">
        <v>318</v>
      </c>
    </row>
    <row r="75" spans="1:12" x14ac:dyDescent="0.25">
      <c r="A75" s="3">
        <f t="shared" si="0"/>
        <v>48</v>
      </c>
      <c r="B75" s="101"/>
      <c r="C75" s="104"/>
      <c r="D75" s="104" t="s">
        <v>319</v>
      </c>
      <c r="E75" s="104"/>
      <c r="F75" s="104"/>
      <c r="G75" s="104"/>
      <c r="I75" s="107"/>
      <c r="K75" s="246">
        <v>0</v>
      </c>
      <c r="L75" s="104" t="s">
        <v>320</v>
      </c>
    </row>
    <row r="76" spans="1:12" x14ac:dyDescent="0.25">
      <c r="A76" s="3">
        <f t="shared" ref="A76:A91" si="1">1+A75</f>
        <v>49</v>
      </c>
      <c r="B76" s="101"/>
      <c r="C76" s="104"/>
      <c r="D76" s="104" t="s">
        <v>321</v>
      </c>
      <c r="E76" s="104"/>
      <c r="F76" s="104"/>
      <c r="G76" s="104"/>
      <c r="I76" s="107"/>
      <c r="K76" s="246">
        <v>0</v>
      </c>
      <c r="L76" s="104" t="s">
        <v>322</v>
      </c>
    </row>
    <row r="77" spans="1:12" x14ac:dyDescent="0.25">
      <c r="A77" s="3">
        <f t="shared" si="1"/>
        <v>50</v>
      </c>
      <c r="B77" s="101"/>
      <c r="C77" s="104"/>
      <c r="D77" s="104" t="s">
        <v>323</v>
      </c>
      <c r="E77" s="104"/>
      <c r="F77" s="104"/>
      <c r="G77" s="104"/>
      <c r="I77" s="107"/>
      <c r="K77" s="246">
        <v>0</v>
      </c>
      <c r="L77" s="104" t="s">
        <v>324</v>
      </c>
    </row>
    <row r="78" spans="1:12" x14ac:dyDescent="0.25">
      <c r="A78" s="3">
        <f t="shared" si="1"/>
        <v>51</v>
      </c>
      <c r="B78" s="101"/>
      <c r="C78" s="104"/>
      <c r="D78" s="104" t="s">
        <v>325</v>
      </c>
      <c r="E78" s="104"/>
      <c r="F78" s="104"/>
      <c r="G78" s="104"/>
      <c r="I78" s="107"/>
      <c r="K78" s="246">
        <v>0</v>
      </c>
      <c r="L78" s="104" t="s">
        <v>326</v>
      </c>
    </row>
    <row r="79" spans="1:12" x14ac:dyDescent="0.25">
      <c r="A79" s="3">
        <f t="shared" si="1"/>
        <v>52</v>
      </c>
      <c r="B79" s="101"/>
      <c r="C79" s="104"/>
      <c r="D79" s="104"/>
      <c r="E79" s="104" t="s">
        <v>327</v>
      </c>
      <c r="F79" s="104"/>
      <c r="G79" s="104"/>
      <c r="I79" s="104"/>
      <c r="K79" s="251">
        <f>SUM(K73:K78)</f>
        <v>0</v>
      </c>
      <c r="L79" s="118" t="s">
        <v>349</v>
      </c>
    </row>
    <row r="80" spans="1:12" x14ac:dyDescent="0.25">
      <c r="A80" s="3">
        <f t="shared" si="1"/>
        <v>53</v>
      </c>
      <c r="B80" s="101"/>
      <c r="C80" s="104"/>
      <c r="D80" s="104" t="s">
        <v>328</v>
      </c>
      <c r="E80" s="104"/>
      <c r="F80" s="104"/>
      <c r="G80" s="104"/>
      <c r="I80" s="107"/>
      <c r="K80" s="246">
        <v>0</v>
      </c>
      <c r="L80" s="104" t="s">
        <v>329</v>
      </c>
    </row>
    <row r="81" spans="1:14" x14ac:dyDescent="0.25">
      <c r="A81" s="3">
        <f t="shared" si="1"/>
        <v>54</v>
      </c>
      <c r="B81" s="101"/>
      <c r="C81" s="101" t="s">
        <v>330</v>
      </c>
      <c r="D81" s="101"/>
      <c r="E81" s="101"/>
      <c r="F81" s="101"/>
      <c r="G81" s="104"/>
      <c r="I81" s="107"/>
      <c r="K81" s="250"/>
      <c r="L81" s="104"/>
    </row>
    <row r="82" spans="1:14" x14ac:dyDescent="0.25">
      <c r="A82" s="3">
        <f t="shared" si="1"/>
        <v>55</v>
      </c>
      <c r="B82" s="101"/>
      <c r="C82" s="104"/>
      <c r="D82" s="104" t="s">
        <v>331</v>
      </c>
      <c r="E82" s="104"/>
      <c r="F82" s="104"/>
      <c r="G82" s="104"/>
      <c r="I82" s="107"/>
      <c r="K82" s="246">
        <f>AVERAGE(663171465,628206507)</f>
        <v>645688986</v>
      </c>
      <c r="L82" s="104" t="s">
        <v>332</v>
      </c>
    </row>
    <row r="83" spans="1:14" x14ac:dyDescent="0.25">
      <c r="A83" s="3">
        <f t="shared" si="1"/>
        <v>56</v>
      </c>
      <c r="B83" s="101"/>
      <c r="C83" s="104"/>
      <c r="D83" s="104"/>
      <c r="E83" s="104" t="s">
        <v>333</v>
      </c>
      <c r="F83" s="104"/>
      <c r="G83" s="104"/>
      <c r="I83" s="107"/>
      <c r="K83" s="246">
        <v>0</v>
      </c>
      <c r="L83" s="104" t="s">
        <v>334</v>
      </c>
    </row>
    <row r="84" spans="1:14" x14ac:dyDescent="0.25">
      <c r="A84" s="3">
        <f t="shared" si="1"/>
        <v>57</v>
      </c>
      <c r="B84" s="101"/>
      <c r="C84" s="104"/>
      <c r="D84" s="104"/>
      <c r="E84" s="104" t="s">
        <v>335</v>
      </c>
      <c r="F84" s="104"/>
      <c r="G84" s="104"/>
      <c r="I84" s="107"/>
      <c r="K84" s="246">
        <f>AVERAGE(81081896,89668495)</f>
        <v>85375195.5</v>
      </c>
      <c r="L84" s="104" t="s">
        <v>336</v>
      </c>
    </row>
    <row r="85" spans="1:14" x14ac:dyDescent="0.25">
      <c r="A85" s="3">
        <f t="shared" si="1"/>
        <v>58</v>
      </c>
      <c r="B85" s="101"/>
      <c r="C85" s="104"/>
      <c r="D85" s="104"/>
      <c r="E85" s="104" t="s">
        <v>337</v>
      </c>
      <c r="F85" s="104"/>
      <c r="G85" s="104"/>
      <c r="I85" s="107"/>
      <c r="K85" s="246">
        <f>AVERAGE(-79010,0)</f>
        <v>-39505</v>
      </c>
      <c r="L85" s="112" t="s">
        <v>338</v>
      </c>
      <c r="M85" s="7"/>
      <c r="N85" s="7"/>
    </row>
    <row r="86" spans="1:14" x14ac:dyDescent="0.25">
      <c r="A86" s="3">
        <f t="shared" si="1"/>
        <v>59</v>
      </c>
      <c r="B86" s="101"/>
      <c r="C86" s="104"/>
      <c r="D86" s="104"/>
      <c r="E86" s="104"/>
      <c r="F86" s="104" t="s">
        <v>341</v>
      </c>
      <c r="G86" s="104"/>
      <c r="I86" s="118"/>
      <c r="J86" s="69"/>
      <c r="K86" s="247">
        <f>K82-K83-K84+K85</f>
        <v>560274285.5</v>
      </c>
      <c r="L86" s="119" t="s">
        <v>350</v>
      </c>
      <c r="M86" s="119"/>
      <c r="N86" s="7"/>
    </row>
    <row r="87" spans="1:14" x14ac:dyDescent="0.25">
      <c r="A87" s="3">
        <f t="shared" si="1"/>
        <v>60</v>
      </c>
      <c r="B87" s="101"/>
      <c r="C87" s="114" t="s">
        <v>339</v>
      </c>
      <c r="D87" s="109"/>
      <c r="E87" s="109"/>
      <c r="F87" s="109"/>
      <c r="G87" s="104"/>
      <c r="H87" s="113"/>
      <c r="I87" s="113"/>
      <c r="J87" s="113"/>
      <c r="K87" s="104"/>
    </row>
    <row r="88" spans="1:14" x14ac:dyDescent="0.25">
      <c r="A88" s="3">
        <f t="shared" si="1"/>
        <v>61</v>
      </c>
      <c r="B88" s="101"/>
      <c r="C88" s="104"/>
      <c r="D88" s="104"/>
      <c r="E88" s="104"/>
      <c r="F88" s="109" t="s">
        <v>473</v>
      </c>
      <c r="G88" s="104"/>
      <c r="H88" s="113"/>
      <c r="I88" s="113"/>
      <c r="J88" s="113"/>
      <c r="K88" s="104"/>
    </row>
    <row r="89" spans="1:14" x14ac:dyDescent="0.25">
      <c r="A89" s="3">
        <f t="shared" si="1"/>
        <v>62</v>
      </c>
      <c r="B89" s="104"/>
      <c r="C89" s="104"/>
      <c r="D89" s="104"/>
      <c r="E89" s="104"/>
      <c r="F89" s="109" t="s">
        <v>474</v>
      </c>
      <c r="G89" s="109"/>
      <c r="H89" s="115"/>
      <c r="I89" s="115"/>
      <c r="L89" s="120" t="s">
        <v>351</v>
      </c>
    </row>
    <row r="90" spans="1:14" x14ac:dyDescent="0.25">
      <c r="A90" s="3">
        <f t="shared" si="1"/>
        <v>63</v>
      </c>
      <c r="B90" s="104"/>
      <c r="C90" s="104"/>
      <c r="D90" s="104"/>
      <c r="E90" s="104"/>
      <c r="F90" s="109" t="s">
        <v>340</v>
      </c>
      <c r="I90" s="261">
        <v>0.1057</v>
      </c>
      <c r="J90" s="258"/>
      <c r="K90" s="259"/>
    </row>
    <row r="91" spans="1:14" x14ac:dyDescent="0.25">
      <c r="A91" s="3">
        <f t="shared" si="1"/>
        <v>64</v>
      </c>
      <c r="B91" s="104"/>
      <c r="C91" s="104" t="s">
        <v>364</v>
      </c>
      <c r="E91" s="104"/>
      <c r="F91" s="104"/>
      <c r="G91" s="109"/>
      <c r="H91" s="115"/>
      <c r="I91" s="115"/>
      <c r="J91" s="116"/>
      <c r="K91" s="109"/>
    </row>
    <row r="92" spans="1:14" x14ac:dyDescent="0.25">
      <c r="A92" s="3">
        <f>1+A91</f>
        <v>65</v>
      </c>
      <c r="C92" s="122" t="s">
        <v>362</v>
      </c>
      <c r="D92" s="104"/>
      <c r="E92" s="104"/>
      <c r="F92" s="104"/>
      <c r="G92" s="169"/>
      <c r="H92" s="108"/>
      <c r="I92" s="104"/>
      <c r="J92" s="115"/>
      <c r="K92" s="109"/>
    </row>
    <row r="93" spans="1:14" x14ac:dyDescent="0.25">
      <c r="A93" s="108"/>
      <c r="B93" s="104"/>
      <c r="C93" s="117"/>
      <c r="D93" s="104"/>
      <c r="E93" s="104"/>
      <c r="F93" s="104"/>
      <c r="G93" s="104"/>
      <c r="H93" s="104"/>
      <c r="I93" s="104"/>
      <c r="J93" s="104"/>
      <c r="K93" s="104"/>
    </row>
  </sheetData>
  <customSheetViews>
    <customSheetView guid="{64F6106B-9E0C-489A-BDF0-E26F35DDE29F}" scale="75" showPageBreaks="1" showGridLines="0" fitToPage="1" printArea="1" topLeftCell="A16">
      <selection activeCell="B36" sqref="B36"/>
      <pageMargins left="0.41" right="0" top="0.5" bottom="0" header="0.5" footer="0.25"/>
      <pageSetup scale="65" orientation="landscape" r:id="rId1"/>
      <headerFooter alignWithMargins="0"/>
    </customSheetView>
  </customSheetViews>
  <phoneticPr fontId="0" type="noConversion"/>
  <pageMargins left="0.41" right="0" top="0.5" bottom="0" header="0.5" footer="0.25"/>
  <pageSetup scale="52" orientation="portrait" r:id="rId2"/>
  <headerFooter alignWithMargins="0"/>
  <rowBreaks count="1" manualBreakCount="1"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59"/>
  <sheetViews>
    <sheetView showGridLines="0" zoomScaleNormal="100" workbookViewId="0">
      <selection activeCell="C33" sqref="C33"/>
    </sheetView>
  </sheetViews>
  <sheetFormatPr defaultRowHeight="15" x14ac:dyDescent="0.25"/>
  <cols>
    <col min="1" max="1" width="5" style="3" customWidth="1"/>
    <col min="2" max="2" width="52.85546875" style="3" bestFit="1" customWidth="1"/>
    <col min="3" max="3" width="18.28515625" style="3" bestFit="1" customWidth="1"/>
    <col min="4" max="4" width="14.28515625" style="3" bestFit="1" customWidth="1"/>
    <col min="5" max="5" width="5.140625" style="3" bestFit="1" customWidth="1"/>
    <col min="6" max="6" width="18.28515625" style="3" bestFit="1" customWidth="1"/>
    <col min="7" max="7" width="32.85546875" style="3" bestFit="1" customWidth="1"/>
    <col min="8" max="8" width="9.140625" style="3"/>
    <col min="9" max="9" width="15.5703125" style="3" bestFit="1" customWidth="1"/>
    <col min="10" max="16384" width="9.140625" style="3"/>
  </cols>
  <sheetData>
    <row r="5" spans="1:9" ht="19.5" x14ac:dyDescent="0.35">
      <c r="B5" s="70" t="s">
        <v>118</v>
      </c>
    </row>
    <row r="6" spans="1:9" x14ac:dyDescent="0.25">
      <c r="A6" s="2"/>
      <c r="B6" s="21" t="s">
        <v>136</v>
      </c>
      <c r="D6" s="69"/>
      <c r="E6" s="69"/>
      <c r="F6" s="69"/>
      <c r="G6" s="5" t="s">
        <v>119</v>
      </c>
    </row>
    <row r="7" spans="1:9" x14ac:dyDescent="0.25">
      <c r="B7" s="71" t="str">
        <f>+'5 Allocation'!B6</f>
        <v>Actual</v>
      </c>
      <c r="G7" s="5" t="s">
        <v>186</v>
      </c>
    </row>
    <row r="8" spans="1:9" x14ac:dyDescent="0.25">
      <c r="B8" s="71">
        <f>+'5 Allocation'!B7</f>
        <v>2015</v>
      </c>
      <c r="G8" s="5" t="s">
        <v>463</v>
      </c>
    </row>
    <row r="9" spans="1:9" x14ac:dyDescent="0.25">
      <c r="A9" s="69"/>
    </row>
    <row r="10" spans="1:9" x14ac:dyDescent="0.25">
      <c r="A10" s="5"/>
      <c r="C10" s="24" t="s">
        <v>66</v>
      </c>
      <c r="D10" s="24" t="s">
        <v>62</v>
      </c>
      <c r="F10" s="27" t="s">
        <v>64</v>
      </c>
    </row>
    <row r="11" spans="1:9" x14ac:dyDescent="0.25">
      <c r="A11" s="11"/>
      <c r="D11" s="21" t="s">
        <v>63</v>
      </c>
      <c r="E11" s="7"/>
      <c r="G11" s="7"/>
      <c r="H11" s="7"/>
      <c r="I11" s="7"/>
    </row>
    <row r="12" spans="1:9" x14ac:dyDescent="0.25">
      <c r="A12" s="5" t="s">
        <v>65</v>
      </c>
      <c r="D12" s="21" t="s">
        <v>67</v>
      </c>
      <c r="F12" s="28" t="s">
        <v>68</v>
      </c>
      <c r="G12" s="28" t="s">
        <v>69</v>
      </c>
    </row>
    <row r="13" spans="1:9" x14ac:dyDescent="0.25">
      <c r="A13" s="6" t="s">
        <v>70</v>
      </c>
      <c r="C13" s="29" t="s">
        <v>71</v>
      </c>
      <c r="D13" s="29" t="s">
        <v>72</v>
      </c>
      <c r="F13" s="29" t="s">
        <v>73</v>
      </c>
      <c r="G13" s="29" t="s">
        <v>74</v>
      </c>
    </row>
    <row r="14" spans="1:9" x14ac:dyDescent="0.25">
      <c r="B14" s="12" t="s">
        <v>9</v>
      </c>
    </row>
    <row r="15" spans="1:9" x14ac:dyDescent="0.25">
      <c r="A15" s="3">
        <v>1</v>
      </c>
      <c r="B15" s="3" t="s">
        <v>9</v>
      </c>
      <c r="C15" s="130">
        <f>+'7  13 mo avg plant'!C29</f>
        <v>206851254.53307691</v>
      </c>
      <c r="D15" s="30">
        <f>+'5 Allocation'!D$47</f>
        <v>0.75500030147558927</v>
      </c>
      <c r="E15" s="3" t="s">
        <v>3</v>
      </c>
      <c r="F15" s="80">
        <f>ROUND(C15*D15,0)</f>
        <v>156172760</v>
      </c>
      <c r="G15" s="94" t="s">
        <v>408</v>
      </c>
    </row>
    <row r="16" spans="1:9" x14ac:dyDescent="0.25">
      <c r="A16" s="3">
        <f>1+A15</f>
        <v>2</v>
      </c>
      <c r="B16" s="3" t="s">
        <v>11</v>
      </c>
      <c r="C16" s="129">
        <f>+'7  13 mo avg plant'!C46</f>
        <v>108299012.3946154</v>
      </c>
      <c r="D16" s="30">
        <f>+'5 Allocation'!$D$24</f>
        <v>2.7958863089357047E-2</v>
      </c>
      <c r="E16" s="3" t="s">
        <v>1</v>
      </c>
      <c r="F16" s="31">
        <f>ROUND(C16*D16,0)</f>
        <v>3027917</v>
      </c>
      <c r="G16" s="3" t="s">
        <v>411</v>
      </c>
    </row>
    <row r="17" spans="1:7" ht="15.75" thickBot="1" x14ac:dyDescent="0.3">
      <c r="A17" s="3">
        <f t="shared" ref="A17:A47" si="0">1+A16</f>
        <v>3</v>
      </c>
      <c r="B17" s="3" t="s">
        <v>75</v>
      </c>
      <c r="C17" s="62"/>
      <c r="F17" s="81">
        <f>F15+F16</f>
        <v>159200677</v>
      </c>
    </row>
    <row r="18" spans="1:7" ht="15.75" thickTop="1" x14ac:dyDescent="0.25">
      <c r="C18" s="62"/>
      <c r="F18" s="15"/>
    </row>
    <row r="19" spans="1:7" x14ac:dyDescent="0.25">
      <c r="A19" s="3">
        <v>4</v>
      </c>
      <c r="B19" s="32" t="s">
        <v>76</v>
      </c>
      <c r="C19" s="123"/>
      <c r="F19" s="16"/>
    </row>
    <row r="20" spans="1:7" x14ac:dyDescent="0.25">
      <c r="A20" s="3">
        <f t="shared" si="0"/>
        <v>5</v>
      </c>
      <c r="B20" s="3" t="s">
        <v>77</v>
      </c>
      <c r="C20" s="129">
        <f>+'8  13 mo avg accu dep'!C29</f>
        <v>64068969.364615396</v>
      </c>
      <c r="D20" s="30">
        <f>+'5 Allocation'!D$47</f>
        <v>0.75500030147558927</v>
      </c>
      <c r="E20" s="3" t="s">
        <v>3</v>
      </c>
      <c r="F20" s="16">
        <f>ROUND(C20*D20,0)</f>
        <v>48372091</v>
      </c>
      <c r="G20" s="3" t="s">
        <v>410</v>
      </c>
    </row>
    <row r="21" spans="1:7" x14ac:dyDescent="0.25">
      <c r="A21" s="3">
        <f t="shared" si="0"/>
        <v>6</v>
      </c>
      <c r="B21" s="3" t="s">
        <v>78</v>
      </c>
      <c r="C21" s="129">
        <f>+'8  13 mo avg accu dep'!C46</f>
        <v>28455775.286923073</v>
      </c>
      <c r="D21" s="30">
        <f>+'5 Allocation'!$D$24</f>
        <v>2.7958863089357047E-2</v>
      </c>
      <c r="E21" s="3" t="s">
        <v>1</v>
      </c>
      <c r="F21" s="31">
        <f>ROUND(C21*D21,0)</f>
        <v>795591</v>
      </c>
      <c r="G21" s="3" t="s">
        <v>412</v>
      </c>
    </row>
    <row r="22" spans="1:7" ht="15.75" thickBot="1" x14ac:dyDescent="0.3">
      <c r="A22" s="3">
        <f t="shared" si="0"/>
        <v>7</v>
      </c>
      <c r="B22" s="3" t="s">
        <v>203</v>
      </c>
      <c r="C22" s="62"/>
      <c r="D22" s="30"/>
      <c r="F22" s="81">
        <f>F20+F21</f>
        <v>49167682</v>
      </c>
    </row>
    <row r="23" spans="1:7" ht="15.75" thickTop="1" x14ac:dyDescent="0.25">
      <c r="C23" s="62"/>
      <c r="D23" s="30"/>
      <c r="F23" s="16"/>
    </row>
    <row r="24" spans="1:7" x14ac:dyDescent="0.25">
      <c r="A24" s="3">
        <v>8</v>
      </c>
      <c r="B24" s="12" t="s">
        <v>79</v>
      </c>
      <c r="C24" s="123"/>
      <c r="F24" s="15"/>
    </row>
    <row r="25" spans="1:7" x14ac:dyDescent="0.25">
      <c r="A25" s="3">
        <f t="shared" si="0"/>
        <v>9</v>
      </c>
      <c r="B25" s="69" t="s">
        <v>529</v>
      </c>
      <c r="C25" s="129"/>
      <c r="D25" s="30"/>
      <c r="F25" s="16"/>
    </row>
    <row r="26" spans="1:7" x14ac:dyDescent="0.25">
      <c r="A26" s="3">
        <f t="shared" si="0"/>
        <v>10</v>
      </c>
      <c r="B26" s="25" t="s">
        <v>163</v>
      </c>
      <c r="C26" s="129">
        <f>-'9 ADIT'!E20</f>
        <v>242649699</v>
      </c>
      <c r="D26" s="30">
        <f>+'5 Allocation'!$D$40</f>
        <v>0.10187300000000001</v>
      </c>
      <c r="E26" s="3" t="s">
        <v>2</v>
      </c>
      <c r="F26" s="16">
        <f>ROUND(C26*D26,0)</f>
        <v>24719453</v>
      </c>
      <c r="G26" s="3" t="s">
        <v>530</v>
      </c>
    </row>
    <row r="27" spans="1:7" x14ac:dyDescent="0.25">
      <c r="A27" s="3">
        <f t="shared" si="0"/>
        <v>11</v>
      </c>
      <c r="B27" s="25" t="s">
        <v>164</v>
      </c>
      <c r="C27" s="129">
        <f>-'9 ADIT'!E28</f>
        <v>153514588</v>
      </c>
      <c r="D27" s="30">
        <f>+'5 Allocation'!$D$40</f>
        <v>0.10187300000000001</v>
      </c>
      <c r="E27" s="3" t="s">
        <v>2</v>
      </c>
      <c r="F27" s="16">
        <f>ROUND(C27*D27,0)</f>
        <v>15638992</v>
      </c>
      <c r="G27" s="3" t="s">
        <v>531</v>
      </c>
    </row>
    <row r="28" spans="1:7" x14ac:dyDescent="0.25">
      <c r="A28" s="3">
        <f t="shared" si="0"/>
        <v>12</v>
      </c>
      <c r="B28" s="3" t="s">
        <v>80</v>
      </c>
      <c r="C28" s="129">
        <f>-'9 ADIT'!E36</f>
        <v>-116394786</v>
      </c>
      <c r="D28" s="30">
        <f>+'5 Allocation'!$D$40</f>
        <v>0.10187300000000001</v>
      </c>
      <c r="E28" s="3" t="s">
        <v>2</v>
      </c>
      <c r="F28" s="62">
        <f>ROUND(C28*D28,0)</f>
        <v>-11857486</v>
      </c>
      <c r="G28" s="3" t="s">
        <v>532</v>
      </c>
    </row>
    <row r="29" spans="1:7" ht="15.75" thickBot="1" x14ac:dyDescent="0.3">
      <c r="A29" s="3">
        <f t="shared" si="0"/>
        <v>13</v>
      </c>
      <c r="B29" s="3" t="s">
        <v>204</v>
      </c>
      <c r="C29" s="45">
        <f>SUM(C26:C28)</f>
        <v>279769501</v>
      </c>
      <c r="F29" s="82">
        <f>ROUND(+C29*D28,0)</f>
        <v>28500958</v>
      </c>
    </row>
    <row r="30" spans="1:7" ht="15.75" thickTop="1" x14ac:dyDescent="0.25">
      <c r="C30" s="16"/>
      <c r="F30" s="15"/>
    </row>
    <row r="31" spans="1:7" x14ac:dyDescent="0.25">
      <c r="A31" s="3">
        <v>14</v>
      </c>
      <c r="B31" s="12" t="s">
        <v>81</v>
      </c>
      <c r="C31" s="129">
        <f>+'10   165 Prepayment'!E38</f>
        <v>9103727.2350000031</v>
      </c>
      <c r="D31" s="30">
        <f>+'5 Allocation'!$D$24</f>
        <v>2.7958863089357047E-2</v>
      </c>
      <c r="E31" s="3" t="s">
        <v>1</v>
      </c>
      <c r="F31" s="15">
        <f>ROUND(C31*D31,0)</f>
        <v>254530</v>
      </c>
      <c r="G31" s="3" t="s">
        <v>508</v>
      </c>
    </row>
    <row r="32" spans="1:7" x14ac:dyDescent="0.25">
      <c r="C32" s="62"/>
    </row>
    <row r="33" spans="1:7" x14ac:dyDescent="0.25">
      <c r="A33" s="3">
        <v>15</v>
      </c>
      <c r="B33" s="32" t="s">
        <v>82</v>
      </c>
      <c r="C33" s="231">
        <f>AVERAGE(114713,38210)</f>
        <v>76461.5</v>
      </c>
      <c r="D33" s="30">
        <f>+'5 Allocation'!D$47</f>
        <v>0.75500030147558927</v>
      </c>
      <c r="E33" s="3" t="s">
        <v>3</v>
      </c>
      <c r="F33" s="16">
        <f>ROUND(C33*D33,0)</f>
        <v>57728</v>
      </c>
      <c r="G33" s="3" t="s">
        <v>482</v>
      </c>
    </row>
    <row r="34" spans="1:7" x14ac:dyDescent="0.25">
      <c r="C34" s="15"/>
      <c r="D34" s="30"/>
      <c r="F34" s="16"/>
    </row>
    <row r="35" spans="1:7" x14ac:dyDescent="0.25">
      <c r="A35" s="3">
        <v>16</v>
      </c>
      <c r="B35" s="12" t="s">
        <v>19</v>
      </c>
      <c r="C35" s="15"/>
      <c r="F35" s="15"/>
    </row>
    <row r="36" spans="1:7" x14ac:dyDescent="0.25">
      <c r="A36" s="3">
        <f t="shared" si="0"/>
        <v>17</v>
      </c>
      <c r="B36" s="34" t="s">
        <v>31</v>
      </c>
      <c r="C36" s="15"/>
      <c r="F36" s="77">
        <f>+'4 Expense'!F31</f>
        <v>7515187</v>
      </c>
      <c r="G36" s="69" t="s">
        <v>176</v>
      </c>
    </row>
    <row r="37" spans="1:7" x14ac:dyDescent="0.25">
      <c r="A37" s="3">
        <f t="shared" si="0"/>
        <v>18</v>
      </c>
      <c r="B37" s="34" t="s">
        <v>33</v>
      </c>
      <c r="C37" s="20"/>
      <c r="F37" s="78">
        <f>+'4 Expense'!F40</f>
        <v>1279334</v>
      </c>
      <c r="G37" s="69" t="s">
        <v>177</v>
      </c>
    </row>
    <row r="38" spans="1:7" x14ac:dyDescent="0.25">
      <c r="A38" s="3">
        <f t="shared" si="0"/>
        <v>19</v>
      </c>
      <c r="B38" s="3" t="s">
        <v>205</v>
      </c>
      <c r="F38" s="83">
        <f>SUM(F36:F37)</f>
        <v>8794521</v>
      </c>
      <c r="G38" s="69"/>
    </row>
    <row r="39" spans="1:7" x14ac:dyDescent="0.25">
      <c r="A39" s="3">
        <f t="shared" si="0"/>
        <v>20</v>
      </c>
      <c r="B39" s="3" t="s">
        <v>162</v>
      </c>
      <c r="C39" s="15"/>
      <c r="F39" s="79">
        <f>45/360</f>
        <v>0.125</v>
      </c>
      <c r="G39" s="76" t="s">
        <v>359</v>
      </c>
    </row>
    <row r="40" spans="1:7" x14ac:dyDescent="0.25">
      <c r="A40" s="3">
        <f t="shared" si="0"/>
        <v>21</v>
      </c>
      <c r="B40" s="3" t="s">
        <v>206</v>
      </c>
      <c r="C40" s="15"/>
      <c r="F40" s="83">
        <f>ROUND(+F38*F39,4)</f>
        <v>1099315.125</v>
      </c>
      <c r="G40" s="69"/>
    </row>
    <row r="41" spans="1:7" x14ac:dyDescent="0.25">
      <c r="C41" s="15"/>
      <c r="F41" s="170"/>
    </row>
    <row r="42" spans="1:7" x14ac:dyDescent="0.25">
      <c r="C42" s="15"/>
      <c r="F42" s="16"/>
    </row>
    <row r="43" spans="1:7" x14ac:dyDescent="0.25">
      <c r="B43" s="12"/>
      <c r="C43" s="15"/>
      <c r="F43" s="15"/>
    </row>
    <row r="44" spans="1:7" x14ac:dyDescent="0.25">
      <c r="A44" s="3">
        <v>22</v>
      </c>
      <c r="B44" s="12" t="s">
        <v>127</v>
      </c>
      <c r="C44" s="15"/>
      <c r="F44" s="15"/>
    </row>
    <row r="45" spans="1:7" x14ac:dyDescent="0.25">
      <c r="A45" s="3">
        <f t="shared" si="0"/>
        <v>23</v>
      </c>
      <c r="B45" s="3" t="str">
        <f>+'5 Allocation'!B24</f>
        <v>(a) Transmission Wages and Salaries Allocation Factor</v>
      </c>
      <c r="C45" s="16"/>
      <c r="F45" s="15"/>
    </row>
    <row r="46" spans="1:7" x14ac:dyDescent="0.25">
      <c r="A46" s="3">
        <f t="shared" si="0"/>
        <v>24</v>
      </c>
      <c r="B46" s="3" t="str">
        <f>+'5 Allocation'!B40</f>
        <v>(b) Total Transmission Plant Allocation Factor</v>
      </c>
      <c r="C46" s="16"/>
      <c r="F46" s="15"/>
    </row>
    <row r="47" spans="1:7" x14ac:dyDescent="0.25">
      <c r="A47" s="3">
        <f t="shared" si="0"/>
        <v>25</v>
      </c>
      <c r="B47" s="3" t="str">
        <f>+'5 Allocation'!B47</f>
        <v>(c) Network Transmission Plant Allocation Factor</v>
      </c>
      <c r="C47" s="16"/>
      <c r="F47" s="15"/>
    </row>
    <row r="48" spans="1:7" x14ac:dyDescent="0.25">
      <c r="C48" s="16"/>
      <c r="F48" s="15"/>
    </row>
    <row r="49" spans="3:6" x14ac:dyDescent="0.25">
      <c r="C49" s="15"/>
      <c r="F49" s="15"/>
    </row>
    <row r="50" spans="3:6" x14ac:dyDescent="0.25">
      <c r="C50" s="15"/>
      <c r="F50" s="15"/>
    </row>
    <row r="51" spans="3:6" x14ac:dyDescent="0.25">
      <c r="C51" s="15"/>
      <c r="F51" s="15"/>
    </row>
    <row r="52" spans="3:6" x14ac:dyDescent="0.25">
      <c r="C52" s="15"/>
      <c r="F52" s="15"/>
    </row>
    <row r="53" spans="3:6" x14ac:dyDescent="0.25">
      <c r="F53" s="15"/>
    </row>
    <row r="54" spans="3:6" x14ac:dyDescent="0.25">
      <c r="F54" s="15"/>
    </row>
    <row r="55" spans="3:6" x14ac:dyDescent="0.25">
      <c r="F55" s="15"/>
    </row>
    <row r="56" spans="3:6" x14ac:dyDescent="0.25">
      <c r="F56" s="15"/>
    </row>
    <row r="57" spans="3:6" x14ac:dyDescent="0.25">
      <c r="F57" s="15"/>
    </row>
    <row r="58" spans="3:6" x14ac:dyDescent="0.25">
      <c r="F58" s="15"/>
    </row>
    <row r="59" spans="3:6" x14ac:dyDescent="0.25">
      <c r="F59" s="15"/>
    </row>
  </sheetData>
  <customSheetViews>
    <customSheetView guid="{64F6106B-9E0C-489A-BDF0-E26F35DDE29F}" showPageBreaks="1" showGridLines="0" fitToPage="1" printArea="1" topLeftCell="A15">
      <selection activeCell="G38" sqref="G38"/>
      <pageMargins left="0" right="0" top="0.27" bottom="0" header="0.17" footer="0.19"/>
      <pageSetup scale="71" orientation="portrait" horizontalDpi="300" verticalDpi="300" r:id="rId1"/>
      <headerFooter alignWithMargins="0">
        <oddFooter xml:space="preserve">&amp;C
</oddFooter>
      </headerFooter>
    </customSheetView>
  </customSheetViews>
  <phoneticPr fontId="0" type="noConversion"/>
  <pageMargins left="0" right="0" top="0.27" bottom="0" header="0.17" footer="0.19"/>
  <pageSetup scale="70" orientation="portrait" r:id="rId2"/>
  <headerFooter alignWithMargins="0">
    <oddFooter xml:space="preserve"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85"/>
  <sheetViews>
    <sheetView showGridLines="0" topLeftCell="A13" zoomScaleNormal="100" zoomScaleSheetLayoutView="100" workbookViewId="0">
      <selection activeCell="H30" sqref="H30"/>
    </sheetView>
  </sheetViews>
  <sheetFormatPr defaultColWidth="6.7109375" defaultRowHeight="15" x14ac:dyDescent="0.25"/>
  <cols>
    <col min="1" max="1" width="6.7109375" style="3" customWidth="1"/>
    <col min="2" max="2" width="75.7109375" style="3" customWidth="1"/>
    <col min="3" max="3" width="17.140625" style="3" bestFit="1" customWidth="1"/>
    <col min="4" max="4" width="16.85546875" style="3" bestFit="1" customWidth="1"/>
    <col min="5" max="5" width="6.7109375" style="3" customWidth="1"/>
    <col min="6" max="6" width="18.28515625" style="3" bestFit="1" customWidth="1"/>
    <col min="7" max="7" width="9.42578125" style="3" customWidth="1"/>
    <col min="8" max="8" width="7.85546875" style="3" customWidth="1"/>
    <col min="9" max="16384" width="6.7109375" style="3"/>
  </cols>
  <sheetData>
    <row r="5" spans="1:10" ht="19.5" x14ac:dyDescent="0.35">
      <c r="B5" s="70" t="s">
        <v>118</v>
      </c>
    </row>
    <row r="6" spans="1:10" x14ac:dyDescent="0.25">
      <c r="B6" s="21" t="s">
        <v>137</v>
      </c>
    </row>
    <row r="7" spans="1:10" x14ac:dyDescent="0.25">
      <c r="A7" s="2"/>
      <c r="B7" s="71" t="str">
        <f>+'5 Allocation'!B6</f>
        <v>Actual</v>
      </c>
      <c r="E7" s="69"/>
      <c r="F7" s="69"/>
      <c r="G7" s="69"/>
    </row>
    <row r="8" spans="1:10" x14ac:dyDescent="0.25">
      <c r="A8" s="2"/>
      <c r="B8" s="71">
        <f>+'5 Allocation'!B7</f>
        <v>2015</v>
      </c>
      <c r="E8" s="69"/>
      <c r="F8" s="69"/>
      <c r="G8" s="69"/>
      <c r="H8" s="5" t="s">
        <v>119</v>
      </c>
    </row>
    <row r="9" spans="1:10" x14ac:dyDescent="0.25">
      <c r="A9" s="2"/>
      <c r="B9" s="71"/>
      <c r="E9" s="69"/>
      <c r="F9" s="69"/>
      <c r="G9" s="69"/>
      <c r="H9" s="5" t="s">
        <v>186</v>
      </c>
    </row>
    <row r="10" spans="1:10" x14ac:dyDescent="0.25">
      <c r="H10" s="5" t="s">
        <v>464</v>
      </c>
    </row>
    <row r="11" spans="1:10" x14ac:dyDescent="0.25">
      <c r="A11" s="5"/>
      <c r="D11" s="24"/>
    </row>
    <row r="12" spans="1:10" x14ac:dyDescent="0.25">
      <c r="A12" s="5"/>
      <c r="C12" s="24" t="s">
        <v>66</v>
      </c>
      <c r="D12" s="24" t="s">
        <v>62</v>
      </c>
      <c r="F12" s="27" t="s">
        <v>64</v>
      </c>
    </row>
    <row r="13" spans="1:10" x14ac:dyDescent="0.25">
      <c r="A13" s="11"/>
      <c r="D13" s="21" t="s">
        <v>63</v>
      </c>
      <c r="E13" s="7"/>
      <c r="F13" s="27"/>
      <c r="G13" s="7"/>
      <c r="H13" s="7"/>
      <c r="I13" s="7"/>
      <c r="J13" s="7"/>
    </row>
    <row r="14" spans="1:10" x14ac:dyDescent="0.25">
      <c r="A14" s="5" t="s">
        <v>65</v>
      </c>
      <c r="C14" s="24"/>
      <c r="D14" s="21" t="s">
        <v>67</v>
      </c>
      <c r="F14" s="28" t="s">
        <v>68</v>
      </c>
      <c r="H14" s="28" t="s">
        <v>69</v>
      </c>
    </row>
    <row r="15" spans="1:10" x14ac:dyDescent="0.25">
      <c r="A15" s="6" t="s">
        <v>70</v>
      </c>
      <c r="C15" s="29" t="s">
        <v>71</v>
      </c>
      <c r="D15" s="29" t="s">
        <v>72</v>
      </c>
      <c r="F15" s="29" t="s">
        <v>73</v>
      </c>
      <c r="H15" s="29" t="s">
        <v>74</v>
      </c>
    </row>
    <row r="16" spans="1:10" x14ac:dyDescent="0.25">
      <c r="B16" s="12" t="s">
        <v>24</v>
      </c>
    </row>
    <row r="17" spans="1:8" x14ac:dyDescent="0.25">
      <c r="A17" s="3">
        <v>1</v>
      </c>
      <c r="B17" s="3" t="s">
        <v>276</v>
      </c>
      <c r="C17" s="221">
        <v>3614899</v>
      </c>
      <c r="D17" s="30">
        <f>+'5 Allocation'!D$47</f>
        <v>0.75500030147558927</v>
      </c>
      <c r="E17" s="3" t="s">
        <v>3</v>
      </c>
      <c r="F17" s="72">
        <f>ROUND(C17*D17,0)</f>
        <v>2729250</v>
      </c>
      <c r="H17" s="3" t="s">
        <v>83</v>
      </c>
    </row>
    <row r="18" spans="1:8" x14ac:dyDescent="0.25">
      <c r="A18" s="3">
        <f>1+A17</f>
        <v>2</v>
      </c>
      <c r="B18" s="3" t="s">
        <v>84</v>
      </c>
      <c r="C18" s="220">
        <v>4295495</v>
      </c>
      <c r="D18" s="30">
        <f>+'5 Allocation'!$D$24</f>
        <v>2.7958863089357047E-2</v>
      </c>
      <c r="E18" s="3" t="s">
        <v>1</v>
      </c>
      <c r="F18" s="31">
        <f>ROUND(C18*D18,0)</f>
        <v>120097</v>
      </c>
      <c r="H18" s="3" t="s">
        <v>115</v>
      </c>
    </row>
    <row r="19" spans="1:8" x14ac:dyDescent="0.25">
      <c r="A19" s="3">
        <f t="shared" ref="A19:A67" si="0">1+A18</f>
        <v>3</v>
      </c>
      <c r="B19" s="3" t="s">
        <v>75</v>
      </c>
      <c r="C19" s="219"/>
      <c r="F19" s="72">
        <f>F17+F18</f>
        <v>2849347</v>
      </c>
    </row>
    <row r="20" spans="1:8" x14ac:dyDescent="0.25">
      <c r="C20" s="192"/>
      <c r="F20" s="15"/>
    </row>
    <row r="21" spans="1:8" x14ac:dyDescent="0.25">
      <c r="A21" s="3">
        <v>4</v>
      </c>
      <c r="B21" s="32" t="s">
        <v>85</v>
      </c>
      <c r="C21" s="220">
        <v>259796</v>
      </c>
      <c r="D21" s="30">
        <f>+'5 Allocation'!$D$40</f>
        <v>0.10187300000000001</v>
      </c>
      <c r="E21" s="3" t="s">
        <v>2</v>
      </c>
      <c r="F21" s="15">
        <f>ROUND(C21*D21,0)</f>
        <v>26466</v>
      </c>
      <c r="H21" s="3" t="s">
        <v>86</v>
      </c>
    </row>
    <row r="22" spans="1:8" x14ac:dyDescent="0.25">
      <c r="C22" s="68"/>
      <c r="F22" s="15"/>
    </row>
    <row r="23" spans="1:8" x14ac:dyDescent="0.25">
      <c r="A23" s="3">
        <v>5</v>
      </c>
      <c r="B23" s="12" t="s">
        <v>120</v>
      </c>
      <c r="C23" s="193"/>
      <c r="D23" s="30"/>
      <c r="F23" s="31"/>
      <c r="H23" s="25"/>
    </row>
    <row r="24" spans="1:8" x14ac:dyDescent="0.25">
      <c r="A24" s="3">
        <f t="shared" si="0"/>
        <v>6</v>
      </c>
      <c r="B24" s="3" t="s">
        <v>87</v>
      </c>
      <c r="C24" s="206">
        <f>+C65</f>
        <v>24324306</v>
      </c>
      <c r="D24" s="30">
        <f>+'5 Allocation'!$D$40</f>
        <v>0.10187300000000001</v>
      </c>
      <c r="E24" s="3" t="s">
        <v>2</v>
      </c>
      <c r="F24" s="15">
        <f>ROUND(C24*D24,0)</f>
        <v>2477990</v>
      </c>
      <c r="H24" s="3" t="s">
        <v>526</v>
      </c>
    </row>
    <row r="25" spans="1:8" x14ac:dyDescent="0.25">
      <c r="C25" s="194"/>
      <c r="F25" s="15"/>
    </row>
    <row r="26" spans="1:8" x14ac:dyDescent="0.25">
      <c r="A26" s="3">
        <v>8</v>
      </c>
      <c r="B26" s="12" t="s">
        <v>88</v>
      </c>
      <c r="C26" s="68"/>
      <c r="F26" s="15"/>
    </row>
    <row r="27" spans="1:8" x14ac:dyDescent="0.25">
      <c r="A27" s="3">
        <f t="shared" si="0"/>
        <v>9</v>
      </c>
      <c r="B27" s="3" t="s">
        <v>89</v>
      </c>
      <c r="C27" s="224">
        <v>98294767</v>
      </c>
      <c r="D27" s="20"/>
      <c r="F27" s="72"/>
      <c r="H27" s="3" t="s">
        <v>107</v>
      </c>
    </row>
    <row r="28" spans="1:8" x14ac:dyDescent="0.25">
      <c r="A28" s="3">
        <f t="shared" si="0"/>
        <v>10</v>
      </c>
      <c r="B28" s="3" t="s">
        <v>133</v>
      </c>
      <c r="C28" s="223">
        <v>90006769</v>
      </c>
      <c r="D28" s="20"/>
      <c r="F28" s="15"/>
      <c r="H28" s="3" t="s">
        <v>108</v>
      </c>
    </row>
    <row r="29" spans="1:8" x14ac:dyDescent="0.25">
      <c r="A29" s="3">
        <f t="shared" si="0"/>
        <v>11</v>
      </c>
      <c r="B29" s="3" t="s">
        <v>363</v>
      </c>
      <c r="C29" s="268">
        <f>'11 Rates'!E41</f>
        <v>2364787</v>
      </c>
      <c r="D29" s="20"/>
      <c r="F29" s="15"/>
      <c r="H29" s="3" t="s">
        <v>472</v>
      </c>
    </row>
    <row r="30" spans="1:8" x14ac:dyDescent="0.25">
      <c r="A30" s="3">
        <f t="shared" si="0"/>
        <v>12</v>
      </c>
      <c r="B30" s="3" t="s">
        <v>165</v>
      </c>
      <c r="C30" s="231">
        <f>3793671+220984+16020</f>
        <v>4030675</v>
      </c>
      <c r="D30" s="20"/>
      <c r="F30" s="16"/>
      <c r="H30" s="69" t="s">
        <v>512</v>
      </c>
    </row>
    <row r="31" spans="1:8" ht="12.75" customHeight="1" thickBot="1" x14ac:dyDescent="0.3">
      <c r="A31" s="3">
        <f t="shared" si="0"/>
        <v>13</v>
      </c>
      <c r="B31" s="3" t="s">
        <v>200</v>
      </c>
      <c r="C31" s="195">
        <f>C27-C28-C29+C30</f>
        <v>9953886</v>
      </c>
      <c r="D31" s="30">
        <f>+'5 Allocation'!D$47</f>
        <v>0.75500030147558927</v>
      </c>
      <c r="E31" s="3" t="s">
        <v>3</v>
      </c>
      <c r="F31" s="81">
        <f>ROUND(C31*D31,0)</f>
        <v>7515187</v>
      </c>
    </row>
    <row r="32" spans="1:8" ht="15.75" thickTop="1" x14ac:dyDescent="0.25">
      <c r="C32" s="68"/>
      <c r="F32" s="15"/>
    </row>
    <row r="33" spans="1:12" x14ac:dyDescent="0.25">
      <c r="A33" s="3">
        <v>14</v>
      </c>
      <c r="B33" s="12" t="s">
        <v>90</v>
      </c>
      <c r="C33" s="68"/>
      <c r="F33" s="15"/>
    </row>
    <row r="34" spans="1:12" x14ac:dyDescent="0.25">
      <c r="A34" s="3">
        <f t="shared" si="0"/>
        <v>15</v>
      </c>
      <c r="B34" s="3" t="s">
        <v>91</v>
      </c>
      <c r="C34" s="226">
        <v>43845172</v>
      </c>
      <c r="H34" s="3" t="s">
        <v>109</v>
      </c>
    </row>
    <row r="35" spans="1:12" x14ac:dyDescent="0.25">
      <c r="A35" s="3">
        <f t="shared" si="0"/>
        <v>16</v>
      </c>
      <c r="B35" s="2" t="s">
        <v>153</v>
      </c>
      <c r="C35" s="231">
        <v>-158000</v>
      </c>
      <c r="H35" s="34" t="s">
        <v>479</v>
      </c>
    </row>
    <row r="36" spans="1:12" x14ac:dyDescent="0.25">
      <c r="A36" s="3">
        <f t="shared" si="0"/>
        <v>17</v>
      </c>
      <c r="B36" s="2" t="s">
        <v>92</v>
      </c>
      <c r="C36" s="225">
        <v>285663</v>
      </c>
      <c r="H36" s="2" t="s">
        <v>110</v>
      </c>
    </row>
    <row r="37" spans="1:12" x14ac:dyDescent="0.25">
      <c r="A37" s="3">
        <f t="shared" si="0"/>
        <v>18</v>
      </c>
      <c r="B37" s="33" t="s">
        <v>93</v>
      </c>
      <c r="C37" s="225">
        <v>140598</v>
      </c>
      <c r="H37" s="2" t="s">
        <v>111</v>
      </c>
    </row>
    <row r="38" spans="1:12" x14ac:dyDescent="0.25">
      <c r="A38" s="3">
        <f t="shared" si="0"/>
        <v>19</v>
      </c>
      <c r="B38" s="2" t="s">
        <v>201</v>
      </c>
      <c r="C38" s="196">
        <f>+C34-C35-C36-C37</f>
        <v>43576911</v>
      </c>
      <c r="D38" s="30">
        <f>+'5 Allocation'!$D$24</f>
        <v>2.7958863089357047E-2</v>
      </c>
      <c r="E38" s="3" t="s">
        <v>1</v>
      </c>
      <c r="F38" s="80">
        <f>ROUND(C38*D38,0)</f>
        <v>1218361</v>
      </c>
    </row>
    <row r="39" spans="1:12" x14ac:dyDescent="0.25">
      <c r="A39" s="3">
        <f t="shared" si="0"/>
        <v>20</v>
      </c>
      <c r="B39" s="2" t="s">
        <v>413</v>
      </c>
      <c r="C39" s="193">
        <v>2180830</v>
      </c>
      <c r="D39" s="30"/>
      <c r="F39" s="16"/>
      <c r="G39" s="69"/>
      <c r="H39" s="69" t="s">
        <v>166</v>
      </c>
      <c r="I39" s="69"/>
      <c r="J39" s="69"/>
      <c r="K39" s="69"/>
      <c r="L39" s="69"/>
    </row>
    <row r="40" spans="1:12" ht="15.75" thickBot="1" x14ac:dyDescent="0.3">
      <c r="A40" s="3">
        <v>21</v>
      </c>
      <c r="B40" s="2" t="s">
        <v>212</v>
      </c>
      <c r="C40" s="197">
        <f>+C38+C39</f>
        <v>45757741</v>
      </c>
      <c r="D40" s="30">
        <f>+'5 Allocation'!$D$24</f>
        <v>2.7958863089357047E-2</v>
      </c>
      <c r="E40" s="3" t="s">
        <v>1</v>
      </c>
      <c r="F40" s="80">
        <f>ROUND(C40*D40,0)</f>
        <v>1279334</v>
      </c>
    </row>
    <row r="41" spans="1:12" ht="15.75" thickTop="1" x14ac:dyDescent="0.25">
      <c r="B41" s="2"/>
      <c r="C41" s="194"/>
      <c r="D41" s="30"/>
      <c r="F41" s="16"/>
    </row>
    <row r="42" spans="1:12" ht="15.75" thickBot="1" x14ac:dyDescent="0.3">
      <c r="A42" s="3">
        <v>22</v>
      </c>
      <c r="B42" s="34" t="s">
        <v>30</v>
      </c>
      <c r="C42" s="205">
        <f>+C56</f>
        <v>2979374</v>
      </c>
      <c r="D42" s="30">
        <f>+'5 Allocation'!$D$24</f>
        <v>2.7958863089357047E-2</v>
      </c>
      <c r="E42" s="3" t="s">
        <v>1</v>
      </c>
      <c r="F42" s="81">
        <f>ROUND(C42*D42,0)</f>
        <v>83300</v>
      </c>
      <c r="H42" s="3" t="s">
        <v>94</v>
      </c>
    </row>
    <row r="43" spans="1:12" ht="15.75" thickTop="1" x14ac:dyDescent="0.25">
      <c r="C43" s="194"/>
      <c r="D43" s="30"/>
      <c r="F43" s="16"/>
    </row>
    <row r="44" spans="1:12" x14ac:dyDescent="0.25">
      <c r="C44" s="194"/>
      <c r="D44" s="30"/>
      <c r="F44" s="16"/>
    </row>
    <row r="45" spans="1:12" x14ac:dyDescent="0.25">
      <c r="C45" s="194"/>
      <c r="D45" s="30"/>
      <c r="F45" s="16"/>
    </row>
    <row r="46" spans="1:12" x14ac:dyDescent="0.25">
      <c r="A46" s="3">
        <v>23</v>
      </c>
      <c r="B46" s="12" t="s">
        <v>189</v>
      </c>
      <c r="C46" s="194"/>
      <c r="D46" s="30"/>
      <c r="F46" s="16"/>
    </row>
    <row r="47" spans="1:12" x14ac:dyDescent="0.25">
      <c r="A47" s="3">
        <f t="shared" si="0"/>
        <v>24</v>
      </c>
      <c r="B47" s="3" t="str">
        <f>+'5 Allocation'!B24</f>
        <v>(a) Transmission Wages and Salaries Allocation Factor</v>
      </c>
      <c r="C47" s="5"/>
      <c r="F47" s="15"/>
      <c r="H47" s="7" t="s">
        <v>188</v>
      </c>
    </row>
    <row r="48" spans="1:12" x14ac:dyDescent="0.25">
      <c r="A48" s="3">
        <f t="shared" si="0"/>
        <v>25</v>
      </c>
      <c r="B48" s="3" t="str">
        <f>+'5 Allocation'!B40</f>
        <v>(b) Total Transmission Plant Allocation Factor</v>
      </c>
      <c r="C48" s="194"/>
      <c r="F48" s="15"/>
      <c r="H48" s="7" t="s">
        <v>188</v>
      </c>
    </row>
    <row r="49" spans="1:8" x14ac:dyDescent="0.25">
      <c r="A49" s="3">
        <f t="shared" si="0"/>
        <v>26</v>
      </c>
      <c r="B49" s="3" t="str">
        <f>+'5 Allocation'!B47</f>
        <v>(c) Network Transmission Plant Allocation Factor</v>
      </c>
      <c r="C49" s="5"/>
      <c r="F49" s="15"/>
      <c r="H49" s="7" t="s">
        <v>188</v>
      </c>
    </row>
    <row r="50" spans="1:8" x14ac:dyDescent="0.25">
      <c r="C50" s="5"/>
      <c r="F50" s="15"/>
    </row>
    <row r="51" spans="1:8" x14ac:dyDescent="0.25">
      <c r="A51" s="3">
        <f>1+A49</f>
        <v>27</v>
      </c>
      <c r="B51" s="3" t="s">
        <v>524</v>
      </c>
      <c r="C51" s="5"/>
      <c r="F51" s="15"/>
    </row>
    <row r="52" spans="1:8" x14ac:dyDescent="0.25">
      <c r="A52" s="3">
        <f t="shared" si="0"/>
        <v>28</v>
      </c>
      <c r="B52" s="3" t="s">
        <v>95</v>
      </c>
      <c r="C52" s="228">
        <v>0</v>
      </c>
      <c r="D52" s="25"/>
      <c r="F52" s="15"/>
    </row>
    <row r="53" spans="1:8" x14ac:dyDescent="0.25">
      <c r="A53" s="3">
        <f t="shared" si="0"/>
        <v>29</v>
      </c>
      <c r="B53" s="3" t="s">
        <v>96</v>
      </c>
      <c r="C53" s="227">
        <v>2979374</v>
      </c>
      <c r="D53" s="25"/>
      <c r="F53" s="15"/>
    </row>
    <row r="54" spans="1:8" x14ac:dyDescent="0.25">
      <c r="A54" s="3">
        <f t="shared" si="0"/>
        <v>30</v>
      </c>
      <c r="B54" s="3" t="s">
        <v>97</v>
      </c>
      <c r="C54" s="227">
        <v>0</v>
      </c>
      <c r="D54" s="25"/>
      <c r="F54" s="15"/>
    </row>
    <row r="55" spans="1:8" x14ac:dyDescent="0.25">
      <c r="A55" s="3">
        <f t="shared" si="0"/>
        <v>31</v>
      </c>
      <c r="B55" s="3" t="s">
        <v>130</v>
      </c>
      <c r="C55" s="227">
        <v>0</v>
      </c>
      <c r="D55" s="25"/>
      <c r="F55" s="15"/>
    </row>
    <row r="56" spans="1:8" x14ac:dyDescent="0.25">
      <c r="A56" s="3">
        <f t="shared" si="0"/>
        <v>32</v>
      </c>
      <c r="B56" s="3" t="s">
        <v>98</v>
      </c>
      <c r="C56" s="222">
        <f>SUM(C52:C55)</f>
        <v>2979374</v>
      </c>
      <c r="D56" s="3" t="s">
        <v>213</v>
      </c>
      <c r="F56" s="15"/>
    </row>
    <row r="57" spans="1:8" x14ac:dyDescent="0.25">
      <c r="C57" s="198"/>
      <c r="D57" s="25"/>
      <c r="F57" s="15"/>
    </row>
    <row r="58" spans="1:8" x14ac:dyDescent="0.25">
      <c r="A58" s="3">
        <v>35</v>
      </c>
      <c r="B58" s="3" t="s">
        <v>525</v>
      </c>
      <c r="C58" s="199"/>
      <c r="D58" s="25"/>
      <c r="F58" s="15"/>
    </row>
    <row r="59" spans="1:8" x14ac:dyDescent="0.25">
      <c r="A59" s="3">
        <f t="shared" si="0"/>
        <v>36</v>
      </c>
      <c r="B59" s="3" t="s">
        <v>141</v>
      </c>
      <c r="C59" s="230">
        <v>240200</v>
      </c>
      <c r="D59" s="25"/>
      <c r="F59" s="15"/>
    </row>
    <row r="60" spans="1:8" x14ac:dyDescent="0.25">
      <c r="A60" s="3">
        <f t="shared" si="0"/>
        <v>37</v>
      </c>
      <c r="B60" s="3" t="s">
        <v>142</v>
      </c>
      <c r="C60" s="229">
        <v>37916</v>
      </c>
      <c r="D60" s="25"/>
      <c r="F60" s="15"/>
    </row>
    <row r="61" spans="1:8" x14ac:dyDescent="0.25">
      <c r="A61" s="3">
        <f t="shared" si="0"/>
        <v>38</v>
      </c>
      <c r="B61" s="3" t="s">
        <v>143</v>
      </c>
      <c r="C61" s="229">
        <v>87824</v>
      </c>
      <c r="D61" s="25"/>
      <c r="F61" s="15"/>
    </row>
    <row r="62" spans="1:8" x14ac:dyDescent="0.25">
      <c r="A62" s="3">
        <f t="shared" si="0"/>
        <v>39</v>
      </c>
      <c r="B62" s="3" t="s">
        <v>184</v>
      </c>
      <c r="C62" s="229">
        <v>77679</v>
      </c>
      <c r="D62" s="25"/>
      <c r="F62" s="15"/>
    </row>
    <row r="63" spans="1:8" x14ac:dyDescent="0.25">
      <c r="A63" s="3">
        <f t="shared" si="0"/>
        <v>40</v>
      </c>
      <c r="B63" s="3" t="s">
        <v>144</v>
      </c>
      <c r="C63" s="229">
        <v>53351</v>
      </c>
      <c r="D63" s="25"/>
      <c r="F63" s="15"/>
    </row>
    <row r="64" spans="1:8" x14ac:dyDescent="0.25">
      <c r="A64" s="3">
        <f t="shared" si="0"/>
        <v>41</v>
      </c>
      <c r="B64" s="3" t="s">
        <v>145</v>
      </c>
      <c r="C64" s="229">
        <v>23827336</v>
      </c>
      <c r="F64" s="15"/>
    </row>
    <row r="65" spans="1:6" x14ac:dyDescent="0.25">
      <c r="A65" s="3">
        <f t="shared" si="0"/>
        <v>42</v>
      </c>
      <c r="B65" s="3" t="s">
        <v>146</v>
      </c>
      <c r="C65" s="222">
        <f>SUM(C59:C64)</f>
        <v>24324306</v>
      </c>
      <c r="D65" s="3" t="s">
        <v>202</v>
      </c>
      <c r="F65" s="15"/>
    </row>
    <row r="66" spans="1:6" x14ac:dyDescent="0.25">
      <c r="A66" s="3">
        <f t="shared" si="0"/>
        <v>43</v>
      </c>
      <c r="C66" s="77"/>
      <c r="F66" s="15"/>
    </row>
    <row r="67" spans="1:6" x14ac:dyDescent="0.25">
      <c r="A67" s="3">
        <f t="shared" si="0"/>
        <v>44</v>
      </c>
      <c r="B67" s="58" t="s">
        <v>278</v>
      </c>
      <c r="C67" s="16"/>
      <c r="D67" s="7"/>
      <c r="E67" s="7"/>
      <c r="F67" s="16"/>
    </row>
    <row r="68" spans="1:6" x14ac:dyDescent="0.25">
      <c r="A68" s="3">
        <f>1+A67</f>
        <v>45</v>
      </c>
      <c r="B68" s="131" t="s">
        <v>414</v>
      </c>
      <c r="C68" s="171"/>
      <c r="D68" s="172"/>
      <c r="E68" s="90"/>
      <c r="F68" s="16"/>
    </row>
    <row r="69" spans="1:6" x14ac:dyDescent="0.25">
      <c r="A69" s="7"/>
      <c r="B69" s="173"/>
      <c r="C69" s="171"/>
      <c r="D69" s="172"/>
      <c r="E69" s="90"/>
      <c r="F69" s="16"/>
    </row>
    <row r="70" spans="1:6" x14ac:dyDescent="0.25">
      <c r="A70" s="7"/>
      <c r="B70" s="173"/>
      <c r="C70" s="171"/>
      <c r="D70" s="172"/>
      <c r="E70" s="90"/>
      <c r="F70" s="16"/>
    </row>
    <row r="71" spans="1:6" x14ac:dyDescent="0.25">
      <c r="A71" s="7"/>
      <c r="B71" s="173"/>
      <c r="C71" s="171"/>
      <c r="D71" s="172"/>
      <c r="E71" s="90"/>
      <c r="F71" s="16"/>
    </row>
    <row r="72" spans="1:6" x14ac:dyDescent="0.25">
      <c r="A72" s="7"/>
      <c r="B72" s="173"/>
      <c r="C72" s="171"/>
      <c r="D72" s="172"/>
      <c r="E72" s="90"/>
      <c r="F72" s="16"/>
    </row>
    <row r="73" spans="1:6" x14ac:dyDescent="0.25">
      <c r="A73" s="7"/>
      <c r="C73" s="91"/>
      <c r="D73" s="90"/>
      <c r="E73" s="90"/>
      <c r="F73" s="16"/>
    </row>
    <row r="74" spans="1:6" x14ac:dyDescent="0.25">
      <c r="A74" s="7"/>
      <c r="B74" s="173"/>
      <c r="C74" s="91"/>
      <c r="D74" s="90"/>
      <c r="E74" s="90"/>
      <c r="F74" s="16"/>
    </row>
    <row r="75" spans="1:6" x14ac:dyDescent="0.25">
      <c r="A75" s="7"/>
      <c r="B75" s="173"/>
      <c r="C75" s="171"/>
      <c r="D75" s="172"/>
      <c r="E75" s="90"/>
      <c r="F75" s="16"/>
    </row>
    <row r="76" spans="1:6" x14ac:dyDescent="0.25">
      <c r="A76" s="7"/>
      <c r="B76" s="173"/>
      <c r="C76" s="171"/>
      <c r="D76" s="172"/>
      <c r="E76" s="90"/>
      <c r="F76" s="16"/>
    </row>
    <row r="77" spans="1:6" x14ac:dyDescent="0.25">
      <c r="A77" s="7"/>
      <c r="B77" s="173"/>
      <c r="C77" s="171"/>
      <c r="D77" s="172"/>
      <c r="E77" s="90"/>
      <c r="F77" s="16"/>
    </row>
    <row r="78" spans="1:6" x14ac:dyDescent="0.25">
      <c r="A78" s="7"/>
      <c r="B78" s="173"/>
      <c r="C78" s="171"/>
      <c r="D78" s="172"/>
      <c r="E78" s="90"/>
      <c r="F78" s="16"/>
    </row>
    <row r="79" spans="1:6" x14ac:dyDescent="0.25">
      <c r="A79" s="7"/>
      <c r="B79" s="173"/>
      <c r="C79" s="171"/>
      <c r="D79" s="172"/>
      <c r="E79" s="90"/>
      <c r="F79" s="16"/>
    </row>
    <row r="80" spans="1:6" x14ac:dyDescent="0.25">
      <c r="A80" s="7"/>
      <c r="B80" s="173"/>
      <c r="C80" s="171"/>
      <c r="D80" s="172"/>
      <c r="E80" s="90"/>
      <c r="F80" s="16"/>
    </row>
    <row r="81" spans="1:6" x14ac:dyDescent="0.25">
      <c r="A81" s="7"/>
      <c r="B81" s="173"/>
      <c r="C81" s="171"/>
      <c r="D81" s="172"/>
      <c r="E81" s="90"/>
      <c r="F81" s="16"/>
    </row>
    <row r="82" spans="1:6" x14ac:dyDescent="0.25">
      <c r="A82" s="7"/>
      <c r="B82" s="173"/>
      <c r="C82" s="171"/>
      <c r="D82" s="172"/>
      <c r="E82" s="90"/>
      <c r="F82" s="16"/>
    </row>
    <row r="83" spans="1:6" x14ac:dyDescent="0.25">
      <c r="A83" s="7"/>
      <c r="C83" s="171"/>
      <c r="D83" s="172"/>
      <c r="E83" s="90"/>
      <c r="F83" s="16"/>
    </row>
    <row r="84" spans="1:6" x14ac:dyDescent="0.25">
      <c r="A84" s="7"/>
      <c r="C84" s="89"/>
      <c r="D84" s="90"/>
      <c r="E84" s="90"/>
      <c r="F84" s="7"/>
    </row>
    <row r="85" spans="1:6" x14ac:dyDescent="0.25">
      <c r="A85" s="7"/>
      <c r="B85" s="7"/>
      <c r="C85" s="7"/>
      <c r="D85" s="7"/>
      <c r="E85" s="7"/>
      <c r="F85" s="7"/>
    </row>
  </sheetData>
  <customSheetViews>
    <customSheetView guid="{64F6106B-9E0C-489A-BDF0-E26F35DDE29F}" showPageBreaks="1" showGridLines="0" fitToPage="1" printArea="1" topLeftCell="A61">
      <selection activeCell="B22" sqref="B22"/>
      <pageMargins left="0" right="0" top="0.75" bottom="0" header="0.5" footer="0.5"/>
      <pageSetup scale="57" orientation="portrait" horizontalDpi="300" verticalDpi="300" r:id="rId1"/>
      <headerFooter alignWithMargins="0">
        <oddFooter xml:space="preserve">&amp;C
</oddFooter>
      </headerFooter>
    </customSheetView>
  </customSheetViews>
  <phoneticPr fontId="0" type="noConversion"/>
  <pageMargins left="0" right="0" top="0.75" bottom="0" header="0.5" footer="0.5"/>
  <pageSetup scale="54" orientation="portrait" r:id="rId2"/>
  <headerFooter alignWithMargins="0">
    <oddFooter xml:space="preserve"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showGridLines="0" tabSelected="1" zoomScale="80" zoomScaleNormal="80" workbookViewId="0">
      <selection activeCell="E32" sqref="E32"/>
    </sheetView>
  </sheetViews>
  <sheetFormatPr defaultColWidth="6" defaultRowHeight="15" x14ac:dyDescent="0.25"/>
  <cols>
    <col min="1" max="1" width="7.7109375" style="3" bestFit="1" customWidth="1"/>
    <col min="2" max="2" width="78.140625" style="3" customWidth="1"/>
    <col min="3" max="3" width="6" style="3" customWidth="1"/>
    <col min="4" max="4" width="26.28515625" style="3" bestFit="1" customWidth="1"/>
    <col min="5" max="10" width="6" style="3"/>
    <col min="11" max="11" width="26.28515625" style="3" bestFit="1" customWidth="1"/>
    <col min="12" max="12" width="21" style="3" bestFit="1" customWidth="1"/>
    <col min="13" max="13" width="6" style="3"/>
    <col min="14" max="14" width="19.5703125" style="3" bestFit="1" customWidth="1"/>
    <col min="15" max="16384" width="6" style="3"/>
  </cols>
  <sheetData>
    <row r="1" spans="1:10" x14ac:dyDescent="0.25">
      <c r="A1" s="2"/>
      <c r="B1" s="4"/>
      <c r="C1" s="4"/>
      <c r="D1" s="4"/>
    </row>
    <row r="4" spans="1:10" ht="19.5" x14ac:dyDescent="0.35">
      <c r="B4" s="70" t="s">
        <v>118</v>
      </c>
    </row>
    <row r="5" spans="1:10" x14ac:dyDescent="0.25">
      <c r="B5" s="21" t="s">
        <v>138</v>
      </c>
    </row>
    <row r="6" spans="1:10" x14ac:dyDescent="0.25">
      <c r="B6" s="121" t="s">
        <v>480</v>
      </c>
    </row>
    <row r="7" spans="1:10" x14ac:dyDescent="0.25">
      <c r="B7" s="121">
        <v>2015</v>
      </c>
      <c r="E7" s="5" t="s">
        <v>119</v>
      </c>
    </row>
    <row r="8" spans="1:10" x14ac:dyDescent="0.25">
      <c r="E8" s="5" t="s">
        <v>186</v>
      </c>
    </row>
    <row r="9" spans="1:10" x14ac:dyDescent="0.25">
      <c r="E9" s="5" t="s">
        <v>465</v>
      </c>
    </row>
    <row r="11" spans="1:10" x14ac:dyDescent="0.25">
      <c r="A11" s="34" t="s">
        <v>65</v>
      </c>
      <c r="E11" s="3" t="s">
        <v>99</v>
      </c>
      <c r="J11" s="12"/>
    </row>
    <row r="12" spans="1:10" x14ac:dyDescent="0.25">
      <c r="A12" s="65" t="s">
        <v>70</v>
      </c>
      <c r="C12" s="8"/>
      <c r="D12" s="8"/>
      <c r="E12" s="98" t="s">
        <v>4</v>
      </c>
      <c r="F12" s="97"/>
      <c r="G12" s="9"/>
      <c r="I12" s="12"/>
    </row>
    <row r="13" spans="1:10" x14ac:dyDescent="0.25">
      <c r="A13" s="11"/>
      <c r="F13" s="7"/>
      <c r="G13" s="7"/>
    </row>
    <row r="14" spans="1:10" x14ac:dyDescent="0.25">
      <c r="A14" s="21">
        <v>1</v>
      </c>
      <c r="B14" s="12" t="s">
        <v>131</v>
      </c>
      <c r="F14" s="7"/>
      <c r="G14" s="17"/>
    </row>
    <row r="15" spans="1:10" x14ac:dyDescent="0.25">
      <c r="A15" s="21"/>
      <c r="F15" s="7"/>
      <c r="G15" s="17"/>
    </row>
    <row r="16" spans="1:10" x14ac:dyDescent="0.25">
      <c r="A16" s="21">
        <v>2</v>
      </c>
      <c r="B16" s="3" t="s">
        <v>100</v>
      </c>
      <c r="D16" s="177">
        <v>826690</v>
      </c>
      <c r="E16" s="3" t="s">
        <v>112</v>
      </c>
      <c r="F16" s="7"/>
      <c r="G16" s="14"/>
    </row>
    <row r="17" spans="1:14" x14ac:dyDescent="0.25">
      <c r="A17" s="21"/>
      <c r="D17" s="178"/>
      <c r="F17" s="7"/>
      <c r="G17" s="17"/>
    </row>
    <row r="18" spans="1:14" x14ac:dyDescent="0.25">
      <c r="A18" s="21">
        <v>3</v>
      </c>
      <c r="B18" s="3" t="s">
        <v>101</v>
      </c>
      <c r="D18" s="179">
        <v>36706196</v>
      </c>
      <c r="E18" s="3" t="s">
        <v>113</v>
      </c>
      <c r="F18" s="7"/>
      <c r="G18" s="14"/>
    </row>
    <row r="19" spans="1:14" x14ac:dyDescent="0.25">
      <c r="A19" s="21">
        <f>1+A18</f>
        <v>4</v>
      </c>
      <c r="B19" s="3" t="s">
        <v>102</v>
      </c>
      <c r="C19" s="7"/>
      <c r="D19" s="179">
        <v>14382284</v>
      </c>
      <c r="E19" s="3" t="s">
        <v>114</v>
      </c>
      <c r="F19" s="7"/>
      <c r="G19" s="14"/>
    </row>
    <row r="20" spans="1:14" x14ac:dyDescent="0.25">
      <c r="A20" s="21">
        <f>1+A19</f>
        <v>5</v>
      </c>
      <c r="B20" s="3" t="s">
        <v>139</v>
      </c>
      <c r="C20" s="21"/>
      <c r="D20" s="180">
        <f>D18-D19</f>
        <v>22323912</v>
      </c>
      <c r="E20" s="3" t="s">
        <v>190</v>
      </c>
      <c r="F20" s="7"/>
      <c r="G20" s="23"/>
    </row>
    <row r="21" spans="1:14" x14ac:dyDescent="0.25">
      <c r="A21" s="21"/>
      <c r="D21" s="181"/>
      <c r="F21" s="7"/>
      <c r="G21" s="17"/>
    </row>
    <row r="22" spans="1:14" x14ac:dyDescent="0.25">
      <c r="A22" s="21">
        <v>7</v>
      </c>
      <c r="B22" s="3" t="s">
        <v>140</v>
      </c>
      <c r="D22" s="182">
        <f>+D16/D20</f>
        <v>3.7031591953955022E-2</v>
      </c>
      <c r="E22" s="3" t="s">
        <v>191</v>
      </c>
      <c r="F22" s="7"/>
      <c r="G22" s="19"/>
    </row>
    <row r="23" spans="1:14" x14ac:dyDescent="0.25">
      <c r="A23" s="21">
        <f>1+A22</f>
        <v>8</v>
      </c>
      <c r="B23" s="69" t="s">
        <v>126</v>
      </c>
      <c r="D23" s="183">
        <f>+D47</f>
        <v>0.75500030147558927</v>
      </c>
      <c r="E23" s="3" t="s">
        <v>192</v>
      </c>
      <c r="F23" s="7"/>
      <c r="G23" s="17"/>
    </row>
    <row r="24" spans="1:14" ht="16.5" thickBot="1" x14ac:dyDescent="0.35">
      <c r="A24" s="21">
        <f>1+A23</f>
        <v>9</v>
      </c>
      <c r="B24" s="84" t="s">
        <v>125</v>
      </c>
      <c r="D24" s="184">
        <f>+D22*D23</f>
        <v>2.7958863089357047E-2</v>
      </c>
      <c r="E24" s="3" t="s">
        <v>193</v>
      </c>
      <c r="F24" s="7"/>
      <c r="G24" s="17"/>
    </row>
    <row r="25" spans="1:14" ht="15.75" thickTop="1" x14ac:dyDescent="0.25">
      <c r="A25" s="21"/>
      <c r="D25" s="185"/>
      <c r="F25" s="7"/>
      <c r="G25" s="25"/>
    </row>
    <row r="26" spans="1:14" x14ac:dyDescent="0.25">
      <c r="A26" s="21">
        <v>10</v>
      </c>
      <c r="B26" s="12" t="s">
        <v>132</v>
      </c>
      <c r="D26" s="180"/>
      <c r="F26" s="7"/>
      <c r="G26" s="17"/>
    </row>
    <row r="27" spans="1:14" x14ac:dyDescent="0.25">
      <c r="A27" s="21"/>
      <c r="B27" s="12"/>
      <c r="D27" s="180"/>
      <c r="F27" s="7"/>
      <c r="G27" s="17"/>
    </row>
    <row r="28" spans="1:14" x14ac:dyDescent="0.25">
      <c r="A28" s="21">
        <v>11</v>
      </c>
      <c r="B28" s="94" t="s">
        <v>121</v>
      </c>
      <c r="D28" s="186">
        <f>+'7  13 mo avg plant'!C29</f>
        <v>206851254.53307691</v>
      </c>
      <c r="E28" s="94" t="s">
        <v>408</v>
      </c>
      <c r="F28" s="7"/>
      <c r="G28" s="17"/>
    </row>
    <row r="29" spans="1:14" ht="18.75" x14ac:dyDescent="0.3">
      <c r="A29" s="21">
        <f>1+A28</f>
        <v>12</v>
      </c>
      <c r="B29" s="94" t="s">
        <v>122</v>
      </c>
      <c r="D29" s="241">
        <v>47439967</v>
      </c>
      <c r="E29" s="94" t="s">
        <v>538</v>
      </c>
      <c r="F29" s="7"/>
      <c r="G29" s="17"/>
      <c r="K29" s="266"/>
      <c r="L29" s="269"/>
      <c r="M29" s="269"/>
      <c r="N29" s="269"/>
    </row>
    <row r="30" spans="1:14" x14ac:dyDescent="0.25">
      <c r="A30" s="21">
        <f>1+A29</f>
        <v>13</v>
      </c>
      <c r="B30" s="94" t="s">
        <v>478</v>
      </c>
      <c r="D30" s="241">
        <v>30166</v>
      </c>
      <c r="E30" s="94" t="s">
        <v>512</v>
      </c>
      <c r="F30" s="7"/>
      <c r="G30" s="17"/>
      <c r="N30" s="5"/>
    </row>
    <row r="31" spans="1:14" ht="18.75" x14ac:dyDescent="0.3">
      <c r="A31" s="21">
        <f>1+A30</f>
        <v>14</v>
      </c>
      <c r="B31" s="94" t="s">
        <v>123</v>
      </c>
      <c r="D31" s="241">
        <v>1645086</v>
      </c>
      <c r="E31" s="94" t="s">
        <v>539</v>
      </c>
      <c r="F31" s="7"/>
      <c r="G31" s="17"/>
      <c r="H31" s="267"/>
      <c r="K31" s="266"/>
      <c r="L31" s="269"/>
      <c r="M31" s="269"/>
      <c r="N31" s="269"/>
    </row>
    <row r="32" spans="1:14" x14ac:dyDescent="0.25">
      <c r="A32" s="21">
        <f>1+A31</f>
        <v>15</v>
      </c>
      <c r="B32" s="95" t="s">
        <v>182</v>
      </c>
      <c r="D32" s="218">
        <v>1563276</v>
      </c>
      <c r="E32" s="96" t="s">
        <v>183</v>
      </c>
      <c r="F32" s="7"/>
      <c r="G32" s="17"/>
      <c r="N32" s="5"/>
    </row>
    <row r="33" spans="1:10" x14ac:dyDescent="0.25">
      <c r="A33" s="21"/>
      <c r="D33" s="185"/>
      <c r="F33" s="7"/>
      <c r="G33" s="17"/>
    </row>
    <row r="34" spans="1:10" x14ac:dyDescent="0.25">
      <c r="A34" s="21">
        <v>16</v>
      </c>
      <c r="B34" s="3" t="s">
        <v>124</v>
      </c>
      <c r="D34" s="185">
        <f>+D28-D29-D30-D31-D32</f>
        <v>156172759.53307691</v>
      </c>
      <c r="E34" s="3" t="s">
        <v>194</v>
      </c>
      <c r="F34" s="7"/>
      <c r="G34" s="25"/>
    </row>
    <row r="35" spans="1:10" x14ac:dyDescent="0.25">
      <c r="A35" s="21">
        <f>1+A34</f>
        <v>17</v>
      </c>
      <c r="B35" s="2" t="s">
        <v>175</v>
      </c>
      <c r="D35" s="187">
        <f>+'3 Rate Base'!F16</f>
        <v>3027917</v>
      </c>
      <c r="E35" s="73" t="s">
        <v>360</v>
      </c>
      <c r="F35" s="73"/>
      <c r="G35" s="69"/>
      <c r="H35" s="69"/>
      <c r="I35" s="69"/>
      <c r="J35" s="69"/>
    </row>
    <row r="36" spans="1:10" x14ac:dyDescent="0.25">
      <c r="A36" s="21">
        <f>1+A35</f>
        <v>18</v>
      </c>
      <c r="B36" s="34" t="s">
        <v>220</v>
      </c>
      <c r="C36" s="24"/>
      <c r="D36" s="188">
        <f>+D34+D35</f>
        <v>159200676.53307691</v>
      </c>
      <c r="E36" s="3" t="s">
        <v>195</v>
      </c>
      <c r="F36" s="7"/>
      <c r="G36" s="25"/>
    </row>
    <row r="37" spans="1:10" x14ac:dyDescent="0.25">
      <c r="A37" s="21"/>
      <c r="D37" s="180"/>
      <c r="F37" s="7"/>
      <c r="G37" s="26"/>
    </row>
    <row r="38" spans="1:10" x14ac:dyDescent="0.25">
      <c r="A38" s="21">
        <v>19</v>
      </c>
      <c r="B38" s="3" t="s">
        <v>103</v>
      </c>
      <c r="D38" s="189">
        <f>+'7  13 mo avg plant'!C63</f>
        <v>1562735814.5992308</v>
      </c>
      <c r="E38" s="3" t="s">
        <v>409</v>
      </c>
      <c r="F38" s="7"/>
      <c r="G38" s="25"/>
    </row>
    <row r="39" spans="1:10" x14ac:dyDescent="0.25">
      <c r="A39" s="21"/>
      <c r="D39" s="180"/>
      <c r="F39" s="7"/>
      <c r="G39" s="16"/>
    </row>
    <row r="40" spans="1:10" ht="16.5" thickBot="1" x14ac:dyDescent="0.35">
      <c r="A40" s="21">
        <v>20</v>
      </c>
      <c r="B40" s="84" t="s">
        <v>135</v>
      </c>
      <c r="D40" s="184">
        <f>ROUND(D36/D38,6)</f>
        <v>0.10187300000000001</v>
      </c>
      <c r="E40" s="3" t="s">
        <v>196</v>
      </c>
      <c r="F40" s="7"/>
      <c r="G40" s="18"/>
    </row>
    <row r="41" spans="1:10" ht="15.75" thickTop="1" x14ac:dyDescent="0.25">
      <c r="A41" s="71"/>
      <c r="B41" s="69"/>
      <c r="C41" s="69"/>
      <c r="D41" s="190"/>
      <c r="E41" s="69"/>
      <c r="F41" s="73"/>
      <c r="G41" s="73"/>
      <c r="H41" s="69"/>
    </row>
    <row r="42" spans="1:10" x14ac:dyDescent="0.25">
      <c r="A42" s="71">
        <v>21</v>
      </c>
      <c r="B42" s="75" t="s">
        <v>134</v>
      </c>
      <c r="C42" s="69"/>
      <c r="D42" s="190"/>
      <c r="E42" s="69"/>
      <c r="F42" s="73"/>
      <c r="G42" s="73"/>
      <c r="H42" s="69"/>
    </row>
    <row r="43" spans="1:10" x14ac:dyDescent="0.25">
      <c r="A43" s="71"/>
      <c r="B43" s="69"/>
      <c r="C43" s="69"/>
      <c r="D43" s="190"/>
      <c r="E43" s="69"/>
      <c r="F43" s="69"/>
      <c r="G43" s="69"/>
      <c r="H43" s="69"/>
    </row>
    <row r="44" spans="1:10" x14ac:dyDescent="0.25">
      <c r="A44" s="71">
        <v>22</v>
      </c>
      <c r="B44" s="69" t="s">
        <v>124</v>
      </c>
      <c r="C44" s="69"/>
      <c r="D44" s="186">
        <f>+D34</f>
        <v>156172759.53307691</v>
      </c>
      <c r="E44" s="69" t="s">
        <v>197</v>
      </c>
      <c r="F44" s="73"/>
      <c r="G44" s="73"/>
      <c r="H44" s="69"/>
    </row>
    <row r="45" spans="1:10" x14ac:dyDescent="0.25">
      <c r="A45" s="71">
        <f>1+A44</f>
        <v>23</v>
      </c>
      <c r="B45" s="69" t="s">
        <v>121</v>
      </c>
      <c r="C45" s="69"/>
      <c r="D45" s="189">
        <f>+D28</f>
        <v>206851254.53307691</v>
      </c>
      <c r="E45" s="69" t="s">
        <v>198</v>
      </c>
      <c r="F45" s="73"/>
      <c r="G45" s="73"/>
      <c r="H45" s="69"/>
    </row>
    <row r="46" spans="1:10" x14ac:dyDescent="0.25">
      <c r="A46" s="71"/>
      <c r="B46" s="69"/>
      <c r="C46" s="69"/>
      <c r="D46" s="185"/>
      <c r="E46" s="69"/>
      <c r="F46" s="73"/>
      <c r="G46" s="73"/>
      <c r="H46" s="69"/>
    </row>
    <row r="47" spans="1:10" ht="16.5" thickBot="1" x14ac:dyDescent="0.35">
      <c r="A47" s="71">
        <v>24</v>
      </c>
      <c r="B47" s="85" t="s">
        <v>126</v>
      </c>
      <c r="C47" s="69"/>
      <c r="D47" s="191">
        <f>+D44/D45</f>
        <v>0.75500030147558927</v>
      </c>
      <c r="E47" s="69" t="s">
        <v>199</v>
      </c>
      <c r="F47" s="73"/>
      <c r="G47" s="74"/>
      <c r="H47" s="69"/>
    </row>
    <row r="48" spans="1:10" ht="15.75" thickTop="1" x14ac:dyDescent="0.25">
      <c r="A48" s="71"/>
      <c r="B48" s="69"/>
      <c r="C48" s="69"/>
      <c r="D48" s="69"/>
      <c r="E48" s="69"/>
      <c r="F48" s="69"/>
      <c r="G48" s="69"/>
      <c r="H48" s="69"/>
    </row>
    <row r="49" spans="1:1" x14ac:dyDescent="0.25">
      <c r="A49" s="21"/>
    </row>
    <row r="50" spans="1:1" x14ac:dyDescent="0.25">
      <c r="A50" s="21"/>
    </row>
    <row r="51" spans="1:1" x14ac:dyDescent="0.25">
      <c r="A51" s="21"/>
    </row>
    <row r="52" spans="1:1" x14ac:dyDescent="0.25">
      <c r="A52" s="21"/>
    </row>
    <row r="53" spans="1:1" x14ac:dyDescent="0.25">
      <c r="A53" s="21"/>
    </row>
    <row r="54" spans="1:1" x14ac:dyDescent="0.25">
      <c r="A54" s="21"/>
    </row>
    <row r="55" spans="1:1" x14ac:dyDescent="0.25">
      <c r="A55" s="21"/>
    </row>
    <row r="76" spans="5:7" x14ac:dyDescent="0.25">
      <c r="E76" s="22"/>
      <c r="G76" s="22"/>
    </row>
  </sheetData>
  <customSheetViews>
    <customSheetView guid="{64F6106B-9E0C-489A-BDF0-E26F35DDE29F}" scale="90" showPageBreaks="1" showGridLines="0" fitToPage="1" printArea="1" topLeftCell="A3">
      <selection activeCell="B36" sqref="B36"/>
      <pageMargins left="0" right="0" top="0.75" bottom="0" header="0.5" footer="0.5"/>
      <pageSetup scale="64" orientation="portrait" horizontalDpi="300" verticalDpi="300" r:id="rId1"/>
      <headerFooter alignWithMargins="0">
        <oddFooter xml:space="preserve">&amp;C
</oddFooter>
      </headerFooter>
    </customSheetView>
  </customSheetViews>
  <phoneticPr fontId="0" type="noConversion"/>
  <pageMargins left="0" right="0" top="0.75" bottom="0" header="0.5" footer="0.5"/>
  <pageSetup scale="45" orientation="portrait" r:id="rId2"/>
  <headerFooter alignWithMargins="0">
    <oddFooter xml:space="preserve"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"/>
  <sheetViews>
    <sheetView workbookViewId="0"/>
  </sheetViews>
  <sheetFormatPr defaultRowHeight="12.75" x14ac:dyDescent="0.2"/>
  <cols>
    <col min="1" max="1" width="48.28515625" customWidth="1"/>
    <col min="2" max="2" width="2.28515625" customWidth="1"/>
    <col min="3" max="3" width="53.28515625" customWidth="1"/>
  </cols>
  <sheetData>
    <row r="1" spans="1:1" ht="15" x14ac:dyDescent="0.25">
      <c r="A1" s="1" t="s">
        <v>104</v>
      </c>
    </row>
    <row r="3" spans="1:1" ht="15" x14ac:dyDescent="0.25">
      <c r="A3" s="1"/>
    </row>
  </sheetData>
  <customSheetViews>
    <customSheetView guid="{64F6106B-9E0C-489A-BDF0-E26F35DDE29F}" fitToPage="1" state="hidden">
      <pageMargins left="0.5" right="0" top="0.5" bottom="0.2" header="0" footer="0.25"/>
      <pageSetup orientation="landscape" horizontalDpi="4294967292" verticalDpi="300" r:id="rId1"/>
      <headerFooter alignWithMargins="0">
        <oddFooter>&amp;CBOOK1.XLT&amp;RPage &amp;P</oddFooter>
      </headerFooter>
    </customSheetView>
  </customSheetViews>
  <phoneticPr fontId="0" type="noConversion"/>
  <pageMargins left="0.5" right="0" top="0.5" bottom="0.2" header="0" footer="0.25"/>
  <pageSetup orientation="landscape" horizontalDpi="4294967292" verticalDpi="300" r:id="rId2"/>
  <headerFooter alignWithMargins="0">
    <oddFooter>&amp;CBOOK1.XLT&amp;RPage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E44"/>
  <sheetViews>
    <sheetView showGridLines="0" zoomScale="90" zoomScaleNormal="90" workbookViewId="0">
      <selection activeCell="G4" sqref="G4"/>
    </sheetView>
  </sheetViews>
  <sheetFormatPr defaultRowHeight="12.75" x14ac:dyDescent="0.2"/>
  <cols>
    <col min="1" max="1" width="75.7109375" customWidth="1"/>
    <col min="2" max="2" width="16.85546875" bestFit="1" customWidth="1"/>
    <col min="3" max="3" width="6.140625" customWidth="1"/>
    <col min="4" max="4" width="27.5703125" bestFit="1" customWidth="1"/>
  </cols>
  <sheetData>
    <row r="4" spans="1:5" ht="19.5" x14ac:dyDescent="0.35">
      <c r="A4" s="70" t="s">
        <v>118</v>
      </c>
      <c r="D4" s="5" t="s">
        <v>119</v>
      </c>
    </row>
    <row r="5" spans="1:5" ht="15" x14ac:dyDescent="0.25">
      <c r="A5" s="21" t="s">
        <v>279</v>
      </c>
      <c r="B5" s="99"/>
      <c r="D5" s="5" t="s">
        <v>186</v>
      </c>
    </row>
    <row r="6" spans="1:5" ht="15" x14ac:dyDescent="0.25">
      <c r="A6" s="100"/>
      <c r="B6" s="99"/>
      <c r="D6" s="5" t="s">
        <v>466</v>
      </c>
    </row>
    <row r="7" spans="1:5" ht="13.5" x14ac:dyDescent="0.25">
      <c r="A7" s="99"/>
      <c r="B7" s="99"/>
      <c r="C7" s="99"/>
    </row>
    <row r="8" spans="1:5" ht="13.5" x14ac:dyDescent="0.25">
      <c r="B8" s="273" t="s">
        <v>224</v>
      </c>
      <c r="D8" s="100" t="s">
        <v>225</v>
      </c>
      <c r="E8" t="s">
        <v>99</v>
      </c>
    </row>
    <row r="9" spans="1:5" ht="15" x14ac:dyDescent="0.25">
      <c r="A9" s="3" t="s">
        <v>226</v>
      </c>
      <c r="B9" s="273" t="s">
        <v>227</v>
      </c>
      <c r="D9" s="100" t="s">
        <v>533</v>
      </c>
      <c r="E9" t="s">
        <v>4</v>
      </c>
    </row>
    <row r="10" spans="1:5" ht="15" x14ac:dyDescent="0.25">
      <c r="A10" s="3"/>
      <c r="B10" s="3"/>
      <c r="D10" s="3"/>
    </row>
    <row r="11" spans="1:5" ht="15" x14ac:dyDescent="0.25">
      <c r="A11" s="3" t="s">
        <v>228</v>
      </c>
      <c r="B11" s="5" t="s">
        <v>229</v>
      </c>
      <c r="D11" s="254">
        <v>1.6430491838413802E-2</v>
      </c>
      <c r="E11" s="122" t="s">
        <v>512</v>
      </c>
    </row>
    <row r="12" spans="1:5" ht="15" x14ac:dyDescent="0.25">
      <c r="A12" s="3" t="s">
        <v>230</v>
      </c>
      <c r="B12" s="5" t="s">
        <v>231</v>
      </c>
      <c r="D12" s="254">
        <v>2.3761820202325853E-2</v>
      </c>
      <c r="E12" s="122" t="s">
        <v>512</v>
      </c>
    </row>
    <row r="13" spans="1:5" ht="15" x14ac:dyDescent="0.25">
      <c r="A13" s="3" t="s">
        <v>232</v>
      </c>
      <c r="B13" s="5" t="s">
        <v>233</v>
      </c>
      <c r="D13" s="254">
        <v>5.7752417719200621E-3</v>
      </c>
      <c r="E13" s="122" t="s">
        <v>512</v>
      </c>
    </row>
    <row r="14" spans="1:5" ht="15" x14ac:dyDescent="0.25">
      <c r="A14" s="3" t="s">
        <v>234</v>
      </c>
      <c r="B14" s="5" t="s">
        <v>235</v>
      </c>
      <c r="D14" s="254">
        <v>2.3772991214677113E-2</v>
      </c>
      <c r="E14" s="122" t="s">
        <v>512</v>
      </c>
    </row>
    <row r="15" spans="1:5" ht="15" x14ac:dyDescent="0.25">
      <c r="A15" s="3" t="s">
        <v>236</v>
      </c>
      <c r="B15" s="5" t="s">
        <v>237</v>
      </c>
      <c r="D15" s="254">
        <v>1.8585792120826325E-2</v>
      </c>
      <c r="E15" s="122" t="s">
        <v>512</v>
      </c>
    </row>
    <row r="16" spans="1:5" ht="15" x14ac:dyDescent="0.25">
      <c r="A16" s="3"/>
      <c r="B16" s="3"/>
      <c r="D16" s="255"/>
    </row>
    <row r="17" spans="1:5" ht="15" x14ac:dyDescent="0.25">
      <c r="A17" s="88" t="s">
        <v>238</v>
      </c>
      <c r="B17" s="274">
        <v>36100</v>
      </c>
      <c r="D17" s="158">
        <v>1.7161943453658159E-2</v>
      </c>
      <c r="E17" s="122" t="s">
        <v>512</v>
      </c>
    </row>
    <row r="18" spans="1:5" ht="15" x14ac:dyDescent="0.25">
      <c r="A18" s="88" t="s">
        <v>239</v>
      </c>
      <c r="B18" s="274" t="s">
        <v>240</v>
      </c>
      <c r="D18" s="158">
        <v>2.6409254425753273E-2</v>
      </c>
      <c r="E18" s="122" t="s">
        <v>512</v>
      </c>
    </row>
    <row r="19" spans="1:5" ht="15" x14ac:dyDescent="0.25">
      <c r="A19" s="88" t="s">
        <v>241</v>
      </c>
      <c r="B19" s="274" t="s">
        <v>242</v>
      </c>
      <c r="D19" s="158">
        <v>2.9375987677678427E-2</v>
      </c>
      <c r="E19" s="122" t="s">
        <v>512</v>
      </c>
    </row>
    <row r="20" spans="1:5" ht="15" x14ac:dyDescent="0.25">
      <c r="A20" s="88" t="s">
        <v>243</v>
      </c>
      <c r="B20" s="274" t="s">
        <v>244</v>
      </c>
      <c r="D20" s="158">
        <v>2.6194984977827657E-2</v>
      </c>
      <c r="E20" s="122" t="s">
        <v>512</v>
      </c>
    </row>
    <row r="21" spans="1:5" ht="15" x14ac:dyDescent="0.25">
      <c r="A21" s="88" t="s">
        <v>245</v>
      </c>
      <c r="B21" s="274" t="s">
        <v>246</v>
      </c>
      <c r="D21" s="158">
        <v>2.5112411045857645E-2</v>
      </c>
      <c r="E21" s="122" t="s">
        <v>512</v>
      </c>
    </row>
    <row r="22" spans="1:5" ht="15" x14ac:dyDescent="0.25">
      <c r="A22" s="88" t="s">
        <v>247</v>
      </c>
      <c r="B22" s="274" t="s">
        <v>248</v>
      </c>
      <c r="D22" s="158">
        <v>2.2442188559360979E-2</v>
      </c>
      <c r="E22" s="122" t="s">
        <v>512</v>
      </c>
    </row>
    <row r="23" spans="1:5" ht="15" x14ac:dyDescent="0.25">
      <c r="A23" s="88" t="s">
        <v>249</v>
      </c>
      <c r="B23" s="274" t="s">
        <v>250</v>
      </c>
      <c r="D23" s="158">
        <v>1.9691415070434003E-2</v>
      </c>
      <c r="E23" s="122" t="s">
        <v>512</v>
      </c>
    </row>
    <row r="24" spans="1:5" ht="15" x14ac:dyDescent="0.25">
      <c r="A24" s="88" t="s">
        <v>251</v>
      </c>
      <c r="B24" s="274" t="s">
        <v>252</v>
      </c>
      <c r="D24" s="158">
        <v>2.8973117586864029E-2</v>
      </c>
      <c r="E24" s="122" t="s">
        <v>512</v>
      </c>
    </row>
    <row r="25" spans="1:5" ht="15" x14ac:dyDescent="0.25">
      <c r="A25" s="88" t="s">
        <v>253</v>
      </c>
      <c r="B25" s="274" t="s">
        <v>254</v>
      </c>
      <c r="D25" s="158">
        <v>2.1652153183750942E-2</v>
      </c>
      <c r="E25" s="122" t="s">
        <v>512</v>
      </c>
    </row>
    <row r="26" spans="1:5" ht="15" x14ac:dyDescent="0.25">
      <c r="A26" s="88" t="s">
        <v>475</v>
      </c>
      <c r="B26" s="274" t="s">
        <v>255</v>
      </c>
      <c r="D26" s="158">
        <v>9.7947268778312488E-2</v>
      </c>
      <c r="E26" s="122" t="s">
        <v>512</v>
      </c>
    </row>
    <row r="27" spans="1:5" ht="15" x14ac:dyDescent="0.25">
      <c r="A27" s="88" t="s">
        <v>361</v>
      </c>
      <c r="B27" s="274">
        <v>37100</v>
      </c>
      <c r="D27" s="158">
        <v>4.7399999999999998E-2</v>
      </c>
      <c r="E27" s="122" t="s">
        <v>512</v>
      </c>
    </row>
    <row r="28" spans="1:5" ht="15" x14ac:dyDescent="0.25">
      <c r="A28" s="88" t="s">
        <v>256</v>
      </c>
      <c r="B28" s="274" t="s">
        <v>257</v>
      </c>
      <c r="D28" s="158">
        <v>4.8020522278148202E-2</v>
      </c>
      <c r="E28" s="122" t="s">
        <v>512</v>
      </c>
    </row>
    <row r="29" spans="1:5" ht="15" x14ac:dyDescent="0.25">
      <c r="A29" s="3"/>
      <c r="B29" s="91"/>
      <c r="D29" s="256"/>
    </row>
    <row r="30" spans="1:5" ht="15" x14ac:dyDescent="0.25">
      <c r="A30" s="88" t="s">
        <v>258</v>
      </c>
      <c r="B30" s="274" t="s">
        <v>259</v>
      </c>
      <c r="D30" s="158">
        <v>3.112208558681501E-2</v>
      </c>
      <c r="E30" s="122" t="s">
        <v>512</v>
      </c>
    </row>
    <row r="31" spans="1:5" ht="15" x14ac:dyDescent="0.25">
      <c r="A31" s="88" t="s">
        <v>260</v>
      </c>
      <c r="B31" s="274" t="s">
        <v>261</v>
      </c>
      <c r="D31" s="158">
        <v>4.7954572612278715E-2</v>
      </c>
      <c r="E31" s="122" t="s">
        <v>512</v>
      </c>
    </row>
    <row r="32" spans="1:5" ht="15" x14ac:dyDescent="0.25">
      <c r="A32" s="88" t="s">
        <v>262</v>
      </c>
      <c r="B32" s="274" t="s">
        <v>263</v>
      </c>
      <c r="D32" s="158">
        <v>5.8544137508010692E-2</v>
      </c>
      <c r="E32" s="122" t="s">
        <v>512</v>
      </c>
    </row>
    <row r="33" spans="1:5" ht="15" x14ac:dyDescent="0.25">
      <c r="A33" s="88" t="s">
        <v>264</v>
      </c>
      <c r="B33" s="274" t="s">
        <v>265</v>
      </c>
      <c r="D33" s="158">
        <v>0.18171400594528314</v>
      </c>
      <c r="E33" s="122" t="s">
        <v>512</v>
      </c>
    </row>
    <row r="34" spans="1:5" ht="15" x14ac:dyDescent="0.25">
      <c r="A34" s="88" t="s">
        <v>459</v>
      </c>
      <c r="B34" s="274">
        <v>39200</v>
      </c>
      <c r="D34" s="158">
        <v>7.1400000000000005E-2</v>
      </c>
      <c r="E34" s="122" t="s">
        <v>512</v>
      </c>
    </row>
    <row r="35" spans="1:5" ht="15" x14ac:dyDescent="0.25">
      <c r="A35" s="88" t="s">
        <v>460</v>
      </c>
      <c r="B35" s="274">
        <v>39210</v>
      </c>
      <c r="D35" s="158">
        <v>0.1429</v>
      </c>
      <c r="E35" s="122" t="s">
        <v>512</v>
      </c>
    </row>
    <row r="36" spans="1:5" ht="15" x14ac:dyDescent="0.25">
      <c r="A36" s="88" t="s">
        <v>266</v>
      </c>
      <c r="B36" s="274" t="s">
        <v>267</v>
      </c>
      <c r="D36" s="158">
        <v>3.0370627833286156E-2</v>
      </c>
      <c r="E36" s="122" t="s">
        <v>512</v>
      </c>
    </row>
    <row r="37" spans="1:5" ht="15" x14ac:dyDescent="0.25">
      <c r="A37" s="88" t="s">
        <v>268</v>
      </c>
      <c r="B37" s="274" t="s">
        <v>269</v>
      </c>
      <c r="D37" s="158">
        <v>3.9732800207376046E-2</v>
      </c>
      <c r="E37" s="122" t="s">
        <v>512</v>
      </c>
    </row>
    <row r="38" spans="1:5" ht="15" x14ac:dyDescent="0.25">
      <c r="A38" s="88" t="s">
        <v>270</v>
      </c>
      <c r="B38" s="274" t="s">
        <v>271</v>
      </c>
      <c r="D38" s="158">
        <v>4.9715289716150676E-2</v>
      </c>
      <c r="E38" s="122" t="s">
        <v>512</v>
      </c>
    </row>
    <row r="39" spans="1:5" ht="15" x14ac:dyDescent="0.25">
      <c r="A39" s="88" t="s">
        <v>272</v>
      </c>
      <c r="B39" s="274" t="s">
        <v>273</v>
      </c>
      <c r="D39" s="158">
        <v>7.4414934913645911E-2</v>
      </c>
      <c r="E39" s="122" t="s">
        <v>512</v>
      </c>
    </row>
    <row r="40" spans="1:5" ht="15" x14ac:dyDescent="0.25">
      <c r="A40" s="88" t="s">
        <v>274</v>
      </c>
      <c r="B40" s="274" t="s">
        <v>275</v>
      </c>
      <c r="D40" s="158">
        <v>7.4478376805711066E-2</v>
      </c>
      <c r="E40" s="122" t="s">
        <v>512</v>
      </c>
    </row>
    <row r="41" spans="1:5" ht="15" x14ac:dyDescent="0.25">
      <c r="A41" s="88" t="s">
        <v>342</v>
      </c>
      <c r="B41" s="274">
        <v>39900</v>
      </c>
      <c r="D41" s="158">
        <v>0.2</v>
      </c>
      <c r="E41" s="122" t="s">
        <v>512</v>
      </c>
    </row>
    <row r="42" spans="1:5" ht="15" x14ac:dyDescent="0.25">
      <c r="A42" s="3"/>
      <c r="B42" s="3"/>
      <c r="C42" s="3"/>
      <c r="D42" s="3"/>
    </row>
    <row r="43" spans="1:5" ht="15" x14ac:dyDescent="0.25">
      <c r="A43" s="275" t="s">
        <v>534</v>
      </c>
      <c r="B43" s="3"/>
      <c r="C43" s="3"/>
      <c r="D43" s="3"/>
    </row>
    <row r="44" spans="1:5" ht="15" x14ac:dyDescent="0.25">
      <c r="A44" s="3"/>
      <c r="B44" s="3"/>
      <c r="C44" s="3"/>
    </row>
  </sheetData>
  <customSheetViews>
    <customSheetView guid="{64F6106B-9E0C-489A-BDF0-E26F35DDE29F}">
      <selection activeCell="E26" sqref="E26"/>
      <pageMargins left="0.7" right="0.7" top="0.75" bottom="0.75" header="0.3" footer="0.3"/>
    </customSheetView>
  </customSheetViews>
  <pageMargins left="0.7" right="0.7" top="0.75" bottom="0.75" header="0.3" footer="0.3"/>
  <pageSetup scale="6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G63"/>
  <sheetViews>
    <sheetView showGridLines="0" topLeftCell="A25" zoomScale="85" zoomScaleNormal="85" workbookViewId="0">
      <selection activeCell="D46" sqref="D46"/>
    </sheetView>
  </sheetViews>
  <sheetFormatPr defaultRowHeight="12.75" x14ac:dyDescent="0.2"/>
  <cols>
    <col min="1" max="1" width="7.7109375" bestFit="1" customWidth="1"/>
    <col min="2" max="2" width="36.5703125" customWidth="1"/>
    <col min="3" max="3" width="20.85546875" customWidth="1"/>
    <col min="4" max="4" width="26.28515625" bestFit="1" customWidth="1"/>
    <col min="6" max="6" width="10" bestFit="1" customWidth="1"/>
  </cols>
  <sheetData>
    <row r="4" spans="1:7" ht="19.5" x14ac:dyDescent="0.35">
      <c r="C4" s="70" t="s">
        <v>118</v>
      </c>
      <c r="D4" s="3"/>
      <c r="E4" s="3"/>
      <c r="F4" s="3"/>
      <c r="G4" s="3"/>
    </row>
    <row r="5" spans="1:7" ht="15" x14ac:dyDescent="0.25">
      <c r="C5" s="21" t="s">
        <v>378</v>
      </c>
      <c r="D5" s="3"/>
      <c r="E5" s="3"/>
      <c r="F5" s="3"/>
      <c r="G5" s="3"/>
    </row>
    <row r="6" spans="1:7" ht="15" x14ac:dyDescent="0.25">
      <c r="C6" s="71" t="str">
        <f>+'5 Allocation'!B6</f>
        <v>Actual</v>
      </c>
      <c r="D6" s="3"/>
      <c r="E6" s="3"/>
      <c r="F6" s="3"/>
      <c r="G6" s="3"/>
    </row>
    <row r="7" spans="1:7" ht="15" x14ac:dyDescent="0.25">
      <c r="C7" s="71">
        <f>+'5 Allocation'!B7</f>
        <v>2015</v>
      </c>
      <c r="D7" s="3"/>
      <c r="E7" s="3"/>
      <c r="F7" s="5" t="s">
        <v>119</v>
      </c>
      <c r="G7" s="3"/>
    </row>
    <row r="8" spans="1:7" ht="15" x14ac:dyDescent="0.25">
      <c r="C8" s="3"/>
      <c r="D8" s="3"/>
      <c r="E8" s="3"/>
      <c r="F8" s="5" t="s">
        <v>186</v>
      </c>
      <c r="G8" s="3"/>
    </row>
    <row r="9" spans="1:7" ht="15" x14ac:dyDescent="0.25">
      <c r="C9" s="3"/>
      <c r="D9" s="3"/>
      <c r="E9" s="3"/>
      <c r="F9" s="5" t="s">
        <v>467</v>
      </c>
      <c r="G9" s="3"/>
    </row>
    <row r="10" spans="1:7" ht="15" x14ac:dyDescent="0.25">
      <c r="B10" s="3"/>
      <c r="C10" s="3"/>
      <c r="D10" s="3"/>
      <c r="E10" s="5"/>
      <c r="F10" s="3"/>
      <c r="G10" s="3"/>
    </row>
    <row r="11" spans="1:7" ht="15" x14ac:dyDescent="0.25">
      <c r="A11" s="21" t="s">
        <v>65</v>
      </c>
      <c r="B11" s="3"/>
      <c r="C11" s="21" t="s">
        <v>380</v>
      </c>
      <c r="D11" s="7" t="s">
        <v>99</v>
      </c>
      <c r="F11" s="3"/>
    </row>
    <row r="12" spans="1:7" ht="15" x14ac:dyDescent="0.25">
      <c r="A12" s="28" t="s">
        <v>70</v>
      </c>
      <c r="B12" s="3"/>
      <c r="C12" s="21" t="s">
        <v>381</v>
      </c>
      <c r="D12" s="7" t="s">
        <v>4</v>
      </c>
      <c r="F12" s="97"/>
    </row>
    <row r="13" spans="1:7" ht="15" x14ac:dyDescent="0.25">
      <c r="A13" s="28"/>
      <c r="B13" s="3"/>
      <c r="C13" s="8"/>
      <c r="D13" s="32"/>
      <c r="F13" s="97"/>
    </row>
    <row r="14" spans="1:7" ht="19.5" x14ac:dyDescent="0.35">
      <c r="A14" s="28">
        <v>1</v>
      </c>
      <c r="B14" s="126" t="s">
        <v>68</v>
      </c>
      <c r="C14" s="8"/>
      <c r="D14" s="32"/>
      <c r="F14" s="97"/>
    </row>
    <row r="15" spans="1:7" ht="15" x14ac:dyDescent="0.25">
      <c r="A15" s="127">
        <f>1+A14</f>
        <v>2</v>
      </c>
      <c r="B15" s="124" t="s">
        <v>365</v>
      </c>
      <c r="C15" s="211">
        <v>198387296.74000001</v>
      </c>
      <c r="D15" s="122" t="s">
        <v>387</v>
      </c>
    </row>
    <row r="16" spans="1:7" ht="15" x14ac:dyDescent="0.25">
      <c r="A16" s="127">
        <f t="shared" ref="A16:A27" si="0">1+A15</f>
        <v>3</v>
      </c>
      <c r="B16" s="125" t="s">
        <v>376</v>
      </c>
      <c r="C16" s="212">
        <v>198488693.14999998</v>
      </c>
      <c r="D16" s="122" t="s">
        <v>512</v>
      </c>
    </row>
    <row r="17" spans="1:7" ht="15" x14ac:dyDescent="0.25">
      <c r="A17" s="127">
        <f t="shared" si="0"/>
        <v>4</v>
      </c>
      <c r="B17" s="124" t="s">
        <v>366</v>
      </c>
      <c r="C17" s="212">
        <v>198614233.22</v>
      </c>
      <c r="D17" s="122" t="s">
        <v>512</v>
      </c>
    </row>
    <row r="18" spans="1:7" ht="15" x14ac:dyDescent="0.25">
      <c r="A18" s="127">
        <f t="shared" si="0"/>
        <v>5</v>
      </c>
      <c r="B18" s="124" t="s">
        <v>367</v>
      </c>
      <c r="C18" s="212">
        <v>204437559.14000002</v>
      </c>
      <c r="D18" s="122" t="s">
        <v>512</v>
      </c>
    </row>
    <row r="19" spans="1:7" ht="15" x14ac:dyDescent="0.25">
      <c r="A19" s="127">
        <f t="shared" si="0"/>
        <v>6</v>
      </c>
      <c r="B19" s="124" t="s">
        <v>368</v>
      </c>
      <c r="C19" s="212">
        <v>204598296.88999999</v>
      </c>
      <c r="D19" s="122" t="s">
        <v>512</v>
      </c>
    </row>
    <row r="20" spans="1:7" ht="15" x14ac:dyDescent="0.25">
      <c r="A20" s="127">
        <f t="shared" si="0"/>
        <v>7</v>
      </c>
      <c r="B20" s="124" t="s">
        <v>369</v>
      </c>
      <c r="C20" s="212">
        <v>206017375.12</v>
      </c>
      <c r="D20" s="122" t="s">
        <v>512</v>
      </c>
    </row>
    <row r="21" spans="1:7" ht="15" x14ac:dyDescent="0.25">
      <c r="A21" s="127">
        <f t="shared" si="0"/>
        <v>8</v>
      </c>
      <c r="B21" s="124" t="s">
        <v>370</v>
      </c>
      <c r="C21" s="212">
        <v>207990416.94</v>
      </c>
      <c r="D21" s="122" t="s">
        <v>512</v>
      </c>
    </row>
    <row r="22" spans="1:7" ht="15" x14ac:dyDescent="0.25">
      <c r="A22" s="127">
        <f t="shared" si="0"/>
        <v>9</v>
      </c>
      <c r="B22" s="124" t="s">
        <v>371</v>
      </c>
      <c r="C22" s="212">
        <v>208061375.76000002</v>
      </c>
      <c r="D22" s="122" t="s">
        <v>512</v>
      </c>
    </row>
    <row r="23" spans="1:7" ht="15" x14ac:dyDescent="0.25">
      <c r="A23" s="127">
        <f t="shared" si="0"/>
        <v>10</v>
      </c>
      <c r="B23" s="124" t="s">
        <v>372</v>
      </c>
      <c r="C23" s="212">
        <v>208893478.74000001</v>
      </c>
      <c r="D23" s="122" t="s">
        <v>512</v>
      </c>
    </row>
    <row r="24" spans="1:7" ht="15" x14ac:dyDescent="0.25">
      <c r="A24" s="127">
        <f t="shared" si="0"/>
        <v>11</v>
      </c>
      <c r="B24" s="124" t="s">
        <v>373</v>
      </c>
      <c r="C24" s="212">
        <v>213352990.32999998</v>
      </c>
      <c r="D24" s="122" t="s">
        <v>512</v>
      </c>
    </row>
    <row r="25" spans="1:7" ht="15" x14ac:dyDescent="0.25">
      <c r="A25" s="127">
        <f t="shared" si="0"/>
        <v>12</v>
      </c>
      <c r="B25" s="124" t="s">
        <v>374</v>
      </c>
      <c r="C25" s="212">
        <v>213403654.89999998</v>
      </c>
      <c r="D25" s="122" t="s">
        <v>512</v>
      </c>
    </row>
    <row r="26" spans="1:7" ht="15" x14ac:dyDescent="0.25">
      <c r="A26" s="127">
        <f t="shared" si="0"/>
        <v>13</v>
      </c>
      <c r="B26" s="124" t="s">
        <v>375</v>
      </c>
      <c r="C26" s="212">
        <v>213360146.81999999</v>
      </c>
      <c r="D26" s="122" t="s">
        <v>512</v>
      </c>
    </row>
    <row r="27" spans="1:7" ht="15" x14ac:dyDescent="0.25">
      <c r="A27" s="127">
        <f t="shared" si="0"/>
        <v>14</v>
      </c>
      <c r="B27" s="125" t="s">
        <v>377</v>
      </c>
      <c r="C27" s="212">
        <v>213460791.18000001</v>
      </c>
      <c r="D27" s="122" t="s">
        <v>388</v>
      </c>
    </row>
    <row r="28" spans="1:7" ht="15" x14ac:dyDescent="0.25">
      <c r="C28" s="123"/>
    </row>
    <row r="29" spans="1:7" ht="15" x14ac:dyDescent="0.25">
      <c r="A29" s="127">
        <f>1+A27</f>
        <v>15</v>
      </c>
      <c r="B29" s="124" t="s">
        <v>379</v>
      </c>
      <c r="C29" s="72">
        <f>AVERAGE(C15:C27)</f>
        <v>206851254.53307691</v>
      </c>
      <c r="G29" s="3"/>
    </row>
    <row r="30" spans="1:7" ht="15" x14ac:dyDescent="0.25">
      <c r="C30" s="123"/>
      <c r="G30" s="9"/>
    </row>
    <row r="31" spans="1:7" ht="19.5" x14ac:dyDescent="0.35">
      <c r="A31" s="28">
        <f>1+A29</f>
        <v>16</v>
      </c>
      <c r="B31" s="126" t="s">
        <v>382</v>
      </c>
      <c r="C31" s="128"/>
      <c r="D31" s="32"/>
      <c r="F31" s="97"/>
    </row>
    <row r="32" spans="1:7" ht="15" x14ac:dyDescent="0.25">
      <c r="A32" s="127">
        <f>1+A31</f>
        <v>17</v>
      </c>
      <c r="B32" s="124" t="s">
        <v>365</v>
      </c>
      <c r="C32" s="213">
        <v>105838555.94000001</v>
      </c>
      <c r="D32" s="122" t="s">
        <v>389</v>
      </c>
    </row>
    <row r="33" spans="1:6" ht="15" x14ac:dyDescent="0.25">
      <c r="A33" s="127">
        <f t="shared" ref="A33:A44" si="1">1+A32</f>
        <v>18</v>
      </c>
      <c r="B33" s="125" t="s">
        <v>376</v>
      </c>
      <c r="C33" s="214">
        <v>106340834.31000002</v>
      </c>
      <c r="D33" s="122" t="s">
        <v>512</v>
      </c>
    </row>
    <row r="34" spans="1:6" ht="15" x14ac:dyDescent="0.25">
      <c r="A34" s="127">
        <f t="shared" si="1"/>
        <v>19</v>
      </c>
      <c r="B34" s="124" t="s">
        <v>366</v>
      </c>
      <c r="C34" s="214">
        <v>107095964.32000002</v>
      </c>
      <c r="D34" s="122" t="s">
        <v>512</v>
      </c>
    </row>
    <row r="35" spans="1:6" ht="15" x14ac:dyDescent="0.25">
      <c r="A35" s="127">
        <f t="shared" si="1"/>
        <v>20</v>
      </c>
      <c r="B35" s="124" t="s">
        <v>367</v>
      </c>
      <c r="C35" s="214">
        <v>107916259.10000002</v>
      </c>
      <c r="D35" s="122" t="s">
        <v>512</v>
      </c>
    </row>
    <row r="36" spans="1:6" ht="15" x14ac:dyDescent="0.25">
      <c r="A36" s="127">
        <f t="shared" si="1"/>
        <v>21</v>
      </c>
      <c r="B36" s="124" t="s">
        <v>368</v>
      </c>
      <c r="C36" s="214">
        <v>108172219.57000001</v>
      </c>
      <c r="D36" s="122" t="s">
        <v>512</v>
      </c>
    </row>
    <row r="37" spans="1:6" ht="15" x14ac:dyDescent="0.25">
      <c r="A37" s="127">
        <f t="shared" si="1"/>
        <v>22</v>
      </c>
      <c r="B37" s="124" t="s">
        <v>369</v>
      </c>
      <c r="C37" s="214">
        <v>108638491.98</v>
      </c>
      <c r="D37" s="122" t="s">
        <v>512</v>
      </c>
    </row>
    <row r="38" spans="1:6" ht="15" x14ac:dyDescent="0.25">
      <c r="A38" s="127">
        <f t="shared" si="1"/>
        <v>23</v>
      </c>
      <c r="B38" s="124" t="s">
        <v>370</v>
      </c>
      <c r="C38" s="214">
        <v>108698391.47999999</v>
      </c>
      <c r="D38" s="122" t="s">
        <v>512</v>
      </c>
    </row>
    <row r="39" spans="1:6" ht="15" x14ac:dyDescent="0.25">
      <c r="A39" s="127">
        <f t="shared" si="1"/>
        <v>24</v>
      </c>
      <c r="B39" s="124" t="s">
        <v>371</v>
      </c>
      <c r="C39" s="214">
        <v>109374310.76000001</v>
      </c>
      <c r="D39" s="122" t="s">
        <v>512</v>
      </c>
    </row>
    <row r="40" spans="1:6" ht="15" x14ac:dyDescent="0.25">
      <c r="A40" s="127">
        <f t="shared" si="1"/>
        <v>25</v>
      </c>
      <c r="B40" s="124" t="s">
        <v>372</v>
      </c>
      <c r="C40" s="214">
        <v>104805210.48</v>
      </c>
      <c r="D40" s="122" t="s">
        <v>512</v>
      </c>
    </row>
    <row r="41" spans="1:6" ht="15" x14ac:dyDescent="0.25">
      <c r="A41" s="127">
        <f t="shared" si="1"/>
        <v>26</v>
      </c>
      <c r="B41" s="124" t="s">
        <v>373</v>
      </c>
      <c r="C41" s="214">
        <v>109915805.04000001</v>
      </c>
      <c r="D41" s="122" t="s">
        <v>512</v>
      </c>
    </row>
    <row r="42" spans="1:6" ht="15" x14ac:dyDescent="0.25">
      <c r="A42" s="127">
        <f t="shared" si="1"/>
        <v>27</v>
      </c>
      <c r="B42" s="124" t="s">
        <v>374</v>
      </c>
      <c r="C42" s="214">
        <v>109953223.74999999</v>
      </c>
      <c r="D42" s="122" t="s">
        <v>512</v>
      </c>
    </row>
    <row r="43" spans="1:6" ht="15" x14ac:dyDescent="0.25">
      <c r="A43" s="127">
        <f t="shared" si="1"/>
        <v>28</v>
      </c>
      <c r="B43" s="124" t="s">
        <v>375</v>
      </c>
      <c r="C43" s="214">
        <v>110547087.54000001</v>
      </c>
      <c r="D43" s="122" t="s">
        <v>512</v>
      </c>
    </row>
    <row r="44" spans="1:6" ht="15" x14ac:dyDescent="0.25">
      <c r="A44" s="127">
        <f t="shared" si="1"/>
        <v>29</v>
      </c>
      <c r="B44" s="125" t="s">
        <v>377</v>
      </c>
      <c r="C44" s="214">
        <v>110590806.86000001</v>
      </c>
      <c r="D44" s="122" t="s">
        <v>390</v>
      </c>
    </row>
    <row r="45" spans="1:6" ht="15" x14ac:dyDescent="0.25">
      <c r="C45" s="123"/>
    </row>
    <row r="46" spans="1:6" ht="15" x14ac:dyDescent="0.25">
      <c r="A46" s="127">
        <f>1+A44</f>
        <v>30</v>
      </c>
      <c r="B46" s="124" t="s">
        <v>383</v>
      </c>
      <c r="C46" s="72">
        <f>AVERAGE(C32:C44)</f>
        <v>108299012.3946154</v>
      </c>
    </row>
    <row r="47" spans="1:6" ht="15" x14ac:dyDescent="0.25">
      <c r="C47" s="123"/>
    </row>
    <row r="48" spans="1:6" ht="19.5" x14ac:dyDescent="0.35">
      <c r="A48" s="28">
        <f>1+A46</f>
        <v>31</v>
      </c>
      <c r="B48" s="126" t="s">
        <v>384</v>
      </c>
      <c r="C48" s="128"/>
      <c r="D48" s="32"/>
      <c r="F48" s="97"/>
    </row>
    <row r="49" spans="1:4" ht="15" x14ac:dyDescent="0.25">
      <c r="A49" s="127">
        <f>1+A48</f>
        <v>32</v>
      </c>
      <c r="B49" s="124" t="s">
        <v>365</v>
      </c>
      <c r="C49" s="215">
        <v>1508864512.4499998</v>
      </c>
      <c r="D49" s="122" t="s">
        <v>391</v>
      </c>
    </row>
    <row r="50" spans="1:4" ht="15" x14ac:dyDescent="0.25">
      <c r="A50" s="127">
        <f t="shared" ref="A50:A61" si="2">1+A49</f>
        <v>33</v>
      </c>
      <c r="B50" s="125" t="s">
        <v>376</v>
      </c>
      <c r="C50" s="217">
        <v>1511777236.7600002</v>
      </c>
      <c r="D50" s="122" t="s">
        <v>512</v>
      </c>
    </row>
    <row r="51" spans="1:4" ht="15" x14ac:dyDescent="0.25">
      <c r="A51" s="127">
        <f t="shared" si="2"/>
        <v>34</v>
      </c>
      <c r="B51" s="124" t="s">
        <v>366</v>
      </c>
      <c r="C51" s="216">
        <v>1515995616.27</v>
      </c>
      <c r="D51" s="122" t="s">
        <v>512</v>
      </c>
    </row>
    <row r="52" spans="1:4" ht="15" x14ac:dyDescent="0.25">
      <c r="A52" s="127">
        <f t="shared" si="2"/>
        <v>35</v>
      </c>
      <c r="B52" s="124" t="s">
        <v>367</v>
      </c>
      <c r="C52" s="216">
        <v>1550968458.74</v>
      </c>
      <c r="D52" s="122" t="s">
        <v>512</v>
      </c>
    </row>
    <row r="53" spans="1:4" ht="15" x14ac:dyDescent="0.25">
      <c r="A53" s="127">
        <f t="shared" si="2"/>
        <v>36</v>
      </c>
      <c r="B53" s="124" t="s">
        <v>368</v>
      </c>
      <c r="C53" s="216">
        <v>1552072415.8900001</v>
      </c>
      <c r="D53" s="122" t="s">
        <v>512</v>
      </c>
    </row>
    <row r="54" spans="1:4" ht="15" x14ac:dyDescent="0.25">
      <c r="A54" s="127">
        <f t="shared" si="2"/>
        <v>37</v>
      </c>
      <c r="B54" s="124" t="s">
        <v>369</v>
      </c>
      <c r="C54" s="216">
        <v>1565850490.2999997</v>
      </c>
      <c r="D54" s="122" t="s">
        <v>512</v>
      </c>
    </row>
    <row r="55" spans="1:4" ht="15" x14ac:dyDescent="0.25">
      <c r="A55" s="127">
        <f t="shared" si="2"/>
        <v>38</v>
      </c>
      <c r="B55" s="124" t="s">
        <v>370</v>
      </c>
      <c r="C55" s="216">
        <v>1573905739.3599997</v>
      </c>
      <c r="D55" s="122" t="s">
        <v>512</v>
      </c>
    </row>
    <row r="56" spans="1:4" ht="15" x14ac:dyDescent="0.25">
      <c r="A56" s="127">
        <f t="shared" si="2"/>
        <v>39</v>
      </c>
      <c r="B56" s="124" t="s">
        <v>371</v>
      </c>
      <c r="C56" s="216">
        <v>1575151679.8200002</v>
      </c>
      <c r="D56" s="122" t="s">
        <v>512</v>
      </c>
    </row>
    <row r="57" spans="1:4" ht="15" x14ac:dyDescent="0.25">
      <c r="A57" s="127">
        <f t="shared" si="2"/>
        <v>40</v>
      </c>
      <c r="B57" s="124" t="s">
        <v>372</v>
      </c>
      <c r="C57" s="216">
        <v>1572748671.1799998</v>
      </c>
      <c r="D57" s="122" t="s">
        <v>512</v>
      </c>
    </row>
    <row r="58" spans="1:4" ht="15" x14ac:dyDescent="0.25">
      <c r="A58" s="127">
        <f t="shared" si="2"/>
        <v>41</v>
      </c>
      <c r="B58" s="124" t="s">
        <v>373</v>
      </c>
      <c r="C58" s="216">
        <v>1593497553.4000001</v>
      </c>
      <c r="D58" s="122" t="s">
        <v>512</v>
      </c>
    </row>
    <row r="59" spans="1:4" ht="15" x14ac:dyDescent="0.25">
      <c r="A59" s="127">
        <f t="shared" si="2"/>
        <v>42</v>
      </c>
      <c r="B59" s="124" t="s">
        <v>374</v>
      </c>
      <c r="C59" s="216">
        <v>1594979951.1900001</v>
      </c>
      <c r="D59" s="122" t="s">
        <v>512</v>
      </c>
    </row>
    <row r="60" spans="1:4" ht="15" x14ac:dyDescent="0.25">
      <c r="A60" s="127">
        <f t="shared" si="2"/>
        <v>43</v>
      </c>
      <c r="B60" s="124" t="s">
        <v>375</v>
      </c>
      <c r="C60" s="216">
        <v>1598168280.0799999</v>
      </c>
      <c r="D60" s="122" t="s">
        <v>512</v>
      </c>
    </row>
    <row r="61" spans="1:4" ht="15" x14ac:dyDescent="0.25">
      <c r="A61" s="127">
        <f t="shared" si="2"/>
        <v>44</v>
      </c>
      <c r="B61" s="125" t="s">
        <v>377</v>
      </c>
      <c r="C61" s="217">
        <v>1601584984.3500004</v>
      </c>
      <c r="D61" s="122" t="s">
        <v>392</v>
      </c>
    </row>
    <row r="62" spans="1:4" ht="15" x14ac:dyDescent="0.25">
      <c r="C62" s="123"/>
    </row>
    <row r="63" spans="1:4" ht="15" x14ac:dyDescent="0.25">
      <c r="A63" s="127">
        <f>1+A61</f>
        <v>45</v>
      </c>
      <c r="B63" s="124" t="s">
        <v>396</v>
      </c>
      <c r="C63" s="72">
        <f>AVERAGE(C49:C61)</f>
        <v>1562735814.5992308</v>
      </c>
    </row>
  </sheetData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15</vt:i4>
      </vt:variant>
    </vt:vector>
  </HeadingPairs>
  <TitlesOfParts>
    <vt:vector size="27" baseType="lpstr">
      <vt:lpstr>1 ATRR</vt:lpstr>
      <vt:lpstr>2 WACC</vt:lpstr>
      <vt:lpstr>3 Rate Base</vt:lpstr>
      <vt:lpstr>4 Expense</vt:lpstr>
      <vt:lpstr>5 Allocation</vt:lpstr>
      <vt:lpstr>Temp</vt:lpstr>
      <vt:lpstr>6 Dep Rates</vt:lpstr>
      <vt:lpstr>7  13 mo avg plant</vt:lpstr>
      <vt:lpstr>8  13 mo avg accu dep</vt:lpstr>
      <vt:lpstr>9 ADIT</vt:lpstr>
      <vt:lpstr>10   165 Prepayment</vt:lpstr>
      <vt:lpstr>11 Rates</vt:lpstr>
      <vt:lpstr>_clp1</vt:lpstr>
      <vt:lpstr>_clp2</vt:lpstr>
      <vt:lpstr>Alloc</vt:lpstr>
      <vt:lpstr>clpcoc2</vt:lpstr>
      <vt:lpstr>'1 ATRR'!Print_Area</vt:lpstr>
      <vt:lpstr>'11 Rates'!Print_Area</vt:lpstr>
      <vt:lpstr>'2 WACC'!Print_Area</vt:lpstr>
      <vt:lpstr>'3 Rate Base'!Print_Area</vt:lpstr>
      <vt:lpstr>'4 Expense'!Print_Area</vt:lpstr>
      <vt:lpstr>'5 Allocation'!Print_Area</vt:lpstr>
      <vt:lpstr>'6 Dep Rates'!Print_Area</vt:lpstr>
      <vt:lpstr>'7  13 mo avg plant'!Print_Area</vt:lpstr>
      <vt:lpstr>'8  13 mo avg accu dep'!Print_Area</vt:lpstr>
      <vt:lpstr>'9 ADIT'!Print_Area</vt:lpstr>
      <vt:lpstr>sumptf2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Allocate to PTF</dc:title>
  <dc:creator>Michele Nelson</dc:creator>
  <cp:lastModifiedBy>Bill Ryan</cp:lastModifiedBy>
  <cp:lastPrinted>2016-05-26T13:13:01Z</cp:lastPrinted>
  <dcterms:created xsi:type="dcterms:W3CDTF">1996-11-14T19:03:55Z</dcterms:created>
  <dcterms:modified xsi:type="dcterms:W3CDTF">2016-05-26T15:03:29Z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