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1110" windowWidth="21720" windowHeight="9615"/>
  </bookViews>
  <sheets>
    <sheet name="DEF - 2 -Page 1 Summary" sheetId="8" r:id="rId1"/>
    <sheet name="DEF - 2 Page 2 Rate Base" sheetId="4" r:id="rId2"/>
    <sheet name="DEF - 2 - Page 3 Rev Reqt" sheetId="5" r:id="rId3"/>
    <sheet name="DEF - 2 - Page 4 Support" sheetId="3" r:id="rId4"/>
    <sheet name="DEF - 2 - Page 5 Storm, Notes" sheetId="23" r:id="rId5"/>
    <sheet name="DEF - 2 - Page 6, PBOPs" sheetId="14" r:id="rId6"/>
    <sheet name="DEF - 3, p1, 454 Rev Credits" sheetId="22" r:id="rId7"/>
    <sheet name="DEF - 3,  p2, 456 Rev Credits" sheetId="2" r:id="rId8"/>
    <sheet name="DEF - 4, p1 Step Ups" sheetId="36" r:id="rId9"/>
    <sheet name="DEF - 4, p2 Step Ups " sheetId="11" r:id="rId10"/>
    <sheet name="DEF - 4, Order 2003 " sheetId="26" r:id="rId11"/>
    <sheet name="DEF - 5 p1 PY ADIT 190" sheetId="37" r:id="rId12"/>
    <sheet name="DEF - 5 p2 PY ADIT 28x" sheetId="21" r:id="rId13"/>
    <sheet name="DEF - 5 p3 CY ADIT 190" sheetId="39" r:id="rId14"/>
    <sheet name="DEF - 5 p4 CY ADIT 28x" sheetId="28" r:id="rId15"/>
    <sheet name="DEF - 5A Unfunded Reserves" sheetId="35" r:id="rId16"/>
    <sheet name="DEF - 6  p1, FF1 Inputs " sheetId="12" r:id="rId17"/>
    <sheet name="DEF - 6 p2, Levelized Storm" sheetId="32" r:id="rId18"/>
    <sheet name="DEF - 6 p3, Prepay Accting" sheetId="25" r:id="rId19"/>
    <sheet name="DEF - 7, Retail Radials" sheetId="33" r:id="rId20"/>
  </sheets>
  <externalReferences>
    <externalReference r:id="rId21"/>
    <externalReference r:id="rId22"/>
  </externalReferences>
  <definedNames>
    <definedName name="___fsd44" hidden="1">{#N/A,#N/A,FALSE,"Aging Summary";#N/A,#N/A,FALSE,"Ratio Analysis";#N/A,#N/A,FALSE,"Test 120 Day Accts";#N/A,#N/A,FALSE,"Tickmarks"}</definedName>
    <definedName name="__123Graph_A" localSheetId="8" hidden="1">[1]Provision!#REF!</definedName>
    <definedName name="__123Graph_A" localSheetId="11" hidden="1">[1]Provision!#REF!</definedName>
    <definedName name="__123Graph_A" localSheetId="13" hidden="1">[1]Provision!#REF!</definedName>
    <definedName name="__123Graph_A" localSheetId="15" hidden="1">[1]Provision!#REF!</definedName>
    <definedName name="__123Graph_A" hidden="1">[1]Provision!#REF!</definedName>
    <definedName name="__123Graph_B" localSheetId="8" hidden="1">[1]Provision!#REF!</definedName>
    <definedName name="__123Graph_B" localSheetId="11" hidden="1">[1]Provision!#REF!</definedName>
    <definedName name="__123Graph_B" localSheetId="13" hidden="1">[1]Provision!#REF!</definedName>
    <definedName name="__123Graph_B" localSheetId="15" hidden="1">[1]Provision!#REF!</definedName>
    <definedName name="__123Graph_B" hidden="1">[1]Provision!#REF!</definedName>
    <definedName name="__123Graph_C" localSheetId="8" hidden="1">[1]Provision!#REF!</definedName>
    <definedName name="__123Graph_C" localSheetId="11" hidden="1">[1]Provision!#REF!</definedName>
    <definedName name="__123Graph_C" localSheetId="13" hidden="1">[1]Provision!#REF!</definedName>
    <definedName name="__123Graph_C" localSheetId="15" hidden="1">[1]Provision!#REF!</definedName>
    <definedName name="__123Graph_C" hidden="1">[1]Provision!#REF!</definedName>
    <definedName name="__123Graph_D" localSheetId="8" hidden="1">[1]Provision!#REF!</definedName>
    <definedName name="__123Graph_D" localSheetId="11" hidden="1">[1]Provision!#REF!</definedName>
    <definedName name="__123Graph_D" localSheetId="13" hidden="1">[1]Provision!#REF!</definedName>
    <definedName name="__123Graph_D" localSheetId="15" hidden="1">[1]Provision!#REF!</definedName>
    <definedName name="__123Graph_D" hidden="1">[1]Provision!#REF!</definedName>
    <definedName name="__123Graph_E" localSheetId="8" hidden="1">[1]Provision!#REF!</definedName>
    <definedName name="__123Graph_E" localSheetId="11" hidden="1">[1]Provision!#REF!</definedName>
    <definedName name="__123Graph_E" localSheetId="13" hidden="1">[1]Provision!#REF!</definedName>
    <definedName name="__123Graph_E" localSheetId="15" hidden="1">[1]Provision!#REF!</definedName>
    <definedName name="__123Graph_E" hidden="1">[1]Provision!#REF!</definedName>
    <definedName name="__123Graph_X" localSheetId="8" hidden="1">[1]Provision!#REF!</definedName>
    <definedName name="__123Graph_X" localSheetId="11" hidden="1">[1]Provision!#REF!</definedName>
    <definedName name="__123Graph_X" localSheetId="13" hidden="1">[1]Provision!#REF!</definedName>
    <definedName name="__123Graph_X" localSheetId="15" hidden="1">[1]Provision!#REF!</definedName>
    <definedName name="__123Graph_X" hidden="1">[1]Provision!#REF!</definedName>
    <definedName name="__fsd44" hidden="1">{#N/A,#N/A,FALSE,"Aging Summary";#N/A,#N/A,FALSE,"Ratio Analysis";#N/A,#N/A,FALSE,"Test 120 Day Accts";#N/A,#N/A,FALSE,"Tickmarks"}</definedName>
    <definedName name="_Fill" localSheetId="8" hidden="1">#REF!</definedName>
    <definedName name="_Fill" localSheetId="11" hidden="1">#REF!</definedName>
    <definedName name="_Fill" localSheetId="13" hidden="1">#REF!</definedName>
    <definedName name="_Fill" localSheetId="15" hidden="1">#REF!</definedName>
    <definedName name="_Fill" hidden="1">#REF!</definedName>
    <definedName name="_fsd44" localSheetId="4" hidden="1">{#N/A,#N/A,FALSE,"Aging Summary";#N/A,#N/A,FALSE,"Ratio Analysis";#N/A,#N/A,FALSE,"Test 120 Day Accts";#N/A,#N/A,FALSE,"Tickmarks"}</definedName>
    <definedName name="_fsd44" localSheetId="10" hidden="1">{#N/A,#N/A,FALSE,"Aging Summary";#N/A,#N/A,FALSE,"Ratio Analysis";#N/A,#N/A,FALSE,"Test 120 Day Accts";#N/A,#N/A,FALSE,"Tickmarks"}</definedName>
    <definedName name="_fsd44" localSheetId="11" hidden="1">{#N/A,#N/A,FALSE,"Aging Summary";#N/A,#N/A,FALSE,"Ratio Analysis";#N/A,#N/A,FALSE,"Test 120 Day Accts";#N/A,#N/A,FALSE,"Tickmarks"}</definedName>
    <definedName name="_fsd44" localSheetId="12" hidden="1">{#N/A,#N/A,FALSE,"Aging Summary";#N/A,#N/A,FALSE,"Ratio Analysis";#N/A,#N/A,FALSE,"Test 120 Day Accts";#N/A,#N/A,FALSE,"Tickmarks"}</definedName>
    <definedName name="_fsd44" localSheetId="13" hidden="1">{#N/A,#N/A,FALSE,"Aging Summary";#N/A,#N/A,FALSE,"Ratio Analysis";#N/A,#N/A,FALSE,"Test 120 Day Accts";#N/A,#N/A,FALSE,"Tickmarks"}</definedName>
    <definedName name="_fsd44" localSheetId="14" hidden="1">{#N/A,#N/A,FALSE,"Aging Summary";#N/A,#N/A,FALSE,"Ratio Analysis";#N/A,#N/A,FALSE,"Test 120 Day Accts";#N/A,#N/A,FALSE,"Tickmarks"}</definedName>
    <definedName name="_fsd44" localSheetId="15" hidden="1">{#N/A,#N/A,FALSE,"Aging Summary";#N/A,#N/A,FALSE,"Ratio Analysis";#N/A,#N/A,FALSE,"Test 120 Day Accts";#N/A,#N/A,FALSE,"Tickmarks"}</definedName>
    <definedName name="_fsd44" localSheetId="17" hidden="1">{#N/A,#N/A,FALSE,"Aging Summary";#N/A,#N/A,FALSE,"Ratio Analysis";#N/A,#N/A,FALSE,"Test 120 Day Accts";#N/A,#N/A,FALSE,"Tickmarks"}</definedName>
    <definedName name="_fsd44" hidden="1">{#N/A,#N/A,FALSE,"Aging Summary";#N/A,#N/A,FALSE,"Ratio Analysis";#N/A,#N/A,FALSE,"Test 120 Day Accts";#N/A,#N/A,FALSE,"Tickmarks"}</definedName>
    <definedName name="_Key1" localSheetId="8" hidden="1">#REF!</definedName>
    <definedName name="_Key1" localSheetId="11" hidden="1">#REF!</definedName>
    <definedName name="_Key1" localSheetId="13" hidden="1">#REF!</definedName>
    <definedName name="_Key1" localSheetId="15" hidden="1">#REF!</definedName>
    <definedName name="_Key1" hidden="1">#REF!</definedName>
    <definedName name="_Key2" localSheetId="8" hidden="1">#REF!</definedName>
    <definedName name="_Key2" localSheetId="11" hidden="1">#REF!</definedName>
    <definedName name="_Key2" localSheetId="13" hidden="1">#REF!</definedName>
    <definedName name="_Key2" localSheetId="15" hidden="1">#REF!</definedName>
    <definedName name="_Key2" hidden="1">#REF!</definedName>
    <definedName name="_Order1" hidden="1">0</definedName>
    <definedName name="_Order2" hidden="1">0</definedName>
    <definedName name="_Sort" localSheetId="8" hidden="1">#REF!</definedName>
    <definedName name="_Sort" localSheetId="11" hidden="1">#REF!</definedName>
    <definedName name="_Sort" localSheetId="13" hidden="1">#REF!</definedName>
    <definedName name="_Sort" localSheetId="15" hidden="1">#REF!</definedName>
    <definedName name="_Sort" hidden="1">#REF!</definedName>
    <definedName name="_Table1_In1" localSheetId="8" hidden="1">#REF!</definedName>
    <definedName name="_Table1_In1" localSheetId="11" hidden="1">#REF!</definedName>
    <definedName name="_Table1_In1" localSheetId="13" hidden="1">#REF!</definedName>
    <definedName name="_Table1_In1" localSheetId="15" hidden="1">#REF!</definedName>
    <definedName name="_Table1_In1" hidden="1">#REF!</definedName>
    <definedName name="_Table1_Out" localSheetId="8" hidden="1">#REF!</definedName>
    <definedName name="_Table1_Out" localSheetId="11" hidden="1">#REF!</definedName>
    <definedName name="_Table1_Out" localSheetId="13" hidden="1">#REF!</definedName>
    <definedName name="_Table1_Out" localSheetId="15" hidden="1">#REF!</definedName>
    <definedName name="_Table1_Out" hidden="1">#REF!</definedName>
    <definedName name="_Table2_In1" localSheetId="8" hidden="1">#REF!</definedName>
    <definedName name="_Table2_In1" localSheetId="11" hidden="1">#REF!</definedName>
    <definedName name="_Table2_In1" localSheetId="13" hidden="1">#REF!</definedName>
    <definedName name="_Table2_In1" localSheetId="15" hidden="1">#REF!</definedName>
    <definedName name="_Table2_In1" hidden="1">#REF!</definedName>
    <definedName name="_Table2_Out" localSheetId="8" hidden="1">#REF!</definedName>
    <definedName name="_Table2_Out" localSheetId="11" hidden="1">#REF!</definedName>
    <definedName name="_Table2_Out" localSheetId="13" hidden="1">#REF!</definedName>
    <definedName name="_Table2_Out" localSheetId="15" hidden="1">#REF!</definedName>
    <definedName name="_Table2_Out" hidden="1">#REF!</definedName>
    <definedName name="_YR">'DEF - 2 -Page 1 Summary'!$P$1</definedName>
    <definedName name="Alloc_Factors">#REF!</definedName>
    <definedName name="ALLOC_TABLE">#REF!</definedName>
    <definedName name="ALLOCATORS">'DEF - 2 - Page 4 Support'!$Q$7:$R$17</definedName>
    <definedName name="AS2DocOpenMode" hidden="1">"AS2DocumentBrowse"</definedName>
    <definedName name="FF1_Year">'DEF - 6  p1, FF1 Inputs '!$K$3</definedName>
    <definedName name="frt" localSheetId="4" hidden="1">{#N/A,#N/A,FALSE,"Aging Summary";#N/A,#N/A,FALSE,"Ratio Analysis";#N/A,#N/A,FALSE,"Test 120 Day Accts";#N/A,#N/A,FALSE,"Tickmarks"}</definedName>
    <definedName name="frt" localSheetId="10" hidden="1">{#N/A,#N/A,FALSE,"Aging Summary";#N/A,#N/A,FALSE,"Ratio Analysis";#N/A,#N/A,FALSE,"Test 120 Day Accts";#N/A,#N/A,FALSE,"Tickmarks"}</definedName>
    <definedName name="frt" localSheetId="11" hidden="1">{#N/A,#N/A,FALSE,"Aging Summary";#N/A,#N/A,FALSE,"Ratio Analysis";#N/A,#N/A,FALSE,"Test 120 Day Accts";#N/A,#N/A,FALSE,"Tickmarks"}</definedName>
    <definedName name="frt" localSheetId="12" hidden="1">{#N/A,#N/A,FALSE,"Aging Summary";#N/A,#N/A,FALSE,"Ratio Analysis";#N/A,#N/A,FALSE,"Test 120 Day Accts";#N/A,#N/A,FALSE,"Tickmarks"}</definedName>
    <definedName name="frt" localSheetId="13" hidden="1">{#N/A,#N/A,FALSE,"Aging Summary";#N/A,#N/A,FALSE,"Ratio Analysis";#N/A,#N/A,FALSE,"Test 120 Day Accts";#N/A,#N/A,FALSE,"Tickmarks"}</definedName>
    <definedName name="frt" localSheetId="14" hidden="1">{#N/A,#N/A,FALSE,"Aging Summary";#N/A,#N/A,FALSE,"Ratio Analysis";#N/A,#N/A,FALSE,"Test 120 Day Accts";#N/A,#N/A,FALSE,"Tickmarks"}</definedName>
    <definedName name="frt" localSheetId="15" hidden="1">{#N/A,#N/A,FALSE,"Aging Summary";#N/A,#N/A,FALSE,"Ratio Analysis";#N/A,#N/A,FALSE,"Test 120 Day Accts";#N/A,#N/A,FALSE,"Tickmarks"}</definedName>
    <definedName name="frt" localSheetId="17" hidden="1">{#N/A,#N/A,FALSE,"Aging Summary";#N/A,#N/A,FALSE,"Ratio Analysis";#N/A,#N/A,FALSE,"Test 120 Day Accts";#N/A,#N/A,FALSE,"Tickmarks"}</definedName>
    <definedName name="frt" hidden="1">{#N/A,#N/A,FALSE,"Aging Summary";#N/A,#N/A,FALSE,"Ratio Analysis";#N/A,#N/A,FALSE,"Test 120 Day Accts";#N/A,#N/A,FALSE,"Tickmarks"}</definedName>
    <definedName name="fsd" localSheetId="4" hidden="1">{#N/A,#N/A,FALSE,"Aging Summary";#N/A,#N/A,FALSE,"Ratio Analysis";#N/A,#N/A,FALSE,"Test 120 Day Accts";#N/A,#N/A,FALSE,"Tickmarks"}</definedName>
    <definedName name="fsd" localSheetId="10" hidden="1">{#N/A,#N/A,FALSE,"Aging Summary";#N/A,#N/A,FALSE,"Ratio Analysis";#N/A,#N/A,FALSE,"Test 120 Day Accts";#N/A,#N/A,FALSE,"Tickmarks"}</definedName>
    <definedName name="fsd" localSheetId="11" hidden="1">{#N/A,#N/A,FALSE,"Aging Summary";#N/A,#N/A,FALSE,"Ratio Analysis";#N/A,#N/A,FALSE,"Test 120 Day Accts";#N/A,#N/A,FALSE,"Tickmarks"}</definedName>
    <definedName name="fsd" localSheetId="12" hidden="1">{#N/A,#N/A,FALSE,"Aging Summary";#N/A,#N/A,FALSE,"Ratio Analysis";#N/A,#N/A,FALSE,"Test 120 Day Accts";#N/A,#N/A,FALSE,"Tickmarks"}</definedName>
    <definedName name="fsd" localSheetId="13" hidden="1">{#N/A,#N/A,FALSE,"Aging Summary";#N/A,#N/A,FALSE,"Ratio Analysis";#N/A,#N/A,FALSE,"Test 120 Day Accts";#N/A,#N/A,FALSE,"Tickmarks"}</definedName>
    <definedName name="fsd" localSheetId="14" hidden="1">{#N/A,#N/A,FALSE,"Aging Summary";#N/A,#N/A,FALSE,"Ratio Analysis";#N/A,#N/A,FALSE,"Test 120 Day Accts";#N/A,#N/A,FALSE,"Tickmarks"}</definedName>
    <definedName name="fsd" localSheetId="15" hidden="1">{#N/A,#N/A,FALSE,"Aging Summary";#N/A,#N/A,FALSE,"Ratio Analysis";#N/A,#N/A,FALSE,"Test 120 Day Accts";#N/A,#N/A,FALSE,"Tickmarks"}</definedName>
    <definedName name="fsd" localSheetId="17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kkk" localSheetId="4" hidden="1">{#N/A,#N/A,FALSE,"Aging Summary";#N/A,#N/A,FALSE,"Ratio Analysis";#N/A,#N/A,FALSE,"Test 120 Day Accts";#N/A,#N/A,FALSE,"Tickmarks"}</definedName>
    <definedName name="kkk" localSheetId="10" hidden="1">{#N/A,#N/A,FALSE,"Aging Summary";#N/A,#N/A,FALSE,"Ratio Analysis";#N/A,#N/A,FALSE,"Test 120 Day Accts";#N/A,#N/A,FALSE,"Tickmarks"}</definedName>
    <definedName name="kkk" localSheetId="11" hidden="1">{#N/A,#N/A,FALSE,"Aging Summary";#N/A,#N/A,FALSE,"Ratio Analysis";#N/A,#N/A,FALSE,"Test 120 Day Accts";#N/A,#N/A,FALSE,"Tickmarks"}</definedName>
    <definedName name="kkk" localSheetId="12" hidden="1">{#N/A,#N/A,FALSE,"Aging Summary";#N/A,#N/A,FALSE,"Ratio Analysis";#N/A,#N/A,FALSE,"Test 120 Day Accts";#N/A,#N/A,FALSE,"Tickmarks"}</definedName>
    <definedName name="kkk" localSheetId="13" hidden="1">{#N/A,#N/A,FALSE,"Aging Summary";#N/A,#N/A,FALSE,"Ratio Analysis";#N/A,#N/A,FALSE,"Test 120 Day Accts";#N/A,#N/A,FALSE,"Tickmarks"}</definedName>
    <definedName name="kkk" localSheetId="14" hidden="1">{#N/A,#N/A,FALSE,"Aging Summary";#N/A,#N/A,FALSE,"Ratio Analysis";#N/A,#N/A,FALSE,"Test 120 Day Accts";#N/A,#N/A,FALSE,"Tickmarks"}</definedName>
    <definedName name="kkk" localSheetId="15" hidden="1">{#N/A,#N/A,FALSE,"Aging Summary";#N/A,#N/A,FALSE,"Ratio Analysis";#N/A,#N/A,FALSE,"Test 120 Day Accts";#N/A,#N/A,FALSE,"Tickmarks"}</definedName>
    <definedName name="kkk" localSheetId="17" hidden="1">{#N/A,#N/A,FALSE,"Aging Summary";#N/A,#N/A,FALSE,"Ratio Analysis";#N/A,#N/A,FALSE,"Test 120 Day Accts";#N/A,#N/A,FALSE,"Tickmarks"}</definedName>
    <definedName name="kkk" hidden="1">{#N/A,#N/A,FALSE,"Aging Summary";#N/A,#N/A,FALSE,"Ratio Analysis";#N/A,#N/A,FALSE,"Test 120 Day Accts";#N/A,#N/A,FALSE,"Tickmarks"}</definedName>
    <definedName name="L_YR">'DEF - 2 -Page 1 Summary'!$P$2</definedName>
    <definedName name="L_YR_P">'DEF - 2 -Page 1 Summary'!$P$3</definedName>
    <definedName name="LABOR_ALLOC">'DEF - 2 - Page 4 Support'!$I$37</definedName>
    <definedName name="lku" localSheetId="4" hidden="1">{#N/A,#N/A,FALSE,"Aging Summary";#N/A,#N/A,FALSE,"Ratio Analysis";#N/A,#N/A,FALSE,"Test 120 Day Accts";#N/A,#N/A,FALSE,"Tickmarks"}</definedName>
    <definedName name="lku" localSheetId="10" hidden="1">{#N/A,#N/A,FALSE,"Aging Summary";#N/A,#N/A,FALSE,"Ratio Analysis";#N/A,#N/A,FALSE,"Test 120 Day Accts";#N/A,#N/A,FALSE,"Tickmarks"}</definedName>
    <definedName name="lku" localSheetId="11" hidden="1">{#N/A,#N/A,FALSE,"Aging Summary";#N/A,#N/A,FALSE,"Ratio Analysis";#N/A,#N/A,FALSE,"Test 120 Day Accts";#N/A,#N/A,FALSE,"Tickmarks"}</definedName>
    <definedName name="lku" localSheetId="12" hidden="1">{#N/A,#N/A,FALSE,"Aging Summary";#N/A,#N/A,FALSE,"Ratio Analysis";#N/A,#N/A,FALSE,"Test 120 Day Accts";#N/A,#N/A,FALSE,"Tickmarks"}</definedName>
    <definedName name="lku" localSheetId="13" hidden="1">{#N/A,#N/A,FALSE,"Aging Summary";#N/A,#N/A,FALSE,"Ratio Analysis";#N/A,#N/A,FALSE,"Test 120 Day Accts";#N/A,#N/A,FALSE,"Tickmarks"}</definedName>
    <definedName name="lku" localSheetId="14" hidden="1">{#N/A,#N/A,FALSE,"Aging Summary";#N/A,#N/A,FALSE,"Ratio Analysis";#N/A,#N/A,FALSE,"Test 120 Day Accts";#N/A,#N/A,FALSE,"Tickmarks"}</definedName>
    <definedName name="lku" localSheetId="15" hidden="1">{#N/A,#N/A,FALSE,"Aging Summary";#N/A,#N/A,FALSE,"Ratio Analysis";#N/A,#N/A,FALSE,"Test 120 Day Accts";#N/A,#N/A,FALSE,"Tickmarks"}</definedName>
    <definedName name="lku" localSheetId="17" hidden="1">{#N/A,#N/A,FALSE,"Aging Summary";#N/A,#N/A,FALSE,"Ratio Analysis";#N/A,#N/A,FALSE,"Test 120 Day Accts";#N/A,#N/A,FALSE,"Tickmarks"}</definedName>
    <definedName name="lku" hidden="1">{#N/A,#N/A,FALSE,"Aging Summary";#N/A,#N/A,FALSE,"Ratio Analysis";#N/A,#N/A,FALSE,"Test 120 Day Accts";#N/A,#N/A,FALSE,"Tickmarks"}</definedName>
    <definedName name="lll" localSheetId="4" hidden="1">{#N/A,#N/A,FALSE,"Aging Summary";#N/A,#N/A,FALSE,"Ratio Analysis";#N/A,#N/A,FALSE,"Test 120 Day Accts";#N/A,#N/A,FALSE,"Tickmarks"}</definedName>
    <definedName name="lll" localSheetId="10" hidden="1">{#N/A,#N/A,FALSE,"Aging Summary";#N/A,#N/A,FALSE,"Ratio Analysis";#N/A,#N/A,FALSE,"Test 120 Day Accts";#N/A,#N/A,FALSE,"Tickmarks"}</definedName>
    <definedName name="lll" localSheetId="11" hidden="1">{#N/A,#N/A,FALSE,"Aging Summary";#N/A,#N/A,FALSE,"Ratio Analysis";#N/A,#N/A,FALSE,"Test 120 Day Accts";#N/A,#N/A,FALSE,"Tickmarks"}</definedName>
    <definedName name="lll" localSheetId="12" hidden="1">{#N/A,#N/A,FALSE,"Aging Summary";#N/A,#N/A,FALSE,"Ratio Analysis";#N/A,#N/A,FALSE,"Test 120 Day Accts";#N/A,#N/A,FALSE,"Tickmarks"}</definedName>
    <definedName name="lll" localSheetId="13" hidden="1">{#N/A,#N/A,FALSE,"Aging Summary";#N/A,#N/A,FALSE,"Ratio Analysis";#N/A,#N/A,FALSE,"Test 120 Day Accts";#N/A,#N/A,FALSE,"Tickmarks"}</definedName>
    <definedName name="lll" localSheetId="14" hidden="1">{#N/A,#N/A,FALSE,"Aging Summary";#N/A,#N/A,FALSE,"Ratio Analysis";#N/A,#N/A,FALSE,"Test 120 Day Accts";#N/A,#N/A,FALSE,"Tickmarks"}</definedName>
    <definedName name="lll" localSheetId="15" hidden="1">{#N/A,#N/A,FALSE,"Aging Summary";#N/A,#N/A,FALSE,"Ratio Analysis";#N/A,#N/A,FALSE,"Test 120 Day Accts";#N/A,#N/A,FALSE,"Tickmarks"}</definedName>
    <definedName name="lll" localSheetId="17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oiu" localSheetId="4" hidden="1">{#N/A,#N/A,FALSE,"Aging Summary";#N/A,#N/A,FALSE,"Ratio Analysis";#N/A,#N/A,FALSE,"Test 120 Day Accts";#N/A,#N/A,FALSE,"Tickmarks"}</definedName>
    <definedName name="oiu" localSheetId="10" hidden="1">{#N/A,#N/A,FALSE,"Aging Summary";#N/A,#N/A,FALSE,"Ratio Analysis";#N/A,#N/A,FALSE,"Test 120 Day Accts";#N/A,#N/A,FALSE,"Tickmarks"}</definedName>
    <definedName name="oiu" localSheetId="11" hidden="1">{#N/A,#N/A,FALSE,"Aging Summary";#N/A,#N/A,FALSE,"Ratio Analysis";#N/A,#N/A,FALSE,"Test 120 Day Accts";#N/A,#N/A,FALSE,"Tickmarks"}</definedName>
    <definedName name="oiu" localSheetId="12" hidden="1">{#N/A,#N/A,FALSE,"Aging Summary";#N/A,#N/A,FALSE,"Ratio Analysis";#N/A,#N/A,FALSE,"Test 120 Day Accts";#N/A,#N/A,FALSE,"Tickmarks"}</definedName>
    <definedName name="oiu" localSheetId="13" hidden="1">{#N/A,#N/A,FALSE,"Aging Summary";#N/A,#N/A,FALSE,"Ratio Analysis";#N/A,#N/A,FALSE,"Test 120 Day Accts";#N/A,#N/A,FALSE,"Tickmarks"}</definedName>
    <definedName name="oiu" localSheetId="14" hidden="1">{#N/A,#N/A,FALSE,"Aging Summary";#N/A,#N/A,FALSE,"Ratio Analysis";#N/A,#N/A,FALSE,"Test 120 Day Accts";#N/A,#N/A,FALSE,"Tickmarks"}</definedName>
    <definedName name="oiu" localSheetId="15" hidden="1">{#N/A,#N/A,FALSE,"Aging Summary";#N/A,#N/A,FALSE,"Ratio Analysis";#N/A,#N/A,FALSE,"Test 120 Day Accts";#N/A,#N/A,FALSE,"Tickmarks"}</definedName>
    <definedName name="oiu" localSheetId="17" hidden="1">{#N/A,#N/A,FALSE,"Aging Summary";#N/A,#N/A,FALSE,"Ratio Analysis";#N/A,#N/A,FALSE,"Test 120 Day Accts";#N/A,#N/A,FALSE,"Tickmarks"}</definedName>
    <definedName name="oiu" hidden="1">{#N/A,#N/A,FALSE,"Aging Summary";#N/A,#N/A,FALSE,"Ratio Analysis";#N/A,#N/A,FALSE,"Test 120 Day Accts";#N/A,#N/A,FALSE,"Tickmarks"}</definedName>
    <definedName name="op" localSheetId="4" hidden="1">{#N/A,#N/A,FALSE,"Aging Summary";#N/A,#N/A,FALSE,"Ratio Analysis";#N/A,#N/A,FALSE,"Test 120 Day Accts";#N/A,#N/A,FALSE,"Tickmarks"}</definedName>
    <definedName name="op" localSheetId="10" hidden="1">{#N/A,#N/A,FALSE,"Aging Summary";#N/A,#N/A,FALSE,"Ratio Analysis";#N/A,#N/A,FALSE,"Test 120 Day Accts";#N/A,#N/A,FALSE,"Tickmarks"}</definedName>
    <definedName name="op" localSheetId="11" hidden="1">{#N/A,#N/A,FALSE,"Aging Summary";#N/A,#N/A,FALSE,"Ratio Analysis";#N/A,#N/A,FALSE,"Test 120 Day Accts";#N/A,#N/A,FALSE,"Tickmarks"}</definedName>
    <definedName name="op" localSheetId="12" hidden="1">{#N/A,#N/A,FALSE,"Aging Summary";#N/A,#N/A,FALSE,"Ratio Analysis";#N/A,#N/A,FALSE,"Test 120 Day Accts";#N/A,#N/A,FALSE,"Tickmarks"}</definedName>
    <definedName name="op" localSheetId="13" hidden="1">{#N/A,#N/A,FALSE,"Aging Summary";#N/A,#N/A,FALSE,"Ratio Analysis";#N/A,#N/A,FALSE,"Test 120 Day Accts";#N/A,#N/A,FALSE,"Tickmarks"}</definedName>
    <definedName name="op" localSheetId="14" hidden="1">{#N/A,#N/A,FALSE,"Aging Summary";#N/A,#N/A,FALSE,"Ratio Analysis";#N/A,#N/A,FALSE,"Test 120 Day Accts";#N/A,#N/A,FALSE,"Tickmarks"}</definedName>
    <definedName name="op" localSheetId="15" hidden="1">{#N/A,#N/A,FALSE,"Aging Summary";#N/A,#N/A,FALSE,"Ratio Analysis";#N/A,#N/A,FALSE,"Test 120 Day Accts";#N/A,#N/A,FALSE,"Tickmarks"}</definedName>
    <definedName name="op" localSheetId="17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p" localSheetId="4" hidden="1">{#N/A,#N/A,FALSE,"Aging Summary";#N/A,#N/A,FALSE,"Ratio Analysis";#N/A,#N/A,FALSE,"Test 120 Day Accts";#N/A,#N/A,FALSE,"Tickmarks"}</definedName>
    <definedName name="p" localSheetId="10" hidden="1">{#N/A,#N/A,FALSE,"Aging Summary";#N/A,#N/A,FALSE,"Ratio Analysis";#N/A,#N/A,FALSE,"Test 120 Day Accts";#N/A,#N/A,FALSE,"Tickmarks"}</definedName>
    <definedName name="p" localSheetId="11" hidden="1">{#N/A,#N/A,FALSE,"Aging Summary";#N/A,#N/A,FALSE,"Ratio Analysis";#N/A,#N/A,FALSE,"Test 120 Day Accts";#N/A,#N/A,FALSE,"Tickmarks"}</definedName>
    <definedName name="p" localSheetId="12" hidden="1">{#N/A,#N/A,FALSE,"Aging Summary";#N/A,#N/A,FALSE,"Ratio Analysis";#N/A,#N/A,FALSE,"Test 120 Day Accts";#N/A,#N/A,FALSE,"Tickmarks"}</definedName>
    <definedName name="p" localSheetId="13" hidden="1">{#N/A,#N/A,FALSE,"Aging Summary";#N/A,#N/A,FALSE,"Ratio Analysis";#N/A,#N/A,FALSE,"Test 120 Day Accts";#N/A,#N/A,FALSE,"Tickmarks"}</definedName>
    <definedName name="p" localSheetId="14" hidden="1">{#N/A,#N/A,FALSE,"Aging Summary";#N/A,#N/A,FALSE,"Ratio Analysis";#N/A,#N/A,FALSE,"Test 120 Day Accts";#N/A,#N/A,FALSE,"Tickmarks"}</definedName>
    <definedName name="p" localSheetId="15" hidden="1">{#N/A,#N/A,FALSE,"Aging Summary";#N/A,#N/A,FALSE,"Ratio Analysis";#N/A,#N/A,FALSE,"Test 120 Day Accts";#N/A,#N/A,FALSE,"Tickmarks"}</definedName>
    <definedName name="p" localSheetId="17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ul" localSheetId="8" hidden="1">#REF!</definedName>
    <definedName name="paul" localSheetId="11" hidden="1">#REF!</definedName>
    <definedName name="paul" localSheetId="13" hidden="1">#REF!</definedName>
    <definedName name="paul" localSheetId="15" hidden="1">#REF!</definedName>
    <definedName name="paul" hidden="1">#REF!</definedName>
    <definedName name="pesc1" localSheetId="4" hidden="1">{#N/A,#N/A,FALSE,"Aging Summary";#N/A,#N/A,FALSE,"Ratio Analysis";#N/A,#N/A,FALSE,"Test 120 Day Accts";#N/A,#N/A,FALSE,"Tickmarks"}</definedName>
    <definedName name="pesc1" localSheetId="10" hidden="1">{#N/A,#N/A,FALSE,"Aging Summary";#N/A,#N/A,FALSE,"Ratio Analysis";#N/A,#N/A,FALSE,"Test 120 Day Accts";#N/A,#N/A,FALSE,"Tickmarks"}</definedName>
    <definedName name="pesc1" localSheetId="11" hidden="1">{#N/A,#N/A,FALSE,"Aging Summary";#N/A,#N/A,FALSE,"Ratio Analysis";#N/A,#N/A,FALSE,"Test 120 Day Accts";#N/A,#N/A,FALSE,"Tickmarks"}</definedName>
    <definedName name="pesc1" localSheetId="12" hidden="1">{#N/A,#N/A,FALSE,"Aging Summary";#N/A,#N/A,FALSE,"Ratio Analysis";#N/A,#N/A,FALSE,"Test 120 Day Accts";#N/A,#N/A,FALSE,"Tickmarks"}</definedName>
    <definedName name="pesc1" localSheetId="13" hidden="1">{#N/A,#N/A,FALSE,"Aging Summary";#N/A,#N/A,FALSE,"Ratio Analysis";#N/A,#N/A,FALSE,"Test 120 Day Accts";#N/A,#N/A,FALSE,"Tickmarks"}</definedName>
    <definedName name="pesc1" localSheetId="14" hidden="1">{#N/A,#N/A,FALSE,"Aging Summary";#N/A,#N/A,FALSE,"Ratio Analysis";#N/A,#N/A,FALSE,"Test 120 Day Accts";#N/A,#N/A,FALSE,"Tickmarks"}</definedName>
    <definedName name="pesc1" localSheetId="15" hidden="1">{#N/A,#N/A,FALSE,"Aging Summary";#N/A,#N/A,FALSE,"Ratio Analysis";#N/A,#N/A,FALSE,"Test 120 Day Accts";#N/A,#N/A,FALSE,"Tickmarks"}</definedName>
    <definedName name="pesc1" localSheetId="17" hidden="1">{#N/A,#N/A,FALSE,"Aging Summary";#N/A,#N/A,FALSE,"Ratio Analysis";#N/A,#N/A,FALSE,"Test 120 Day Accts";#N/A,#N/A,FALSE,"Tickmarks"}</definedName>
    <definedName name="pesc1" hidden="1">{#N/A,#N/A,FALSE,"Aging Summary";#N/A,#N/A,FALSE,"Ratio Analysis";#N/A,#N/A,FALSE,"Test 120 Day Accts";#N/A,#N/A,FALSE,"Tickmarks"}</definedName>
    <definedName name="ppp" localSheetId="4" hidden="1">{#N/A,#N/A,FALSE,"Aging Summary";#N/A,#N/A,FALSE,"Ratio Analysis";#N/A,#N/A,FALSE,"Test 120 Day Accts";#N/A,#N/A,FALSE,"Tickmarks"}</definedName>
    <definedName name="ppp" localSheetId="10" hidden="1">{#N/A,#N/A,FALSE,"Aging Summary";#N/A,#N/A,FALSE,"Ratio Analysis";#N/A,#N/A,FALSE,"Test 120 Day Accts";#N/A,#N/A,FALSE,"Tickmarks"}</definedName>
    <definedName name="ppp" localSheetId="11" hidden="1">{#N/A,#N/A,FALSE,"Aging Summary";#N/A,#N/A,FALSE,"Ratio Analysis";#N/A,#N/A,FALSE,"Test 120 Day Accts";#N/A,#N/A,FALSE,"Tickmarks"}</definedName>
    <definedName name="ppp" localSheetId="12" hidden="1">{#N/A,#N/A,FALSE,"Aging Summary";#N/A,#N/A,FALSE,"Ratio Analysis";#N/A,#N/A,FALSE,"Test 120 Day Accts";#N/A,#N/A,FALSE,"Tickmarks"}</definedName>
    <definedName name="ppp" localSheetId="13" hidden="1">{#N/A,#N/A,FALSE,"Aging Summary";#N/A,#N/A,FALSE,"Ratio Analysis";#N/A,#N/A,FALSE,"Test 120 Day Accts";#N/A,#N/A,FALSE,"Tickmarks"}</definedName>
    <definedName name="ppp" localSheetId="14" hidden="1">{#N/A,#N/A,FALSE,"Aging Summary";#N/A,#N/A,FALSE,"Ratio Analysis";#N/A,#N/A,FALSE,"Test 120 Day Accts";#N/A,#N/A,FALSE,"Tickmarks"}</definedName>
    <definedName name="ppp" localSheetId="15" hidden="1">{#N/A,#N/A,FALSE,"Aging Summary";#N/A,#N/A,FALSE,"Ratio Analysis";#N/A,#N/A,FALSE,"Test 120 Day Accts";#N/A,#N/A,FALSE,"Tickmarks"}</definedName>
    <definedName name="ppp" localSheetId="17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_xlnm.Print_Area" localSheetId="2">'DEF - 2 - Page 3 Rev Reqt'!$A$1:$L$67</definedName>
    <definedName name="_xlnm.Print_Area" localSheetId="3">'DEF - 2 - Page 4 Support'!$A$1:$K$56</definedName>
    <definedName name="_xlnm.Print_Area" localSheetId="4">'DEF - 2 - Page 5 Storm, Notes'!$A$1:$L$90</definedName>
    <definedName name="_xlnm.Print_Area" localSheetId="5">'DEF - 2 - Page 6, PBOPs'!$A$1:$M$50</definedName>
    <definedName name="_xlnm.Print_Area" localSheetId="0">'DEF - 2 -Page 1 Summary'!$A$4:$L$45</definedName>
    <definedName name="_xlnm.Print_Area" localSheetId="1">'DEF - 2 Page 2 Rate Base'!$A$1:$P$90</definedName>
    <definedName name="_xlnm.Print_Area" localSheetId="7">'DEF - 3,  p2, 456 Rev Credits'!$A$1:$H$90</definedName>
    <definedName name="_xlnm.Print_Area" localSheetId="6">'DEF - 3, p1, 454 Rev Credits'!$A$1:$H$32</definedName>
    <definedName name="_xlnm.Print_Area" localSheetId="10">'DEF - 4, Order 2003 '!$A$1:$K$87</definedName>
    <definedName name="_xlnm.Print_Area" localSheetId="8">'DEF - 4, p1 Step Ups'!$A$1:$J$62</definedName>
    <definedName name="_xlnm.Print_Area" localSheetId="9">'DEF - 4, p2 Step Ups '!$A$1:$J$79</definedName>
    <definedName name="_xlnm.Print_Area" localSheetId="11">'DEF - 5 p1 PY ADIT 190'!$A$1:$J$84</definedName>
    <definedName name="_xlnm.Print_Area" localSheetId="12">'DEF - 5 p2 PY ADIT 28x'!$A$1:$J$49</definedName>
    <definedName name="_xlnm.Print_Area" localSheetId="13">'DEF - 5 p3 CY ADIT 190'!$A$1:$J$84</definedName>
    <definedName name="_xlnm.Print_Area" localSheetId="14">'DEF - 5 p4 CY ADIT 28x'!$A$1:$J$48</definedName>
    <definedName name="_xlnm.Print_Area" localSheetId="15">'DEF - 5A Unfunded Reserves'!$A$1:$O$31</definedName>
    <definedName name="_xlnm.Print_Area" localSheetId="16">'DEF - 6  p1, FF1 Inputs '!$A$1:$L$76</definedName>
    <definedName name="_xlnm.Print_Area" localSheetId="17">'DEF - 6 p2, Levelized Storm'!$A$1:$L$72</definedName>
    <definedName name="_xlnm.Print_Area" localSheetId="18">'DEF - 6 p3, Prepay Accting'!$A$1:$I$67</definedName>
    <definedName name="_xlnm.Print_Area" localSheetId="19">'DEF - 7, Retail Radials'!$A$1:$J$31</definedName>
    <definedName name="_xlnm.Print_Titles" localSheetId="10">'DEF - 4, Order 2003 '!$1:$11</definedName>
    <definedName name="_xlnm.Print_Titles" localSheetId="8">'DEF - 4, p1 Step Ups'!$1:$10</definedName>
    <definedName name="_xlnm.Print_Titles" localSheetId="9">'DEF - 4, p2 Step Ups '!$1:$10</definedName>
    <definedName name="ret" localSheetId="4" hidden="1">{#N/A,#N/A,FALSE,"Aging Summary";#N/A,#N/A,FALSE,"Ratio Analysis";#N/A,#N/A,FALSE,"Test 120 Day Accts";#N/A,#N/A,FALSE,"Tickmarks"}</definedName>
    <definedName name="ret" localSheetId="10" hidden="1">{#N/A,#N/A,FALSE,"Aging Summary";#N/A,#N/A,FALSE,"Ratio Analysis";#N/A,#N/A,FALSE,"Test 120 Day Accts";#N/A,#N/A,FALSE,"Tickmarks"}</definedName>
    <definedName name="ret" localSheetId="11" hidden="1">{#N/A,#N/A,FALSE,"Aging Summary";#N/A,#N/A,FALSE,"Ratio Analysis";#N/A,#N/A,FALSE,"Test 120 Day Accts";#N/A,#N/A,FALSE,"Tickmarks"}</definedName>
    <definedName name="ret" localSheetId="12" hidden="1">{#N/A,#N/A,FALSE,"Aging Summary";#N/A,#N/A,FALSE,"Ratio Analysis";#N/A,#N/A,FALSE,"Test 120 Day Accts";#N/A,#N/A,FALSE,"Tickmarks"}</definedName>
    <definedName name="ret" localSheetId="13" hidden="1">{#N/A,#N/A,FALSE,"Aging Summary";#N/A,#N/A,FALSE,"Ratio Analysis";#N/A,#N/A,FALSE,"Test 120 Day Accts";#N/A,#N/A,FALSE,"Tickmarks"}</definedName>
    <definedName name="ret" localSheetId="14" hidden="1">{#N/A,#N/A,FALSE,"Aging Summary";#N/A,#N/A,FALSE,"Ratio Analysis";#N/A,#N/A,FALSE,"Test 120 Day Accts";#N/A,#N/A,FALSE,"Tickmarks"}</definedName>
    <definedName name="ret" localSheetId="15" hidden="1">{#N/A,#N/A,FALSE,"Aging Summary";#N/A,#N/A,FALSE,"Ratio Analysis";#N/A,#N/A,FALSE,"Test 120 Day Accts";#N/A,#N/A,FALSE,"Tickmarks"}</definedName>
    <definedName name="ret" localSheetId="17" hidden="1">{#N/A,#N/A,FALSE,"Aging Summary";#N/A,#N/A,FALSE,"Ratio Analysis";#N/A,#N/A,FALSE,"Test 120 Day Accts";#N/A,#N/A,FALSE,"Tickmarks"}</definedName>
    <definedName name="ret" hidden="1">{#N/A,#N/A,FALSE,"Aging Summary";#N/A,#N/A,FALSE,"Ratio Analysis";#N/A,#N/A,FALSE,"Test 120 Day Accts";#N/A,#N/A,FALSE,"Tickmarks"}</definedName>
    <definedName name="rt" localSheetId="4" hidden="1">{#N/A,#N/A,FALSE,"Aging Summary";#N/A,#N/A,FALSE,"Ratio Analysis";#N/A,#N/A,FALSE,"Test 120 Day Accts";#N/A,#N/A,FALSE,"Tickmarks"}</definedName>
    <definedName name="rt" localSheetId="10" hidden="1">{#N/A,#N/A,FALSE,"Aging Summary";#N/A,#N/A,FALSE,"Ratio Analysis";#N/A,#N/A,FALSE,"Test 120 Day Accts";#N/A,#N/A,FALSE,"Tickmarks"}</definedName>
    <definedName name="rt" localSheetId="11" hidden="1">{#N/A,#N/A,FALSE,"Aging Summary";#N/A,#N/A,FALSE,"Ratio Analysis";#N/A,#N/A,FALSE,"Test 120 Day Accts";#N/A,#N/A,FALSE,"Tickmarks"}</definedName>
    <definedName name="rt" localSheetId="12" hidden="1">{#N/A,#N/A,FALSE,"Aging Summary";#N/A,#N/A,FALSE,"Ratio Analysis";#N/A,#N/A,FALSE,"Test 120 Day Accts";#N/A,#N/A,FALSE,"Tickmarks"}</definedName>
    <definedName name="rt" localSheetId="13" hidden="1">{#N/A,#N/A,FALSE,"Aging Summary";#N/A,#N/A,FALSE,"Ratio Analysis";#N/A,#N/A,FALSE,"Test 120 Day Accts";#N/A,#N/A,FALSE,"Tickmarks"}</definedName>
    <definedName name="rt" localSheetId="14" hidden="1">{#N/A,#N/A,FALSE,"Aging Summary";#N/A,#N/A,FALSE,"Ratio Analysis";#N/A,#N/A,FALSE,"Test 120 Day Accts";#N/A,#N/A,FALSE,"Tickmarks"}</definedName>
    <definedName name="rt" localSheetId="15" hidden="1">{#N/A,#N/A,FALSE,"Aging Summary";#N/A,#N/A,FALSE,"Ratio Analysis";#N/A,#N/A,FALSE,"Test 120 Day Accts";#N/A,#N/A,FALSE,"Tickmarks"}</definedName>
    <definedName name="rt" localSheetId="17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temp" localSheetId="4" hidden="1">{#N/A,#N/A,FALSE,"Aging Summary";#N/A,#N/A,FALSE,"Ratio Analysis";#N/A,#N/A,FALSE,"Test 120 Day Accts";#N/A,#N/A,FALSE,"Tickmarks"}</definedName>
    <definedName name="temp" localSheetId="10" hidden="1">{#N/A,#N/A,FALSE,"Aging Summary";#N/A,#N/A,FALSE,"Ratio Analysis";#N/A,#N/A,FALSE,"Test 120 Day Accts";#N/A,#N/A,FALSE,"Tickmarks"}</definedName>
    <definedName name="temp" localSheetId="11" hidden="1">{#N/A,#N/A,FALSE,"Aging Summary";#N/A,#N/A,FALSE,"Ratio Analysis";#N/A,#N/A,FALSE,"Test 120 Day Accts";#N/A,#N/A,FALSE,"Tickmarks"}</definedName>
    <definedName name="temp" localSheetId="12" hidden="1">{#N/A,#N/A,FALSE,"Aging Summary";#N/A,#N/A,FALSE,"Ratio Analysis";#N/A,#N/A,FALSE,"Test 120 Day Accts";#N/A,#N/A,FALSE,"Tickmarks"}</definedName>
    <definedName name="temp" localSheetId="13" hidden="1">{#N/A,#N/A,FALSE,"Aging Summary";#N/A,#N/A,FALSE,"Ratio Analysis";#N/A,#N/A,FALSE,"Test 120 Day Accts";#N/A,#N/A,FALSE,"Tickmarks"}</definedName>
    <definedName name="temp" localSheetId="14" hidden="1">{#N/A,#N/A,FALSE,"Aging Summary";#N/A,#N/A,FALSE,"Ratio Analysis";#N/A,#N/A,FALSE,"Test 120 Day Accts";#N/A,#N/A,FALSE,"Tickmarks"}</definedName>
    <definedName name="temp" localSheetId="15" hidden="1">{#N/A,#N/A,FALSE,"Aging Summary";#N/A,#N/A,FALSE,"Ratio Analysis";#N/A,#N/A,FALSE,"Test 120 Day Accts";#N/A,#N/A,FALSE,"Tickmarks"}</definedName>
    <definedName name="temp" localSheetId="17" hidden="1">{#N/A,#N/A,FALSE,"Aging Summary";#N/A,#N/A,FALSE,"Ratio Analysis";#N/A,#N/A,FALSE,"Test 120 Day Accts";#N/A,#N/A,FALSE,"Tickmarks"}</definedName>
    <definedName name="temp" hidden="1">{#N/A,#N/A,FALSE,"Aging Summary";#N/A,#N/A,FALSE,"Ratio Analysis";#N/A,#N/A,FALSE,"Test 120 Day Accts";#N/A,#N/A,FALSE,"Tickmarks"}</definedName>
    <definedName name="TExp_ALLOC">'DEF - 2 - Page 4 Support'!$I$25</definedName>
    <definedName name="TP_ALLOC">'DEF - 2 - Page 4 Support'!$I$20</definedName>
    <definedName name="tre" localSheetId="4" hidden="1">{#N/A,#N/A,FALSE,"Aging Summary";#N/A,#N/A,FALSE,"Ratio Analysis";#N/A,#N/A,FALSE,"Test 120 Day Accts";#N/A,#N/A,FALSE,"Tickmarks"}</definedName>
    <definedName name="tre" localSheetId="10" hidden="1">{#N/A,#N/A,FALSE,"Aging Summary";#N/A,#N/A,FALSE,"Ratio Analysis";#N/A,#N/A,FALSE,"Test 120 Day Accts";#N/A,#N/A,FALSE,"Tickmarks"}</definedName>
    <definedName name="tre" localSheetId="11" hidden="1">{#N/A,#N/A,FALSE,"Aging Summary";#N/A,#N/A,FALSE,"Ratio Analysis";#N/A,#N/A,FALSE,"Test 120 Day Accts";#N/A,#N/A,FALSE,"Tickmarks"}</definedName>
    <definedName name="tre" localSheetId="12" hidden="1">{#N/A,#N/A,FALSE,"Aging Summary";#N/A,#N/A,FALSE,"Ratio Analysis";#N/A,#N/A,FALSE,"Test 120 Day Accts";#N/A,#N/A,FALSE,"Tickmarks"}</definedName>
    <definedName name="tre" localSheetId="13" hidden="1">{#N/A,#N/A,FALSE,"Aging Summary";#N/A,#N/A,FALSE,"Ratio Analysis";#N/A,#N/A,FALSE,"Test 120 Day Accts";#N/A,#N/A,FALSE,"Tickmarks"}</definedName>
    <definedName name="tre" localSheetId="14" hidden="1">{#N/A,#N/A,FALSE,"Aging Summary";#N/A,#N/A,FALSE,"Ratio Analysis";#N/A,#N/A,FALSE,"Test 120 Day Accts";#N/A,#N/A,FALSE,"Tickmarks"}</definedName>
    <definedName name="tre" localSheetId="15" hidden="1">{#N/A,#N/A,FALSE,"Aging Summary";#N/A,#N/A,FALSE,"Ratio Analysis";#N/A,#N/A,FALSE,"Test 120 Day Accts";#N/A,#N/A,FALSE,"Tickmarks"}</definedName>
    <definedName name="tre" localSheetId="17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ACC">'[2]Port Value - Monthly'!$B$7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localSheetId="13" hidden="1">{#N/A,#N/A,FALSE,"Aging Summary";#N/A,#N/A,FALSE,"Ratio Analysis";#N/A,#N/A,FALSE,"Test 120 Day Accts";#N/A,#N/A,FALSE,"Tickmarks"}</definedName>
    <definedName name="wrn.Aging._.and._.Trend._.Analysis." localSheetId="14" hidden="1">{#N/A,#N/A,FALSE,"Aging Summary";#N/A,#N/A,FALSE,"Ratio Analysis";#N/A,#N/A,FALSE,"Test 120 Day Accts";#N/A,#N/A,FALSE,"Tickmarks"}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tyu" localSheetId="4" hidden="1">{#N/A,#N/A,FALSE,"Aging Summary";#N/A,#N/A,FALSE,"Ratio Analysis";#N/A,#N/A,FALSE,"Test 120 Day Accts";#N/A,#N/A,FALSE,"Tickmarks"}</definedName>
    <definedName name="wtyu" localSheetId="10" hidden="1">{#N/A,#N/A,FALSE,"Aging Summary";#N/A,#N/A,FALSE,"Ratio Analysis";#N/A,#N/A,FALSE,"Test 120 Day Accts";#N/A,#N/A,FALSE,"Tickmarks"}</definedName>
    <definedName name="wtyu" localSheetId="11" hidden="1">{#N/A,#N/A,FALSE,"Aging Summary";#N/A,#N/A,FALSE,"Ratio Analysis";#N/A,#N/A,FALSE,"Test 120 Day Accts";#N/A,#N/A,FALSE,"Tickmarks"}</definedName>
    <definedName name="wtyu" localSheetId="12" hidden="1">{#N/A,#N/A,FALSE,"Aging Summary";#N/A,#N/A,FALSE,"Ratio Analysis";#N/A,#N/A,FALSE,"Test 120 Day Accts";#N/A,#N/A,FALSE,"Tickmarks"}</definedName>
    <definedName name="wtyu" localSheetId="13" hidden="1">{#N/A,#N/A,FALSE,"Aging Summary";#N/A,#N/A,FALSE,"Ratio Analysis";#N/A,#N/A,FALSE,"Test 120 Day Accts";#N/A,#N/A,FALSE,"Tickmarks"}</definedName>
    <definedName name="wtyu" localSheetId="14" hidden="1">{#N/A,#N/A,FALSE,"Aging Summary";#N/A,#N/A,FALSE,"Ratio Analysis";#N/A,#N/A,FALSE,"Test 120 Day Accts";#N/A,#N/A,FALSE,"Tickmarks"}</definedName>
    <definedName name="wtyu" localSheetId="15" hidden="1">{#N/A,#N/A,FALSE,"Aging Summary";#N/A,#N/A,FALSE,"Ratio Analysis";#N/A,#N/A,FALSE,"Test 120 Day Accts";#N/A,#N/A,FALSE,"Tickmarks"}</definedName>
    <definedName name="wtyu" localSheetId="17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localSheetId="8" hidden="1">#REF!</definedName>
    <definedName name="XRefActiveRow" localSheetId="11" hidden="1">#REF!</definedName>
    <definedName name="XRefActiveRow" localSheetId="13" hidden="1">#REF!</definedName>
    <definedName name="XRefActiveRow" localSheetId="15" hidden="1">#REF!</definedName>
    <definedName name="XRefActiveRow" hidden="1">#REF!</definedName>
    <definedName name="XRefColumnsCount" hidden="1">3</definedName>
    <definedName name="XRefCopy1Row" localSheetId="8" hidden="1">#REF!</definedName>
    <definedName name="XRefCopy1Row" localSheetId="11" hidden="1">#REF!</definedName>
    <definedName name="XRefCopy1Row" localSheetId="13" hidden="1">#REF!</definedName>
    <definedName name="XRefCopy1Row" localSheetId="15" hidden="1">#REF!</definedName>
    <definedName name="XRefCopy1Row" hidden="1">#REF!</definedName>
    <definedName name="XRefCopy2Row" localSheetId="8" hidden="1">#REF!</definedName>
    <definedName name="XRefCopy2Row" localSheetId="11" hidden="1">#REF!</definedName>
    <definedName name="XRefCopy2Row" localSheetId="13" hidden="1">#REF!</definedName>
    <definedName name="XRefCopy2Row" localSheetId="15" hidden="1">#REF!</definedName>
    <definedName name="XRefCopy2Row" hidden="1">#REF!</definedName>
    <definedName name="XRefCopy3Row" localSheetId="8" hidden="1">#REF!</definedName>
    <definedName name="XRefCopy3Row" localSheetId="11" hidden="1">#REF!</definedName>
    <definedName name="XRefCopy3Row" localSheetId="13" hidden="1">#REF!</definedName>
    <definedName name="XRefCopy3Row" localSheetId="15" hidden="1">#REF!</definedName>
    <definedName name="XRefCopy3Row" hidden="1">#REF!</definedName>
    <definedName name="XRefCopyRangeCount" hidden="1">3</definedName>
    <definedName name="XRefPaste1Row" localSheetId="8" hidden="1">#REF!</definedName>
    <definedName name="XRefPaste1Row" localSheetId="11" hidden="1">#REF!</definedName>
    <definedName name="XRefPaste1Row" localSheetId="13" hidden="1">#REF!</definedName>
    <definedName name="XRefPaste1Row" localSheetId="15" hidden="1">#REF!</definedName>
    <definedName name="XRefPaste1Row" hidden="1">#REF!</definedName>
    <definedName name="XRefPaste2Row" localSheetId="8" hidden="1">#REF!</definedName>
    <definedName name="XRefPaste2Row" localSheetId="11" hidden="1">#REF!</definedName>
    <definedName name="XRefPaste2Row" localSheetId="13" hidden="1">#REF!</definedName>
    <definedName name="XRefPaste2Row" localSheetId="15" hidden="1">#REF!</definedName>
    <definedName name="XRefPaste2Row" hidden="1">#REF!</definedName>
    <definedName name="XRefPasteRangeCount" hidden="1">2</definedName>
    <definedName name="y" localSheetId="4" hidden="1">{#N/A,#N/A,FALSE,"Aging Summary";#N/A,#N/A,FALSE,"Ratio Analysis";#N/A,#N/A,FALSE,"Test 120 Day Accts";#N/A,#N/A,FALSE,"Tickmarks"}</definedName>
    <definedName name="y" localSheetId="10" hidden="1">{#N/A,#N/A,FALSE,"Aging Summary";#N/A,#N/A,FALSE,"Ratio Analysis";#N/A,#N/A,FALSE,"Test 120 Day Accts";#N/A,#N/A,FALSE,"Tickmarks"}</definedName>
    <definedName name="y" localSheetId="11" hidden="1">{#N/A,#N/A,FALSE,"Aging Summary";#N/A,#N/A,FALSE,"Ratio Analysis";#N/A,#N/A,FALSE,"Test 120 Day Accts";#N/A,#N/A,FALSE,"Tickmarks"}</definedName>
    <definedName name="y" localSheetId="12" hidden="1">{#N/A,#N/A,FALSE,"Aging Summary";#N/A,#N/A,FALSE,"Ratio Analysis";#N/A,#N/A,FALSE,"Test 120 Day Accts";#N/A,#N/A,FALSE,"Tickmarks"}</definedName>
    <definedName name="y" localSheetId="13" hidden="1">{#N/A,#N/A,FALSE,"Aging Summary";#N/A,#N/A,FALSE,"Ratio Analysis";#N/A,#N/A,FALSE,"Test 120 Day Accts";#N/A,#N/A,FALSE,"Tickmarks"}</definedName>
    <definedName name="y" localSheetId="14" hidden="1">{#N/A,#N/A,FALSE,"Aging Summary";#N/A,#N/A,FALSE,"Ratio Analysis";#N/A,#N/A,FALSE,"Test 120 Day Accts";#N/A,#N/A,FALSE,"Tickmarks"}</definedName>
    <definedName name="y" localSheetId="15" hidden="1">{#N/A,#N/A,FALSE,"Aging Summary";#N/A,#N/A,FALSE,"Ratio Analysis";#N/A,#N/A,FALSE,"Test 120 Day Accts";#N/A,#N/A,FALSE,"Tickmarks"}</definedName>
    <definedName name="y" localSheetId="17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YR">'DEF - 2 -Page 1 Summary'!$P$1</definedName>
  </definedNames>
  <calcPr calcId="125725"/>
</workbook>
</file>

<file path=xl/calcChain.xml><?xml version="1.0" encoding="utf-8"?>
<calcChain xmlns="http://schemas.openxmlformats.org/spreadsheetml/2006/main">
  <c r="J76" i="12"/>
  <c r="J70"/>
  <c r="J71"/>
  <c r="J72"/>
  <c r="J73"/>
  <c r="J74"/>
  <c r="J75"/>
  <c r="G35" i="21" l="1"/>
  <c r="I35" l="1"/>
  <c r="U35" i="12" l="1"/>
  <c r="J65" l="1"/>
  <c r="G85" i="2" l="1"/>
  <c r="G86"/>
  <c r="N20" i="12" l="1"/>
  <c r="M30" s="1"/>
  <c r="N23" l="1"/>
  <c r="M28"/>
  <c r="M29"/>
  <c r="M38"/>
  <c r="N22"/>
  <c r="N19"/>
  <c r="N21" s="1"/>
  <c r="M37" l="1"/>
  <c r="M36"/>
  <c r="H12"/>
  <c r="H13"/>
  <c r="H14"/>
  <c r="H15"/>
  <c r="H16"/>
  <c r="H17"/>
  <c r="H21"/>
  <c r="H24"/>
  <c r="H25"/>
  <c r="H31"/>
  <c r="H32"/>
  <c r="H36"/>
  <c r="H44"/>
  <c r="H45"/>
  <c r="H46"/>
  <c r="H47"/>
  <c r="J12"/>
  <c r="J13"/>
  <c r="J14"/>
  <c r="J15"/>
  <c r="J16"/>
  <c r="J17"/>
  <c r="J19"/>
  <c r="J20"/>
  <c r="J21"/>
  <c r="J24"/>
  <c r="J25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3"/>
  <c r="J54"/>
  <c r="J55"/>
  <c r="J56"/>
  <c r="J58"/>
  <c r="J59"/>
  <c r="J60"/>
  <c r="J61"/>
  <c r="J62"/>
  <c r="J63"/>
  <c r="J64"/>
  <c r="J66"/>
  <c r="H11"/>
  <c r="J11"/>
  <c r="T72"/>
  <c r="T71"/>
  <c r="T26"/>
  <c r="J26" s="1"/>
  <c r="W48"/>
  <c r="H48" s="1"/>
  <c r="T48"/>
  <c r="J48" s="1"/>
  <c r="T27"/>
  <c r="J27" s="1"/>
  <c r="X22"/>
  <c r="W22"/>
  <c r="T22"/>
  <c r="J22" s="1"/>
  <c r="T18"/>
  <c r="J18" s="1"/>
  <c r="G17" i="28"/>
  <c r="G18"/>
  <c r="G12" i="21"/>
  <c r="H22" i="12" l="1"/>
  <c r="M35"/>
  <c r="D84" i="37"/>
  <c r="I17" i="28"/>
  <c r="I18"/>
  <c r="O36" i="12" l="1"/>
  <c r="O38"/>
  <c r="O37"/>
  <c r="I3" i="33" l="1"/>
  <c r="K3" i="12"/>
  <c r="N3" i="35"/>
  <c r="D10" i="28"/>
  <c r="D10" i="39"/>
  <c r="D10" i="21"/>
  <c r="D10" i="37"/>
  <c r="A46" i="14"/>
  <c r="M17" i="3"/>
  <c r="H69" i="4"/>
  <c r="F69"/>
  <c r="R29" i="5" l="1"/>
  <c r="R34" s="1"/>
  <c r="G20" i="28" l="1"/>
  <c r="I20" s="1"/>
  <c r="G83" i="2" l="1"/>
  <c r="D45" i="21"/>
  <c r="G43"/>
  <c r="I43" s="1"/>
  <c r="G40"/>
  <c r="I40" s="1"/>
  <c r="G39"/>
  <c r="I39" s="1"/>
  <c r="G38"/>
  <c r="I38" s="1"/>
  <c r="G37"/>
  <c r="I37" s="1"/>
  <c r="G36"/>
  <c r="I36" s="1"/>
  <c r="G31"/>
  <c r="I31" s="1"/>
  <c r="G30"/>
  <c r="I30" s="1"/>
  <c r="G29"/>
  <c r="I29" s="1"/>
  <c r="G27"/>
  <c r="I27" s="1"/>
  <c r="G26"/>
  <c r="I26" s="1"/>
  <c r="G25"/>
  <c r="I25" s="1"/>
  <c r="G24"/>
  <c r="I24" s="1"/>
  <c r="G23"/>
  <c r="I23" s="1"/>
  <c r="G22"/>
  <c r="I22" s="1"/>
  <c r="D20"/>
  <c r="G17"/>
  <c r="I17" s="1"/>
  <c r="G16"/>
  <c r="I16" s="1"/>
  <c r="D13"/>
  <c r="I12"/>
  <c r="I13" s="1"/>
  <c r="G78" i="37"/>
  <c r="I78" s="1"/>
  <c r="G77"/>
  <c r="I77" s="1"/>
  <c r="G76"/>
  <c r="I76" s="1"/>
  <c r="G74"/>
  <c r="I74" s="1"/>
  <c r="G63"/>
  <c r="I63" s="1"/>
  <c r="G62"/>
  <c r="I62" s="1"/>
  <c r="G61"/>
  <c r="I61" s="1"/>
  <c r="G60"/>
  <c r="I60" s="1"/>
  <c r="G59"/>
  <c r="I59" s="1"/>
  <c r="G50"/>
  <c r="I50" s="1"/>
  <c r="G49"/>
  <c r="I49" s="1"/>
  <c r="G48"/>
  <c r="I48" s="1"/>
  <c r="G47"/>
  <c r="I47" s="1"/>
  <c r="G46"/>
  <c r="I46" s="1"/>
  <c r="G45"/>
  <c r="I45" s="1"/>
  <c r="G43"/>
  <c r="I43" s="1"/>
  <c r="G40"/>
  <c r="I40" s="1"/>
  <c r="G39"/>
  <c r="I39" s="1"/>
  <c r="G38"/>
  <c r="I38" s="1"/>
  <c r="G34"/>
  <c r="I34" s="1"/>
  <c r="G33"/>
  <c r="I33" s="1"/>
  <c r="G32"/>
  <c r="I32" s="1"/>
  <c r="G31"/>
  <c r="I31" s="1"/>
  <c r="G27"/>
  <c r="I27" s="1"/>
  <c r="G25"/>
  <c r="I25" s="1"/>
  <c r="G24"/>
  <c r="I24" s="1"/>
  <c r="G23"/>
  <c r="I23" s="1"/>
  <c r="G21"/>
  <c r="I21" s="1"/>
  <c r="G16"/>
  <c r="I16" s="1"/>
  <c r="G14"/>
  <c r="I14" s="1"/>
  <c r="G13"/>
  <c r="I13" s="1"/>
  <c r="G12"/>
  <c r="I12" s="1"/>
  <c r="D47" i="21" l="1"/>
  <c r="G46" i="11" l="1"/>
  <c r="G56" i="36"/>
  <c r="G44"/>
  <c r="N38" i="12" l="1"/>
  <c r="N37"/>
  <c r="Q38" l="1"/>
  <c r="O23" s="1"/>
  <c r="U57" s="1"/>
  <c r="J57" s="1"/>
  <c r="O30"/>
  <c r="Q30" s="1"/>
  <c r="O28"/>
  <c r="Q28" s="1"/>
  <c r="R28" s="1"/>
  <c r="R20" i="5" l="1"/>
  <c r="R36" l="1"/>
  <c r="F19"/>
  <c r="F32" i="23"/>
  <c r="F33" l="1"/>
  <c r="F34"/>
  <c r="F31"/>
  <c r="F36" l="1"/>
  <c r="K29" i="8" l="1"/>
  <c r="N36" i="12" l="1"/>
  <c r="Q37"/>
  <c r="O29"/>
  <c r="Q29" s="1"/>
  <c r="R29" s="1"/>
  <c r="O19" s="1"/>
  <c r="X23" s="1"/>
  <c r="H23" s="1"/>
  <c r="Q36" l="1"/>
  <c r="R36" s="1"/>
  <c r="R37" s="1"/>
  <c r="O21" s="1"/>
  <c r="R30"/>
  <c r="O20" s="1"/>
  <c r="U23" s="1"/>
  <c r="J23" s="1"/>
  <c r="R38" l="1"/>
  <c r="O22" s="1"/>
  <c r="U28" s="1"/>
  <c r="J28" s="1"/>
  <c r="M18" i="3"/>
  <c r="G40" i="28" l="1"/>
  <c r="G39"/>
  <c r="G38"/>
  <c r="G33"/>
  <c r="G32"/>
  <c r="G31"/>
  <c r="G29"/>
  <c r="G28"/>
  <c r="G27"/>
  <c r="G26"/>
  <c r="G25"/>
  <c r="G24"/>
  <c r="G19"/>
  <c r="G16"/>
  <c r="G12"/>
  <c r="G63" i="39"/>
  <c r="G50"/>
  <c r="G43"/>
  <c r="G34"/>
  <c r="G33"/>
  <c r="G32"/>
  <c r="G25"/>
  <c r="G24"/>
  <c r="G16"/>
  <c r="G14"/>
  <c r="G13"/>
  <c r="G12"/>
  <c r="N20" i="3" l="1"/>
  <c r="I17" s="1"/>
  <c r="F42" i="5"/>
  <c r="G29" i="35" l="1"/>
  <c r="E29"/>
  <c r="I28"/>
  <c r="I24"/>
  <c r="I23"/>
  <c r="I22"/>
  <c r="I21"/>
  <c r="I20"/>
  <c r="I19"/>
  <c r="I18"/>
  <c r="I17"/>
  <c r="I16"/>
  <c r="I15"/>
  <c r="D46" i="28"/>
  <c r="I40"/>
  <c r="I39"/>
  <c r="I38"/>
  <c r="I33"/>
  <c r="I32"/>
  <c r="I31"/>
  <c r="I29"/>
  <c r="I28"/>
  <c r="I27"/>
  <c r="I26"/>
  <c r="I25"/>
  <c r="I24"/>
  <c r="D22"/>
  <c r="I19"/>
  <c r="I16"/>
  <c r="I12"/>
  <c r="D84" i="39"/>
  <c r="I63"/>
  <c r="I50"/>
  <c r="I43"/>
  <c r="I34"/>
  <c r="I33"/>
  <c r="I32"/>
  <c r="I25"/>
  <c r="I24"/>
  <c r="I16"/>
  <c r="I14"/>
  <c r="I13"/>
  <c r="I12"/>
  <c r="H85" i="26"/>
  <c r="F85"/>
  <c r="J83"/>
  <c r="J81"/>
  <c r="J79"/>
  <c r="J77"/>
  <c r="J75"/>
  <c r="G74" i="11"/>
  <c r="G53"/>
  <c r="G49"/>
  <c r="G40"/>
  <c r="G31"/>
  <c r="G23"/>
  <c r="G59" i="36"/>
  <c r="G40"/>
  <c r="G35"/>
  <c r="G28"/>
  <c r="G18"/>
  <c r="G14"/>
  <c r="D30" i="22"/>
  <c r="F24"/>
  <c r="F17"/>
  <c r="F16"/>
  <c r="F15"/>
  <c r="F13"/>
  <c r="F12"/>
  <c r="G50" i="14"/>
  <c r="I3" i="39"/>
  <c r="P3" i="8"/>
  <c r="P2"/>
  <c r="I3" i="37" l="1"/>
  <c r="I3" i="21"/>
  <c r="I25" i="35"/>
  <c r="I3" i="36"/>
  <c r="I3" i="28"/>
  <c r="G25" i="35"/>
  <c r="G31" s="1"/>
  <c r="H52" i="4" s="1"/>
  <c r="E25" i="35"/>
  <c r="E31" s="1"/>
  <c r="F52" i="4" s="1"/>
  <c r="I29" i="35"/>
  <c r="G70" i="11"/>
  <c r="G61" i="36"/>
  <c r="G77" i="11" s="1"/>
  <c r="G88" i="2"/>
  <c r="I31" i="35" l="1"/>
  <c r="J52" i="4"/>
  <c r="G66" i="11"/>
  <c r="G76" s="1"/>
  <c r="G79" l="1"/>
  <c r="I15" i="3" s="1"/>
  <c r="F46" i="4"/>
  <c r="C37" i="5"/>
  <c r="C19"/>
  <c r="C28" i="4"/>
  <c r="C16"/>
  <c r="I13" i="28"/>
  <c r="O47" i="4" s="1"/>
  <c r="D13" i="28"/>
  <c r="D48" s="1"/>
  <c r="G3" i="2"/>
  <c r="H27" i="33" l="1"/>
  <c r="H26"/>
  <c r="F38" i="5" s="1"/>
  <c r="H25" i="33"/>
  <c r="H17"/>
  <c r="H16"/>
  <c r="H15"/>
  <c r="H14"/>
  <c r="J3" i="26"/>
  <c r="I3" i="11"/>
  <c r="G3" i="22"/>
  <c r="K3" i="14"/>
  <c r="L3" i="23"/>
  <c r="J3" i="3"/>
  <c r="J3" i="5"/>
  <c r="N3" i="4"/>
  <c r="J6" i="8"/>
  <c r="I15" i="23"/>
  <c r="F15" i="5"/>
  <c r="F48" i="12"/>
  <c r="F47"/>
  <c r="D49" i="4" s="1"/>
  <c r="J69"/>
  <c r="A13" i="3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K30"/>
  <c r="K31"/>
  <c r="F32"/>
  <c r="G32"/>
  <c r="H32"/>
  <c r="I32"/>
  <c r="J32"/>
  <c r="F47"/>
  <c r="G47"/>
  <c r="H47"/>
  <c r="I47"/>
  <c r="J47"/>
  <c r="F48"/>
  <c r="G48"/>
  <c r="H48"/>
  <c r="I48"/>
  <c r="J48"/>
  <c r="F16" i="4"/>
  <c r="H16"/>
  <c r="F14" i="23"/>
  <c r="I22"/>
  <c r="F23" s="1"/>
  <c r="F24" s="1"/>
  <c r="F26"/>
  <c r="B26"/>
  <c r="B28" s="1"/>
  <c r="O14" i="4"/>
  <c r="O38" s="1"/>
  <c r="F28"/>
  <c r="H28"/>
  <c r="O20"/>
  <c r="O40" s="1"/>
  <c r="I33" i="3"/>
  <c r="I28"/>
  <c r="I29"/>
  <c r="H21" i="4"/>
  <c r="F33"/>
  <c r="H33"/>
  <c r="F22"/>
  <c r="H22"/>
  <c r="F34"/>
  <c r="H34"/>
  <c r="F32"/>
  <c r="H32"/>
  <c r="J85" i="26"/>
  <c r="I16" i="3" s="1"/>
  <c r="F65" i="12"/>
  <c r="F64"/>
  <c r="E33" i="23" s="1"/>
  <c r="F63" i="12"/>
  <c r="E32" i="23" s="1"/>
  <c r="E48" i="3"/>
  <c r="F11" i="12"/>
  <c r="D69" i="4" s="1"/>
  <c r="C22"/>
  <c r="C21"/>
  <c r="C20"/>
  <c r="C14"/>
  <c r="C34"/>
  <c r="C33"/>
  <c r="C32"/>
  <c r="C26"/>
  <c r="F35" i="12"/>
  <c r="E19" i="23" s="1"/>
  <c r="F13"/>
  <c r="F33" i="12"/>
  <c r="E13" i="23" s="1"/>
  <c r="F59" i="12"/>
  <c r="G33" i="3" s="1"/>
  <c r="E33"/>
  <c r="F60" i="12"/>
  <c r="G29" i="3" s="1"/>
  <c r="E29"/>
  <c r="F61" i="12"/>
  <c r="G28" i="3" s="1"/>
  <c r="E28"/>
  <c r="F61" i="5"/>
  <c r="C61"/>
  <c r="F43" i="12"/>
  <c r="D61" i="5" s="1"/>
  <c r="F47"/>
  <c r="F46"/>
  <c r="F41"/>
  <c r="F37"/>
  <c r="F56" i="12"/>
  <c r="D42" i="5" s="1"/>
  <c r="F58" i="12"/>
  <c r="D41" i="5" s="1"/>
  <c r="C42"/>
  <c r="C41"/>
  <c r="F57" i="12"/>
  <c r="D37" i="5" s="1"/>
  <c r="F26"/>
  <c r="F28" s="1"/>
  <c r="F51" i="12"/>
  <c r="D26" i="5" s="1"/>
  <c r="C26"/>
  <c r="F22"/>
  <c r="F21"/>
  <c r="F20"/>
  <c r="F53" i="12"/>
  <c r="D22" i="5" s="1"/>
  <c r="F52" i="12"/>
  <c r="D21" i="5" s="1"/>
  <c r="F54" i="12"/>
  <c r="D19" i="5" s="1"/>
  <c r="F23"/>
  <c r="C22"/>
  <c r="C21"/>
  <c r="C20"/>
  <c r="F16"/>
  <c r="F49" i="12"/>
  <c r="D16" i="5" s="1"/>
  <c r="F14"/>
  <c r="F50" i="12"/>
  <c r="D14" i="5" s="1"/>
  <c r="C14"/>
  <c r="A25" i="8"/>
  <c r="A27" s="1"/>
  <c r="K34" i="23"/>
  <c r="K33"/>
  <c r="K32"/>
  <c r="K31"/>
  <c r="D32"/>
  <c r="D34"/>
  <c r="D33"/>
  <c r="D31"/>
  <c r="F62" i="12"/>
  <c r="E31" i="23" s="1"/>
  <c r="F49" i="4"/>
  <c r="H49"/>
  <c r="F21"/>
  <c r="F14"/>
  <c r="H14"/>
  <c r="F26"/>
  <c r="H26"/>
  <c r="F20"/>
  <c r="H20"/>
  <c r="A16"/>
  <c r="A20" s="1"/>
  <c r="A21" s="1"/>
  <c r="A22" s="1"/>
  <c r="A23" s="1"/>
  <c r="A26" s="1"/>
  <c r="A28" s="1"/>
  <c r="A32" s="1"/>
  <c r="A33" s="1"/>
  <c r="A34" s="1"/>
  <c r="A35" s="1"/>
  <c r="A38" s="1"/>
  <c r="A39" s="1"/>
  <c r="A40" s="1"/>
  <c r="A41" s="1"/>
  <c r="A42" s="1"/>
  <c r="A43" s="1"/>
  <c r="F54"/>
  <c r="H54"/>
  <c r="K35" i="23"/>
  <c r="F56" i="4"/>
  <c r="H56"/>
  <c r="J61"/>
  <c r="O61" s="1"/>
  <c r="J62"/>
  <c r="O62" s="1"/>
  <c r="F32" i="5"/>
  <c r="K30"/>
  <c r="K31"/>
  <c r="F67" i="4"/>
  <c r="H67"/>
  <c r="F68"/>
  <c r="H68"/>
  <c r="F76"/>
  <c r="H76"/>
  <c r="F77"/>
  <c r="H77"/>
  <c r="F78"/>
  <c r="H78"/>
  <c r="J79"/>
  <c r="F82"/>
  <c r="F86" s="1"/>
  <c r="H82"/>
  <c r="H86" s="1"/>
  <c r="F85"/>
  <c r="H85"/>
  <c r="F87"/>
  <c r="H87"/>
  <c r="I41" i="3"/>
  <c r="I43" s="1"/>
  <c r="I45"/>
  <c r="F57" i="5"/>
  <c r="K17" i="8"/>
  <c r="C20" i="25"/>
  <c r="C34" s="1"/>
  <c r="C26"/>
  <c r="C35" s="1"/>
  <c r="D27"/>
  <c r="B43" s="1"/>
  <c r="F50"/>
  <c r="A15" i="5"/>
  <c r="A16" s="1"/>
  <c r="A17" s="1"/>
  <c r="C76" i="4"/>
  <c r="F19" i="12"/>
  <c r="G45" i="3" s="1"/>
  <c r="F18" i="12"/>
  <c r="G41" i="3" s="1"/>
  <c r="F32" i="12"/>
  <c r="D68" i="4" s="1"/>
  <c r="F31" i="12"/>
  <c r="D67" i="4" s="1"/>
  <c r="F55" i="12"/>
  <c r="F14"/>
  <c r="D87" i="4" s="1"/>
  <c r="F13" i="12"/>
  <c r="D82" i="4" s="1"/>
  <c r="D86" s="1"/>
  <c r="F15" i="12"/>
  <c r="D85" i="4" s="1"/>
  <c r="F17" i="12"/>
  <c r="D78" i="4" s="1"/>
  <c r="F12" i="12"/>
  <c r="D77" i="4" s="1"/>
  <c r="F16" i="12"/>
  <c r="D76" i="4" s="1"/>
  <c r="F48"/>
  <c r="H48"/>
  <c r="F47"/>
  <c r="H47"/>
  <c r="H46"/>
  <c r="F44" i="12"/>
  <c r="F46"/>
  <c r="D48" i="4" s="1"/>
  <c r="F45" i="12"/>
  <c r="D47" i="4" s="1"/>
  <c r="F36" i="12"/>
  <c r="D46" i="4" s="1"/>
  <c r="F26" i="12"/>
  <c r="D56" i="4" s="1"/>
  <c r="D54"/>
  <c r="F76" i="12"/>
  <c r="F20"/>
  <c r="D34" i="4" s="1"/>
  <c r="F30" i="12"/>
  <c r="D33" i="4" s="1"/>
  <c r="F29" i="12"/>
  <c r="D32" i="4" s="1"/>
  <c r="F28" i="12"/>
  <c r="D28" i="4" s="1"/>
  <c r="F27" i="12"/>
  <c r="D26" i="4" s="1"/>
  <c r="F72" i="12"/>
  <c r="F75"/>
  <c r="F74"/>
  <c r="F73"/>
  <c r="F71"/>
  <c r="F21"/>
  <c r="D22" i="4" s="1"/>
  <c r="F25" i="12"/>
  <c r="D21" i="4" s="1"/>
  <c r="F24" i="12"/>
  <c r="D20" i="4" s="1"/>
  <c r="F23" i="12"/>
  <c r="D16" i="4" s="1"/>
  <c r="F22" i="12"/>
  <c r="D14" i="4" s="1"/>
  <c r="F70" i="12"/>
  <c r="F34"/>
  <c r="F66"/>
  <c r="F37"/>
  <c r="F38"/>
  <c r="F39"/>
  <c r="F40"/>
  <c r="F41"/>
  <c r="F42"/>
  <c r="O26" i="4"/>
  <c r="O32"/>
  <c r="K19" i="5"/>
  <c r="B41" i="25" l="1"/>
  <c r="B48" s="1"/>
  <c r="B49" s="1"/>
  <c r="I19" i="23"/>
  <c r="I24" s="1"/>
  <c r="K24" s="1"/>
  <c r="F18" i="32" s="1"/>
  <c r="G49"/>
  <c r="I49"/>
  <c r="J49"/>
  <c r="H49"/>
  <c r="O63" i="4"/>
  <c r="J34"/>
  <c r="J54"/>
  <c r="F24" i="5"/>
  <c r="H28" i="33"/>
  <c r="H29" i="4" s="1"/>
  <c r="J16"/>
  <c r="J14"/>
  <c r="F17" i="5"/>
  <c r="D20"/>
  <c r="E34" i="23"/>
  <c r="J82" i="4"/>
  <c r="I48" i="3" s="1"/>
  <c r="G54" s="1"/>
  <c r="J78" i="4"/>
  <c r="J49"/>
  <c r="F48" i="5"/>
  <c r="J32" i="4"/>
  <c r="J33"/>
  <c r="J48"/>
  <c r="J85"/>
  <c r="J20"/>
  <c r="J40" s="1"/>
  <c r="J28"/>
  <c r="J21"/>
  <c r="D33" i="25"/>
  <c r="B45" s="1"/>
  <c r="B44"/>
  <c r="G50"/>
  <c r="G51" s="1"/>
  <c r="F15" i="23"/>
  <c r="K15" s="1"/>
  <c r="K48" i="32"/>
  <c r="K32"/>
  <c r="J34" s="1"/>
  <c r="F60" i="5"/>
  <c r="F64" s="1"/>
  <c r="K47" i="32"/>
  <c r="I31" i="3"/>
  <c r="I35" s="1"/>
  <c r="J22" i="4"/>
  <c r="H30" i="25"/>
  <c r="H36" s="1"/>
  <c r="A46" i="4"/>
  <c r="A47" s="1"/>
  <c r="A48" s="1"/>
  <c r="A49" s="1"/>
  <c r="A29" i="8"/>
  <c r="A31" s="1"/>
  <c r="B31" i="23"/>
  <c r="B32" s="1"/>
  <c r="B33" s="1"/>
  <c r="B34" s="1"/>
  <c r="B35" s="1"/>
  <c r="B36" s="1"/>
  <c r="D32" i="8"/>
  <c r="F34" i="32"/>
  <c r="A19" i="5"/>
  <c r="A20" s="1"/>
  <c r="A21" s="1"/>
  <c r="A22" s="1"/>
  <c r="A23" s="1"/>
  <c r="A24" s="1"/>
  <c r="A26" s="1"/>
  <c r="A27" s="1"/>
  <c r="A28" s="1"/>
  <c r="A30" s="1"/>
  <c r="A31" s="1"/>
  <c r="A32" s="1"/>
  <c r="A34" s="1"/>
  <c r="J68" i="4"/>
  <c r="F49" i="32"/>
  <c r="H18" i="33"/>
  <c r="H17" i="4" s="1"/>
  <c r="F17"/>
  <c r="F29"/>
  <c r="J47"/>
  <c r="J26"/>
  <c r="F39" i="5"/>
  <c r="F43" s="1"/>
  <c r="J77" i="4"/>
  <c r="J76"/>
  <c r="K36" i="23"/>
  <c r="K38" s="1"/>
  <c r="J46" i="4"/>
  <c r="J87"/>
  <c r="J86"/>
  <c r="J67"/>
  <c r="J56"/>
  <c r="O56" s="1"/>
  <c r="H30" i="33" l="1"/>
  <c r="K19" i="23"/>
  <c r="F17" i="32" s="1"/>
  <c r="F19" s="1"/>
  <c r="I26" i="23"/>
  <c r="K26" s="1"/>
  <c r="F22" i="32" s="1"/>
  <c r="J66" s="1"/>
  <c r="I34"/>
  <c r="G34"/>
  <c r="H34"/>
  <c r="K49"/>
  <c r="B46" i="25"/>
  <c r="B51" s="1"/>
  <c r="B52" s="1"/>
  <c r="B54" s="1"/>
  <c r="J29" i="4"/>
  <c r="J30" s="1"/>
  <c r="J17"/>
  <c r="J18" s="1"/>
  <c r="I14" i="3" s="1"/>
  <c r="I18" s="1"/>
  <c r="I20" s="1"/>
  <c r="R16" s="1"/>
  <c r="J23" i="4"/>
  <c r="J41"/>
  <c r="J42"/>
  <c r="M54"/>
  <c r="O54" s="1"/>
  <c r="A50"/>
  <c r="A52" s="1"/>
  <c r="A54" s="1"/>
  <c r="A56" s="1"/>
  <c r="A58" s="1"/>
  <c r="D46" i="25"/>
  <c r="D44"/>
  <c r="J80" i="4"/>
  <c r="I47" i="3" s="1"/>
  <c r="G53" s="1"/>
  <c r="J38" i="4"/>
  <c r="J35"/>
  <c r="G70" i="32"/>
  <c r="F70"/>
  <c r="J70"/>
  <c r="K70"/>
  <c r="I70"/>
  <c r="H70"/>
  <c r="A37" i="5"/>
  <c r="A41" s="1"/>
  <c r="A42" s="1"/>
  <c r="A43" s="1"/>
  <c r="A46" s="1"/>
  <c r="A47" s="1"/>
  <c r="A48" s="1"/>
  <c r="A51" s="1"/>
  <c r="D66" i="4"/>
  <c r="A32" i="8"/>
  <c r="A33" s="1"/>
  <c r="I31" i="25"/>
  <c r="B38" i="23"/>
  <c r="L54" i="4" s="1"/>
  <c r="D29" i="8"/>
  <c r="I51" i="25"/>
  <c r="G52"/>
  <c r="J88" i="4"/>
  <c r="J50"/>
  <c r="H20" i="33"/>
  <c r="B34" i="5"/>
  <c r="D31" i="8"/>
  <c r="R15" i="3" l="1"/>
  <c r="K34" i="32"/>
  <c r="I66"/>
  <c r="D52" i="25"/>
  <c r="G66" i="32"/>
  <c r="F23"/>
  <c r="F25" s="1"/>
  <c r="I37" s="1"/>
  <c r="J39" i="4"/>
  <c r="J43" s="1"/>
  <c r="D54" i="25"/>
  <c r="F66" i="32"/>
  <c r="H66"/>
  <c r="I23" i="3"/>
  <c r="I37" s="1"/>
  <c r="R9" s="1"/>
  <c r="D33" i="8"/>
  <c r="J90" i="4"/>
  <c r="A61"/>
  <c r="A62" s="1"/>
  <c r="A63" s="1"/>
  <c r="A66" s="1"/>
  <c r="A67" s="1"/>
  <c r="A68" s="1"/>
  <c r="A69" s="1"/>
  <c r="A70" s="1"/>
  <c r="A72" s="1"/>
  <c r="I49" i="3"/>
  <c r="I50" s="1"/>
  <c r="F55" s="1"/>
  <c r="I55" s="1"/>
  <c r="I35" i="25"/>
  <c r="H37"/>
  <c r="I38" s="1"/>
  <c r="A55" i="5"/>
  <c r="A56" s="1"/>
  <c r="A57" s="1"/>
  <c r="A59" s="1"/>
  <c r="A60" s="1"/>
  <c r="I52" i="25"/>
  <c r="I53" s="1"/>
  <c r="G53"/>
  <c r="G54" s="1"/>
  <c r="A35" i="8"/>
  <c r="D35"/>
  <c r="I22" i="3"/>
  <c r="B72" i="4" l="1"/>
  <c r="G62" i="39"/>
  <c r="I62" s="1"/>
  <c r="G60"/>
  <c r="I60" s="1"/>
  <c r="G39"/>
  <c r="I39" s="1"/>
  <c r="G61"/>
  <c r="I61" s="1"/>
  <c r="G59"/>
  <c r="I59" s="1"/>
  <c r="G49"/>
  <c r="I49" s="1"/>
  <c r="G38"/>
  <c r="I38" s="1"/>
  <c r="G27"/>
  <c r="I27" s="1"/>
  <c r="G21"/>
  <c r="I21" s="1"/>
  <c r="G23"/>
  <c r="I23" s="1"/>
  <c r="F54" i="3"/>
  <c r="I54" s="1"/>
  <c r="G72" i="37"/>
  <c r="I72" s="1"/>
  <c r="G69"/>
  <c r="I69" s="1"/>
  <c r="G67"/>
  <c r="I67" s="1"/>
  <c r="G65"/>
  <c r="I65" s="1"/>
  <c r="G57"/>
  <c r="I57" s="1"/>
  <c r="G55"/>
  <c r="I55" s="1"/>
  <c r="G44"/>
  <c r="I44" s="1"/>
  <c r="G42"/>
  <c r="I42" s="1"/>
  <c r="G36"/>
  <c r="I36" s="1"/>
  <c r="G26"/>
  <c r="I26" s="1"/>
  <c r="G22"/>
  <c r="I22" s="1"/>
  <c r="G18"/>
  <c r="I18" s="1"/>
  <c r="G28" i="21"/>
  <c r="I28" s="1"/>
  <c r="G75" i="37"/>
  <c r="I75" s="1"/>
  <c r="G73"/>
  <c r="I73" s="1"/>
  <c r="G71"/>
  <c r="I71" s="1"/>
  <c r="G70"/>
  <c r="I70" s="1"/>
  <c r="G68"/>
  <c r="I68" s="1"/>
  <c r="G66"/>
  <c r="I66" s="1"/>
  <c r="G64"/>
  <c r="I64" s="1"/>
  <c r="G58"/>
  <c r="I58" s="1"/>
  <c r="G56"/>
  <c r="I56" s="1"/>
  <c r="G54"/>
  <c r="I54" s="1"/>
  <c r="G41"/>
  <c r="I41" s="1"/>
  <c r="G37"/>
  <c r="I37" s="1"/>
  <c r="G35"/>
  <c r="I35" s="1"/>
  <c r="G19"/>
  <c r="I19" s="1"/>
  <c r="G17"/>
  <c r="I17" s="1"/>
  <c r="G20"/>
  <c r="I20" s="1"/>
  <c r="C63" i="5"/>
  <c r="G37" i="32"/>
  <c r="G38"/>
  <c r="J38"/>
  <c r="F38"/>
  <c r="H37"/>
  <c r="I38"/>
  <c r="I39" s="1"/>
  <c r="H38"/>
  <c r="J37"/>
  <c r="F37"/>
  <c r="F27" i="22"/>
  <c r="G20" i="39"/>
  <c r="I20" s="1"/>
  <c r="G26"/>
  <c r="I26" s="1"/>
  <c r="G42"/>
  <c r="I42" s="1"/>
  <c r="G54"/>
  <c r="I54" s="1"/>
  <c r="G58"/>
  <c r="I58" s="1"/>
  <c r="G66"/>
  <c r="I66" s="1"/>
  <c r="G30" i="28"/>
  <c r="I30" s="1"/>
  <c r="L23" i="35"/>
  <c r="N23" s="1"/>
  <c r="L19"/>
  <c r="N19" s="1"/>
  <c r="L28"/>
  <c r="N28" s="1"/>
  <c r="N29" s="1"/>
  <c r="F26" i="22"/>
  <c r="G17" i="39"/>
  <c r="I17" s="1"/>
  <c r="G35"/>
  <c r="I35" s="1"/>
  <c r="G41"/>
  <c r="I41" s="1"/>
  <c r="G67"/>
  <c r="I67" s="1"/>
  <c r="L22" i="35"/>
  <c r="N22" s="1"/>
  <c r="G18" i="39"/>
  <c r="I18" s="1"/>
  <c r="G22"/>
  <c r="I22" s="1"/>
  <c r="G36"/>
  <c r="I36" s="1"/>
  <c r="G44"/>
  <c r="I44" s="1"/>
  <c r="G56"/>
  <c r="I56" s="1"/>
  <c r="G64"/>
  <c r="I64" s="1"/>
  <c r="G68"/>
  <c r="I68" s="1"/>
  <c r="L15" i="35"/>
  <c r="N15" s="1"/>
  <c r="L21"/>
  <c r="N21" s="1"/>
  <c r="L17"/>
  <c r="N17" s="1"/>
  <c r="F25" i="22"/>
  <c r="G19" i="39"/>
  <c r="I19" s="1"/>
  <c r="G37"/>
  <c r="I37" s="1"/>
  <c r="G55"/>
  <c r="I55" s="1"/>
  <c r="L24" i="35"/>
  <c r="N24" s="1"/>
  <c r="L20"/>
  <c r="N20" s="1"/>
  <c r="L16"/>
  <c r="N16" s="1"/>
  <c r="G57" i="39"/>
  <c r="I57" s="1"/>
  <c r="L18" i="35"/>
  <c r="N18" s="1"/>
  <c r="I25" i="3"/>
  <c r="F53"/>
  <c r="I53" s="1"/>
  <c r="A76" i="4"/>
  <c r="A77" s="1"/>
  <c r="A78" s="1"/>
  <c r="A79" s="1"/>
  <c r="A80" s="1"/>
  <c r="C51" i="5"/>
  <c r="A37" i="8"/>
  <c r="D37"/>
  <c r="A61" i="5"/>
  <c r="A63" s="1"/>
  <c r="A64" s="1"/>
  <c r="A65" s="1"/>
  <c r="I39"/>
  <c r="M30" i="4"/>
  <c r="M18"/>
  <c r="M67"/>
  <c r="O67" s="1"/>
  <c r="M33"/>
  <c r="I24" i="5"/>
  <c r="I41"/>
  <c r="K41" s="1"/>
  <c r="M68" i="4"/>
  <c r="O68" s="1"/>
  <c r="I46" i="5"/>
  <c r="K46" s="1"/>
  <c r="I32"/>
  <c r="K32" s="1"/>
  <c r="I42"/>
  <c r="K42" s="1"/>
  <c r="M21" i="4"/>
  <c r="I56" i="3" l="1"/>
  <c r="J39" i="32"/>
  <c r="J65" s="1"/>
  <c r="K38"/>
  <c r="K37"/>
  <c r="K24" i="5"/>
  <c r="K39"/>
  <c r="F30" i="22"/>
  <c r="F19" i="8" s="1"/>
  <c r="K19" s="1"/>
  <c r="F39" i="32"/>
  <c r="F65" s="1"/>
  <c r="F68" s="1"/>
  <c r="G39"/>
  <c r="G65" s="1"/>
  <c r="J42"/>
  <c r="J52" s="1"/>
  <c r="H39"/>
  <c r="O18" i="4"/>
  <c r="I17" i="5"/>
  <c r="R17" i="3"/>
  <c r="N25" i="35"/>
  <c r="N31" s="1"/>
  <c r="G47" i="3"/>
  <c r="A82" i="4"/>
  <c r="O30"/>
  <c r="G55" i="25"/>
  <c r="I54"/>
  <c r="D41" i="8"/>
  <c r="D40"/>
  <c r="A40"/>
  <c r="C64" i="5"/>
  <c r="I65" i="32"/>
  <c r="I42"/>
  <c r="A67" i="5"/>
  <c r="D16" i="8" s="1"/>
  <c r="B67" i="5"/>
  <c r="M22" i="4"/>
  <c r="O21"/>
  <c r="M34"/>
  <c r="O34" s="1"/>
  <c r="O33"/>
  <c r="F59" i="5" l="1"/>
  <c r="K43"/>
  <c r="F42" i="32"/>
  <c r="K28" i="23" s="1"/>
  <c r="K39" i="32"/>
  <c r="K42" s="1"/>
  <c r="K17" i="5"/>
  <c r="J53" i="32"/>
  <c r="J54" s="1"/>
  <c r="J57" s="1"/>
  <c r="G42"/>
  <c r="G52" s="1"/>
  <c r="O52" i="4"/>
  <c r="G53" i="32"/>
  <c r="O39" i="4"/>
  <c r="H65" i="32"/>
  <c r="H42"/>
  <c r="O22" i="4"/>
  <c r="O23" s="1"/>
  <c r="O35"/>
  <c r="A85"/>
  <c r="A86" s="1"/>
  <c r="A87" s="1"/>
  <c r="A88" s="1"/>
  <c r="G48" i="3"/>
  <c r="F72" i="32"/>
  <c r="G63"/>
  <c r="G68" s="1"/>
  <c r="A41" i="8"/>
  <c r="D44"/>
  <c r="I55" i="25"/>
  <c r="I56" s="1"/>
  <c r="G56"/>
  <c r="G57" s="1"/>
  <c r="F52" i="32"/>
  <c r="I53"/>
  <c r="I52"/>
  <c r="O41" i="4"/>
  <c r="M23" l="1"/>
  <c r="M69" s="1"/>
  <c r="O69" s="1"/>
  <c r="F53" i="32"/>
  <c r="F54" s="1"/>
  <c r="F57" s="1"/>
  <c r="O42" i="4"/>
  <c r="O43" s="1"/>
  <c r="M43" s="1"/>
  <c r="R10" i="3" s="1"/>
  <c r="G54" i="32"/>
  <c r="G57" s="1"/>
  <c r="H52"/>
  <c r="K52" s="1"/>
  <c r="H53"/>
  <c r="K53" s="1"/>
  <c r="A90" i="4"/>
  <c r="C90"/>
  <c r="G49" i="3"/>
  <c r="A44" i="8"/>
  <c r="A45" s="1"/>
  <c r="D45"/>
  <c r="I54" i="32"/>
  <c r="I57" s="1"/>
  <c r="G72"/>
  <c r="H63"/>
  <c r="H68" s="1"/>
  <c r="I47" i="5" l="1"/>
  <c r="K47" s="1"/>
  <c r="K48" s="1"/>
  <c r="R8" i="3"/>
  <c r="I28" i="5"/>
  <c r="G37" i="28"/>
  <c r="I37" s="1"/>
  <c r="G65" i="39"/>
  <c r="I65" s="1"/>
  <c r="G45"/>
  <c r="I45" s="1"/>
  <c r="G47"/>
  <c r="I47" s="1"/>
  <c r="G40"/>
  <c r="I40" s="1"/>
  <c r="G82" i="37"/>
  <c r="I82" s="1"/>
  <c r="G81"/>
  <c r="I81" s="1"/>
  <c r="G41" i="28"/>
  <c r="I41" s="1"/>
  <c r="G48" i="39"/>
  <c r="I48" s="1"/>
  <c r="G46"/>
  <c r="I46" s="1"/>
  <c r="G44" i="28"/>
  <c r="I44" s="1"/>
  <c r="G69" i="39"/>
  <c r="I69" s="1"/>
  <c r="G41" i="21"/>
  <c r="I41" s="1"/>
  <c r="G30" i="37"/>
  <c r="I30" s="1"/>
  <c r="G28"/>
  <c r="I28" s="1"/>
  <c r="G29"/>
  <c r="I29" s="1"/>
  <c r="G44" i="21"/>
  <c r="I44" s="1"/>
  <c r="G42"/>
  <c r="I42" s="1"/>
  <c r="G33"/>
  <c r="I33" s="1"/>
  <c r="G15"/>
  <c r="I15" s="1"/>
  <c r="G80" i="37"/>
  <c r="I80" s="1"/>
  <c r="G53"/>
  <c r="I53" s="1"/>
  <c r="G51"/>
  <c r="I51" s="1"/>
  <c r="G15"/>
  <c r="I15" s="1"/>
  <c r="G34" i="21"/>
  <c r="I34" s="1"/>
  <c r="G32"/>
  <c r="I32" s="1"/>
  <c r="G19"/>
  <c r="I19" s="1"/>
  <c r="G79" i="37"/>
  <c r="I79" s="1"/>
  <c r="G52"/>
  <c r="I52" s="1"/>
  <c r="H54" i="32"/>
  <c r="H57" s="1"/>
  <c r="K57" s="1"/>
  <c r="G43" i="28"/>
  <c r="I43" s="1"/>
  <c r="G35"/>
  <c r="I35" s="1"/>
  <c r="G15"/>
  <c r="I15" s="1"/>
  <c r="G52" i="39"/>
  <c r="I52" s="1"/>
  <c r="G30"/>
  <c r="I30" s="1"/>
  <c r="G28"/>
  <c r="I28" s="1"/>
  <c r="G42" i="28"/>
  <c r="I42" s="1"/>
  <c r="G36"/>
  <c r="I36" s="1"/>
  <c r="G34"/>
  <c r="I34" s="1"/>
  <c r="G21"/>
  <c r="I21" s="1"/>
  <c r="G53" i="39"/>
  <c r="I53" s="1"/>
  <c r="G51"/>
  <c r="I51" s="1"/>
  <c r="G31"/>
  <c r="I31" s="1"/>
  <c r="G29"/>
  <c r="I29" s="1"/>
  <c r="G15"/>
  <c r="I15" s="1"/>
  <c r="I63" i="32"/>
  <c r="I68" s="1"/>
  <c r="H72"/>
  <c r="I57" i="25"/>
  <c r="G58"/>
  <c r="K54" i="32"/>
  <c r="I64" i="5"/>
  <c r="K28" l="1"/>
  <c r="K64"/>
  <c r="I84" i="37"/>
  <c r="I45" i="21"/>
  <c r="I20"/>
  <c r="I46" i="28"/>
  <c r="I22"/>
  <c r="I84" i="39"/>
  <c r="I72" i="32"/>
  <c r="J63"/>
  <c r="J68" s="1"/>
  <c r="I58" i="25"/>
  <c r="I59" s="1"/>
  <c r="G59"/>
  <c r="G60" s="1"/>
  <c r="K34" i="5" l="1"/>
  <c r="O66" i="4" s="1"/>
  <c r="O70" s="1"/>
  <c r="O46"/>
  <c r="O48"/>
  <c r="O49"/>
  <c r="I47" i="21"/>
  <c r="I48" i="28"/>
  <c r="J72" i="32"/>
  <c r="K63"/>
  <c r="K68"/>
  <c r="K72" s="1"/>
  <c r="O50" i="4" l="1"/>
  <c r="I60" i="25"/>
  <c r="G61"/>
  <c r="I61" s="1"/>
  <c r="G62" l="1"/>
  <c r="G63" s="1"/>
  <c r="I62"/>
  <c r="G65" l="1"/>
  <c r="G64"/>
  <c r="I63"/>
  <c r="I64" l="1"/>
  <c r="I65" s="1"/>
  <c r="G66"/>
  <c r="I66" l="1"/>
  <c r="I44"/>
  <c r="H45" s="1"/>
  <c r="H42"/>
  <c r="I43" s="1"/>
  <c r="G93" i="2" l="1"/>
  <c r="F20" i="8" s="1"/>
  <c r="K20" l="1"/>
  <c r="K21" s="1"/>
  <c r="F21"/>
  <c r="J58" i="4" l="1"/>
  <c r="O58" s="1"/>
  <c r="O72" l="1"/>
  <c r="K51" i="5" s="1"/>
  <c r="K63" s="1"/>
  <c r="K65" s="1"/>
  <c r="K67" l="1"/>
  <c r="K16" i="8" s="1"/>
  <c r="K27" s="1"/>
  <c r="K31" s="1"/>
  <c r="K33" s="1"/>
  <c r="K35" s="1"/>
  <c r="K37" s="1"/>
  <c r="K41" s="1"/>
  <c r="K45" s="1"/>
  <c r="K40" l="1"/>
  <c r="K44" s="1"/>
</calcChain>
</file>

<file path=xl/sharedStrings.xml><?xml version="1.0" encoding="utf-8"?>
<sst xmlns="http://schemas.openxmlformats.org/spreadsheetml/2006/main" count="1785" uniqueCount="1040">
  <si>
    <t>Page</t>
  </si>
  <si>
    <t>Row</t>
  </si>
  <si>
    <t>Column</t>
  </si>
  <si>
    <t>Description</t>
  </si>
  <si>
    <t>Reference</t>
  </si>
  <si>
    <t>Total Direct Payroll - O&amp;M Labor</t>
  </si>
  <si>
    <t>Transmission O&amp;M Labor</t>
  </si>
  <si>
    <t>(565) Transmission of Electricity by Others</t>
  </si>
  <si>
    <t xml:space="preserve">Total Admin &amp; General Expenses </t>
  </si>
  <si>
    <t>(928) Regulatory Commission Expenses</t>
  </si>
  <si>
    <t>(930.1) General Advertising Expenses</t>
  </si>
  <si>
    <t>Plant Held for Future Use (Trans. Only)</t>
  </si>
  <si>
    <t>c</t>
  </si>
  <si>
    <t>b</t>
  </si>
  <si>
    <t>g</t>
  </si>
  <si>
    <t>d</t>
  </si>
  <si>
    <t>230a</t>
  </si>
  <si>
    <t>e</t>
  </si>
  <si>
    <t>ADIT - 190</t>
  </si>
  <si>
    <t>ADIT - 281 (Negative)</t>
  </si>
  <si>
    <t>ADIT - 282 (Negative)</t>
  </si>
  <si>
    <t>Line</t>
  </si>
  <si>
    <t>Total</t>
  </si>
  <si>
    <t>Allocator</t>
  </si>
  <si>
    <t>OATT Transmission</t>
  </si>
  <si>
    <t>RATE BASE:</t>
  </si>
  <si>
    <t>N/A</t>
  </si>
  <si>
    <t>GP =</t>
  </si>
  <si>
    <t>Total Gross Plant</t>
  </si>
  <si>
    <t>Total Accumulated Depr.</t>
  </si>
  <si>
    <t>Net Plant in Service</t>
  </si>
  <si>
    <t>Total Net Plant</t>
  </si>
  <si>
    <t>NP =</t>
  </si>
  <si>
    <t>Accum Deferred ITC - 255 (Negative)</t>
  </si>
  <si>
    <t>h</t>
  </si>
  <si>
    <t>f</t>
  </si>
  <si>
    <t>Amortized ITC (Negative)</t>
  </si>
  <si>
    <t>NP</t>
  </si>
  <si>
    <t>Plant Held for Future Use</t>
  </si>
  <si>
    <t>Working Capital:</t>
  </si>
  <si>
    <t>Prepayments</t>
  </si>
  <si>
    <t>GP</t>
  </si>
  <si>
    <t>Line 1 - Line 7</t>
  </si>
  <si>
    <t>Line 3 - Line 9</t>
  </si>
  <si>
    <t>Line 4 - Line 10</t>
  </si>
  <si>
    <t>Line 5 - Line 11</t>
  </si>
  <si>
    <t>Total Working Capital</t>
  </si>
  <si>
    <t>O&amp;M Expense</t>
  </si>
  <si>
    <t xml:space="preserve">  Less Account 565</t>
  </si>
  <si>
    <t xml:space="preserve">Net Transmission O&amp;M </t>
  </si>
  <si>
    <t>TOTAL Transmission Expenses</t>
  </si>
  <si>
    <t>TP</t>
  </si>
  <si>
    <t>(924) Property Insurance</t>
  </si>
  <si>
    <t>Net Labor Related A&amp;G</t>
  </si>
  <si>
    <t>Trans. Related Regulatory Expense</t>
  </si>
  <si>
    <t>D/A</t>
  </si>
  <si>
    <t>Trans. Related Advertising Exp.</t>
  </si>
  <si>
    <t>Depreciation Expense</t>
  </si>
  <si>
    <t>Transmission Depr. Expense</t>
  </si>
  <si>
    <t>General Depr. Expense</t>
  </si>
  <si>
    <t>Total Depreciation</t>
  </si>
  <si>
    <t>Property Related</t>
  </si>
  <si>
    <t>Total Other Taxes</t>
  </si>
  <si>
    <t>263.i</t>
  </si>
  <si>
    <t>Cash Working Capital (1/8 O&amp;M)</t>
  </si>
  <si>
    <t>M&amp;S - Transmission</t>
  </si>
  <si>
    <t>M&amp;S - Stores Expense</t>
  </si>
  <si>
    <t>Return:</t>
  </si>
  <si>
    <t>Less Gen. Step-up Transformers in 353</t>
  </si>
  <si>
    <t>Labor Allocation Factor</t>
  </si>
  <si>
    <t>Long Term Interest Expense</t>
  </si>
  <si>
    <t>Preferred Dividends (positive)</t>
  </si>
  <si>
    <t>Long Term Debt</t>
  </si>
  <si>
    <t xml:space="preserve">  Less Loss on Reacquired Debt</t>
  </si>
  <si>
    <t xml:space="preserve">  Plus Gain on Reacquired Debt</t>
  </si>
  <si>
    <t xml:space="preserve">  Less Interest on Securitization Bonds</t>
  </si>
  <si>
    <t>Net Long Term Interest Expense</t>
  </si>
  <si>
    <t xml:space="preserve">  Less Securitization Bonds</t>
  </si>
  <si>
    <t>Net Long Term Debt</t>
  </si>
  <si>
    <t>Preferred Stock</t>
  </si>
  <si>
    <t xml:space="preserve">  Less Preferred Stock</t>
  </si>
  <si>
    <t xml:space="preserve">  Less Account 216.1</t>
  </si>
  <si>
    <t xml:space="preserve">  Proprietary Capital</t>
  </si>
  <si>
    <t>Common Stock Development:</t>
  </si>
  <si>
    <t xml:space="preserve">Common Stock </t>
  </si>
  <si>
    <t>Long term Debt</t>
  </si>
  <si>
    <t>Weight</t>
  </si>
  <si>
    <t>Cost</t>
  </si>
  <si>
    <t>Weighted Cost</t>
  </si>
  <si>
    <t>Common Equity</t>
  </si>
  <si>
    <t>Income Taxes:</t>
  </si>
  <si>
    <t>State of Florida</t>
  </si>
  <si>
    <t>Federal</t>
  </si>
  <si>
    <t xml:space="preserve">   Composite  T = State + Federal * (1 - State)</t>
  </si>
  <si>
    <t>ITC Gross Up Factor = 1 / (1 -T)</t>
  </si>
  <si>
    <t>Total Income Taxes</t>
  </si>
  <si>
    <t>EXPENSES:</t>
  </si>
  <si>
    <t>Denominator for Wholesale Transmission:</t>
  </si>
  <si>
    <t>i</t>
  </si>
  <si>
    <t>Firm Network Service for Others</t>
  </si>
  <si>
    <t>Short-Term Firm P-t-P Reservations</t>
  </si>
  <si>
    <t>Long-Term Firm P-t-P Reservations</t>
  </si>
  <si>
    <t>Firm Network Service for Self</t>
  </si>
  <si>
    <t>Note A:</t>
  </si>
  <si>
    <t>Note B:</t>
  </si>
  <si>
    <t>Note C:</t>
  </si>
  <si>
    <t>Note D:</t>
  </si>
  <si>
    <t>Note E:</t>
  </si>
  <si>
    <t>Total Revenue Credits</t>
  </si>
  <si>
    <t>Storm Reserve Adder</t>
  </si>
  <si>
    <t>On-Peak Days</t>
  </si>
  <si>
    <t>Off-Peak Days</t>
  </si>
  <si>
    <t>On-Peak Hours</t>
  </si>
  <si>
    <t>Off-Peak Hours</t>
  </si>
  <si>
    <t>Non-Firm Hourly P-t-P Rates ($/MWh):</t>
  </si>
  <si>
    <t>Revenue Credits:</t>
  </si>
  <si>
    <t>Annual Firm Trans $/MW-year</t>
  </si>
  <si>
    <t xml:space="preserve">Trans. Rev Req't Rate $/MW-Mon.     </t>
  </si>
  <si>
    <t>Form 1 Reference</t>
  </si>
  <si>
    <t>Payment by</t>
  </si>
  <si>
    <t>Classification</t>
  </si>
  <si>
    <t>Rate Schedule</t>
  </si>
  <si>
    <t>(Column (b))</t>
  </si>
  <si>
    <t>(Col (d))</t>
  </si>
  <si>
    <t>(Col (e))</t>
  </si>
  <si>
    <t>Total Revenues</t>
  </si>
  <si>
    <t>(Column (n))</t>
  </si>
  <si>
    <t>Total Transmission for Others</t>
  </si>
  <si>
    <t xml:space="preserve">FERC Form 1 page 214 excluding non-transmission related items </t>
  </si>
  <si>
    <t>Note F:</t>
  </si>
  <si>
    <t xml:space="preserve">Labor Related </t>
  </si>
  <si>
    <t>Taxes Other Than Income (Note F)</t>
  </si>
  <si>
    <t>Note G:</t>
  </si>
  <si>
    <t>Note G</t>
  </si>
  <si>
    <t>Summary of Rates</t>
  </si>
  <si>
    <t>OATT Transmission Non-Levelized Rate Formula Template Using Form-1 Data</t>
  </si>
  <si>
    <t>Development of Revenue Requirements</t>
  </si>
  <si>
    <t>Supporting Allocation Factor and Return Calculations</t>
  </si>
  <si>
    <r>
      <t xml:space="preserve">     Overall Return:  R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</si>
  <si>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Wholesale Storm Reserve Funding and Explanatory Notes</t>
  </si>
  <si>
    <t>Peaker/</t>
  </si>
  <si>
    <t>Plant</t>
  </si>
  <si>
    <t>Book Cost</t>
  </si>
  <si>
    <t>Bayboro Pk</t>
  </si>
  <si>
    <t>Suwannee 230kv</t>
  </si>
  <si>
    <t>Bartow</t>
  </si>
  <si>
    <t>Higgins Pk</t>
  </si>
  <si>
    <t>Suwannee Plant</t>
  </si>
  <si>
    <t>Rio Pinar</t>
  </si>
  <si>
    <t>Intercession City</t>
  </si>
  <si>
    <t>P11 Seimens</t>
  </si>
  <si>
    <t>Crystal River</t>
  </si>
  <si>
    <t>Vintage</t>
  </si>
  <si>
    <t>Transmission Rate Formula Support - Account 353 Generator Step-up Transformers</t>
  </si>
  <si>
    <t>Other Long-Term Firm Service</t>
  </si>
  <si>
    <t>Other Taxes - FICA</t>
  </si>
  <si>
    <t>Other Taxes - Federal Unemployment</t>
  </si>
  <si>
    <t>Other Taxes - State Unemployment</t>
  </si>
  <si>
    <t>Other Taxes - Intangibles</t>
  </si>
  <si>
    <t>Other Taxes - Highway Use</t>
  </si>
  <si>
    <t>Other Taxes - Property County &amp; Local</t>
  </si>
  <si>
    <t>A&amp;G Labor</t>
  </si>
  <si>
    <t>Intangible Plant</t>
  </si>
  <si>
    <t>Transmission Plant</t>
  </si>
  <si>
    <t>Distribution Plant</t>
  </si>
  <si>
    <t>General Plant</t>
  </si>
  <si>
    <t>Intangible Amort. Reserve</t>
  </si>
  <si>
    <t>Production Depr. Reserve</t>
  </si>
  <si>
    <t>Transmission Depr. Reserve</t>
  </si>
  <si>
    <t>Distribution Depr. Reserve</t>
  </si>
  <si>
    <t>General Depr. Reserve</t>
  </si>
  <si>
    <t>Note H</t>
  </si>
  <si>
    <t>Note H:</t>
  </si>
  <si>
    <t>Investment in Transmission Energy Control Center included in Schedule 1 Ancillary Service cost</t>
  </si>
  <si>
    <t>Intangible Amortization</t>
  </si>
  <si>
    <t xml:space="preserve">Trans. Related Pct of Whlse Loss </t>
  </si>
  <si>
    <t>Total Extraordniary Property Loss - Wholesale</t>
  </si>
  <si>
    <t>Extraordinary Property Losses - Balance</t>
  </si>
  <si>
    <t xml:space="preserve">Whlse Extraordinary Property Loss </t>
  </si>
  <si>
    <t xml:space="preserve">Whlse Trans. Extraordinary Propery Loss </t>
  </si>
  <si>
    <t>WEPL-T</t>
  </si>
  <si>
    <t>Rebuild Reserve Equivalent to $130MM Retail:</t>
  </si>
  <si>
    <t xml:space="preserve">    Whlse Portion of $6MM Funding</t>
  </si>
  <si>
    <t xml:space="preserve">    System Total Reserve Req't = 130MM/(1 - Line 5 %)</t>
  </si>
  <si>
    <t>Net Production Plant</t>
  </si>
  <si>
    <t>Net Transmission Plant</t>
  </si>
  <si>
    <t>Net Distribution Plant</t>
  </si>
  <si>
    <t>Net General Plant</t>
  </si>
  <si>
    <t>Net Intangible Plant</t>
  </si>
  <si>
    <t>ADIT - 283  Excluding FAS 109 (Neg.)</t>
  </si>
  <si>
    <t>OATT LABOR</t>
  </si>
  <si>
    <t>Page 1 of 2</t>
  </si>
  <si>
    <t>Page 2 of 2</t>
  </si>
  <si>
    <t>Note I</t>
  </si>
  <si>
    <t>Note I:</t>
  </si>
  <si>
    <t>Daily Firm/Non-Firm P-t-P Rates ($/MW):</t>
  </si>
  <si>
    <t>Weekly Firm/Non-Firm P-t-P Rate $/MW-Week</t>
  </si>
  <si>
    <t>Total Firm Monthly Trans. $/MW-Month</t>
  </si>
  <si>
    <t>Preferred Stock Issued</t>
  </si>
  <si>
    <t>Loss on Reacquired Debt</t>
  </si>
  <si>
    <t>Account 216.1</t>
  </si>
  <si>
    <t>Proprietary Capital</t>
  </si>
  <si>
    <t>Gain on Reacquired Debt</t>
  </si>
  <si>
    <t>Transmission Rate Formula Support - List of Inputs from FERC Form-1</t>
  </si>
  <si>
    <t>Note J</t>
  </si>
  <si>
    <t>Note J:</t>
  </si>
  <si>
    <t>Note K:</t>
  </si>
  <si>
    <t>Total Classified as Non-Firm = Revenue Credit</t>
  </si>
  <si>
    <t>Includes Network Integration Service and Network Contract Demand Service</t>
  </si>
  <si>
    <t>Unit</t>
  </si>
  <si>
    <t>Bank</t>
  </si>
  <si>
    <t xml:space="preserve">Page 6 </t>
  </si>
  <si>
    <t>Adj. to Imputed Whlse PBOP Exp. - System</t>
  </si>
  <si>
    <t>Page 5 of 6</t>
  </si>
  <si>
    <t>Page 6 of 6</t>
  </si>
  <si>
    <t>Adjustment to Per Books PBOP Expenses</t>
  </si>
  <si>
    <t>vs. Imputed Amount</t>
  </si>
  <si>
    <t xml:space="preserve">Reference for System Amount Basis in Wholesale Rates: </t>
  </si>
  <si>
    <t>Page 3 of 6</t>
  </si>
  <si>
    <t>Page 1 of 6</t>
  </si>
  <si>
    <t>Page 2 of 6</t>
  </si>
  <si>
    <t>Page 4 of 6</t>
  </si>
  <si>
    <t xml:space="preserve"> ==&gt; PBOP Expense Adjustment</t>
  </si>
  <si>
    <t>Prepayments (Note L)</t>
  </si>
  <si>
    <t>335.1-3.b</t>
  </si>
  <si>
    <t xml:space="preserve"> Less Industry Dues and R&amp;D Expense</t>
  </si>
  <si>
    <t xml:space="preserve">  Less Account 561</t>
  </si>
  <si>
    <t>Less Interconnection Facilities (Order 2003)</t>
  </si>
  <si>
    <t>321.84-92.b</t>
  </si>
  <si>
    <t>TExp</t>
  </si>
  <si>
    <t>Accumulated Deferred</t>
  </si>
  <si>
    <t>Factor</t>
  </si>
  <si>
    <t>Result</t>
  </si>
  <si>
    <t>Account</t>
  </si>
  <si>
    <t>Retail</t>
  </si>
  <si>
    <t>LABOR</t>
  </si>
  <si>
    <t>PROD</t>
  </si>
  <si>
    <t>DIST</t>
  </si>
  <si>
    <t>Other</t>
  </si>
  <si>
    <t xml:space="preserve">  Total Accumulated Deferred Income Tax</t>
  </si>
  <si>
    <t>Divisor - Sum of Monthly MW Transmission System Peaks (Excludes STF)</t>
  </si>
  <si>
    <t>Less system storm reserve funding</t>
  </si>
  <si>
    <t>Adj. - RCO Labor in A&amp;G Labor</t>
  </si>
  <si>
    <t xml:space="preserve">  Total 456 NF + STF Revenue </t>
  </si>
  <si>
    <t>Contract Demand Adjustment</t>
  </si>
  <si>
    <t xml:space="preserve">  Net OATT Revenue Credit</t>
  </si>
  <si>
    <t xml:space="preserve"> </t>
  </si>
  <si>
    <t>b&amp;g</t>
  </si>
  <si>
    <t>Beginning Balance</t>
  </si>
  <si>
    <t>Ending Balance</t>
  </si>
  <si>
    <t>Ending Balance or Annual Value</t>
  </si>
  <si>
    <t>c&amp;d</t>
  </si>
  <si>
    <t>Rate Base Items from Prior Year Form 1 (Year End Value Where Not Available as Beginning Balance Above)</t>
  </si>
  <si>
    <t xml:space="preserve">Production Plant </t>
  </si>
  <si>
    <t>B/E Average</t>
  </si>
  <si>
    <t>Return and Average Capitalization:</t>
  </si>
  <si>
    <t>Plant Held for Future Use (Trans Only)</t>
  </si>
  <si>
    <t>b&amp;h</t>
  </si>
  <si>
    <t>b&amp;k</t>
  </si>
  <si>
    <t>b&amp;c</t>
  </si>
  <si>
    <t>AVERAGE CAPITALIZATION:</t>
  </si>
  <si>
    <t>Development of Rate Base and Capital Structure</t>
  </si>
  <si>
    <t>Industry Association Dues</t>
  </si>
  <si>
    <t>ER95-469</t>
  </si>
  <si>
    <t>Interest Accrued/Capitalized on Network Prepayments</t>
  </si>
  <si>
    <t>Interest Disbursed with Network Prepayment Refunds</t>
  </si>
  <si>
    <t>Adjustments to Rate Base - Deferred Taxes</t>
  </si>
  <si>
    <t>Total Deferred Tax Adjustments</t>
  </si>
  <si>
    <t>Total Network Upgrade Prepayment Adjustments</t>
  </si>
  <si>
    <t>Transmission</t>
  </si>
  <si>
    <t xml:space="preserve">   Total Account 454</t>
  </si>
  <si>
    <t>Acct 456 - NF + STF Service (x/ Ancillaries)</t>
  </si>
  <si>
    <t>Acct 454 - Transmission Related</t>
  </si>
  <si>
    <r>
      <t>Tax Rev.Req't Factor  = T / (1 -T) * (1 - Wtd.Debt.Cost/R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</si>
  <si>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Adjusted Labor w/o A&amp;G (Line 9 - Line 10 + Line 11)</t>
  </si>
  <si>
    <t>Trans Labor Factor (Line 13 / Line 12)</t>
  </si>
  <si>
    <t>B/E Avg. Transmission Plant Included in OATT Rate:</t>
  </si>
  <si>
    <t xml:space="preserve">Less Energy Control Center </t>
  </si>
  <si>
    <t xml:space="preserve">Avg.Trans Plant for OATT Rate </t>
  </si>
  <si>
    <t>TP Allocator (Line 5 / Line 1)</t>
  </si>
  <si>
    <t xml:space="preserve">  Less Associated Ancillaries</t>
  </si>
  <si>
    <t>Short Term Firm  -  Revenue Credit</t>
  </si>
  <si>
    <t>Excludes Asset Retirement Obligations from plant balances</t>
  </si>
  <si>
    <t>Gross Plant in Service (Note A):</t>
  </si>
  <si>
    <t>Accumulated Depreciation:</t>
  </si>
  <si>
    <r>
      <t xml:space="preserve">  Total System </t>
    </r>
    <r>
      <rPr>
        <sz val="10"/>
        <rFont val="Arial"/>
        <family val="2"/>
      </rPr>
      <t xml:space="preserve">Long Term </t>
    </r>
    <r>
      <rPr>
        <sz val="10"/>
        <rFont val="Arial"/>
        <family val="2"/>
      </rPr>
      <t>Firm Transmission Load</t>
    </r>
  </si>
  <si>
    <t>Net 182.1 (+) / Storm Reserve (-) - Wholesale Transmission (Note B)</t>
  </si>
  <si>
    <t>Note C</t>
  </si>
  <si>
    <t>Excludes Retail ECCR and Sebring amortizations from Form-1 reported value</t>
  </si>
  <si>
    <t>Whlse Reserve Needed = Line 6 - $130MM</t>
  </si>
  <si>
    <t xml:space="preserve">Balance 2004 Loss as of  Jan 1, 2008 </t>
  </si>
  <si>
    <t>Line No.</t>
  </si>
  <si>
    <t>Amortize Existing Loss</t>
  </si>
  <si>
    <t>Rebuild Reserve</t>
  </si>
  <si>
    <t xml:space="preserve">  Total</t>
  </si>
  <si>
    <t>Revenue Req't - Customer Owned Facilities</t>
  </si>
  <si>
    <t>Note L:</t>
  </si>
  <si>
    <t>Note D</t>
  </si>
  <si>
    <t xml:space="preserve">Analysis of Company books. Regulatory expense excludes charges by FERC pursuant to 18 CFR § 382.201  </t>
  </si>
  <si>
    <t>PREPAYMENTS FOR NETWORK UPGRADES</t>
  </si>
  <si>
    <t>252 Customer advances for construction.</t>
  </si>
  <si>
    <t>This account shall include advances by customers for construction which are to be</t>
  </si>
  <si>
    <t>refunded either wholly or in part. When a customer is refunded the entire amount to</t>
  </si>
  <si>
    <t>which he is entitled, according to the agreement or rule under which the advance was</t>
  </si>
  <si>
    <t>made the balance, if any, remaining in this account shall be credited to the respective</t>
  </si>
  <si>
    <t>plant account.</t>
  </si>
  <si>
    <t>EXAMPLE</t>
  </si>
  <si>
    <t>NETWORK UPGRADE COST</t>
  </si>
  <si>
    <t>DEPRECIABLE LIFE</t>
  </si>
  <si>
    <t>40-YRS</t>
  </si>
  <si>
    <t>ANNUAL FERC INTEREST RATE</t>
  </si>
  <si>
    <t>ANNUALLY</t>
  </si>
  <si>
    <t>REFUND OVER 5 -YRS</t>
  </si>
  <si>
    <t>SCENARIO 1:</t>
  </si>
  <si>
    <t>SCENARIO 2:</t>
  </si>
  <si>
    <t>RECOVERY OF INTEREST:  PER AGREEMENT WITH CUSTOMERS, INTEREST</t>
  </si>
  <si>
    <t>YEAR OF IN-SERVICE:</t>
  </si>
  <si>
    <t>WILL BE RECOVERED UPON PAYMENT AND NOT AS ACCRUED.  THIS WILL</t>
  </si>
  <si>
    <t>DESCRIPTION</t>
  </si>
  <si>
    <t>FERC</t>
  </si>
  <si>
    <t>DEBIT</t>
  </si>
  <si>
    <t>CREDIT</t>
  </si>
  <si>
    <t>CREATE A REGULATORY ASSET TO RECOGNIZE THE DEFERRED COST</t>
  </si>
  <si>
    <t>ELEC. PLNT IN-SVC</t>
  </si>
  <si>
    <t>RECOVERY.</t>
  </si>
  <si>
    <t>CUSTOMER ADVANCES</t>
  </si>
  <si>
    <t>1st REFUND:</t>
  </si>
  <si>
    <t>CASH</t>
  </si>
  <si>
    <t>YR-1 NO REFUND:</t>
  </si>
  <si>
    <t>INTEREST EXP</t>
  </si>
  <si>
    <t>INTEREST ACCRUED</t>
  </si>
  <si>
    <r>
      <t xml:space="preserve">REG ASSET </t>
    </r>
    <r>
      <rPr>
        <sz val="8"/>
        <rFont val="Arial"/>
        <family val="2"/>
      </rPr>
      <t>(INTEREST ACCRUED)</t>
    </r>
  </si>
  <si>
    <t>RATE BASE</t>
  </si>
  <si>
    <t>EXPENSE</t>
  </si>
  <si>
    <t>INTEREST ACCRUED DEFERRAL</t>
  </si>
  <si>
    <t>YR-5 WITH REFUND:</t>
  </si>
  <si>
    <r>
      <t xml:space="preserve">FORMULA INPUT - EPIS </t>
    </r>
    <r>
      <rPr>
        <b/>
        <vertAlign val="subscript"/>
        <sz val="10"/>
        <rFont val="Arial"/>
        <family val="2"/>
      </rPr>
      <t>YR-1</t>
    </r>
  </si>
  <si>
    <t>BEGINNING BAL.</t>
  </si>
  <si>
    <r>
      <t xml:space="preserve">FORMULA INPUT </t>
    </r>
    <r>
      <rPr>
        <b/>
        <vertAlign val="subscript"/>
        <sz val="10"/>
        <rFont val="Arial"/>
        <family val="2"/>
      </rPr>
      <t>YR-1</t>
    </r>
  </si>
  <si>
    <r>
      <t xml:space="preserve">FORMULA INPUT - EPIS </t>
    </r>
    <r>
      <rPr>
        <b/>
        <vertAlign val="subscript"/>
        <sz val="10"/>
        <rFont val="Arial"/>
        <family val="2"/>
      </rPr>
      <t>YR-2</t>
    </r>
  </si>
  <si>
    <r>
      <t xml:space="preserve">FORMULA ACCUM. DEP </t>
    </r>
    <r>
      <rPr>
        <b/>
        <vertAlign val="subscript"/>
        <sz val="10"/>
        <rFont val="Arial"/>
        <family val="2"/>
      </rPr>
      <t>YR-2</t>
    </r>
  </si>
  <si>
    <t>IF NOT REFUNDED UNTIL YR 5, THAN:</t>
  </si>
  <si>
    <r>
      <t xml:space="preserve">FORMULA INPUT </t>
    </r>
    <r>
      <rPr>
        <b/>
        <vertAlign val="subscript"/>
        <sz val="10"/>
        <rFont val="Arial"/>
        <family val="2"/>
      </rPr>
      <t>YR-2</t>
    </r>
  </si>
  <si>
    <r>
      <t xml:space="preserve">FORMULA INPUT </t>
    </r>
    <r>
      <rPr>
        <b/>
        <vertAlign val="subscript"/>
        <sz val="10"/>
        <rFont val="Arial"/>
        <family val="2"/>
      </rPr>
      <t>YR-3</t>
    </r>
  </si>
  <si>
    <r>
      <t xml:space="preserve">FORMULA INPUT </t>
    </r>
    <r>
      <rPr>
        <b/>
        <vertAlign val="subscript"/>
        <sz val="10"/>
        <rFont val="Arial"/>
        <family val="2"/>
      </rPr>
      <t>YR-4</t>
    </r>
  </si>
  <si>
    <r>
      <t xml:space="preserve">FORMULA INPUT </t>
    </r>
    <r>
      <rPr>
        <b/>
        <vertAlign val="subscript"/>
        <sz val="10"/>
        <rFont val="Arial"/>
        <family val="2"/>
      </rPr>
      <t>YR-5</t>
    </r>
  </si>
  <si>
    <r>
      <t xml:space="preserve">INTEREST EXPENSE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</si>
  <si>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YR-1</t>
    </r>
  </si>
  <si>
    <r>
      <t xml:space="preserve">INTEREST ACCRUED </t>
    </r>
    <r>
      <rPr>
        <vertAlign val="subscript"/>
        <sz val="10"/>
        <rFont val="Arial"/>
        <family val="2"/>
      </rPr>
      <t>YR-1</t>
    </r>
  </si>
  <si>
    <r>
      <t xml:space="preserve">INTEREST EXPENSE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</si>
  <si>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</si>
  <si>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</si>
  <si>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</si>
  <si>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</si>
  <si>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YR-3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</si>
  <si>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YR-3</t>
    </r>
  </si>
  <si>
    <r>
      <t xml:space="preserve">INTEREST ACCRUED </t>
    </r>
    <r>
      <rPr>
        <vertAlign val="subscript"/>
        <sz val="10"/>
        <rFont val="Arial"/>
        <family val="2"/>
      </rPr>
      <t>YR-4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</si>
  <si>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YR-4</t>
    </r>
  </si>
  <si>
    <r>
      <t xml:space="preserve">INTEREST ACCRUED </t>
    </r>
    <r>
      <rPr>
        <vertAlign val="subscript"/>
        <sz val="10"/>
        <rFont val="Arial"/>
        <family val="2"/>
      </rPr>
      <t>YR-5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</si>
  <si>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YR-5</t>
    </r>
  </si>
  <si>
    <r>
      <t xml:space="preserve">REFUND </t>
    </r>
    <r>
      <rPr>
        <vertAlign val="subscript"/>
        <sz val="10"/>
        <rFont val="Arial"/>
        <family val="2"/>
      </rPr>
      <t>YR-5</t>
    </r>
  </si>
  <si>
    <t>Transmission Rate Formula Support - Interconnection Facilities</t>
  </si>
  <si>
    <t>Generation In-Service After March 15, 2000 per FERC Order 2003</t>
  </si>
  <si>
    <t>Unit(s)</t>
  </si>
  <si>
    <t>Beginning</t>
  </si>
  <si>
    <t>Balance</t>
  </si>
  <si>
    <t>Ending</t>
  </si>
  <si>
    <t>Net Allocated Property Insurance</t>
  </si>
  <si>
    <r>
      <t xml:space="preserve">Net Revenue Requirements </t>
    </r>
    <r>
      <rPr>
        <sz val="10"/>
        <rFont val="Arial"/>
        <family val="2"/>
      </rPr>
      <t>(Line 1 - Line 4 + Line 5 + Line 6)</t>
    </r>
  </si>
  <si>
    <t xml:space="preserve">Transmission Rate Formula Support -  Revenue Credits </t>
  </si>
  <si>
    <t>Account 454</t>
  </si>
  <si>
    <t>Transmission Rate Formula Support - Revenue Credits</t>
  </si>
  <si>
    <t>Page 1 of 3</t>
  </si>
  <si>
    <t>Page 2 of 3</t>
  </si>
  <si>
    <t>Page 3 of 3</t>
  </si>
  <si>
    <t>Note M</t>
  </si>
  <si>
    <t>Note M:</t>
  </si>
  <si>
    <t>Accumulated Deferred Tax Detail - Prior Year</t>
  </si>
  <si>
    <t>Accumulated Deferred Tax Detail - Current Year</t>
  </si>
  <si>
    <t>Fixed</t>
  </si>
  <si>
    <t>Note N:</t>
  </si>
  <si>
    <t xml:space="preserve">  Total Interconnection Facilities </t>
  </si>
  <si>
    <t>ADIT - 283  (Negative)</t>
  </si>
  <si>
    <t>Total Capitalization (sum Lines 20, 21, 22)</t>
  </si>
  <si>
    <t>SUMMARY CAP STRUCTURE</t>
  </si>
  <si>
    <t>Rate Base Adjustments -  Network Upgrade Prepayments (Note O):</t>
  </si>
  <si>
    <t>Note O:</t>
  </si>
  <si>
    <t xml:space="preserve">  Total 2008-2012</t>
  </si>
  <si>
    <t>STF/Non-Firm on OATT</t>
  </si>
  <si>
    <t>Storm Reserve Balance Tracking:</t>
  </si>
  <si>
    <t>Adjustment:</t>
  </si>
  <si>
    <t>2013 'til  Extraordinary Loss</t>
  </si>
  <si>
    <t>Maximum Reserve per Settlement</t>
  </si>
  <si>
    <t xml:space="preserve">LTF on OATT </t>
  </si>
  <si>
    <t>Components of Storm Amortization/Reserve Funding Adder (2008-2012 Rate Years only - Note N):</t>
  </si>
  <si>
    <t>Whlse Portion of Existing Storm Accrual</t>
  </si>
  <si>
    <r>
      <t xml:space="preserve">Levelized Storm Reserve Funding Rate $/MW-Month </t>
    </r>
    <r>
      <rPr>
        <sz val="10"/>
        <rFont val="Arial"/>
        <family val="2"/>
      </rPr>
      <t>(PEF - 6, Page 2)</t>
    </r>
  </si>
  <si>
    <t>OATT Settlement - 2004 Storm Treatment</t>
  </si>
  <si>
    <t>LEVELIZED RATE, FUNDING ADJUSTED FOR RESERVE MAXIMUM per NOTE N</t>
  </si>
  <si>
    <t xml:space="preserve">Note P:  </t>
  </si>
  <si>
    <t>Note Q:</t>
  </si>
  <si>
    <t xml:space="preserve">Note R:  </t>
  </si>
  <si>
    <t xml:space="preserve"> (PEF-2, Page 5, Line 4)</t>
  </si>
  <si>
    <t xml:space="preserve"> (PEF-2, Page 5, Line 7)</t>
  </si>
  <si>
    <t xml:space="preserve"> (PEF-2, Page 5, Line 8)</t>
  </si>
  <si>
    <t>Existing Wholesale Accrual         (Line 9)</t>
  </si>
  <si>
    <r>
      <t>Gross-up Factor for OATT Wholesale Reserve - System Basis</t>
    </r>
    <r>
      <rPr>
        <sz val="10"/>
        <rFont val="Arial"/>
        <family val="2"/>
      </rPr>
      <t xml:space="preserve"> (Total Load/Whlse Load * 0.84987)</t>
    </r>
  </si>
  <si>
    <t>Determination of Levelized Storm Damage Recovery Adder</t>
  </si>
  <si>
    <t>Total Funding Requirements</t>
  </si>
  <si>
    <t>Less:</t>
  </si>
  <si>
    <t>Amount assumed to be collected from non-OATT service:</t>
  </si>
  <si>
    <t>Annual Amount</t>
  </si>
  <si>
    <t>Five-Year Total</t>
  </si>
  <si>
    <t xml:space="preserve"> (Line 11 * 5)</t>
  </si>
  <si>
    <t>Net 5-Year Requirement</t>
  </si>
  <si>
    <t xml:space="preserve"> (Line 8 - Line 12)</t>
  </si>
  <si>
    <t>Annual Recovery Requirements</t>
  </si>
  <si>
    <t>Projected Billing Units (MW-months)</t>
  </si>
  <si>
    <t>(Projected and Fixed)</t>
  </si>
  <si>
    <t xml:space="preserve">  Total Projected Billing Units</t>
  </si>
  <si>
    <t>Annual Percentages</t>
  </si>
  <si>
    <t>(Ln 23 * Ln 6 / Ln 8 * Ln 14)</t>
  </si>
  <si>
    <t>(Ln 23 * Ln 7 / Ln 8 * Ln 14)</t>
  </si>
  <si>
    <t>Levelized Storm Damage Recovery</t>
  </si>
  <si>
    <t>Adder ($/MW-mo)</t>
  </si>
  <si>
    <t>(Line 28 / Line 21)</t>
  </si>
  <si>
    <t>Example Application of Levelized Adder and Annual True-Up</t>
  </si>
  <si>
    <t>(Actual MW-Months)</t>
  </si>
  <si>
    <t>(Actual Equiv. MW-Months)</t>
  </si>
  <si>
    <t xml:space="preserve">  Total Billing Units</t>
  </si>
  <si>
    <t>(Line 36 + Line 37)</t>
  </si>
  <si>
    <t>Actual Recoveries of Existing Loss &amp; Reserve Replenishment</t>
  </si>
  <si>
    <t>(Line 31 * Line 36)</t>
  </si>
  <si>
    <t>(Line 31 * Line 37)</t>
  </si>
  <si>
    <t xml:space="preserve">  Total Collections</t>
  </si>
  <si>
    <t>(Line 41 + Line 42)</t>
  </si>
  <si>
    <t>Over(Under) Recovery to Be Reflected</t>
  </si>
  <si>
    <t>In Annual True-Ups</t>
  </si>
  <si>
    <t>(Line 43 - Line 28)</t>
  </si>
  <si>
    <t>Funding From OATT Adder</t>
  </si>
  <si>
    <t>(Line 28)</t>
  </si>
  <si>
    <t>(Line 11)</t>
  </si>
  <si>
    <t>(Fixed - Note P)</t>
  </si>
  <si>
    <t>Actual Billing Units (MW-months) (Notes Q and R)</t>
  </si>
  <si>
    <t>62 thru 67</t>
  </si>
  <si>
    <t>20 thru 24</t>
  </si>
  <si>
    <t>84 thru 92</t>
  </si>
  <si>
    <t>(561) Transmission of Electricity by Others</t>
  </si>
  <si>
    <t>TP2006</t>
  </si>
  <si>
    <t>Account 456.1</t>
  </si>
  <si>
    <t>Page 1 of 1</t>
  </si>
  <si>
    <t>Gross Plant in Service:</t>
  </si>
  <si>
    <t>B/E Balance</t>
  </si>
  <si>
    <t>Total Projects</t>
  </si>
  <si>
    <t xml:space="preserve">  Additions</t>
  </si>
  <si>
    <t xml:space="preserve">  Retirements</t>
  </si>
  <si>
    <t xml:space="preserve">  Adjustments</t>
  </si>
  <si>
    <t xml:space="preserve">  Annual Deprecation Expense</t>
  </si>
  <si>
    <t xml:space="preserve">   Project Description:</t>
  </si>
  <si>
    <t>2A</t>
  </si>
  <si>
    <t>2B</t>
  </si>
  <si>
    <t xml:space="preserve">  Less Direct Assign Radials</t>
  </si>
  <si>
    <t>PEF - 7, ll 1&amp;5</t>
  </si>
  <si>
    <t>Trans. Plant w/o Direct Assign Radials</t>
  </si>
  <si>
    <t>8A</t>
  </si>
  <si>
    <t>8B</t>
  </si>
  <si>
    <t>PEF - 7, ll 7&amp;10</t>
  </si>
  <si>
    <t>18A</t>
  </si>
  <si>
    <t>18B</t>
  </si>
  <si>
    <t xml:space="preserve">  Less Direct Assign Radial Depr Exp</t>
  </si>
  <si>
    <t>Trans. Reserve w/o Direct Assign Radials</t>
  </si>
  <si>
    <t>PEF-7, line 8</t>
  </si>
  <si>
    <t>Trans Depr. w/o Direct Assign Radials</t>
  </si>
  <si>
    <t>7A</t>
  </si>
  <si>
    <t>Add back D/A Radials to Total Trans Plt (line 1 + p2, l 2A)</t>
  </si>
  <si>
    <t>Note T:</t>
  </si>
  <si>
    <t>Note S:</t>
  </si>
  <si>
    <t>Transmission Rate Formula Support - Direct Assignment Retail Radials in Accordance with OATT Attachment U</t>
  </si>
  <si>
    <t xml:space="preserve">  Description</t>
  </si>
  <si>
    <t>Ending
 Balance</t>
  </si>
  <si>
    <t>Network prepayments include interest that has been accrued but not yet refunded.</t>
  </si>
  <si>
    <t>Note U:</t>
  </si>
  <si>
    <t>Note V:</t>
  </si>
  <si>
    <t>Note W:</t>
  </si>
  <si>
    <r>
      <t xml:space="preserve">Beginning balance excludes $0 </t>
    </r>
    <r>
      <rPr>
        <sz val="10"/>
        <rFont val="Arial"/>
        <family val="2"/>
      </rPr>
      <t>and ending balance excludes $</t>
    </r>
    <r>
      <rPr>
        <sz val="10"/>
        <rFont val="Arial"/>
        <family val="2"/>
      </rPr>
      <t>0</t>
    </r>
    <r>
      <rPr>
        <sz val="10"/>
        <rFont val="Arial"/>
        <family val="2"/>
      </rPr>
      <t xml:space="preserve"> for prepaid pensions from Form-1 A/C 165 balances.</t>
    </r>
  </si>
  <si>
    <t>Line 2 - Line 8</t>
  </si>
  <si>
    <t>Transmission Related CWIP - Identified Projects (Note V):</t>
  </si>
  <si>
    <t>Outstanding Balance - Network Prepayments (Note T)</t>
  </si>
  <si>
    <r>
      <t xml:space="preserve">Unfunded </t>
    </r>
    <r>
      <rPr>
        <sz val="11"/>
        <rFont val="Calibri"/>
        <family val="2"/>
        <scheme val="minor"/>
      </rPr>
      <t xml:space="preserve"> Reserves</t>
    </r>
  </si>
  <si>
    <t>Value</t>
  </si>
  <si>
    <t>Identified Reserves:</t>
  </si>
  <si>
    <t xml:space="preserve">   Total Reserves</t>
  </si>
  <si>
    <t>Less Externally Funded Amounts:</t>
  </si>
  <si>
    <t xml:space="preserve">  Total Externally Funded Amounts</t>
  </si>
  <si>
    <t>Net Unfunded Reserves</t>
  </si>
  <si>
    <t>Note U</t>
  </si>
  <si>
    <t>Unfunded Reserves</t>
  </si>
  <si>
    <r>
      <t xml:space="preserve">Total Transmission Plant </t>
    </r>
    <r>
      <rPr>
        <sz val="10"/>
        <rFont val="Arial"/>
        <family val="2"/>
      </rPr>
      <t>w/o D/A Radials</t>
    </r>
  </si>
  <si>
    <r>
      <t>p 2, line 2</t>
    </r>
    <r>
      <rPr>
        <sz val="10"/>
        <rFont val="Arial"/>
        <family val="2"/>
      </rPr>
      <t>B</t>
    </r>
  </si>
  <si>
    <t>Add Back ECC to OATT Plant (Line 4 + Line 5)</t>
  </si>
  <si>
    <t>TExp Allocator (Expenses excluding 561 and 565) (Line 7 / Line 7A)</t>
  </si>
  <si>
    <t>OATT LABOR Allocator (Line 5 / Line 7A * Line 14)</t>
  </si>
  <si>
    <t>Year</t>
  </si>
  <si>
    <t>YR</t>
  </si>
  <si>
    <t>L_YR</t>
  </si>
  <si>
    <t>L_YR_P</t>
  </si>
  <si>
    <t>Notes</t>
  </si>
  <si>
    <t>Joint Use Pole Attachments - Distrib</t>
  </si>
  <si>
    <t>Joint Use Transmission Portion</t>
  </si>
  <si>
    <t>Transmission Tower Attachments</t>
  </si>
  <si>
    <t>Lighting Fixtures &amp; Poles</t>
  </si>
  <si>
    <t>SECI Equip Rental</t>
  </si>
  <si>
    <t>Cogen Equip Rental</t>
  </si>
  <si>
    <t>Wheelabrator Pinellas Cogen (non-CSS)</t>
  </si>
  <si>
    <t>Primary Metering &amp; Prem Distb Svc</t>
  </si>
  <si>
    <t>Premier Power Service</t>
  </si>
  <si>
    <t>Georgia Power Joint Owner-11 Rent Common Plant</t>
  </si>
  <si>
    <t>Telemetering - Miami Dade Equipment Rental</t>
  </si>
  <si>
    <t>Nuclear Participants Rent</t>
  </si>
  <si>
    <t>Lease Agreement for Antennae Use at Anclote</t>
  </si>
  <si>
    <t>Rent - Transmission - Level 3 &amp; Tower Lease</t>
  </si>
  <si>
    <t>Corporate Allocation Sublease Revenue</t>
  </si>
  <si>
    <t xml:space="preserve"> Allocated by LABOR</t>
  </si>
  <si>
    <t>General Leases - Real Estate</t>
  </si>
  <si>
    <t>Parking Lot Rent &amp; Building Rent</t>
  </si>
  <si>
    <t>328-330, line1</t>
  </si>
  <si>
    <t>CIty of Alachua-Gainesville</t>
  </si>
  <si>
    <t>LFP</t>
  </si>
  <si>
    <t>T6/72</t>
  </si>
  <si>
    <t>328-330, line2</t>
  </si>
  <si>
    <t>City of Bartow</t>
  </si>
  <si>
    <t>FNO</t>
  </si>
  <si>
    <t>T6/136</t>
  </si>
  <si>
    <t>328-330, line3</t>
  </si>
  <si>
    <t>Calpine Energy Services</t>
  </si>
  <si>
    <t>NF</t>
  </si>
  <si>
    <t>T6/106</t>
  </si>
  <si>
    <t>328-330, line4</t>
  </si>
  <si>
    <t>Cargill Power Markets, LLC.</t>
  </si>
  <si>
    <t>T6/230C</t>
  </si>
  <si>
    <t>328-330, line5</t>
  </si>
  <si>
    <t>Central Power and Lime</t>
  </si>
  <si>
    <t>T6/141</t>
  </si>
  <si>
    <t>328-330, line6</t>
  </si>
  <si>
    <t>Cobb Electric Membership</t>
  </si>
  <si>
    <t>T6/114</t>
  </si>
  <si>
    <t>328-330, line7</t>
  </si>
  <si>
    <t>Conoco, Inc.</t>
  </si>
  <si>
    <t>T6/232C</t>
  </si>
  <si>
    <t>328-330, line8</t>
  </si>
  <si>
    <t>Constellation Energy</t>
  </si>
  <si>
    <t>T6/63C</t>
  </si>
  <si>
    <t>328-330, line9</t>
  </si>
  <si>
    <t>Eagle Energy Partners</t>
  </si>
  <si>
    <t>T6/257C</t>
  </si>
  <si>
    <t>328-330, line10</t>
  </si>
  <si>
    <t>Florida Municipal Power Authorty</t>
  </si>
  <si>
    <t>T6/31</t>
  </si>
  <si>
    <t>328-330, line11</t>
  </si>
  <si>
    <t>Florida Power &amp; Light Co.</t>
  </si>
  <si>
    <t>T6/7C</t>
  </si>
  <si>
    <t>328-330, line12</t>
  </si>
  <si>
    <t>Fortis Energy Marketing Trading</t>
  </si>
  <si>
    <t>T6/285C</t>
  </si>
  <si>
    <t>328-330, line13</t>
  </si>
  <si>
    <t>Gainesville Regional Utilities</t>
  </si>
  <si>
    <t>T6/73</t>
  </si>
  <si>
    <t>328-330, line14</t>
  </si>
  <si>
    <t>Georgia Power Company</t>
  </si>
  <si>
    <t>OLF</t>
  </si>
  <si>
    <t>FERC No. 105</t>
  </si>
  <si>
    <t>328-330, line15</t>
  </si>
  <si>
    <t>City of Homestead</t>
  </si>
  <si>
    <t>T6/130</t>
  </si>
  <si>
    <t>328-330, line16</t>
  </si>
  <si>
    <t>T6/52</t>
  </si>
  <si>
    <t>328-330, line17</t>
  </si>
  <si>
    <t>SFP</t>
  </si>
  <si>
    <t>T6/53</t>
  </si>
  <si>
    <t>328-330, line18</t>
  </si>
  <si>
    <t>Kissimmee Utility Auth</t>
  </si>
  <si>
    <t>T6/74</t>
  </si>
  <si>
    <t>328-330, line19</t>
  </si>
  <si>
    <t>Lakeland Utilites</t>
  </si>
  <si>
    <t>T6/56</t>
  </si>
  <si>
    <t>328-330, line20</t>
  </si>
  <si>
    <t>City of Mt. Dora</t>
  </si>
  <si>
    <t>T6/133</t>
  </si>
  <si>
    <t>328-330, line21</t>
  </si>
  <si>
    <t>JP Morgan Ventures</t>
  </si>
  <si>
    <t>T6/132</t>
  </si>
  <si>
    <t>328-330, line22</t>
  </si>
  <si>
    <t>Utilities Comm of New Smyrna Beach</t>
  </si>
  <si>
    <t>T6/75</t>
  </si>
  <si>
    <t>328-330, line23</t>
  </si>
  <si>
    <t>T6/138</t>
  </si>
  <si>
    <t>328-330, line24</t>
  </si>
  <si>
    <t>T6/12</t>
  </si>
  <si>
    <t>328-330, line25</t>
  </si>
  <si>
    <t>Oglethorpe Power Corp</t>
  </si>
  <si>
    <t>T6/187C</t>
  </si>
  <si>
    <t>328-330, line26</t>
  </si>
  <si>
    <t>Orange Cogen LP</t>
  </si>
  <si>
    <t>T6/77</t>
  </si>
  <si>
    <t>328-330, line27</t>
  </si>
  <si>
    <t>Orlando Utilities Commission</t>
  </si>
  <si>
    <t>T6/76</t>
  </si>
  <si>
    <t>328-330, line28</t>
  </si>
  <si>
    <t>T6/10</t>
  </si>
  <si>
    <t>328-330, line29</t>
  </si>
  <si>
    <t>T6/137</t>
  </si>
  <si>
    <t>328-330, line30</t>
  </si>
  <si>
    <t>Rainbow Energy Marketing Corp.</t>
  </si>
  <si>
    <t>T6/35C</t>
  </si>
  <si>
    <t>328-330, line31</t>
  </si>
  <si>
    <t>Reedy Creek Improvement Dist.</t>
  </si>
  <si>
    <t>T6/14</t>
  </si>
  <si>
    <t>328-330, line32</t>
  </si>
  <si>
    <t>Reliant Energy Services</t>
  </si>
  <si>
    <t>T6/92</t>
  </si>
  <si>
    <t>328-330, line33</t>
  </si>
  <si>
    <t>T6/3</t>
  </si>
  <si>
    <t>328-330, line34</t>
  </si>
  <si>
    <t>Seminole Electric Coop</t>
  </si>
  <si>
    <t>T6/24</t>
  </si>
  <si>
    <t>328.1-330.1, line1</t>
  </si>
  <si>
    <t>T6/23</t>
  </si>
  <si>
    <t>328.1-330.1, line2</t>
  </si>
  <si>
    <t>T6/143</t>
  </si>
  <si>
    <t>328.1-330.1, line3</t>
  </si>
  <si>
    <t>Southern Company of Florida</t>
  </si>
  <si>
    <t>T6/29C</t>
  </si>
  <si>
    <t>328.1-330.1, line4</t>
  </si>
  <si>
    <t>City of Tallahassee</t>
  </si>
  <si>
    <t>T6/96</t>
  </si>
  <si>
    <t>328.1-330.1, line5</t>
  </si>
  <si>
    <t>T6/97</t>
  </si>
  <si>
    <t>328.1-330.1, line6</t>
  </si>
  <si>
    <t>T6/19</t>
  </si>
  <si>
    <t>328.1-330.1, line7</t>
  </si>
  <si>
    <t>Tampa Electric Company</t>
  </si>
  <si>
    <t>T6/134</t>
  </si>
  <si>
    <t>328.1-330.1, line8</t>
  </si>
  <si>
    <t>T6/160C</t>
  </si>
  <si>
    <t>328.1-330.1, line9</t>
  </si>
  <si>
    <t>328.1-330.1, line10</t>
  </si>
  <si>
    <t>T6/25</t>
  </si>
  <si>
    <t>328.1-330.1, line11</t>
  </si>
  <si>
    <t>Tennessee Valley Authoritty</t>
  </si>
  <si>
    <t>T6/21C</t>
  </si>
  <si>
    <t>328.1-330.1, line12</t>
  </si>
  <si>
    <t>The Energy Authority</t>
  </si>
  <si>
    <t>T6/140</t>
  </si>
  <si>
    <t>328.1-330.1, line13</t>
  </si>
  <si>
    <t>T6/139</t>
  </si>
  <si>
    <t>328.1-330.1, line14</t>
  </si>
  <si>
    <t>328.1-330.1, line15</t>
  </si>
  <si>
    <t>T6/62</t>
  </si>
  <si>
    <t>328.1-330.1, line16</t>
  </si>
  <si>
    <t>T6/68C</t>
  </si>
  <si>
    <t>328.1-330.1, line17</t>
  </si>
  <si>
    <t>City of Williston</t>
  </si>
  <si>
    <t>T6/125</t>
  </si>
  <si>
    <t>328.1-330.1, line18</t>
  </si>
  <si>
    <t>City of Winter Park</t>
  </si>
  <si>
    <t>T6/124</t>
  </si>
  <si>
    <t>328.1-330.1, line19</t>
  </si>
  <si>
    <t>FPC Power Marketing &amp; CPL</t>
  </si>
  <si>
    <t>T6/76C</t>
  </si>
  <si>
    <t>328.1-330.1, line20</t>
  </si>
  <si>
    <t>Florida Municipal Power Auth-OS</t>
  </si>
  <si>
    <t>OS</t>
  </si>
  <si>
    <t>328.1-330.1, line21</t>
  </si>
  <si>
    <t>Reedy Creek-OS</t>
  </si>
  <si>
    <t>T6</t>
  </si>
  <si>
    <t>328.1-330.1, line22</t>
  </si>
  <si>
    <t>Seminole Electric Cooperative Inc.</t>
  </si>
  <si>
    <t>328.1-330.1, line23</t>
  </si>
  <si>
    <t>Southeastern Power Admin-OS</t>
  </si>
  <si>
    <t>328.1-330.1, line24</t>
  </si>
  <si>
    <t>Constellation Power Source</t>
  </si>
  <si>
    <t>T8</t>
  </si>
  <si>
    <t>328.1-330.1, line25</t>
  </si>
  <si>
    <t>Alabama Electric Coop</t>
  </si>
  <si>
    <t>328.1-330.1, line26</t>
  </si>
  <si>
    <t>City of New Symrna</t>
  </si>
  <si>
    <t>328.1-330.1, line27</t>
  </si>
  <si>
    <t>Pa-NJ-Maryland Int (PJM)</t>
  </si>
  <si>
    <t>328.1-330.1, line28</t>
  </si>
  <si>
    <t>Tennessee Valley Authority</t>
  </si>
  <si>
    <t>T6/70</t>
  </si>
  <si>
    <t>328.1-330.1, line29</t>
  </si>
  <si>
    <t>Carolina Power &amp; Light</t>
  </si>
  <si>
    <t>T8/76</t>
  </si>
  <si>
    <t>328.1-330.1, line30</t>
  </si>
  <si>
    <t>Duke Power</t>
  </si>
  <si>
    <t xml:space="preserve">  Less Imputed Storm AdderAncillaries</t>
  </si>
  <si>
    <t>BK 5</t>
  </si>
  <si>
    <t>Peaker #1,3</t>
  </si>
  <si>
    <t>BK 6</t>
  </si>
  <si>
    <t>Peaker #2,4</t>
  </si>
  <si>
    <t>Peaker #1,2</t>
  </si>
  <si>
    <t>Peaker #3</t>
  </si>
  <si>
    <t>Bartow CC</t>
  </si>
  <si>
    <t>ST1S</t>
  </si>
  <si>
    <t>CT1A</t>
  </si>
  <si>
    <t>CT1B</t>
  </si>
  <si>
    <t>CT1C</t>
  </si>
  <si>
    <t>CT1D</t>
  </si>
  <si>
    <t>BK 4</t>
  </si>
  <si>
    <t>Peaker #3,4</t>
  </si>
  <si>
    <t>Bk 4</t>
  </si>
  <si>
    <t>Bk 5</t>
  </si>
  <si>
    <t>Spare</t>
  </si>
  <si>
    <t>BK 1</t>
  </si>
  <si>
    <t>Unit #1</t>
  </si>
  <si>
    <t>BK 2</t>
  </si>
  <si>
    <t>Unit #2</t>
  </si>
  <si>
    <t>BK 3</t>
  </si>
  <si>
    <t>Unit #3</t>
  </si>
  <si>
    <t>Peaker #1</t>
  </si>
  <si>
    <t>BK 7</t>
  </si>
  <si>
    <t>Peaker #5,6</t>
  </si>
  <si>
    <t>BK 8</t>
  </si>
  <si>
    <t>Peaker #7</t>
  </si>
  <si>
    <t>BK 9</t>
  </si>
  <si>
    <t>Peaker #8</t>
  </si>
  <si>
    <t>BK 10</t>
  </si>
  <si>
    <t>Peaker #9</t>
  </si>
  <si>
    <t>BK 11</t>
  </si>
  <si>
    <t>Peaker #10</t>
  </si>
  <si>
    <t>Peaker #12-14</t>
  </si>
  <si>
    <t>BK 12</t>
  </si>
  <si>
    <t>Peaker #11</t>
  </si>
  <si>
    <t>Bk 1b</t>
  </si>
  <si>
    <t>Bk 2</t>
  </si>
  <si>
    <t>Bk 3</t>
  </si>
  <si>
    <t>Unit #4</t>
  </si>
  <si>
    <t>Unit #5</t>
  </si>
  <si>
    <t>Anclote</t>
  </si>
  <si>
    <t>Bk 1</t>
  </si>
  <si>
    <t>Debary</t>
  </si>
  <si>
    <t>Peaker #4,6</t>
  </si>
  <si>
    <t>Peaker #3,5</t>
  </si>
  <si>
    <t>Bk 7</t>
  </si>
  <si>
    <t>Bk 8</t>
  </si>
  <si>
    <t>Bk 9</t>
  </si>
  <si>
    <t>Bk 10</t>
  </si>
  <si>
    <t>Turner Pk</t>
  </si>
  <si>
    <t>Avon Park Pk</t>
  </si>
  <si>
    <t>Bk 6</t>
  </si>
  <si>
    <t xml:space="preserve">Univ of Fla </t>
  </si>
  <si>
    <t xml:space="preserve">Hines PB1 </t>
  </si>
  <si>
    <t>Hines PB2</t>
  </si>
  <si>
    <t xml:space="preserve">Hines PB3 </t>
  </si>
  <si>
    <t>Hines PB4</t>
  </si>
  <si>
    <t>All</t>
  </si>
  <si>
    <t>Tiger Bay</t>
  </si>
  <si>
    <t>CT1</t>
  </si>
  <si>
    <t>ST1</t>
  </si>
  <si>
    <t>CC/CT System Spares</t>
  </si>
  <si>
    <t>CT's</t>
  </si>
  <si>
    <t>CC's</t>
  </si>
  <si>
    <t>Subtotal (p2)</t>
  </si>
  <si>
    <t>Intercession City P12-P14</t>
  </si>
  <si>
    <t>Breaker and 1/2 Scheme</t>
  </si>
  <si>
    <t>Hines 2</t>
  </si>
  <si>
    <t>HInes 3</t>
  </si>
  <si>
    <t>HInes 4</t>
  </si>
  <si>
    <t>Salary Continuation</t>
  </si>
  <si>
    <t>Salary Continuation Loading</t>
  </si>
  <si>
    <t>Page 1 of 4</t>
  </si>
  <si>
    <t>Page 2 of 4</t>
  </si>
  <si>
    <t xml:space="preserve"> Electric Plant - Pollution Control</t>
  </si>
  <si>
    <t>OATT</t>
  </si>
  <si>
    <t>Page 3 of 4</t>
  </si>
  <si>
    <t>Medical/Life Res Postemp Retail</t>
  </si>
  <si>
    <t>Medical/Life Res Postemp Whlse</t>
  </si>
  <si>
    <t>Funded Med/Life Res Postemp -W</t>
  </si>
  <si>
    <t>Medical/Dental/Life</t>
  </si>
  <si>
    <t>Medical/Dental/Life Loading</t>
  </si>
  <si>
    <t>Workman's Comp</t>
  </si>
  <si>
    <t>Claims</t>
  </si>
  <si>
    <t>Environmental Cleanup</t>
  </si>
  <si>
    <t>Self Insured Medical Subaccounts</t>
  </si>
  <si>
    <t>$</t>
  </si>
  <si>
    <t>9200REC</t>
  </si>
  <si>
    <t>9210REC</t>
  </si>
  <si>
    <t>9230REC</t>
  </si>
  <si>
    <t>9260REC</t>
  </si>
  <si>
    <t>9350REC</t>
  </si>
  <si>
    <t>YE ECC EPIS From D Crawford</t>
  </si>
  <si>
    <t>Surveillance - Manual Entry File</t>
  </si>
  <si>
    <t>AVG</t>
  </si>
  <si>
    <t>Summary of Allocation Factors:</t>
  </si>
  <si>
    <t>STORM</t>
  </si>
  <si>
    <t>Subtotal</t>
  </si>
  <si>
    <t>Subtotal from prior page</t>
  </si>
  <si>
    <t>Page 4 of 4</t>
  </si>
  <si>
    <t>EPIS</t>
  </si>
  <si>
    <t>Adjustment</t>
  </si>
  <si>
    <t>323.197.b</t>
  </si>
  <si>
    <t>Subtotal Adjustments</t>
  </si>
  <si>
    <t>Adjusted A&amp;G Expense per Line 5</t>
  </si>
  <si>
    <t>A&amp;G Expense per FF1 Input</t>
  </si>
  <si>
    <t>335.6.b</t>
  </si>
  <si>
    <t>included in 323.(misc)</t>
  </si>
  <si>
    <t>included in 323.184.b</t>
  </si>
  <si>
    <t>included in 323.182,184.b</t>
  </si>
  <si>
    <t>FF1 Page</t>
  </si>
  <si>
    <t>A&amp;G Reconciliation to FF1:</t>
  </si>
  <si>
    <t>9302REC</t>
  </si>
  <si>
    <t>FMPA/City of Quincy</t>
  </si>
  <si>
    <t>328.1-330.1, line31</t>
  </si>
  <si>
    <t>328.1-330.1, line32</t>
  </si>
  <si>
    <t>City of Wauchula</t>
  </si>
  <si>
    <t>T6/147</t>
  </si>
  <si>
    <t>T6/148</t>
  </si>
  <si>
    <t>T6/150</t>
  </si>
  <si>
    <t>In Service Date</t>
  </si>
  <si>
    <r>
      <t xml:space="preserve">CLARCONA - Crown Point
</t>
    </r>
    <r>
      <rPr>
        <sz val="8"/>
        <rFont val="Arial"/>
        <family val="2"/>
      </rPr>
      <t>#20017130</t>
    </r>
  </si>
  <si>
    <r>
      <t xml:space="preserve">Barnum City/ Northridge
</t>
    </r>
    <r>
      <rPr>
        <sz val="8"/>
        <rFont val="Arial"/>
        <family val="2"/>
      </rPr>
      <t>#20077448</t>
    </r>
  </si>
  <si>
    <t>Total AFUDC</t>
  </si>
  <si>
    <t>Cumulative</t>
  </si>
  <si>
    <t>Total Dep Exp</t>
  </si>
  <si>
    <t>on AFUDC</t>
  </si>
  <si>
    <t>50% Recovered</t>
  </si>
  <si>
    <t>thru OATT</t>
  </si>
  <si>
    <t>in Acct 101</t>
  </si>
  <si>
    <t>Reduce by</t>
  </si>
  <si>
    <t xml:space="preserve">Remaining </t>
  </si>
  <si>
    <t xml:space="preserve">Adj needed to </t>
  </si>
  <si>
    <t>Deprec Exp</t>
  </si>
  <si>
    <t>Accum Deprec</t>
  </si>
  <si>
    <t>Deprec Expense (Acct 407) &amp; Accumulated Depreciation (Acct 108):</t>
  </si>
  <si>
    <t>Electric Plant in Service (Acct 101):</t>
  </si>
  <si>
    <t>207.58b</t>
  </si>
  <si>
    <t>207.58g</t>
  </si>
  <si>
    <t>219.25.c</t>
  </si>
  <si>
    <t>336.7.f</t>
  </si>
  <si>
    <t>Amount</t>
  </si>
  <si>
    <t>Summary</t>
  </si>
  <si>
    <t xml:space="preserve">Remove Environmental Resrv. - manufactured gas plant exps in acct 930.2 </t>
  </si>
  <si>
    <t>Remove Tax Gross-up from Service Co. for Permanent Tax Items</t>
  </si>
  <si>
    <t>OATT Contra CWIP Adjs to Reduce AFUDC Closed to Electric Plant in Service</t>
  </si>
  <si>
    <t>Less Whls</t>
  </si>
  <si>
    <t>to Acct 101 in G/L</t>
  </si>
  <si>
    <t>Portion Credited</t>
  </si>
  <si>
    <t>to EPIS</t>
  </si>
  <si>
    <t>Adj needed</t>
  </si>
  <si>
    <t>to Acct 407 in G/L</t>
  </si>
  <si>
    <t>Because the Page 2 Rate Base amounts are total system numbers, the wholesale specific loss/reserve balance is grossed up using the relationship</t>
  </si>
  <si>
    <t>between system and wholesale only transmission demands times the percent of the balance applicable to the OATT. See also Notes H and J.</t>
  </si>
  <si>
    <t>Excludes all income and gross receipts taxes.  Labor related other taxes include FICA and unemployment taxes.  Property related taxes include county</t>
  </si>
  <si>
    <t>and local property, highway use, and intangible taxes.</t>
  </si>
  <si>
    <t>The allocator "TP" is the percent of allocated gross transmission plant that is OATT related, i.e., after removal of ECC, interconnections and generator</t>
  </si>
  <si>
    <t xml:space="preserve">step-up transformer investment. </t>
  </si>
  <si>
    <t xml:space="preserve">extraordinary property losses, associated principal and interest expense are excluded in capitalization and return basis.  </t>
  </si>
  <si>
    <t>Functionalized Transmission part 182.1 Extraordinary Property Losses balance only, "WEPL-T."  Consistent with the process described in Note H above,</t>
  </si>
  <si>
    <t>the OATT-related amount of the transmission loss is then derived using the TP allocation factor</t>
  </si>
  <si>
    <t>If income tax rates change during a calendar year, the income tax rates will be pro-rated based on the number of days each income tax rate was in effect.</t>
  </si>
  <si>
    <t>Pursuant to the settlement agreement, annual amounts included in line 11 will be adjusted and reversed as necessary to ensure no overfunding of the</t>
  </si>
  <si>
    <t xml:space="preserve">wholesale reserve; i.e., the year-end reserve balance for OATT rates will not exceed the $8,614,774 shown on line 7 </t>
  </si>
  <si>
    <t>regardless of the accounting.</t>
  </si>
  <si>
    <t>Target percentages are fixed for 2008 - 2012 and were derived from projected OATT LTF billing MW-months and the MW-month equivalent  billings for STF</t>
  </si>
  <si>
    <t>Actual LTF OATT MW-Months are the sum of Lines 11 and 12 above, as reported in Form-1 for Firm Network Service for Others and  Long Term Firm</t>
  </si>
  <si>
    <t>Point-to-Point Service</t>
  </si>
  <si>
    <t>Actual STF/Non-Firm equivalent "MW-Months" are equal to monthly STF/Non-firm transmission service revenue divided by the same "Total Firm Monthly</t>
  </si>
  <si>
    <t xml:space="preserve">Trans. $/MW-Month" rate (Page 1, Line 11) from which the STF/Non-firm billing rates were derived  </t>
  </si>
  <si>
    <t>Section 2.12 of Schedule 10.3 states “The Formula Rate excludes all costs that are properly directly assigned or assignable to one or more particular</t>
  </si>
  <si>
    <t>assignable retail costs/credits booked to Account 935 and retail sales tax portion of Florida sales tax audit expense booked to Account 930.2 from Form-1</t>
  </si>
  <si>
    <t>reported value.</t>
  </si>
  <si>
    <t>The inclusion of Line 24, "Unfunded Reserves," ensures that identified "Unfunded Reserves" are appropriately excluded from rate base in the Formula Rate</t>
  </si>
  <si>
    <t>calculations.  The specific treatment of these "Unfunded Reserves" in no way precludes the Transmission Provider or interested parties from making any</t>
  </si>
  <si>
    <t>argument in any proceeding at the Commission or in any review or challenge proceeding under the Formula Rate as to the appropriate accounting or</t>
  </si>
  <si>
    <t>ratemaking treatment in the Formula Rate of any unfunded reserve.</t>
  </si>
  <si>
    <t>Adjusted to remove ADUFC accruals from CWIP projects that were included in rate base.  Qualifying CWIP excludes CWIP associated with direct</t>
  </si>
  <si>
    <t>assignment radials</t>
  </si>
  <si>
    <t>Template to remove the costs associated with wholesale direct assignment radials from the calculation of the OATT base rates.  A new attachment (e.g.,</t>
  </si>
  <si>
    <t>balances for gross plant and accumulated depreciation reserves separately by project.  The intent is that the accumulated depreciation reserves be</t>
  </si>
  <si>
    <t>maintained separately by customer and by project to capture the associated costs by customer and to reflect the appropriate effect of the vintage of each</t>
  </si>
  <si>
    <t>be further modified to set forth separately the costs allocated to each wholesale customer's direct assignment radials in the aggregate in separate</t>
  </si>
  <si>
    <t>columns.  Such Section 205 filing shall be made sufficiently in advance of the first occurrence of a direct assignment wholesale transmission radial to</t>
  </si>
  <si>
    <t>permit the requisite modifications to the Formula Rate Template to become effective with the in-servie date of the associated facility.</t>
  </si>
  <si>
    <t>Balance in Account 190</t>
  </si>
  <si>
    <t>Balance in Account 281</t>
  </si>
  <si>
    <t>Balance in Account 282</t>
  </si>
  <si>
    <t>Balance in Account 283</t>
  </si>
  <si>
    <t>Total Accumulated Deferred Income Tax</t>
  </si>
  <si>
    <t>BB</t>
  </si>
  <si>
    <t>EB</t>
  </si>
  <si>
    <t>EB Adjust</t>
  </si>
  <si>
    <t>Desc</t>
  </si>
  <si>
    <t>BB Adjust</t>
  </si>
  <si>
    <t>Remove ARO in lines 15,24,34,44</t>
  </si>
  <si>
    <t>remove aro in line 98</t>
  </si>
  <si>
    <t>Only include Perry and High Springs lines</t>
  </si>
  <si>
    <t>Adjust for OATT Contra CWIP</t>
  </si>
  <si>
    <t>adjustment for OATT Contra CWIP Depreciation for CY</t>
  </si>
  <si>
    <r>
      <t xml:space="preserve">St. Marks Trans Sub to Dis Sub
</t>
    </r>
    <r>
      <rPr>
        <sz val="8"/>
        <rFont val="Arial"/>
        <family val="2"/>
      </rPr>
      <t>#20082836</t>
    </r>
  </si>
  <si>
    <t>328.1-330.1, line33</t>
  </si>
  <si>
    <t>328.1-330.1, line34</t>
  </si>
  <si>
    <t>328.1-330.2, line1</t>
  </si>
  <si>
    <t>Morgan Stanley Capiral Group</t>
  </si>
  <si>
    <t>Southern Company</t>
  </si>
  <si>
    <t>EDF Trading</t>
  </si>
  <si>
    <t>Adjusted per terms of 2012 settlement, Account 2281500 from DEC 12 GL, corrected GL balance by removing $2.5MM, per workpapers (Shouldn't have to do this in the future)</t>
  </si>
  <si>
    <t>Exhibit DEF - 2</t>
  </si>
  <si>
    <t>Gross DEF Revenue Requirement</t>
  </si>
  <si>
    <t>Exhibit DEF - 3</t>
  </si>
  <si>
    <t>Exhibit DEF - 5</t>
  </si>
  <si>
    <t>Exhibit DEF-5A</t>
  </si>
  <si>
    <t>Exhibit DEF - 4</t>
  </si>
  <si>
    <t>To the extent DEF is authorized by the Florida Public Service Commission and issues bonds for distribution facilities to securitize retail recovery of</t>
  </si>
  <si>
    <t>Payments by DEF to an Affected System Operator pursuant to Orders 2003 or 2006 (including rehearing orders) are not to be included in the formula rate</t>
  </si>
  <si>
    <t xml:space="preserve">and non-firm transmission revenues in the September 2007 DEF financial forecast. </t>
  </si>
  <si>
    <t>customers, including costs directly assigned or assignable to DEF.”  Per Settlement of 2008 Annual Update, the amount specified excludes directly</t>
  </si>
  <si>
    <t>Should DEF construct and own radials directly assignable to wholesale customers, DEF shall make a Section 205 filing to amend its Formula Rate</t>
  </si>
  <si>
    <t>Exhibit DEF-x) shall be added to the template that sets forth the direct assignment radials by customer and by facility, showing the associated monthly</t>
  </si>
  <si>
    <t>project.  Such Exhibit DEF-x shall be structured to accommodate direct assignments to multiple wholesale customers. Exhibit DEF-2 shall be modified to</t>
  </si>
  <si>
    <t>remove the direct assignment wholesale radials from the base rate calculations in a manner consistent with retail radials, except that Exhibit DEF-2 shall</t>
  </si>
  <si>
    <t>Exhibit DEF - 5A</t>
  </si>
  <si>
    <t>Exhibit DEF - 6</t>
  </si>
  <si>
    <t>Exhibit DEF - 7</t>
  </si>
  <si>
    <t>DUKE ENERGY FLORIDA, INC.</t>
  </si>
  <si>
    <t>DUKE ENERGY FLORIDA</t>
  </si>
  <si>
    <t>Remove expense recoverable through Clauses</t>
  </si>
  <si>
    <t>Remove Integration Costs (in acct 920, 921, 923, 925, 926, 930.2, 931, 935)</t>
  </si>
  <si>
    <t>Remove Florida Rate Case Expenses (In account 930.2)</t>
  </si>
  <si>
    <t>FAS143 Nuclear Decommissioning Regulatory Asset</t>
  </si>
  <si>
    <t>Removes Integration Costs</t>
  </si>
  <si>
    <t>Accumulated Provision for Uncollect Accounts FPC</t>
  </si>
  <si>
    <t>Accumulated Provision for Uncollect Accounts-Non Elec</t>
  </si>
  <si>
    <t>Accumulated Provision for Uncollect Accounts-Whlsl</t>
  </si>
  <si>
    <t>Inventory Reserve</t>
  </si>
  <si>
    <t>Interest On Income Tax Deficiency</t>
  </si>
  <si>
    <t>Curr &amp; Accr Liab - FPC LTD</t>
  </si>
  <si>
    <t>Curr &amp; Accr Liab - Severance</t>
  </si>
  <si>
    <t>Curr &amp; Accr Liab Workers Comp</t>
  </si>
  <si>
    <t>FPC LT Diability Plan</t>
  </si>
  <si>
    <t>IRU Indemnification - ST</t>
  </si>
  <si>
    <t>Accrued Bonuses</t>
  </si>
  <si>
    <t xml:space="preserve"> Emission Allowances</t>
  </si>
  <si>
    <t xml:space="preserve"> Unbilled Revenue - Service Charge /Equip Rent</t>
  </si>
  <si>
    <t>Unbilled Revenue - Recovery Clauses</t>
  </si>
  <si>
    <t>Accrued Vacation Pay</t>
  </si>
  <si>
    <t>Sales Tax Reserve - Audit reserves</t>
  </si>
  <si>
    <t>State Net Operating Loss</t>
  </si>
  <si>
    <t xml:space="preserve">State Income Tax </t>
  </si>
  <si>
    <t>Federal Net Operating Loss</t>
  </si>
  <si>
    <t>Charitable Contribution Carryover</t>
  </si>
  <si>
    <t xml:space="preserve">Deferred GPIF </t>
  </si>
  <si>
    <t>Regulatory Liability - Fuel</t>
  </si>
  <si>
    <t xml:space="preserve"> Retail Unfunded - Storm Damage </t>
  </si>
  <si>
    <t xml:space="preserve"> Workman's Comp Reserve</t>
  </si>
  <si>
    <t xml:space="preserve"> Claims Reserve</t>
  </si>
  <si>
    <t>Supplemental Executive Retirement Plan</t>
  </si>
  <si>
    <t>Last Core Nuclear Fuel</t>
  </si>
  <si>
    <t>EOL Nuclear M&amp;S</t>
  </si>
  <si>
    <t xml:space="preserve">Nuclear Refuel Outage </t>
  </si>
  <si>
    <t>2000 Class Deferred Compensation</t>
  </si>
  <si>
    <t>Perferred  Shared Sub Plan</t>
  </si>
  <si>
    <t>Environmental Cleanup Reserve</t>
  </si>
  <si>
    <t>Mngmnt Incntv Award Deferred Comp</t>
  </si>
  <si>
    <t>Other Defer CR Stranded Cost</t>
  </si>
  <si>
    <t>IRU Indemnification - LT</t>
  </si>
  <si>
    <t>Reg Liab Nuc Decom Trust Ureal Gains</t>
  </si>
  <si>
    <t>Reg Liab Deriv - MTM Oil</t>
  </si>
  <si>
    <t xml:space="preserve"> Wholesale QF Energy</t>
  </si>
  <si>
    <t>Regulatory Liability FAS 109</t>
  </si>
  <si>
    <t>Unamortized Investment Tax Credit</t>
  </si>
  <si>
    <t>Other Def Cr Miscellaneous</t>
  </si>
  <si>
    <t xml:space="preserve">Interest Rate Hedge </t>
  </si>
  <si>
    <t>Restricted Stock</t>
  </si>
  <si>
    <t>PSSP Stock Plan</t>
  </si>
  <si>
    <t>Nonqualified Stock Options</t>
  </si>
  <si>
    <t>Pension</t>
  </si>
  <si>
    <t>Pension Restoration</t>
  </si>
  <si>
    <t>2009 Pension Regulatory Asset</t>
  </si>
  <si>
    <t>Regulatory Liability Asbestos SFAS 143</t>
  </si>
  <si>
    <t>Regulatory Nuc Deco SFAS 143</t>
  </si>
  <si>
    <t>Derivative Asset/Liabilities</t>
  </si>
  <si>
    <t>Fleet Hedging</t>
  </si>
  <si>
    <t>Health &amp; Life Loading</t>
  </si>
  <si>
    <t>Medical/Dental Life</t>
  </si>
  <si>
    <t>Bargaining Unit Dental Reserve</t>
  </si>
  <si>
    <t>Cur &amp; Accr Liab Medi/Detl Ins Act</t>
  </si>
  <si>
    <t>Funded Med/Life Res Post Emp</t>
  </si>
  <si>
    <t>Med/Life Res Post Emp Retail</t>
  </si>
  <si>
    <t>Med/Life Res PostEmp Whls</t>
  </si>
  <si>
    <t>OPEB Contributions to Whsl Fund</t>
  </si>
  <si>
    <t>Accrued Liability ARO</t>
  </si>
  <si>
    <t>Misc Deferred Debit Workers Comp</t>
  </si>
  <si>
    <t>CR 3 Capacity Outage Accrual</t>
  </si>
  <si>
    <t>Imputed Interest Income-City of Zephryhills loan</t>
  </si>
  <si>
    <t>Bartow Long Term Service Agreement</t>
  </si>
  <si>
    <t>Wholesale Storm Reserve</t>
  </si>
  <si>
    <t>CR3 Joint Owner Indemnification Reserve</t>
  </si>
  <si>
    <t>Miscellaneous</t>
  </si>
  <si>
    <t>Tie in to Financials</t>
  </si>
  <si>
    <t>OTHER</t>
  </si>
  <si>
    <t xml:space="preserve"> Electric Plant - Utility</t>
  </si>
  <si>
    <t xml:space="preserve"> Electric Plant -Nuclear Cost Recovery</t>
  </si>
  <si>
    <t>Electric Plant-Nuc Decommissioning</t>
  </si>
  <si>
    <t>Reg Asset - Cost of Removal &amp; Depreciation</t>
  </si>
  <si>
    <t>Tie to Balance Sheet</t>
  </si>
  <si>
    <t>Derivative Asset/Liability - PEF - MTM Oil</t>
  </si>
  <si>
    <t>Recovery Clause -  Nuclear</t>
  </si>
  <si>
    <t>Recovery Clause - Environmental</t>
  </si>
  <si>
    <t>Recovery Clause - Fuel</t>
  </si>
  <si>
    <t>Nuclear Decommissioning Unrealized Gains/Losses</t>
  </si>
  <si>
    <t>Reg Asset - Derivative MTM</t>
  </si>
  <si>
    <t>Reg Asset - Minimum Pension Liab</t>
  </si>
  <si>
    <t>Deferred GPIF Asset</t>
  </si>
  <si>
    <t>Accrued ECRC  - Deferred Expense Bk</t>
  </si>
  <si>
    <t>Proceeds from Auctioned SO2 Allowances</t>
  </si>
  <si>
    <t xml:space="preserve"> Amort Loss Reacquired Debt</t>
  </si>
  <si>
    <t xml:space="preserve"> Spare Parts Credit to EPIS</t>
  </si>
  <si>
    <t xml:space="preserve"> Amortization OID</t>
  </si>
  <si>
    <t>Regulatory Asset FAS 109</t>
  </si>
  <si>
    <t>Deferred Storm Cost -Wholesale</t>
  </si>
  <si>
    <t>Deferred Storm Cost- Transmission</t>
  </si>
  <si>
    <t>FAS 143 ARO Liability - LandFill</t>
  </si>
  <si>
    <t>Regulatory Asset Asbestos</t>
  </si>
  <si>
    <t>State Income Taxes</t>
  </si>
  <si>
    <t>Investments</t>
  </si>
  <si>
    <t>Deferred Rate Case Expense</t>
  </si>
  <si>
    <t>CR3 M&amp;S Inventory/Prepayments</t>
  </si>
  <si>
    <t>Federal Credits</t>
  </si>
  <si>
    <t>Rabbi Trust</t>
  </si>
  <si>
    <t>Asset Retirement Obligation offset to FERC 282</t>
  </si>
  <si>
    <t>Asset Retirement Obligation reclass offset to FERC 190</t>
  </si>
  <si>
    <t>Deferred Depreciation - Nuclear</t>
  </si>
  <si>
    <t>Recovery Clause - Capacity</t>
  </si>
  <si>
    <t>Regulatory Asset - CR3 Rate Base</t>
  </si>
  <si>
    <t>FAS 143 - NUC DECOM</t>
  </si>
  <si>
    <t>CR3 PS&amp;I Fukishima and Nuclear Fire Protection</t>
  </si>
  <si>
    <t>Adjustment for losses for POD Service (SECI/Hardee/Vandolah)</t>
  </si>
  <si>
    <t>Adjustment for losses for POD Service (SEPA)</t>
  </si>
  <si>
    <t>Account 2281500</t>
  </si>
</sst>
</file>

<file path=xl/styles.xml><?xml version="1.0" encoding="utf-8"?>
<styleSheet xmlns="http://schemas.openxmlformats.org/spreadsheetml/2006/main">
  <numFmts count="1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_);\(0.00000\)"/>
    <numFmt numFmtId="165" formatCode="#,##0.00000_);\(#,##0.00000\)"/>
    <numFmt numFmtId="166" formatCode="#,##0.000_);\(#,##0.000\)"/>
    <numFmt numFmtId="167" formatCode="0.0%"/>
    <numFmt numFmtId="168" formatCode="0%_);\(0%\)"/>
    <numFmt numFmtId="169" formatCode="_(&quot;$&quot;* #,##0_);_(&quot;$&quot;* \(#,##0\);_(&quot;$&quot;* &quot;-&quot;??_);_(@_)"/>
    <numFmt numFmtId="170" formatCode="_(* #,##0_);_(* \(#,##0\);_(* &quot;-&quot;??_);_(@_)"/>
    <numFmt numFmtId="171" formatCode="General_)"/>
    <numFmt numFmtId="172" formatCode="0.0000000%"/>
    <numFmt numFmtId="173" formatCode="_(* #,##0.00000_);_(* \(#,##0.00000\);_(* &quot;-&quot;??_);_(@_)"/>
    <numFmt numFmtId="174" formatCode="0.000000000_);\(0.000000000\)"/>
    <numFmt numFmtId="175" formatCode="#,##0.0000000000_);\(#,##0.0000000000\)"/>
    <numFmt numFmtId="176" formatCode="0.0000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trike/>
      <sz val="10"/>
      <name val="Arial"/>
      <family val="2"/>
    </font>
    <font>
      <b/>
      <sz val="8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9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6" fillId="0" borderId="0" applyNumberFormat="0"/>
    <xf numFmtId="43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0" fontId="17" fillId="2" borderId="0">
      <alignment horizontal="right"/>
    </xf>
    <xf numFmtId="14" fontId="3" fillId="3" borderId="1">
      <alignment horizontal="center" vertical="center" wrapText="1"/>
    </xf>
    <xf numFmtId="0" fontId="4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9" fillId="0" borderId="1">
      <alignment horizontal="center"/>
    </xf>
    <xf numFmtId="3" fontId="20" fillId="0" borderId="0" applyFill="0" applyBorder="0" applyAlignment="0" applyProtection="0"/>
    <xf numFmtId="0" fontId="18" fillId="4" borderId="0" applyNumberFormat="0" applyFont="0" applyBorder="0" applyAlignment="0" applyProtection="0"/>
    <xf numFmtId="39" fontId="21" fillId="0" borderId="0"/>
    <xf numFmtId="0" fontId="2" fillId="0" borderId="0" applyNumberFormat="0" applyFill="0" applyBorder="0" applyAlignment="0" applyProtection="0"/>
    <xf numFmtId="0" fontId="22" fillId="0" borderId="0" applyFill="0" applyBorder="0" applyProtection="0">
      <alignment horizontal="left" vertical="top"/>
    </xf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7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1">
    <xf numFmtId="0" fontId="0" fillId="0" borderId="0" xfId="0"/>
    <xf numFmtId="0" fontId="3" fillId="0" borderId="0" xfId="0" applyFont="1"/>
    <xf numFmtId="0" fontId="11" fillId="0" borderId="0" xfId="0" applyFont="1"/>
    <xf numFmtId="0" fontId="0" fillId="0" borderId="0" xfId="0" applyFill="1"/>
    <xf numFmtId="0" fontId="4" fillId="0" borderId="0" xfId="0" applyFont="1" applyFill="1" applyAlignment="1">
      <alignment horizontal="left" vertical="center"/>
    </xf>
    <xf numFmtId="37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/>
    <xf numFmtId="37" fontId="2" fillId="0" borderId="0" xfId="0" applyNumberFormat="1" applyFont="1" applyFill="1"/>
    <xf numFmtId="44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right"/>
    </xf>
    <xf numFmtId="37" fontId="0" fillId="0" borderId="2" xfId="0" applyNumberFormat="1" applyFill="1" applyBorder="1"/>
    <xf numFmtId="165" fontId="0" fillId="0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0" fontId="0" fillId="0" borderId="0" xfId="0" applyNumberFormat="1" applyFill="1"/>
    <xf numFmtId="10" fontId="3" fillId="0" borderId="0" xfId="0" applyNumberFormat="1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/>
    </xf>
    <xf numFmtId="0" fontId="24" fillId="0" borderId="0" xfId="0" applyFont="1" applyFill="1"/>
    <xf numFmtId="0" fontId="2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37" fontId="0" fillId="0" borderId="0" xfId="0" applyNumberFormat="1" applyFill="1" applyAlignment="1">
      <alignment horizontal="left"/>
    </xf>
    <xf numFmtId="37" fontId="15" fillId="0" borderId="0" xfId="0" applyNumberFormat="1" applyFont="1" applyFill="1"/>
    <xf numFmtId="37" fontId="23" fillId="0" borderId="0" xfId="0" applyNumberFormat="1" applyFont="1" applyFill="1"/>
    <xf numFmtId="37" fontId="14" fillId="0" borderId="0" xfId="0" applyNumberFormat="1" applyFont="1" applyFill="1"/>
    <xf numFmtId="37" fontId="3" fillId="0" borderId="0" xfId="0" applyNumberFormat="1" applyFont="1" applyFill="1" applyAlignment="1">
      <alignment horizontal="center" vertical="center"/>
    </xf>
    <xf numFmtId="37" fontId="15" fillId="0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37" fontId="15" fillId="0" borderId="6" xfId="0" applyNumberFormat="1" applyFont="1" applyFill="1" applyBorder="1"/>
    <xf numFmtId="37" fontId="15" fillId="0" borderId="0" xfId="0" applyNumberFormat="1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37" fontId="0" fillId="0" borderId="0" xfId="0" applyNumberFormat="1" applyFill="1" applyBorder="1"/>
    <xf numFmtId="37" fontId="0" fillId="0" borderId="7" xfId="0" applyNumberFormat="1" applyFill="1" applyBorder="1"/>
    <xf numFmtId="37" fontId="23" fillId="0" borderId="0" xfId="0" applyNumberFormat="1" applyFont="1" applyFill="1" applyAlignment="1">
      <alignment horizontal="center"/>
    </xf>
    <xf numFmtId="37" fontId="3" fillId="0" borderId="2" xfId="0" applyNumberFormat="1" applyFont="1" applyFill="1" applyBorder="1"/>
    <xf numFmtId="37" fontId="3" fillId="0" borderId="0" xfId="0" applyNumberFormat="1" applyFont="1" applyFill="1"/>
    <xf numFmtId="166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0" fontId="27" fillId="0" borderId="0" xfId="0" applyFont="1"/>
    <xf numFmtId="169" fontId="2" fillId="0" borderId="0" xfId="6" applyNumberFormat="1"/>
    <xf numFmtId="169" fontId="2" fillId="0" borderId="0" xfId="6" applyNumberFormat="1" applyFont="1"/>
    <xf numFmtId="0" fontId="0" fillId="0" borderId="0" xfId="0" applyNumberFormat="1"/>
    <xf numFmtId="9" fontId="2" fillId="0" borderId="0" xfId="11"/>
    <xf numFmtId="0" fontId="3" fillId="6" borderId="0" xfId="0" applyFont="1" applyFill="1" applyBorder="1"/>
    <xf numFmtId="0" fontId="0" fillId="6" borderId="0" xfId="0" applyFill="1"/>
    <xf numFmtId="0" fontId="28" fillId="0" borderId="0" xfId="0" applyFont="1" applyFill="1"/>
    <xf numFmtId="0" fontId="0" fillId="0" borderId="3" xfId="0" applyBorder="1" applyAlignment="1">
      <alignment horizontal="center"/>
    </xf>
    <xf numFmtId="169" fontId="0" fillId="0" borderId="0" xfId="0" applyNumberFormat="1"/>
    <xf numFmtId="0" fontId="0" fillId="0" borderId="1" xfId="0" applyBorder="1"/>
    <xf numFmtId="0" fontId="3" fillId="0" borderId="1" xfId="0" applyFont="1" applyBorder="1" applyAlignment="1">
      <alignment horizontal="center"/>
    </xf>
    <xf numFmtId="169" fontId="0" fillId="0" borderId="0" xfId="0" applyNumberFormat="1" applyFill="1"/>
    <xf numFmtId="0" fontId="3" fillId="0" borderId="0" xfId="0" applyFont="1" applyBorder="1"/>
    <xf numFmtId="169" fontId="3" fillId="0" borderId="6" xfId="0" applyNumberFormat="1" applyFont="1" applyBorder="1"/>
    <xf numFmtId="0" fontId="3" fillId="0" borderId="1" xfId="0" applyFont="1" applyBorder="1"/>
    <xf numFmtId="0" fontId="0" fillId="0" borderId="0" xfId="0" applyBorder="1"/>
    <xf numFmtId="0" fontId="2" fillId="0" borderId="0" xfId="10"/>
    <xf numFmtId="0" fontId="11" fillId="0" borderId="0" xfId="10" applyFont="1"/>
    <xf numFmtId="0" fontId="2" fillId="0" borderId="0" xfId="10" applyAlignment="1">
      <alignment horizontal="left"/>
    </xf>
    <xf numFmtId="0" fontId="3" fillId="0" borderId="0" xfId="10" applyFont="1" applyAlignment="1">
      <alignment horizontal="center"/>
    </xf>
    <xf numFmtId="0" fontId="3" fillId="0" borderId="3" xfId="10" applyFont="1" applyBorder="1"/>
    <xf numFmtId="0" fontId="2" fillId="0" borderId="3" xfId="10" applyBorder="1"/>
    <xf numFmtId="0" fontId="3" fillId="0" borderId="3" xfId="10" applyFont="1" applyBorder="1" applyAlignment="1">
      <alignment horizontal="center"/>
    </xf>
    <xf numFmtId="0" fontId="3" fillId="7" borderId="8" xfId="10" applyFont="1" applyFill="1" applyBorder="1"/>
    <xf numFmtId="0" fontId="2" fillId="0" borderId="0" xfId="10" applyFill="1"/>
    <xf numFmtId="37" fontId="2" fillId="0" borderId="0" xfId="10" applyNumberFormat="1"/>
    <xf numFmtId="0" fontId="27" fillId="0" borderId="0" xfId="10" applyFont="1" applyAlignment="1">
      <alignment horizontal="left"/>
    </xf>
    <xf numFmtId="0" fontId="2" fillId="0" borderId="0" xfId="10" applyAlignment="1">
      <alignment horizontal="left" indent="1"/>
    </xf>
    <xf numFmtId="5" fontId="2" fillId="0" borderId="0" xfId="10" applyNumberFormat="1"/>
    <xf numFmtId="37" fontId="13" fillId="0" borderId="0" xfId="10" applyNumberFormat="1" applyFont="1"/>
    <xf numFmtId="37" fontId="3" fillId="0" borderId="0" xfId="10" applyNumberFormat="1" applyFont="1" applyAlignment="1">
      <alignment horizontal="center" vertical="center"/>
    </xf>
    <xf numFmtId="0" fontId="4" fillId="0" borderId="0" xfId="10" applyFont="1"/>
    <xf numFmtId="0" fontId="3" fillId="0" borderId="0" xfId="10" applyFont="1"/>
    <xf numFmtId="0" fontId="2" fillId="0" borderId="0" xfId="10" applyAlignment="1">
      <alignment horizontal="left" indent="2"/>
    </xf>
    <xf numFmtId="0" fontId="27" fillId="0" borderId="0" xfId="10" applyFont="1"/>
    <xf numFmtId="37" fontId="5" fillId="0" borderId="0" xfId="10" applyNumberFormat="1" applyFont="1"/>
    <xf numFmtId="10" fontId="2" fillId="0" borderId="0" xfId="11" applyNumberFormat="1"/>
    <xf numFmtId="167" fontId="2" fillId="0" borderId="0" xfId="10" applyNumberFormat="1"/>
    <xf numFmtId="0" fontId="3" fillId="0" borderId="0" xfId="10" applyFont="1" applyAlignment="1">
      <alignment horizontal="left" indent="1"/>
    </xf>
    <xf numFmtId="5" fontId="3" fillId="7" borderId="8" xfId="10" applyNumberFormat="1" applyFont="1" applyFill="1" applyBorder="1"/>
    <xf numFmtId="0" fontId="3" fillId="6" borderId="8" xfId="10" applyFont="1" applyFill="1" applyBorder="1"/>
    <xf numFmtId="37" fontId="15" fillId="6" borderId="9" xfId="10" applyNumberFormat="1" applyFont="1" applyFill="1" applyBorder="1"/>
    <xf numFmtId="37" fontId="15" fillId="6" borderId="8" xfId="10" applyNumberFormat="1" applyFont="1" applyFill="1" applyBorder="1"/>
    <xf numFmtId="37" fontId="15" fillId="6" borderId="10" xfId="10" applyNumberFormat="1" applyFont="1" applyFill="1" applyBorder="1"/>
    <xf numFmtId="0" fontId="2" fillId="5" borderId="0" xfId="10" applyFill="1"/>
    <xf numFmtId="37" fontId="3" fillId="0" borderId="0" xfId="10" applyNumberFormat="1" applyFont="1"/>
    <xf numFmtId="0" fontId="2" fillId="0" borderId="0" xfId="10" applyFont="1" applyAlignment="1">
      <alignment horizontal="left" indent="1"/>
    </xf>
    <xf numFmtId="0" fontId="2" fillId="0" borderId="0" xfId="10" applyFont="1"/>
    <xf numFmtId="0" fontId="4" fillId="0" borderId="0" xfId="0" applyFont="1" applyFill="1" applyAlignment="1">
      <alignment horizontal="center"/>
    </xf>
    <xf numFmtId="37" fontId="4" fillId="0" borderId="0" xfId="0" applyNumberFormat="1" applyFont="1" applyFill="1"/>
    <xf numFmtId="37" fontId="2" fillId="0" borderId="0" xfId="10" applyNumberFormat="1" applyFill="1"/>
    <xf numFmtId="37" fontId="5" fillId="0" borderId="0" xfId="10" applyNumberFormat="1" applyFont="1" applyFill="1"/>
    <xf numFmtId="5" fontId="2" fillId="0" borderId="0" xfId="10" applyNumberFormat="1" applyFill="1"/>
    <xf numFmtId="37" fontId="3" fillId="0" borderId="0" xfId="10" applyNumberFormat="1" applyFont="1" applyFill="1" applyAlignment="1">
      <alignment horizontal="center" vertical="center"/>
    </xf>
    <xf numFmtId="37" fontId="13" fillId="0" borderId="0" xfId="10" applyNumberFormat="1" applyFont="1" applyFill="1"/>
    <xf numFmtId="37" fontId="3" fillId="0" borderId="0" xfId="5" applyNumberFormat="1" applyFont="1" applyFill="1"/>
    <xf numFmtId="37" fontId="0" fillId="0" borderId="0" xfId="0" applyNumberFormat="1" applyFill="1" applyAlignment="1">
      <alignment horizontal="right" vertical="center"/>
    </xf>
    <xf numFmtId="37" fontId="10" fillId="0" borderId="0" xfId="0" applyNumberFormat="1" applyFont="1" applyFill="1" applyBorder="1"/>
    <xf numFmtId="37" fontId="4" fillId="0" borderId="0" xfId="0" applyNumberFormat="1" applyFont="1" applyFill="1" applyBorder="1"/>
    <xf numFmtId="0" fontId="2" fillId="0" borderId="0" xfId="0" applyFont="1"/>
    <xf numFmtId="0" fontId="2" fillId="0" borderId="0" xfId="0" applyFont="1" applyFill="1"/>
    <xf numFmtId="37" fontId="5" fillId="0" borderId="0" xfId="0" applyNumberFormat="1" applyFont="1" applyFill="1"/>
    <xf numFmtId="0" fontId="27" fillId="0" borderId="0" xfId="0" applyFont="1" applyFill="1"/>
    <xf numFmtId="37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24" fillId="0" borderId="0" xfId="0" applyFont="1" applyFill="1" applyAlignment="1">
      <alignment horizontal="center"/>
    </xf>
    <xf numFmtId="164" fontId="24" fillId="0" borderId="0" xfId="0" applyNumberFormat="1" applyFont="1" applyFill="1"/>
    <xf numFmtId="37" fontId="24" fillId="0" borderId="0" xfId="0" applyNumberFormat="1" applyFont="1" applyFill="1"/>
    <xf numFmtId="37" fontId="2" fillId="0" borderId="3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 applyAlignment="1">
      <alignment horizontal="left"/>
    </xf>
    <xf numFmtId="42" fontId="3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37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0" xfId="22" applyNumberFormat="1" applyFont="1" applyFill="1"/>
    <xf numFmtId="5" fontId="2" fillId="0" borderId="0" xfId="22" applyNumberFormat="1" applyFont="1" applyFill="1"/>
    <xf numFmtId="0" fontId="2" fillId="0" borderId="0" xfId="22" applyNumberFormat="1" applyFont="1" applyFill="1" applyAlignment="1">
      <alignment horizontal="center"/>
    </xf>
    <xf numFmtId="37" fontId="2" fillId="0" borderId="0" xfId="22" applyNumberFormat="1" applyFont="1" applyFill="1"/>
    <xf numFmtId="37" fontId="8" fillId="0" borderId="11" xfId="22" applyNumberFormat="1" applyFont="1" applyFill="1" applyBorder="1"/>
    <xf numFmtId="37" fontId="8" fillId="0" borderId="0" xfId="22" applyNumberFormat="1" applyFont="1" applyFill="1" applyBorder="1"/>
    <xf numFmtId="0" fontId="2" fillId="0" borderId="0" xfId="22" quotePrefix="1" applyNumberFormat="1" applyFont="1" applyFill="1" applyAlignment="1">
      <alignment horizontal="left"/>
    </xf>
    <xf numFmtId="0" fontId="2" fillId="0" borderId="0" xfId="22" applyNumberFormat="1" applyFont="1" applyFill="1" applyAlignment="1">
      <alignment horizontal="left"/>
    </xf>
    <xf numFmtId="0" fontId="2" fillId="0" borderId="0" xfId="22" quotePrefix="1" applyNumberFormat="1" applyFont="1" applyFill="1" applyAlignment="1">
      <alignment horizontal="center"/>
    </xf>
    <xf numFmtId="37" fontId="10" fillId="0" borderId="0" xfId="22" applyNumberFormat="1" applyFont="1" applyFill="1" applyBorder="1"/>
    <xf numFmtId="37" fontId="8" fillId="0" borderId="13" xfId="22" applyNumberFormat="1" applyFont="1" applyFill="1" applyBorder="1"/>
    <xf numFmtId="0" fontId="2" fillId="0" borderId="0" xfId="22" applyFont="1" applyFill="1"/>
    <xf numFmtId="0" fontId="2" fillId="0" borderId="0" xfId="22" applyNumberFormat="1" applyFont="1" applyFill="1" applyBorder="1"/>
    <xf numFmtId="0" fontId="2" fillId="0" borderId="0" xfId="22" applyNumberFormat="1" applyFont="1" applyFill="1" applyBorder="1" applyAlignment="1">
      <alignment horizontal="left"/>
    </xf>
    <xf numFmtId="0" fontId="2" fillId="0" borderId="0" xfId="22" quotePrefix="1" applyNumberFormat="1" applyFont="1" applyFill="1" applyBorder="1" applyAlignment="1">
      <alignment horizontal="left"/>
    </xf>
    <xf numFmtId="37" fontId="2" fillId="0" borderId="0" xfId="22" applyNumberFormat="1" applyFont="1" applyFill="1" applyBorder="1" applyAlignment="1">
      <alignment horizontal="center"/>
    </xf>
    <xf numFmtId="37" fontId="2" fillId="0" borderId="0" xfId="22" applyNumberFormat="1" applyFont="1" applyFill="1" applyBorder="1"/>
    <xf numFmtId="37" fontId="2" fillId="0" borderId="0" xfId="0" applyNumberFormat="1" applyFont="1" applyFill="1" applyAlignment="1">
      <alignment horizontal="center"/>
    </xf>
    <xf numFmtId="171" fontId="2" fillId="0" borderId="0" xfId="0" applyNumberFormat="1" applyFont="1" applyFill="1" applyBorder="1" applyAlignment="1" applyProtection="1">
      <alignment horizontal="left"/>
    </xf>
    <xf numFmtId="171" fontId="2" fillId="0" borderId="0" xfId="23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horizontal="center" vertical="center"/>
    </xf>
    <xf numFmtId="37" fontId="5" fillId="0" borderId="0" xfId="0" applyNumberFormat="1" applyFont="1" applyFill="1" applyAlignment="1">
      <alignment vertical="center"/>
    </xf>
    <xf numFmtId="170" fontId="2" fillId="0" borderId="0" xfId="2" applyNumberFormat="1" applyFont="1" applyFill="1"/>
    <xf numFmtId="0" fontId="2" fillId="0" borderId="0" xfId="0" applyFont="1" applyFill="1" applyBorder="1"/>
    <xf numFmtId="0" fontId="2" fillId="0" borderId="0" xfId="0" applyNumberFormat="1" applyFont="1" applyFill="1"/>
    <xf numFmtId="0" fontId="16" fillId="0" borderId="0" xfId="0" applyNumberFormat="1" applyFont="1" applyFill="1" applyAlignment="1">
      <alignment horizontal="center"/>
    </xf>
    <xf numFmtId="170" fontId="0" fillId="0" borderId="0" xfId="0" applyNumberFormat="1"/>
    <xf numFmtId="172" fontId="3" fillId="0" borderId="2" xfId="0" applyNumberFormat="1" applyFont="1" applyFill="1" applyBorder="1"/>
    <xf numFmtId="0" fontId="2" fillId="0" borderId="0" xfId="0" applyFont="1" applyBorder="1"/>
    <xf numFmtId="0" fontId="41" fillId="0" borderId="0" xfId="0" applyFont="1" applyFill="1"/>
    <xf numFmtId="37" fontId="3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right" wrapText="1"/>
    </xf>
    <xf numFmtId="0" fontId="0" fillId="0" borderId="0" xfId="0" applyFill="1" applyBorder="1"/>
    <xf numFmtId="0" fontId="43" fillId="0" borderId="0" xfId="0" applyFont="1" applyFill="1" applyBorder="1"/>
    <xf numFmtId="0" fontId="16" fillId="0" borderId="0" xfId="0" applyFont="1" applyFill="1" applyBorder="1"/>
    <xf numFmtId="170" fontId="44" fillId="0" borderId="0" xfId="2" quotePrefix="1" applyNumberFormat="1" applyFont="1" applyFill="1" applyBorder="1"/>
    <xf numFmtId="0" fontId="2" fillId="0" borderId="21" xfId="0" applyFont="1" applyFill="1" applyBorder="1" applyAlignment="1">
      <alignment horizontal="center" wrapText="1"/>
    </xf>
    <xf numFmtId="170" fontId="2" fillId="0" borderId="0" xfId="0" applyNumberFormat="1" applyFont="1" applyFill="1" applyBorder="1"/>
    <xf numFmtId="0" fontId="3" fillId="8" borderId="22" xfId="0" applyFont="1" applyFill="1" applyBorder="1" applyAlignment="1">
      <alignment horizontal="left"/>
    </xf>
    <xf numFmtId="0" fontId="3" fillId="8" borderId="23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0" fillId="0" borderId="17" xfId="0" applyBorder="1"/>
    <xf numFmtId="170" fontId="0" fillId="0" borderId="18" xfId="2" applyNumberFormat="1" applyFont="1" applyFill="1" applyBorder="1"/>
    <xf numFmtId="0" fontId="0" fillId="0" borderId="18" xfId="0" applyBorder="1"/>
    <xf numFmtId="0" fontId="2" fillId="0" borderId="17" xfId="0" applyFont="1" applyBorder="1"/>
    <xf numFmtId="0" fontId="2" fillId="0" borderId="17" xfId="0" applyFont="1" applyFill="1" applyBorder="1" applyAlignment="1">
      <alignment horizontal="left" indent="3"/>
    </xf>
    <xf numFmtId="170" fontId="2" fillId="0" borderId="0" xfId="2" applyNumberFormat="1" applyFont="1" applyFill="1" applyBorder="1"/>
    <xf numFmtId="0" fontId="2" fillId="0" borderId="17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centerContinuous"/>
    </xf>
    <xf numFmtId="37" fontId="3" fillId="0" borderId="0" xfId="0" applyNumberFormat="1" applyFont="1" applyFill="1" applyAlignment="1">
      <alignment horizontal="left" indent="1"/>
    </xf>
    <xf numFmtId="37" fontId="3" fillId="0" borderId="6" xfId="0" applyNumberFormat="1" applyFont="1" applyFill="1" applyBorder="1" applyAlignment="1">
      <alignment horizontal="left" indent="1"/>
    </xf>
    <xf numFmtId="0" fontId="0" fillId="0" borderId="0" xfId="0" applyFill="1" applyAlignment="1">
      <alignment horizontal="center"/>
    </xf>
    <xf numFmtId="0" fontId="0" fillId="0" borderId="1" xfId="0" applyFill="1" applyBorder="1"/>
    <xf numFmtId="169" fontId="2" fillId="0" borderId="0" xfId="6" applyNumberFormat="1" applyFill="1"/>
    <xf numFmtId="169" fontId="3" fillId="0" borderId="6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6" applyNumberFormat="1" applyFont="1" applyFill="1"/>
    <xf numFmtId="170" fontId="3" fillId="0" borderId="0" xfId="2" applyNumberFormat="1" applyFont="1" applyFill="1" applyBorder="1"/>
    <xf numFmtId="0" fontId="3" fillId="0" borderId="0" xfId="0" applyFont="1" applyFill="1" applyBorder="1"/>
    <xf numFmtId="170" fontId="2" fillId="0" borderId="0" xfId="3" applyNumberFormat="1" applyFont="1" applyFill="1"/>
    <xf numFmtId="170" fontId="0" fillId="0" borderId="0" xfId="2" applyNumberFormat="1" applyFont="1" applyFill="1"/>
    <xf numFmtId="0" fontId="0" fillId="0" borderId="21" xfId="0" applyFill="1" applyBorder="1" applyAlignment="1">
      <alignment horizontal="center" wrapText="1"/>
    </xf>
    <xf numFmtId="0" fontId="3" fillId="0" borderId="3" xfId="10" applyFont="1" applyFill="1" applyBorder="1" applyAlignment="1">
      <alignment horizontal="center"/>
    </xf>
    <xf numFmtId="0" fontId="3" fillId="0" borderId="17" xfId="0" applyFont="1" applyFill="1" applyBorder="1"/>
    <xf numFmtId="0" fontId="0" fillId="0" borderId="19" xfId="0" applyFill="1" applyBorder="1"/>
    <xf numFmtId="0" fontId="3" fillId="0" borderId="19" xfId="0" applyFont="1" applyFill="1" applyBorder="1"/>
    <xf numFmtId="0" fontId="3" fillId="0" borderId="14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27" fillId="0" borderId="14" xfId="0" applyFont="1" applyFill="1" applyBorder="1" applyAlignment="1">
      <alignment horizontal="left"/>
    </xf>
    <xf numFmtId="0" fontId="27" fillId="0" borderId="15" xfId="0" applyFont="1" applyFill="1" applyBorder="1" applyAlignment="1">
      <alignment horizontal="right"/>
    </xf>
    <xf numFmtId="0" fontId="27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3"/>
    </xf>
    <xf numFmtId="0" fontId="0" fillId="0" borderId="18" xfId="0" applyFill="1" applyBorder="1"/>
    <xf numFmtId="170" fontId="0" fillId="0" borderId="0" xfId="0" applyNumberFormat="1" applyFill="1" applyBorder="1"/>
    <xf numFmtId="0" fontId="2" fillId="0" borderId="3" xfId="0" applyFont="1" applyFill="1" applyBorder="1" applyAlignment="1">
      <alignment horizontal="left" indent="3"/>
    </xf>
    <xf numFmtId="0" fontId="23" fillId="0" borderId="0" xfId="0" applyFont="1" applyFill="1" applyBorder="1" applyAlignment="1">
      <alignment horizontal="center"/>
    </xf>
    <xf numFmtId="0" fontId="0" fillId="0" borderId="25" xfId="0" applyFill="1" applyBorder="1"/>
    <xf numFmtId="0" fontId="23" fillId="0" borderId="18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170" fontId="3" fillId="0" borderId="18" xfId="0" applyNumberFormat="1" applyFont="1" applyFill="1" applyBorder="1"/>
    <xf numFmtId="0" fontId="0" fillId="0" borderId="3" xfId="0" applyFill="1" applyBorder="1"/>
    <xf numFmtId="0" fontId="0" fillId="0" borderId="20" xfId="0" applyFill="1" applyBorder="1"/>
    <xf numFmtId="0" fontId="27" fillId="0" borderId="0" xfId="0" applyFont="1" applyFill="1" applyBorder="1" applyAlignment="1">
      <alignment horizontal="center"/>
    </xf>
    <xf numFmtId="0" fontId="3" fillId="0" borderId="18" xfId="0" applyFont="1" applyFill="1" applyBorder="1"/>
    <xf numFmtId="0" fontId="0" fillId="0" borderId="17" xfId="0" applyFill="1" applyBorder="1"/>
    <xf numFmtId="170" fontId="3" fillId="0" borderId="3" xfId="2" applyNumberFormat="1" applyFont="1" applyFill="1" applyBorder="1"/>
    <xf numFmtId="170" fontId="3" fillId="0" borderId="20" xfId="0" applyNumberFormat="1" applyFont="1" applyFill="1" applyBorder="1"/>
    <xf numFmtId="0" fontId="16" fillId="0" borderId="0" xfId="0" applyFont="1" applyFill="1"/>
    <xf numFmtId="0" fontId="36" fillId="0" borderId="0" xfId="0" applyFont="1" applyFill="1"/>
    <xf numFmtId="170" fontId="16" fillId="0" borderId="0" xfId="2" applyNumberFormat="1" applyFont="1" applyFill="1"/>
    <xf numFmtId="0" fontId="3" fillId="0" borderId="0" xfId="2" applyNumberFormat="1" applyFont="1" applyFill="1" applyBorder="1"/>
    <xf numFmtId="0" fontId="3" fillId="0" borderId="0" xfId="0" applyNumberFormat="1" applyFont="1" applyFill="1" applyBorder="1"/>
    <xf numFmtId="165" fontId="7" fillId="0" borderId="0" xfId="0" applyNumberFormat="1" applyFont="1" applyFill="1"/>
    <xf numFmtId="0" fontId="0" fillId="0" borderId="0" xfId="0" applyNumberFormat="1" applyFont="1" applyFill="1" applyBorder="1"/>
    <xf numFmtId="170" fontId="3" fillId="0" borderId="0" xfId="0" applyNumberFormat="1" applyFont="1" applyFill="1" applyBorder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37" fontId="3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37" fontId="2" fillId="0" borderId="2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vertical="center"/>
    </xf>
    <xf numFmtId="39" fontId="2" fillId="0" borderId="0" xfId="0" applyNumberFormat="1" applyFont="1" applyFill="1"/>
    <xf numFmtId="39" fontId="2" fillId="0" borderId="0" xfId="0" applyNumberFormat="1" applyFont="1" applyFill="1" applyAlignment="1">
      <alignment vertical="center"/>
    </xf>
    <xf numFmtId="37" fontId="2" fillId="0" borderId="0" xfId="0" applyNumberFormat="1" applyFont="1" applyFill="1" applyAlignment="1">
      <alignment horizontal="right" vertical="center"/>
    </xf>
    <xf numFmtId="37" fontId="2" fillId="0" borderId="0" xfId="0" applyNumberFormat="1" applyFont="1" applyFill="1" applyBorder="1" applyAlignment="1">
      <alignment vertical="center"/>
    </xf>
    <xf numFmtId="37" fontId="2" fillId="0" borderId="0" xfId="0" applyNumberFormat="1" applyFont="1" applyFill="1" applyAlignment="1">
      <alignment horizontal="right"/>
    </xf>
    <xf numFmtId="38" fontId="2" fillId="0" borderId="0" xfId="0" applyNumberFormat="1" applyFont="1" applyFill="1"/>
    <xf numFmtId="173" fontId="2" fillId="0" borderId="0" xfId="2" applyNumberFormat="1" applyFont="1" applyFill="1"/>
    <xf numFmtId="170" fontId="2" fillId="0" borderId="0" xfId="0" applyNumberFormat="1" applyFont="1" applyFill="1"/>
    <xf numFmtId="37" fontId="2" fillId="0" borderId="0" xfId="0" applyNumberFormat="1" applyFont="1" applyFill="1" applyAlignment="1">
      <alignment horizontal="center" vertical="center"/>
    </xf>
    <xf numFmtId="175" fontId="2" fillId="0" borderId="0" xfId="0" applyNumberFormat="1" applyFont="1" applyFill="1"/>
    <xf numFmtId="0" fontId="0" fillId="0" borderId="0" xfId="0" applyFill="1" applyBorder="1" applyAlignment="1">
      <alignment horizontal="center"/>
    </xf>
    <xf numFmtId="170" fontId="2" fillId="0" borderId="3" xfId="2" applyNumberFormat="1" applyFont="1" applyFill="1" applyBorder="1"/>
    <xf numFmtId="170" fontId="0" fillId="0" borderId="18" xfId="0" applyNumberFormat="1" applyFill="1" applyBorder="1"/>
    <xf numFmtId="0" fontId="0" fillId="0" borderId="17" xfId="0" applyFill="1" applyBorder="1" applyAlignment="1">
      <alignment horizontal="right"/>
    </xf>
    <xf numFmtId="170" fontId="0" fillId="0" borderId="25" xfId="0" applyNumberFormat="1" applyFill="1" applyBorder="1"/>
    <xf numFmtId="170" fontId="0" fillId="0" borderId="26" xfId="0" applyNumberFormat="1" applyFill="1" applyBorder="1"/>
    <xf numFmtId="10" fontId="5" fillId="0" borderId="0" xfId="0" applyNumberFormat="1" applyFont="1" applyFill="1"/>
    <xf numFmtId="0" fontId="4" fillId="0" borderId="0" xfId="0" applyFont="1" applyFill="1" applyAlignment="1"/>
    <xf numFmtId="165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37" fontId="3" fillId="0" borderId="0" xfId="0" applyNumberFormat="1" applyFont="1" applyFill="1" applyAlignment="1">
      <alignment horizontal="right"/>
    </xf>
    <xf numFmtId="17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0" quotePrefix="1" applyFont="1" applyFill="1"/>
    <xf numFmtId="0" fontId="14" fillId="0" borderId="0" xfId="0" applyFont="1" applyFill="1"/>
    <xf numFmtId="0" fontId="25" fillId="0" borderId="0" xfId="0" applyFont="1" applyFill="1"/>
    <xf numFmtId="37" fontId="3" fillId="0" borderId="6" xfId="6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170" fontId="39" fillId="0" borderId="0" xfId="2" applyNumberFormat="1" applyFont="1" applyFill="1" applyBorder="1"/>
    <xf numFmtId="170" fontId="39" fillId="0" borderId="0" xfId="2" quotePrefix="1" applyNumberFormat="1" applyFont="1" applyFill="1" applyBorder="1"/>
    <xf numFmtId="170" fontId="39" fillId="0" borderId="0" xfId="2" applyNumberFormat="1" applyFont="1" applyFill="1"/>
    <xf numFmtId="0" fontId="40" fillId="0" borderId="0" xfId="0" applyFont="1" applyFill="1" applyBorder="1"/>
    <xf numFmtId="0" fontId="45" fillId="0" borderId="0" xfId="0" applyFont="1" applyFill="1" applyBorder="1"/>
    <xf numFmtId="170" fontId="40" fillId="0" borderId="0" xfId="2" applyNumberFormat="1" applyFont="1" applyFill="1" applyBorder="1"/>
    <xf numFmtId="0" fontId="42" fillId="0" borderId="0" xfId="0" applyFont="1" applyFill="1" applyBorder="1"/>
    <xf numFmtId="0" fontId="41" fillId="0" borderId="0" xfId="0" applyFont="1" applyFill="1" applyBorder="1"/>
    <xf numFmtId="170" fontId="40" fillId="0" borderId="0" xfId="0" applyNumberFormat="1" applyFont="1" applyFill="1" applyBorder="1"/>
    <xf numFmtId="37" fontId="31" fillId="0" borderId="0" xfId="0" applyNumberFormat="1" applyFont="1" applyFill="1" applyBorder="1"/>
    <xf numFmtId="37" fontId="3" fillId="0" borderId="1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37" fontId="8" fillId="0" borderId="4" xfId="0" applyNumberFormat="1" applyFont="1" applyFill="1" applyBorder="1"/>
    <xf numFmtId="37" fontId="8" fillId="0" borderId="0" xfId="0" applyNumberFormat="1" applyFont="1" applyFill="1" applyBorder="1"/>
    <xf numFmtId="5" fontId="8" fillId="0" borderId="12" xfId="0" applyNumberFormat="1" applyFont="1" applyFill="1" applyBorder="1"/>
    <xf numFmtId="5" fontId="8" fillId="0" borderId="0" xfId="0" applyNumberFormat="1" applyFont="1" applyFill="1" applyBorder="1"/>
    <xf numFmtId="0" fontId="2" fillId="0" borderId="0" xfId="9" applyFont="1" applyFill="1"/>
    <xf numFmtId="5" fontId="8" fillId="0" borderId="5" xfId="0" applyNumberFormat="1" applyFont="1" applyFill="1" applyBorder="1"/>
    <xf numFmtId="0" fontId="4" fillId="0" borderId="0" xfId="0" applyFont="1" applyFill="1" applyAlignment="1">
      <alignment vertical="center"/>
    </xf>
    <xf numFmtId="0" fontId="4" fillId="0" borderId="0" xfId="0" applyNumberFormat="1" applyFont="1" applyFill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5" fontId="4" fillId="0" borderId="0" xfId="0" applyNumberFormat="1" applyFont="1" applyFill="1" applyBorder="1"/>
    <xf numFmtId="0" fontId="4" fillId="0" borderId="0" xfId="0" quotePrefix="1" applyNumberFormat="1" applyFont="1" applyFill="1" applyBorder="1" applyAlignment="1">
      <alignment horizontal="left"/>
    </xf>
    <xf numFmtId="0" fontId="9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7" fontId="0" fillId="0" borderId="0" xfId="0" applyNumberForma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7" fillId="0" borderId="0" xfId="0" applyFont="1" applyFill="1"/>
    <xf numFmtId="0" fontId="30" fillId="0" borderId="0" xfId="22" applyFont="1" applyFill="1" applyAlignment="1">
      <alignment horizontal="left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2" fillId="0" borderId="0" xfId="0" applyFont="1" applyFill="1"/>
    <xf numFmtId="0" fontId="33" fillId="0" borderId="0" xfId="0" applyFont="1" applyFill="1" applyAlignment="1">
      <alignment vertical="center"/>
    </xf>
    <xf numFmtId="37" fontId="2" fillId="0" borderId="0" xfId="0" applyNumberFormat="1" applyFont="1" applyFill="1" applyBorder="1"/>
    <xf numFmtId="37" fontId="34" fillId="0" borderId="0" xfId="0" applyNumberFormat="1" applyFont="1" applyFill="1"/>
    <xf numFmtId="37" fontId="33" fillId="0" borderId="0" xfId="0" applyNumberFormat="1" applyFont="1" applyFill="1"/>
    <xf numFmtId="0" fontId="11" fillId="0" borderId="0" xfId="0" applyFont="1" applyFill="1"/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9" fontId="0" fillId="0" borderId="0" xfId="11" applyFont="1" applyFill="1"/>
    <xf numFmtId="43" fontId="0" fillId="0" borderId="0" xfId="0" applyNumberFormat="1" applyFill="1"/>
    <xf numFmtId="0" fontId="0" fillId="0" borderId="0" xfId="11" applyNumberFormat="1" applyFont="1" applyFill="1"/>
    <xf numFmtId="176" fontId="47" fillId="0" borderId="17" xfId="0" applyNumberFormat="1" applyFont="1" applyFill="1" applyBorder="1"/>
    <xf numFmtId="170" fontId="0" fillId="0" borderId="0" xfId="2" applyNumberFormat="1" applyFont="1" applyFill="1" applyBorder="1"/>
    <xf numFmtId="0" fontId="2" fillId="0" borderId="0" xfId="10" applyFill="1" applyAlignment="1">
      <alignment horizontal="left" indent="1"/>
    </xf>
    <xf numFmtId="169" fontId="2" fillId="0" borderId="0" xfId="6" applyNumberFormat="1" applyFont="1" applyFill="1" applyAlignment="1">
      <alignment horizontal="right"/>
    </xf>
    <xf numFmtId="9" fontId="2" fillId="0" borderId="0" xfId="11" applyFill="1"/>
    <xf numFmtId="169" fontId="4" fillId="0" borderId="0" xfId="0" applyNumberFormat="1" applyFont="1" applyFill="1"/>
    <xf numFmtId="170" fontId="0" fillId="0" borderId="0" xfId="2" applyNumberFormat="1" applyFont="1" applyFill="1" applyBorder="1" applyAlignment="1">
      <alignment horizontal="right" wrapText="1"/>
    </xf>
    <xf numFmtId="14" fontId="0" fillId="0" borderId="0" xfId="0" applyNumberForma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37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0" fillId="0" borderId="0" xfId="22" applyFont="1" applyFill="1" applyAlignment="1">
      <alignment horizontal="left"/>
    </xf>
    <xf numFmtId="0" fontId="31" fillId="0" borderId="0" xfId="22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0" applyAlignment="1">
      <alignment horizontal="left"/>
    </xf>
    <xf numFmtId="0" fontId="3" fillId="0" borderId="0" xfId="10" applyFont="1" applyAlignment="1">
      <alignment horizontal="center"/>
    </xf>
    <xf numFmtId="0" fontId="2" fillId="0" borderId="0" xfId="10" applyAlignment="1">
      <alignment horizontal="center"/>
    </xf>
  </cellXfs>
  <cellStyles count="30">
    <cellStyle name="_x0013_" xfId="1"/>
    <cellStyle name="Comma" xfId="2" builtinId="3"/>
    <cellStyle name="Comma 2" xfId="3"/>
    <cellStyle name="Comma 3" xfId="29"/>
    <cellStyle name="Comma(1)" xfId="4"/>
    <cellStyle name="Comma_rev456" xfId="5"/>
    <cellStyle name="Currency" xfId="6" builtinId="4"/>
    <cellStyle name="Currency 2" xfId="24"/>
    <cellStyle name="Detail" xfId="7"/>
    <cellStyle name="Heading" xfId="8"/>
    <cellStyle name="Normal" xfId="0" builtinId="0"/>
    <cellStyle name="Normal 2" xfId="9"/>
    <cellStyle name="Normal 2 3" xfId="23"/>
    <cellStyle name="Normal 3" xfId="22"/>
    <cellStyle name="Normal 3 2" xfId="25"/>
    <cellStyle name="Normal 4" xfId="26"/>
    <cellStyle name="Normal 5" xfId="28"/>
    <cellStyle name="Normal_Linxwiler Blank OATT Formula Template 10-25-07 Revision 2" xfId="10"/>
    <cellStyle name="Percent" xfId="11" builtinId="5"/>
    <cellStyle name="Percent (0)" xfId="12"/>
    <cellStyle name="Percent 2" xfId="27"/>
    <cellStyle name="PSChar" xfId="13"/>
    <cellStyle name="PSDate" xfId="14"/>
    <cellStyle name="PSDec" xfId="15"/>
    <cellStyle name="PSHeading" xfId="16"/>
    <cellStyle name="PSInt" xfId="17"/>
    <cellStyle name="PSSpacer" xfId="18"/>
    <cellStyle name="robyn" xfId="19"/>
    <cellStyle name="Style 1" xfId="20"/>
    <cellStyle name="Tickmark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14</xdr:row>
      <xdr:rowOff>95250</xdr:rowOff>
    </xdr:from>
    <xdr:to>
      <xdr:col>11</xdr:col>
      <xdr:colOff>154190</xdr:colOff>
      <xdr:row>42</xdr:row>
      <xdr:rowOff>66675</xdr:rowOff>
    </xdr:to>
    <xdr:pic>
      <xdr:nvPicPr>
        <xdr:cNvPr id="32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2419350"/>
          <a:ext cx="5050040" cy="450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v%20GFF%20Database%20(FL)\Database\Nov%20GFF%20FL%20Database%20-%20Version%203%20with%20smoothed%20reg%20capaci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>
        <row r="68">
          <cell r="A68" t="str">
            <v>Florida Power Corporation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sion Tracking"/>
      <sheetName val="Analysis - Value Summary"/>
      <sheetName val="Analysis - Sensitivities"/>
      <sheetName val="Analysis - Capacity $"/>
      <sheetName val="Analysis - Capacity $kwm"/>
      <sheetName val="Port Value - Cust Summ"/>
      <sheetName val="Port Value - Annual"/>
      <sheetName val="Port Value - Monthly"/>
      <sheetName val="Customer Info"/>
      <sheetName val="MW &amp; MWh"/>
      <sheetName val="Capacity ECC"/>
      <sheetName val="Fuel by LF"/>
      <sheetName val="VOM by LF"/>
      <sheetName val="Emissions by LF"/>
      <sheetName val="Credit"/>
      <sheetName val="FERC Cap. &amp; Energy"/>
      <sheetName val="Negotiated Capacity Revenue"/>
      <sheetName val="Negotiated Fuel Revenue"/>
      <sheetName val="Negotiated VOM Revenue"/>
      <sheetName val="Retail Capacity Impact"/>
      <sheetName val="Retail Energy Impact"/>
      <sheetName val="Fuel Revenue by Contract"/>
      <sheetName val="CR-1 tariff"/>
      <sheetName val="Docum - Interrelationships"/>
      <sheetName val="Docum - Named Ranges"/>
      <sheetName val="Docum -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8.1563040000000003E-2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tabSelected="1" zoomScaleNormal="100" workbookViewId="0">
      <selection activeCell="J3" sqref="J3"/>
    </sheetView>
  </sheetViews>
  <sheetFormatPr defaultRowHeight="12.75"/>
  <cols>
    <col min="1" max="1" width="4.7109375" style="106" customWidth="1"/>
    <col min="2" max="2" width="2.7109375" style="106" customWidth="1"/>
    <col min="3" max="3" width="39.28515625" style="106" customWidth="1"/>
    <col min="4" max="4" width="14.85546875" style="106" bestFit="1" customWidth="1"/>
    <col min="5" max="5" width="2.7109375" style="106" customWidth="1"/>
    <col min="6" max="6" width="10.7109375" style="106" bestFit="1" customWidth="1"/>
    <col min="7" max="7" width="2.7109375" style="106" customWidth="1"/>
    <col min="8" max="8" width="4.140625" style="106" bestFit="1" customWidth="1"/>
    <col min="9" max="9" width="8.140625" style="106" bestFit="1" customWidth="1"/>
    <col min="10" max="10" width="2.7109375" style="106" customWidth="1"/>
    <col min="11" max="11" width="12.85546875" style="106" bestFit="1" customWidth="1"/>
    <col min="12" max="12" width="5.140625" style="106" customWidth="1"/>
    <col min="13" max="15" width="9.140625" style="106"/>
    <col min="16" max="16" width="10.42578125" style="106" customWidth="1"/>
    <col min="17" max="16384" width="9.140625" style="106"/>
  </cols>
  <sheetData>
    <row r="1" spans="1:17">
      <c r="O1" s="106" t="s">
        <v>502</v>
      </c>
      <c r="P1" s="106">
        <v>2012</v>
      </c>
      <c r="Q1" s="106" t="s">
        <v>503</v>
      </c>
    </row>
    <row r="2" spans="1:17">
      <c r="P2" s="106" t="str">
        <f>"12/31/"&amp;P1</f>
        <v>12/31/2012</v>
      </c>
      <c r="Q2" s="106" t="s">
        <v>504</v>
      </c>
    </row>
    <row r="3" spans="1:17">
      <c r="P3" s="106" t="str">
        <f>"12/31/"&amp;P1-1</f>
        <v>12/31/2011</v>
      </c>
      <c r="Q3" s="106" t="s">
        <v>505</v>
      </c>
    </row>
    <row r="4" spans="1:17" ht="15">
      <c r="J4" s="334" t="s">
        <v>907</v>
      </c>
      <c r="K4" s="334"/>
      <c r="L4" s="334"/>
    </row>
    <row r="5" spans="1:17" ht="15">
      <c r="J5" s="335" t="s">
        <v>219</v>
      </c>
      <c r="K5" s="335"/>
      <c r="L5" s="336"/>
    </row>
    <row r="6" spans="1:17">
      <c r="J6" s="337" t="str">
        <f>FF1_Year</f>
        <v>Year Ending 12/31/2012</v>
      </c>
      <c r="K6" s="337"/>
      <c r="L6" s="337"/>
    </row>
    <row r="8" spans="1:17">
      <c r="A8" s="338" t="s">
        <v>924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</row>
    <row r="9" spans="1:17">
      <c r="A9" s="338" t="s">
        <v>135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</row>
    <row r="10" spans="1:17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</row>
    <row r="11" spans="1:17">
      <c r="A11" s="338" t="s">
        <v>134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</row>
    <row r="12" spans="1:17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</row>
    <row r="13" spans="1:17">
      <c r="A13" s="20"/>
    </row>
    <row r="14" spans="1:17" ht="25.5">
      <c r="A14" s="229" t="s">
        <v>21</v>
      </c>
      <c r="B14" s="33"/>
      <c r="C14" s="120"/>
      <c r="D14" s="229" t="s">
        <v>4</v>
      </c>
      <c r="E14" s="229"/>
      <c r="F14" s="229" t="s">
        <v>22</v>
      </c>
      <c r="G14" s="229"/>
      <c r="H14" s="338" t="s">
        <v>23</v>
      </c>
      <c r="I14" s="338"/>
      <c r="J14" s="229"/>
      <c r="K14" s="34" t="s">
        <v>24</v>
      </c>
      <c r="L14" s="35"/>
    </row>
    <row r="15" spans="1:17">
      <c r="A15" s="20"/>
    </row>
    <row r="16" spans="1:17">
      <c r="A16" s="20">
        <v>1</v>
      </c>
      <c r="B16" s="8" t="s">
        <v>908</v>
      </c>
      <c r="D16" s="106" t="str">
        <f>"Page 3, Line "&amp;'DEF - 2 - Page 3 Rev Reqt'!A67</f>
        <v>Page 3, Line 35</v>
      </c>
      <c r="K16" s="9">
        <f>'DEF - 2 - Page 3 Rev Reqt'!K67</f>
        <v>263042431.44823465</v>
      </c>
    </row>
    <row r="17" spans="1:11">
      <c r="A17" s="236"/>
      <c r="B17" s="8"/>
      <c r="D17" s="20"/>
      <c r="E17" s="20"/>
      <c r="F17" s="9"/>
      <c r="H17" s="20"/>
      <c r="K17" s="106" t="str">
        <f>IF(ISNUMBER(I17),F17*I17,"")</f>
        <v/>
      </c>
    </row>
    <row r="18" spans="1:11">
      <c r="B18" s="8" t="s">
        <v>115</v>
      </c>
      <c r="D18" s="20"/>
      <c r="E18" s="20"/>
      <c r="F18" s="9"/>
      <c r="H18" s="20"/>
      <c r="I18" s="115"/>
      <c r="J18" s="115"/>
      <c r="K18" s="9"/>
    </row>
    <row r="19" spans="1:11">
      <c r="A19" s="20">
        <v>2</v>
      </c>
      <c r="B19" s="8"/>
      <c r="C19" s="106" t="s">
        <v>272</v>
      </c>
      <c r="D19" s="20" t="s">
        <v>909</v>
      </c>
      <c r="E19" s="20"/>
      <c r="F19" s="9">
        <f>'DEF - 3, p1, 454 Rev Credits'!$F$30</f>
        <v>4686921.9157666769</v>
      </c>
      <c r="H19" s="20" t="s">
        <v>55</v>
      </c>
      <c r="I19" s="115">
        <v>1</v>
      </c>
      <c r="J19" s="115"/>
      <c r="K19" s="9">
        <f>IF(ISNUMBER(I19),F19*I19,"")</f>
        <v>4686921.9157666769</v>
      </c>
    </row>
    <row r="20" spans="1:11" ht="13.5" thickBot="1">
      <c r="A20" s="20">
        <v>3</v>
      </c>
      <c r="B20" s="8"/>
      <c r="C20" s="106" t="s">
        <v>271</v>
      </c>
      <c r="D20" s="20" t="s">
        <v>909</v>
      </c>
      <c r="E20" s="20"/>
      <c r="F20" s="9">
        <f>'DEF - 3,  p2, 456 Rev Credits'!G93</f>
        <v>259534.6554674806</v>
      </c>
      <c r="H20" s="20" t="s">
        <v>55</v>
      </c>
      <c r="I20" s="115">
        <v>1</v>
      </c>
      <c r="J20" s="115"/>
      <c r="K20" s="9">
        <f>IF(ISNUMBER(I20),F20*I20,"")</f>
        <v>259534.6554674806</v>
      </c>
    </row>
    <row r="21" spans="1:11" ht="15" customHeight="1" thickTop="1">
      <c r="A21" s="20">
        <v>4</v>
      </c>
      <c r="B21" s="8" t="s">
        <v>108</v>
      </c>
      <c r="D21" s="20"/>
      <c r="E21" s="20"/>
      <c r="F21" s="237">
        <f>SUM(F17:F20)</f>
        <v>4946456.5712341573</v>
      </c>
      <c r="H21" s="20"/>
      <c r="I21" s="115"/>
      <c r="J21" s="115"/>
      <c r="K21" s="237">
        <f>SUM(K17:K20)</f>
        <v>4946456.5712341573</v>
      </c>
    </row>
    <row r="22" spans="1:11">
      <c r="A22" s="20"/>
      <c r="B22" s="8"/>
      <c r="D22" s="20"/>
      <c r="E22" s="20"/>
      <c r="H22" s="20"/>
    </row>
    <row r="23" spans="1:11">
      <c r="A23" s="20">
        <v>5</v>
      </c>
      <c r="B23" s="8" t="s">
        <v>265</v>
      </c>
      <c r="D23" s="20"/>
      <c r="E23" s="20"/>
      <c r="F23" s="9"/>
      <c r="H23" s="20"/>
      <c r="K23" s="9">
        <v>0</v>
      </c>
    </row>
    <row r="24" spans="1:11">
      <c r="A24" s="20"/>
      <c r="B24" s="8"/>
      <c r="D24" s="20"/>
      <c r="E24" s="20"/>
      <c r="H24" s="20"/>
    </row>
    <row r="25" spans="1:11">
      <c r="A25" s="20">
        <f>A23+1</f>
        <v>6</v>
      </c>
      <c r="B25" s="8" t="s">
        <v>295</v>
      </c>
      <c r="D25" s="20"/>
      <c r="E25" s="20"/>
      <c r="H25" s="20"/>
      <c r="K25" s="9">
        <v>0</v>
      </c>
    </row>
    <row r="26" spans="1:11">
      <c r="A26" s="20"/>
      <c r="B26" s="8"/>
      <c r="D26" s="20"/>
      <c r="E26" s="20"/>
      <c r="H26" s="20"/>
    </row>
    <row r="27" spans="1:11">
      <c r="A27" s="20">
        <f>+A25+1</f>
        <v>7</v>
      </c>
      <c r="B27" s="8" t="s">
        <v>368</v>
      </c>
      <c r="D27" s="20"/>
      <c r="E27" s="20"/>
      <c r="H27" s="20"/>
      <c r="K27" s="9">
        <f>K16-K21+K23+K25</f>
        <v>258095974.87700048</v>
      </c>
    </row>
    <row r="28" spans="1:11">
      <c r="A28" s="20"/>
      <c r="B28" s="8"/>
      <c r="D28" s="20"/>
      <c r="E28" s="20"/>
      <c r="H28" s="20"/>
    </row>
    <row r="29" spans="1:11" ht="30" customHeight="1">
      <c r="A29" s="143">
        <f>A27+1</f>
        <v>8</v>
      </c>
      <c r="B29" s="339" t="s">
        <v>240</v>
      </c>
      <c r="C29" s="340"/>
      <c r="D29" s="143" t="str">
        <f>"p.5, line "&amp;'DEF - 2 - Page 5 Storm, Notes'!B36&amp;" Total"</f>
        <v>p.5, line 15 Total</v>
      </c>
      <c r="E29" s="143"/>
      <c r="F29" s="120"/>
      <c r="G29" s="120"/>
      <c r="H29" s="143"/>
      <c r="I29" s="120"/>
      <c r="J29" s="120"/>
      <c r="K29" s="121">
        <f>+'DEF - 2 - Page 5 Storm, Notes'!F36</f>
        <v>121517.89964155908</v>
      </c>
    </row>
    <row r="30" spans="1:11">
      <c r="A30" s="20"/>
      <c r="B30" s="8"/>
      <c r="D30" s="20"/>
      <c r="E30" s="20"/>
      <c r="F30" s="9"/>
      <c r="H30" s="20"/>
    </row>
    <row r="31" spans="1:11">
      <c r="A31" s="20">
        <f>A29+1</f>
        <v>9</v>
      </c>
      <c r="B31" s="8" t="s">
        <v>117</v>
      </c>
      <c r="D31" s="20" t="str">
        <f>"Line "&amp;A27&amp;" / Line "&amp;A29</f>
        <v>Line 7 / Line 8</v>
      </c>
      <c r="E31" s="20"/>
      <c r="F31" s="9"/>
      <c r="H31" s="20"/>
      <c r="K31" s="9">
        <f>IF(K29&lt;&gt;0,K27/K29,0)</f>
        <v>2123.9338043062403</v>
      </c>
    </row>
    <row r="32" spans="1:11" ht="13.5" thickBot="1">
      <c r="A32" s="20">
        <f>A31+1</f>
        <v>10</v>
      </c>
      <c r="B32" s="8" t="s">
        <v>109</v>
      </c>
      <c r="D32" s="20" t="str">
        <f>"Page 5, Line "&amp;'DEF - 2 - Page 5 Storm, Notes'!B28</f>
        <v>Page 5, Line 9</v>
      </c>
      <c r="E32" s="20"/>
      <c r="F32" s="9"/>
      <c r="H32" s="20"/>
      <c r="K32" s="9">
        <v>0</v>
      </c>
    </row>
    <row r="33" spans="1:11" ht="13.5" thickTop="1">
      <c r="A33" s="20">
        <f>A32+1</f>
        <v>11</v>
      </c>
      <c r="B33" s="8" t="s">
        <v>197</v>
      </c>
      <c r="D33" s="20" t="str">
        <f>"Line "&amp;A31&amp;" + Line "&amp;A32</f>
        <v>Line 9 + Line 10</v>
      </c>
      <c r="E33" s="20"/>
      <c r="F33" s="238"/>
      <c r="G33" s="238"/>
      <c r="H33" s="239"/>
      <c r="I33" s="238"/>
      <c r="J33" s="115"/>
      <c r="K33" s="237">
        <f>IF(K31&lt;&gt;0,K31+K32,0)</f>
        <v>2123.9338043062403</v>
      </c>
    </row>
    <row r="34" spans="1:11" ht="7.5" customHeight="1">
      <c r="A34" s="20"/>
      <c r="B34" s="8"/>
      <c r="D34" s="20"/>
      <c r="E34" s="20"/>
      <c r="H34" s="20"/>
      <c r="K34" s="9"/>
    </row>
    <row r="35" spans="1:11" ht="25.5" customHeight="1">
      <c r="A35" s="143">
        <f>A33+1</f>
        <v>12</v>
      </c>
      <c r="B35" s="339" t="s">
        <v>116</v>
      </c>
      <c r="C35" s="340"/>
      <c r="D35" s="143" t="str">
        <f>"Line "&amp;A33&amp;" * 12"</f>
        <v>Line 11 * 12</v>
      </c>
      <c r="E35" s="143"/>
      <c r="F35" s="121"/>
      <c r="G35" s="120"/>
      <c r="H35" s="143"/>
      <c r="I35" s="240"/>
      <c r="J35" s="120"/>
      <c r="K35" s="121">
        <f>K33*12</f>
        <v>25487.205651674885</v>
      </c>
    </row>
    <row r="36" spans="1:11">
      <c r="A36" s="20"/>
      <c r="B36" s="8"/>
      <c r="D36" s="20"/>
      <c r="E36" s="20"/>
      <c r="H36" s="20"/>
      <c r="K36" s="9"/>
    </row>
    <row r="37" spans="1:11">
      <c r="A37" s="20">
        <f>A35+1</f>
        <v>13</v>
      </c>
      <c r="B37" s="8" t="s">
        <v>196</v>
      </c>
      <c r="D37" s="20" t="str">
        <f>"Line "&amp;A35&amp;" / 52"</f>
        <v>Line 12 / 52</v>
      </c>
      <c r="E37" s="20"/>
      <c r="F37" s="9"/>
      <c r="H37" s="20"/>
      <c r="K37" s="241">
        <f>K35/52</f>
        <v>490.13857022451703</v>
      </c>
    </row>
    <row r="38" spans="1:11">
      <c r="A38" s="20"/>
      <c r="B38" s="8"/>
      <c r="H38" s="20"/>
      <c r="K38" s="241"/>
    </row>
    <row r="39" spans="1:11">
      <c r="A39" s="20"/>
      <c r="B39" s="8" t="s">
        <v>195</v>
      </c>
      <c r="H39" s="20"/>
      <c r="K39" s="241"/>
    </row>
    <row r="40" spans="1:11" ht="12.75" customHeight="1">
      <c r="A40" s="143">
        <f>A37+1</f>
        <v>14</v>
      </c>
      <c r="B40" s="229"/>
      <c r="C40" s="22" t="s">
        <v>110</v>
      </c>
      <c r="D40" s="20" t="str">
        <f>"Line "&amp;A37&amp;" / 5"</f>
        <v>Line 13 / 5</v>
      </c>
      <c r="E40" s="143"/>
      <c r="F40" s="120"/>
      <c r="G40" s="120"/>
      <c r="H40" s="143"/>
      <c r="I40" s="120"/>
      <c r="J40" s="120"/>
      <c r="K40" s="242">
        <f>K37/5</f>
        <v>98.027714044903405</v>
      </c>
    </row>
    <row r="41" spans="1:11">
      <c r="A41" s="20">
        <f>A40+1</f>
        <v>15</v>
      </c>
      <c r="B41" s="8"/>
      <c r="C41" s="106" t="s">
        <v>111</v>
      </c>
      <c r="D41" s="20" t="str">
        <f>"Line "&amp;A37&amp;" / 7"</f>
        <v>Line 13 / 7</v>
      </c>
      <c r="E41" s="143"/>
      <c r="F41" s="120"/>
      <c r="G41" s="120"/>
      <c r="H41" s="143"/>
      <c r="I41" s="120"/>
      <c r="J41" s="120"/>
      <c r="K41" s="242">
        <f>K37/7</f>
        <v>70.019795746359577</v>
      </c>
    </row>
    <row r="42" spans="1:11">
      <c r="B42" s="8"/>
      <c r="K42" s="241"/>
    </row>
    <row r="43" spans="1:11">
      <c r="B43" s="8" t="s">
        <v>114</v>
      </c>
      <c r="K43" s="241"/>
    </row>
    <row r="44" spans="1:11">
      <c r="A44" s="143">
        <f>A41+1</f>
        <v>16</v>
      </c>
      <c r="B44" s="229"/>
      <c r="C44" s="22" t="s">
        <v>112</v>
      </c>
      <c r="D44" s="20" t="str">
        <f>"Line "&amp;A40&amp;" / 16"</f>
        <v>Line 14 / 16</v>
      </c>
      <c r="E44" s="143"/>
      <c r="F44" s="120"/>
      <c r="G44" s="120"/>
      <c r="H44" s="143"/>
      <c r="I44" s="120"/>
      <c r="J44" s="120"/>
      <c r="K44" s="242">
        <f>K40/16</f>
        <v>6.1267321278064628</v>
      </c>
    </row>
    <row r="45" spans="1:11">
      <c r="A45" s="20">
        <f>A44+1</f>
        <v>17</v>
      </c>
      <c r="B45" s="8"/>
      <c r="C45" s="106" t="s">
        <v>113</v>
      </c>
      <c r="D45" s="20" t="str">
        <f>"Line "&amp;A41&amp;" / 24"</f>
        <v>Line 15 / 24</v>
      </c>
      <c r="E45" s="143"/>
      <c r="F45" s="120"/>
      <c r="G45" s="120"/>
      <c r="H45" s="143"/>
      <c r="I45" s="120"/>
      <c r="J45" s="120"/>
      <c r="K45" s="242">
        <f>K41/24</f>
        <v>2.917491489431649</v>
      </c>
    </row>
    <row r="46" spans="1:11">
      <c r="B46" s="8"/>
    </row>
    <row r="47" spans="1:11">
      <c r="B47" s="8"/>
    </row>
    <row r="48" spans="1:11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</sheetData>
  <mergeCells count="9">
    <mergeCell ref="J4:L4"/>
    <mergeCell ref="J5:L5"/>
    <mergeCell ref="J6:L6"/>
    <mergeCell ref="H14:I14"/>
    <mergeCell ref="B35:C35"/>
    <mergeCell ref="B29:C29"/>
    <mergeCell ref="A8:L8"/>
    <mergeCell ref="A9:L9"/>
    <mergeCell ref="A11:L11"/>
  </mergeCells>
  <phoneticPr fontId="0" type="noConversion"/>
  <printOptions horizontalCentered="1"/>
  <pageMargins left="0.5" right="0.5" top="0.5" bottom="0.5" header="0.5" footer="0.5"/>
  <pageSetup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80"/>
  <sheetViews>
    <sheetView workbookViewId="0"/>
  </sheetViews>
  <sheetFormatPr defaultColWidth="9.140625" defaultRowHeight="12.75"/>
  <cols>
    <col min="1" max="1" width="5.7109375" style="106" customWidth="1"/>
    <col min="2" max="2" width="18.7109375" style="106" customWidth="1"/>
    <col min="3" max="3" width="9.140625" style="106"/>
    <col min="4" max="4" width="4.7109375" style="106" customWidth="1"/>
    <col min="5" max="5" width="15.7109375" style="106" customWidth="1"/>
    <col min="6" max="6" width="4.7109375" style="106" customWidth="1"/>
    <col min="7" max="7" width="15.7109375" style="106" customWidth="1"/>
    <col min="8" max="8" width="4.7109375" style="106" customWidth="1"/>
    <col min="9" max="9" width="15.7109375" style="106" customWidth="1"/>
    <col min="10" max="10" width="5.7109375" style="106" customWidth="1"/>
    <col min="11" max="16384" width="9.140625" style="106"/>
  </cols>
  <sheetData>
    <row r="1" spans="1:10" ht="15">
      <c r="I1" s="335" t="s">
        <v>912</v>
      </c>
      <c r="J1" s="335"/>
    </row>
    <row r="2" spans="1:10" ht="15">
      <c r="I2" s="234" t="s">
        <v>373</v>
      </c>
      <c r="J2" s="234"/>
    </row>
    <row r="3" spans="1:10">
      <c r="I3" s="337" t="str">
        <f>FF1_Year</f>
        <v>Year Ending 12/31/2012</v>
      </c>
      <c r="J3" s="337"/>
    </row>
    <row r="4" spans="1:10" ht="24.75" customHeight="1"/>
    <row r="5" spans="1:10">
      <c r="A5" s="338" t="s">
        <v>924</v>
      </c>
      <c r="B5" s="338"/>
      <c r="C5" s="338"/>
      <c r="D5" s="338"/>
      <c r="E5" s="338"/>
      <c r="F5" s="338"/>
      <c r="G5" s="338"/>
      <c r="H5" s="338"/>
      <c r="I5" s="338"/>
      <c r="J5" s="338"/>
    </row>
    <row r="6" spans="1:10">
      <c r="A6" s="343" t="s">
        <v>153</v>
      </c>
      <c r="B6" s="343"/>
      <c r="C6" s="343"/>
      <c r="D6" s="343"/>
      <c r="E6" s="343"/>
      <c r="F6" s="343"/>
      <c r="G6" s="343"/>
      <c r="H6" s="343"/>
      <c r="I6" s="343"/>
      <c r="J6" s="343"/>
    </row>
    <row r="7" spans="1:10" ht="17.25" customHeight="1"/>
    <row r="8" spans="1:10" ht="17.25" customHeight="1">
      <c r="B8" s="147"/>
      <c r="C8" s="147"/>
      <c r="D8" s="147"/>
      <c r="E8" s="147"/>
      <c r="F8" s="147"/>
      <c r="G8" s="147"/>
      <c r="H8" s="147"/>
      <c r="I8" s="147"/>
      <c r="J8" s="147"/>
    </row>
    <row r="9" spans="1:10">
      <c r="B9" s="147"/>
      <c r="C9" s="147"/>
      <c r="D9" s="147"/>
      <c r="E9" s="282" t="s">
        <v>140</v>
      </c>
      <c r="F9" s="282"/>
      <c r="G9" s="282"/>
      <c r="H9" s="282"/>
      <c r="I9" s="147"/>
      <c r="J9" s="147"/>
    </row>
    <row r="10" spans="1:10">
      <c r="B10" s="283" t="s">
        <v>141</v>
      </c>
      <c r="C10" s="284" t="s">
        <v>210</v>
      </c>
      <c r="D10" s="147"/>
      <c r="E10" s="285" t="s">
        <v>209</v>
      </c>
      <c r="F10" s="156"/>
      <c r="G10" s="286" t="s">
        <v>142</v>
      </c>
      <c r="H10" s="286"/>
      <c r="I10" s="286" t="s">
        <v>152</v>
      </c>
    </row>
    <row r="11" spans="1:10">
      <c r="B11" s="283"/>
      <c r="C11" s="284"/>
      <c r="D11" s="147"/>
      <c r="E11" s="156"/>
      <c r="F11" s="156"/>
      <c r="G11" s="156"/>
      <c r="H11" s="156"/>
      <c r="I11" s="156"/>
    </row>
    <row r="12" spans="1:10">
      <c r="B12" s="123" t="s">
        <v>151</v>
      </c>
      <c r="C12" s="123" t="s">
        <v>734</v>
      </c>
      <c r="D12" s="123"/>
      <c r="E12" s="125" t="s">
        <v>715</v>
      </c>
      <c r="F12" s="291"/>
      <c r="G12" s="145">
        <v>963490.78</v>
      </c>
      <c r="H12" s="126"/>
      <c r="I12" s="125">
        <v>1992</v>
      </c>
    </row>
    <row r="13" spans="1:10">
      <c r="B13" s="123"/>
      <c r="C13" s="123"/>
      <c r="D13" s="123"/>
      <c r="E13" s="125"/>
      <c r="F13" s="123"/>
      <c r="G13" s="126">
        <v>569297.26</v>
      </c>
      <c r="H13" s="126"/>
      <c r="I13" s="125">
        <v>2010</v>
      </c>
    </row>
    <row r="14" spans="1:10">
      <c r="B14" s="123"/>
      <c r="C14" s="123"/>
      <c r="D14" s="123"/>
      <c r="E14" s="125"/>
      <c r="F14" s="123"/>
      <c r="G14" s="126">
        <v>3046800</v>
      </c>
      <c r="H14" s="126"/>
      <c r="I14" s="125">
        <v>2012</v>
      </c>
    </row>
    <row r="15" spans="1:10">
      <c r="B15" s="123"/>
      <c r="C15" s="123" t="s">
        <v>735</v>
      </c>
      <c r="D15" s="123"/>
      <c r="E15" s="131" t="s">
        <v>717</v>
      </c>
      <c r="F15" s="129"/>
      <c r="G15" s="126">
        <v>541256</v>
      </c>
      <c r="H15" s="126"/>
      <c r="I15" s="125">
        <v>1969</v>
      </c>
    </row>
    <row r="16" spans="1:10">
      <c r="B16" s="123"/>
      <c r="C16" s="123"/>
      <c r="D16" s="123"/>
      <c r="E16" s="131"/>
      <c r="F16" s="129"/>
      <c r="G16" s="126">
        <v>2905468.47</v>
      </c>
      <c r="H16" s="126"/>
      <c r="I16" s="125">
        <v>2002</v>
      </c>
    </row>
    <row r="17" spans="2:9">
      <c r="B17" s="123"/>
      <c r="C17" s="123" t="s">
        <v>711</v>
      </c>
      <c r="D17" s="123"/>
      <c r="E17" s="131" t="s">
        <v>737</v>
      </c>
      <c r="F17" s="129"/>
      <c r="G17" s="126">
        <v>1651208.9</v>
      </c>
      <c r="H17" s="126"/>
      <c r="I17" s="125">
        <v>1982</v>
      </c>
    </row>
    <row r="18" spans="2:9">
      <c r="B18" s="123"/>
      <c r="C18" s="123"/>
      <c r="D18" s="123"/>
      <c r="E18" s="131"/>
      <c r="F18" s="129"/>
      <c r="G18" s="126">
        <v>145500</v>
      </c>
      <c r="H18" s="126"/>
      <c r="I18" s="125">
        <v>1998</v>
      </c>
    </row>
    <row r="19" spans="2:9">
      <c r="B19" s="123"/>
      <c r="C19" s="123"/>
      <c r="D19" s="123"/>
      <c r="E19" s="131"/>
      <c r="F19" s="129"/>
      <c r="G19" s="126">
        <v>6319937</v>
      </c>
      <c r="H19" s="126"/>
      <c r="I19" s="125">
        <v>2012</v>
      </c>
    </row>
    <row r="20" spans="2:9">
      <c r="B20" s="123"/>
      <c r="C20" s="123" t="s">
        <v>712</v>
      </c>
      <c r="D20" s="123"/>
      <c r="E20" s="131" t="s">
        <v>738</v>
      </c>
      <c r="F20" s="129"/>
      <c r="G20" s="126">
        <v>887077</v>
      </c>
      <c r="H20" s="126"/>
      <c r="I20" s="125">
        <v>1984</v>
      </c>
    </row>
    <row r="21" spans="2:9">
      <c r="B21" s="123"/>
      <c r="C21" s="123"/>
      <c r="D21" s="123"/>
      <c r="E21" s="125"/>
      <c r="F21" s="123"/>
      <c r="G21" s="126">
        <v>11682</v>
      </c>
      <c r="H21" s="126"/>
      <c r="I21" s="125">
        <v>1997</v>
      </c>
    </row>
    <row r="22" spans="2:9">
      <c r="B22" s="123"/>
      <c r="C22" s="123"/>
      <c r="D22" s="123"/>
      <c r="E22" s="125" t="s">
        <v>713</v>
      </c>
      <c r="F22" s="123"/>
      <c r="G22" s="126">
        <v>3430323</v>
      </c>
      <c r="H22" s="126"/>
      <c r="I22" s="125">
        <v>1998</v>
      </c>
    </row>
    <row r="23" spans="2:9">
      <c r="B23" s="123"/>
      <c r="C23" s="123"/>
      <c r="D23" s="123"/>
      <c r="E23" s="125"/>
      <c r="F23" s="123"/>
      <c r="G23" s="127">
        <f>SUM(G12:G22)</f>
        <v>20472040.41</v>
      </c>
      <c r="H23" s="128"/>
      <c r="I23" s="125"/>
    </row>
    <row r="24" spans="2:9">
      <c r="B24" s="123"/>
      <c r="C24" s="123"/>
      <c r="D24" s="123"/>
      <c r="E24" s="125"/>
      <c r="F24" s="123"/>
      <c r="G24" s="126"/>
      <c r="H24" s="126"/>
      <c r="I24" s="125"/>
    </row>
    <row r="25" spans="2:9">
      <c r="B25" s="123" t="s">
        <v>739</v>
      </c>
      <c r="C25" s="123" t="s">
        <v>740</v>
      </c>
      <c r="D25" s="123"/>
      <c r="E25" s="125" t="s">
        <v>715</v>
      </c>
      <c r="F25" s="123"/>
      <c r="G25" s="126">
        <v>509319.35</v>
      </c>
      <c r="H25" s="126"/>
      <c r="I25" s="125">
        <v>1974</v>
      </c>
    </row>
    <row r="26" spans="2:9">
      <c r="B26" s="123"/>
      <c r="C26" s="123"/>
      <c r="D26" s="123"/>
      <c r="E26" s="125"/>
      <c r="F26" s="123"/>
      <c r="G26" s="126">
        <v>15319</v>
      </c>
      <c r="H26" s="126"/>
      <c r="I26" s="125">
        <v>1984</v>
      </c>
    </row>
    <row r="27" spans="2:9">
      <c r="B27" s="123"/>
      <c r="C27" s="123"/>
      <c r="D27" s="123"/>
      <c r="E27" s="125"/>
      <c r="F27" s="123"/>
      <c r="G27" s="126">
        <v>149851</v>
      </c>
      <c r="H27" s="126"/>
      <c r="I27" s="125">
        <v>1992</v>
      </c>
    </row>
    <row r="28" spans="2:9">
      <c r="B28" s="123"/>
      <c r="C28" s="123"/>
      <c r="D28" s="123"/>
      <c r="E28" s="125"/>
      <c r="F28" s="123"/>
      <c r="G28" s="126">
        <v>566429.68999999994</v>
      </c>
      <c r="H28" s="126"/>
      <c r="I28" s="125">
        <v>2008</v>
      </c>
    </row>
    <row r="29" spans="2:9">
      <c r="B29" s="123"/>
      <c r="C29" s="123" t="s">
        <v>735</v>
      </c>
      <c r="D29" s="123"/>
      <c r="E29" s="125" t="s">
        <v>717</v>
      </c>
      <c r="F29" s="123"/>
      <c r="G29" s="126">
        <v>477904</v>
      </c>
      <c r="H29" s="126"/>
      <c r="I29" s="125">
        <v>1981</v>
      </c>
    </row>
    <row r="30" spans="2:9">
      <c r="B30" s="123"/>
      <c r="C30" s="123"/>
      <c r="D30" s="123"/>
      <c r="E30" s="125"/>
      <c r="F30" s="123"/>
      <c r="G30" s="126">
        <v>479418</v>
      </c>
      <c r="H30" s="126"/>
      <c r="I30" s="125">
        <v>1981</v>
      </c>
    </row>
    <row r="31" spans="2:9">
      <c r="B31" s="123"/>
      <c r="C31" s="123"/>
      <c r="D31" s="123"/>
      <c r="E31" s="125"/>
      <c r="F31" s="123"/>
      <c r="G31" s="127">
        <f>SUM(G25:G30)</f>
        <v>2198241.04</v>
      </c>
      <c r="H31" s="128"/>
      <c r="I31" s="125"/>
    </row>
    <row r="32" spans="2:9">
      <c r="B32" s="123"/>
      <c r="C32" s="123"/>
      <c r="D32" s="123"/>
      <c r="E32" s="125"/>
      <c r="F32" s="123"/>
      <c r="G32" s="126"/>
      <c r="H32" s="126"/>
      <c r="I32" s="125"/>
    </row>
    <row r="33" spans="2:9">
      <c r="B33" s="123" t="s">
        <v>741</v>
      </c>
      <c r="C33" s="123" t="s">
        <v>740</v>
      </c>
      <c r="D33" s="123"/>
      <c r="E33" s="125" t="s">
        <v>701</v>
      </c>
      <c r="F33" s="123"/>
      <c r="G33" s="126">
        <v>364638</v>
      </c>
      <c r="H33" s="126"/>
      <c r="I33" s="125">
        <v>1975</v>
      </c>
    </row>
    <row r="34" spans="2:9">
      <c r="B34" s="123"/>
      <c r="C34" s="123" t="s">
        <v>735</v>
      </c>
      <c r="D34" s="123"/>
      <c r="E34" s="131" t="s">
        <v>742</v>
      </c>
      <c r="F34" s="129"/>
      <c r="G34" s="126">
        <v>364638</v>
      </c>
      <c r="H34" s="126"/>
      <c r="I34" s="125">
        <v>1975</v>
      </c>
    </row>
    <row r="35" spans="2:9">
      <c r="B35" s="123"/>
      <c r="C35" s="123" t="s">
        <v>736</v>
      </c>
      <c r="D35" s="123"/>
      <c r="E35" s="131" t="s">
        <v>743</v>
      </c>
      <c r="F35" s="129"/>
      <c r="G35" s="126">
        <v>364639</v>
      </c>
      <c r="H35" s="126"/>
      <c r="I35" s="125">
        <v>1975</v>
      </c>
    </row>
    <row r="36" spans="2:9">
      <c r="B36" s="123"/>
      <c r="C36" s="123" t="s">
        <v>744</v>
      </c>
      <c r="D36" s="123"/>
      <c r="E36" s="131" t="s">
        <v>724</v>
      </c>
      <c r="F36" s="129"/>
      <c r="G36" s="126">
        <v>847435.91</v>
      </c>
      <c r="H36" s="126"/>
      <c r="I36" s="125">
        <v>1992</v>
      </c>
    </row>
    <row r="37" spans="2:9">
      <c r="B37" s="123"/>
      <c r="C37" s="123" t="s">
        <v>745</v>
      </c>
      <c r="D37" s="123"/>
      <c r="E37" s="131" t="s">
        <v>726</v>
      </c>
      <c r="F37" s="129"/>
      <c r="G37" s="126">
        <v>847435.91</v>
      </c>
      <c r="H37" s="126"/>
      <c r="I37" s="125">
        <v>1992</v>
      </c>
    </row>
    <row r="38" spans="2:9">
      <c r="B38" s="123"/>
      <c r="C38" s="123" t="s">
        <v>746</v>
      </c>
      <c r="D38" s="123"/>
      <c r="E38" s="131" t="s">
        <v>728</v>
      </c>
      <c r="F38" s="129"/>
      <c r="G38" s="126">
        <v>847435.91</v>
      </c>
      <c r="H38" s="126"/>
      <c r="I38" s="125">
        <v>1992</v>
      </c>
    </row>
    <row r="39" spans="2:9">
      <c r="B39" s="123"/>
      <c r="C39" s="123" t="s">
        <v>747</v>
      </c>
      <c r="D39" s="123"/>
      <c r="E39" s="131" t="s">
        <v>730</v>
      </c>
      <c r="F39" s="129"/>
      <c r="G39" s="126">
        <v>847435.91</v>
      </c>
      <c r="H39" s="126"/>
      <c r="I39" s="125">
        <v>1992</v>
      </c>
    </row>
    <row r="40" spans="2:9">
      <c r="B40" s="123"/>
      <c r="C40" s="123"/>
      <c r="D40" s="123"/>
      <c r="E40" s="125"/>
      <c r="F40" s="123"/>
      <c r="G40" s="127">
        <f>SUM(G33:G39)</f>
        <v>4483658.6400000006</v>
      </c>
      <c r="H40" s="128"/>
      <c r="I40" s="125"/>
    </row>
    <row r="41" spans="2:9">
      <c r="B41" s="123"/>
      <c r="C41" s="123"/>
      <c r="D41" s="123"/>
      <c r="E41" s="125"/>
      <c r="F41" s="123"/>
      <c r="G41" s="126"/>
      <c r="H41" s="126"/>
      <c r="I41" s="125"/>
    </row>
    <row r="42" spans="2:9">
      <c r="B42" s="123" t="s">
        <v>748</v>
      </c>
      <c r="C42" s="123" t="s">
        <v>712</v>
      </c>
      <c r="D42" s="123"/>
      <c r="E42" s="125" t="s">
        <v>701</v>
      </c>
      <c r="F42" s="123"/>
      <c r="G42" s="126">
        <v>113598</v>
      </c>
      <c r="H42" s="126"/>
      <c r="I42" s="125">
        <v>1970</v>
      </c>
    </row>
    <row r="43" spans="2:9">
      <c r="B43" s="123"/>
      <c r="C43" s="123"/>
      <c r="D43" s="123"/>
      <c r="E43" s="125"/>
      <c r="F43" s="123"/>
      <c r="G43" s="126">
        <v>45831</v>
      </c>
      <c r="H43" s="126"/>
      <c r="I43" s="125">
        <v>1991</v>
      </c>
    </row>
    <row r="44" spans="2:9">
      <c r="B44" s="123"/>
      <c r="C44" s="123" t="s">
        <v>699</v>
      </c>
      <c r="D44" s="123"/>
      <c r="E44" s="131" t="s">
        <v>710</v>
      </c>
      <c r="F44" s="129"/>
      <c r="G44" s="126">
        <v>292778</v>
      </c>
      <c r="H44" s="126"/>
      <c r="I44" s="125">
        <v>1970</v>
      </c>
    </row>
    <row r="45" spans="2:9">
      <c r="B45" s="123"/>
      <c r="C45" s="123" t="s">
        <v>747</v>
      </c>
      <c r="D45" s="123"/>
      <c r="E45" s="131" t="s">
        <v>713</v>
      </c>
      <c r="F45" s="129"/>
      <c r="G45" s="126">
        <v>258392</v>
      </c>
      <c r="H45" s="126"/>
      <c r="I45" s="125">
        <v>1990</v>
      </c>
    </row>
    <row r="46" spans="2:9">
      <c r="B46" s="123"/>
      <c r="C46" s="123"/>
      <c r="D46" s="123"/>
      <c r="E46" s="125"/>
      <c r="F46" s="123"/>
      <c r="G46" s="127">
        <f>SUM(G42:G45)</f>
        <v>710599</v>
      </c>
      <c r="H46" s="128"/>
      <c r="I46" s="125"/>
    </row>
    <row r="47" spans="2:9">
      <c r="B47" s="123"/>
      <c r="C47" s="123"/>
      <c r="D47" s="123"/>
      <c r="E47" s="125"/>
      <c r="F47" s="123"/>
      <c r="G47" s="126"/>
      <c r="H47" s="126"/>
      <c r="I47" s="125"/>
    </row>
    <row r="48" spans="2:9">
      <c r="B48" s="123" t="s">
        <v>749</v>
      </c>
      <c r="C48" s="123" t="s">
        <v>750</v>
      </c>
      <c r="D48" s="123"/>
      <c r="E48" s="125" t="s">
        <v>701</v>
      </c>
      <c r="F48" s="123"/>
      <c r="G48" s="126">
        <v>158609</v>
      </c>
      <c r="H48" s="126"/>
      <c r="I48" s="125">
        <v>1968</v>
      </c>
    </row>
    <row r="49" spans="2:9">
      <c r="B49" s="123"/>
      <c r="C49" s="123"/>
      <c r="D49" s="123"/>
      <c r="E49" s="125"/>
      <c r="F49" s="123"/>
      <c r="G49" s="127">
        <f>SUM(G48:G48)</f>
        <v>158609</v>
      </c>
      <c r="H49" s="128"/>
      <c r="I49" s="125"/>
    </row>
    <row r="50" spans="2:9">
      <c r="B50" s="123"/>
      <c r="C50" s="123"/>
      <c r="D50" s="123"/>
      <c r="E50" s="125"/>
      <c r="F50" s="123"/>
      <c r="G50" s="126"/>
      <c r="H50" s="126"/>
      <c r="I50" s="125"/>
    </row>
    <row r="51" spans="2:9">
      <c r="B51" s="123" t="s">
        <v>751</v>
      </c>
      <c r="C51" s="123" t="s">
        <v>711</v>
      </c>
      <c r="D51" s="123"/>
      <c r="E51" s="125" t="s">
        <v>720</v>
      </c>
      <c r="F51" s="123"/>
      <c r="G51" s="126">
        <v>448997.23</v>
      </c>
      <c r="H51" s="126"/>
      <c r="I51" s="125">
        <v>1994</v>
      </c>
    </row>
    <row r="52" spans="2:9">
      <c r="B52" s="123"/>
      <c r="C52" s="123" t="s">
        <v>711</v>
      </c>
      <c r="D52" s="123"/>
      <c r="E52" s="125" t="s">
        <v>720</v>
      </c>
      <c r="F52" s="123"/>
      <c r="G52" s="126">
        <v>100499</v>
      </c>
      <c r="H52" s="126"/>
      <c r="I52" s="125">
        <v>1994</v>
      </c>
    </row>
    <row r="53" spans="2:9">
      <c r="B53" s="123"/>
      <c r="C53" s="123"/>
      <c r="D53" s="123"/>
      <c r="E53" s="125"/>
      <c r="F53" s="123"/>
      <c r="G53" s="127">
        <f>SUM(G51:G52)</f>
        <v>549496.23</v>
      </c>
      <c r="H53" s="128"/>
      <c r="I53" s="125"/>
    </row>
    <row r="54" spans="2:9">
      <c r="B54" s="123"/>
      <c r="C54" s="123"/>
      <c r="D54" s="123"/>
      <c r="E54" s="125"/>
      <c r="F54" s="123"/>
      <c r="G54" s="128"/>
      <c r="H54" s="128"/>
      <c r="I54" s="125"/>
    </row>
    <row r="55" spans="2:9">
      <c r="B55" s="123" t="s">
        <v>752</v>
      </c>
      <c r="C55" s="123"/>
      <c r="D55" s="123"/>
      <c r="E55" s="125" t="s">
        <v>704</v>
      </c>
      <c r="F55" s="123"/>
      <c r="G55" s="132">
        <v>3202449.04</v>
      </c>
      <c r="H55" s="132"/>
      <c r="I55" s="125">
        <v>1999</v>
      </c>
    </row>
    <row r="56" spans="2:9">
      <c r="B56" s="123"/>
      <c r="C56" s="123"/>
      <c r="D56" s="123"/>
      <c r="E56" s="125" t="s">
        <v>705</v>
      </c>
      <c r="F56" s="123"/>
      <c r="G56" s="132">
        <v>1601224.52</v>
      </c>
      <c r="H56" s="132"/>
      <c r="I56" s="125">
        <v>1999</v>
      </c>
    </row>
    <row r="57" spans="2:9">
      <c r="B57" s="123"/>
      <c r="C57" s="123"/>
      <c r="D57" s="123"/>
      <c r="E57" s="125" t="s">
        <v>706</v>
      </c>
      <c r="F57" s="123"/>
      <c r="G57" s="132">
        <v>1601224.52</v>
      </c>
      <c r="H57" s="132"/>
      <c r="I57" s="125">
        <v>1999</v>
      </c>
    </row>
    <row r="58" spans="2:9">
      <c r="B58" s="123" t="s">
        <v>753</v>
      </c>
      <c r="C58" s="123"/>
      <c r="D58" s="123"/>
      <c r="E58" s="125" t="s">
        <v>704</v>
      </c>
      <c r="F58" s="123"/>
      <c r="G58" s="132">
        <v>2946388.2949999999</v>
      </c>
      <c r="H58" s="132"/>
      <c r="I58" s="125">
        <v>2003</v>
      </c>
    </row>
    <row r="59" spans="2:9">
      <c r="B59" s="123"/>
      <c r="C59" s="123"/>
      <c r="D59" s="123"/>
      <c r="E59" s="125" t="s">
        <v>705</v>
      </c>
      <c r="F59" s="123"/>
      <c r="G59" s="132">
        <v>1473194.1475</v>
      </c>
      <c r="H59" s="132"/>
      <c r="I59" s="125">
        <v>2003</v>
      </c>
    </row>
    <row r="60" spans="2:9">
      <c r="B60" s="123"/>
      <c r="C60" s="123"/>
      <c r="D60" s="123"/>
      <c r="E60" s="125" t="s">
        <v>706</v>
      </c>
      <c r="F60" s="123"/>
      <c r="G60" s="132">
        <v>1473194.1475</v>
      </c>
      <c r="H60" s="132"/>
      <c r="I60" s="125">
        <v>2003</v>
      </c>
    </row>
    <row r="61" spans="2:9">
      <c r="B61" s="123" t="s">
        <v>754</v>
      </c>
      <c r="C61" s="123"/>
      <c r="D61" s="123"/>
      <c r="E61" s="125" t="s">
        <v>704</v>
      </c>
      <c r="F61" s="123"/>
      <c r="G61" s="132">
        <v>3626553.4049999998</v>
      </c>
      <c r="H61" s="132"/>
      <c r="I61" s="125">
        <v>2005</v>
      </c>
    </row>
    <row r="62" spans="2:9">
      <c r="B62" s="123"/>
      <c r="C62" s="123"/>
      <c r="D62" s="123"/>
      <c r="E62" s="125" t="s">
        <v>705</v>
      </c>
      <c r="F62" s="123"/>
      <c r="G62" s="132">
        <v>1799069.1975</v>
      </c>
      <c r="H62" s="132"/>
      <c r="I62" s="125">
        <v>2005</v>
      </c>
    </row>
    <row r="63" spans="2:9">
      <c r="B63" s="123"/>
      <c r="C63" s="123"/>
      <c r="D63" s="123"/>
      <c r="E63" s="125" t="s">
        <v>706</v>
      </c>
      <c r="F63" s="123"/>
      <c r="G63" s="132">
        <v>1830092.3774999999</v>
      </c>
      <c r="H63" s="132"/>
      <c r="I63" s="125">
        <v>2005</v>
      </c>
    </row>
    <row r="64" spans="2:9">
      <c r="B64" s="123" t="s">
        <v>755</v>
      </c>
      <c r="C64" s="123"/>
      <c r="D64" s="123"/>
      <c r="E64" s="125" t="s">
        <v>756</v>
      </c>
      <c r="F64" s="123"/>
      <c r="G64" s="132">
        <v>5336478.66</v>
      </c>
      <c r="H64" s="132"/>
      <c r="I64" s="125">
        <v>2007</v>
      </c>
    </row>
    <row r="65" spans="2:9">
      <c r="B65" s="123"/>
      <c r="C65" s="123"/>
      <c r="D65" s="123"/>
      <c r="E65" s="125" t="s">
        <v>713</v>
      </c>
      <c r="F65" s="123"/>
      <c r="G65" s="132">
        <v>816533.08</v>
      </c>
      <c r="H65" s="132"/>
      <c r="I65" s="125">
        <v>2002</v>
      </c>
    </row>
    <row r="66" spans="2:9">
      <c r="B66" s="123"/>
      <c r="C66" s="123"/>
      <c r="D66" s="123"/>
      <c r="E66" s="125"/>
      <c r="F66" s="123"/>
      <c r="G66" s="133">
        <f>SUM(G55:G65)</f>
        <v>25706401.390000001</v>
      </c>
      <c r="H66" s="128"/>
      <c r="I66" s="125"/>
    </row>
    <row r="67" spans="2:9">
      <c r="B67" s="123"/>
      <c r="C67" s="123"/>
      <c r="D67" s="123"/>
      <c r="E67" s="125"/>
      <c r="F67" s="123"/>
      <c r="G67" s="128"/>
      <c r="H67" s="128"/>
      <c r="I67" s="125"/>
    </row>
    <row r="68" spans="2:9">
      <c r="B68" s="123" t="s">
        <v>757</v>
      </c>
      <c r="C68" s="123"/>
      <c r="D68" s="123"/>
      <c r="E68" s="125" t="s">
        <v>758</v>
      </c>
      <c r="F68" s="123"/>
      <c r="G68" s="132">
        <v>971485.84</v>
      </c>
      <c r="H68" s="132"/>
      <c r="I68" s="125">
        <v>1997</v>
      </c>
    </row>
    <row r="69" spans="2:9">
      <c r="B69" s="123"/>
      <c r="C69" s="123"/>
      <c r="D69" s="123"/>
      <c r="E69" s="125" t="s">
        <v>759</v>
      </c>
      <c r="F69" s="123"/>
      <c r="G69" s="132">
        <v>971485.84</v>
      </c>
      <c r="H69" s="132"/>
      <c r="I69" s="125">
        <v>1997</v>
      </c>
    </row>
    <row r="70" spans="2:9">
      <c r="B70" s="123"/>
      <c r="C70" s="123"/>
      <c r="D70" s="123"/>
      <c r="E70" s="125"/>
      <c r="F70" s="123"/>
      <c r="G70" s="133">
        <f>SUM(G68:G69)</f>
        <v>1942971.68</v>
      </c>
      <c r="H70" s="128"/>
      <c r="I70" s="125"/>
    </row>
    <row r="71" spans="2:9">
      <c r="B71" s="123"/>
      <c r="C71" s="123"/>
      <c r="D71" s="123"/>
      <c r="E71" s="125"/>
      <c r="F71" s="123"/>
      <c r="G71" s="128"/>
      <c r="H71" s="128"/>
      <c r="I71" s="125"/>
    </row>
    <row r="72" spans="2:9">
      <c r="B72" s="123" t="s">
        <v>760</v>
      </c>
      <c r="C72" s="123"/>
      <c r="D72" s="123"/>
      <c r="E72" s="125" t="s">
        <v>761</v>
      </c>
      <c r="F72" s="123"/>
      <c r="G72" s="132">
        <v>689047</v>
      </c>
      <c r="H72" s="132"/>
      <c r="I72" s="125">
        <v>2003</v>
      </c>
    </row>
    <row r="73" spans="2:9">
      <c r="B73" s="123"/>
      <c r="C73" s="123"/>
      <c r="D73" s="123"/>
      <c r="E73" s="125" t="s">
        <v>762</v>
      </c>
      <c r="F73" s="123"/>
      <c r="G73" s="132">
        <v>1731392</v>
      </c>
      <c r="H73" s="132"/>
      <c r="I73" s="125">
        <v>2002</v>
      </c>
    </row>
    <row r="74" spans="2:9">
      <c r="B74" s="123"/>
      <c r="C74" s="123"/>
      <c r="D74" s="123"/>
      <c r="E74" s="125"/>
      <c r="F74" s="123"/>
      <c r="G74" s="133">
        <f>SUM(G72:G73)</f>
        <v>2420439</v>
      </c>
      <c r="H74" s="128"/>
      <c r="I74" s="134"/>
    </row>
    <row r="75" spans="2:9" ht="6" customHeight="1">
      <c r="B75" s="147"/>
      <c r="C75" s="147"/>
      <c r="D75" s="147"/>
      <c r="E75" s="147"/>
      <c r="F75" s="147"/>
      <c r="G75" s="103"/>
      <c r="H75" s="103"/>
      <c r="I75" s="282"/>
    </row>
    <row r="76" spans="2:9">
      <c r="B76" s="147" t="s">
        <v>763</v>
      </c>
      <c r="C76" s="147"/>
      <c r="D76" s="147"/>
      <c r="E76" s="147"/>
      <c r="F76" s="147"/>
      <c r="G76" s="290">
        <f>SUM(G12:G74)/2</f>
        <v>58642456.389999993</v>
      </c>
      <c r="H76" s="103"/>
      <c r="I76" s="282"/>
    </row>
    <row r="77" spans="2:9">
      <c r="B77" s="147" t="s">
        <v>797</v>
      </c>
      <c r="C77" s="147"/>
      <c r="D77" s="147"/>
      <c r="E77" s="147"/>
      <c r="F77" s="147"/>
      <c r="G77" s="290">
        <f>'DEF - 4, p1 Step Ups'!G61</f>
        <v>32062353.609999996</v>
      </c>
      <c r="H77" s="103"/>
      <c r="I77" s="282"/>
    </row>
    <row r="78" spans="2:9" ht="6" customHeight="1">
      <c r="B78" s="147"/>
      <c r="C78" s="147"/>
      <c r="D78" s="147"/>
      <c r="E78" s="147"/>
      <c r="F78" s="147"/>
      <c r="G78" s="287"/>
      <c r="H78" s="288"/>
    </row>
    <row r="79" spans="2:9" ht="13.5" thickBot="1">
      <c r="B79" s="147" t="s">
        <v>22</v>
      </c>
      <c r="C79" s="147"/>
      <c r="D79" s="147"/>
      <c r="E79" s="147"/>
      <c r="F79" s="147"/>
      <c r="G79" s="292">
        <f>+G77+G76</f>
        <v>90704809.999999985</v>
      </c>
      <c r="H79" s="290"/>
    </row>
    <row r="80" spans="2:9" ht="13.5" thickTop="1"/>
  </sheetData>
  <mergeCells count="4">
    <mergeCell ref="I1:J1"/>
    <mergeCell ref="I3:J3"/>
    <mergeCell ref="A5:J5"/>
    <mergeCell ref="A6:J6"/>
  </mergeCells>
  <phoneticPr fontId="0" type="noConversion"/>
  <printOptions horizontalCentered="1"/>
  <pageMargins left="0.5" right="0.5" top="0.5" bottom="0.5" header="0.5" footer="0.5"/>
  <pageSetup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0"/>
  <sheetViews>
    <sheetView zoomScale="160" zoomScaleNormal="160" workbookViewId="0"/>
  </sheetViews>
  <sheetFormatPr defaultRowHeight="12.75"/>
  <cols>
    <col min="1" max="1" width="5.7109375" style="3" customWidth="1"/>
    <col min="2" max="2" width="18.7109375" style="3" customWidth="1"/>
    <col min="3" max="3" width="9.140625" style="3"/>
    <col min="4" max="4" width="22" style="3" customWidth="1"/>
    <col min="5" max="5" width="5.7109375" style="3" customWidth="1"/>
    <col min="6" max="6" width="13.7109375" style="3" customWidth="1"/>
    <col min="7" max="7" width="4.7109375" style="3" customWidth="1"/>
    <col min="8" max="8" width="13.7109375" style="3" customWidth="1"/>
    <col min="9" max="9" width="4.7109375" style="3" customWidth="1"/>
    <col min="10" max="10" width="14.85546875" style="3" customWidth="1"/>
    <col min="11" max="11" width="5.7109375" style="3" customWidth="1"/>
    <col min="12" max="16384" width="9.140625" style="3"/>
  </cols>
  <sheetData>
    <row r="1" spans="1:11" ht="15">
      <c r="J1" s="335" t="s">
        <v>912</v>
      </c>
      <c r="K1" s="335"/>
    </row>
    <row r="2" spans="1:11" ht="15">
      <c r="J2" s="234" t="s">
        <v>374</v>
      </c>
      <c r="K2" s="234"/>
    </row>
    <row r="3" spans="1:11">
      <c r="J3" s="344" t="str">
        <f>FF1_Year</f>
        <v>Year Ending 12/31/2012</v>
      </c>
      <c r="K3" s="345"/>
    </row>
    <row r="5" spans="1:11">
      <c r="A5" s="338" t="s">
        <v>924</v>
      </c>
      <c r="B5" s="338"/>
      <c r="C5" s="338"/>
      <c r="D5" s="338"/>
      <c r="E5" s="338"/>
      <c r="F5" s="338"/>
      <c r="G5" s="338"/>
      <c r="H5" s="338"/>
      <c r="I5" s="338"/>
      <c r="J5" s="338"/>
      <c r="K5" s="33"/>
    </row>
    <row r="6" spans="1:11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</row>
    <row r="7" spans="1:11">
      <c r="A7" s="347" t="s">
        <v>361</v>
      </c>
      <c r="B7" s="347"/>
      <c r="C7" s="347"/>
      <c r="D7" s="347"/>
      <c r="E7" s="347"/>
      <c r="F7" s="347"/>
      <c r="G7" s="347"/>
      <c r="H7" s="347"/>
      <c r="I7" s="347"/>
      <c r="J7" s="347"/>
      <c r="K7" s="293"/>
    </row>
    <row r="8" spans="1:11">
      <c r="A8" s="347" t="s">
        <v>362</v>
      </c>
      <c r="B8" s="347"/>
      <c r="C8" s="347"/>
      <c r="D8" s="347"/>
      <c r="E8" s="347"/>
      <c r="F8" s="347"/>
      <c r="G8" s="347"/>
      <c r="H8" s="347"/>
      <c r="I8" s="347"/>
      <c r="J8" s="347"/>
      <c r="K8" s="293"/>
    </row>
    <row r="9" spans="1:11">
      <c r="B9" s="294"/>
      <c r="C9" s="294"/>
      <c r="D9" s="294"/>
      <c r="E9" s="294"/>
      <c r="F9" s="294"/>
      <c r="G9" s="294"/>
      <c r="H9" s="294"/>
      <c r="I9" s="294"/>
      <c r="J9" s="294"/>
      <c r="K9" s="294"/>
    </row>
    <row r="10" spans="1:11">
      <c r="B10" s="294"/>
      <c r="C10" s="295"/>
      <c r="D10" s="296"/>
      <c r="E10" s="296"/>
      <c r="F10" s="296" t="s">
        <v>364</v>
      </c>
      <c r="G10" s="296"/>
      <c r="H10" s="296" t="s">
        <v>366</v>
      </c>
      <c r="I10" s="296"/>
      <c r="J10" s="295"/>
      <c r="K10" s="294"/>
    </row>
    <row r="11" spans="1:11">
      <c r="B11" s="297" t="s">
        <v>363</v>
      </c>
      <c r="C11" s="298"/>
      <c r="D11" s="299" t="s">
        <v>3</v>
      </c>
      <c r="E11" s="296"/>
      <c r="F11" s="299" t="s">
        <v>365</v>
      </c>
      <c r="G11" s="299"/>
      <c r="H11" s="299" t="s">
        <v>365</v>
      </c>
      <c r="I11" s="299"/>
      <c r="J11" s="299" t="s">
        <v>254</v>
      </c>
    </row>
    <row r="12" spans="1:11" hidden="1">
      <c r="B12" s="294" t="s">
        <v>143</v>
      </c>
      <c r="C12" s="295"/>
      <c r="D12" s="295"/>
      <c r="E12" s="295"/>
      <c r="F12" s="300"/>
      <c r="G12" s="300"/>
      <c r="H12" s="300"/>
      <c r="I12" s="300"/>
      <c r="J12" s="296"/>
    </row>
    <row r="13" spans="1:11" hidden="1">
      <c r="B13" s="294"/>
      <c r="C13" s="295"/>
      <c r="D13" s="295"/>
      <c r="E13" s="295"/>
      <c r="F13" s="104"/>
      <c r="G13" s="104"/>
      <c r="H13" s="104"/>
      <c r="I13" s="104"/>
      <c r="J13" s="296"/>
    </row>
    <row r="14" spans="1:11" hidden="1">
      <c r="B14" s="294"/>
      <c r="C14" s="295"/>
      <c r="D14" s="295"/>
      <c r="E14" s="295"/>
      <c r="F14" s="104"/>
      <c r="G14" s="104"/>
      <c r="H14" s="104"/>
      <c r="I14" s="104"/>
      <c r="J14" s="296"/>
    </row>
    <row r="15" spans="1:11" hidden="1">
      <c r="B15" s="294"/>
      <c r="C15" s="295"/>
      <c r="D15" s="295"/>
      <c r="E15" s="295"/>
      <c r="F15" s="104"/>
      <c r="G15" s="104"/>
      <c r="H15" s="104"/>
      <c r="I15" s="104"/>
      <c r="J15" s="296"/>
    </row>
    <row r="16" spans="1:11" hidden="1">
      <c r="B16" s="294"/>
      <c r="C16" s="295"/>
      <c r="D16" s="295"/>
      <c r="E16" s="295"/>
      <c r="F16" s="288"/>
      <c r="G16" s="288"/>
      <c r="H16" s="288"/>
      <c r="I16" s="288"/>
      <c r="J16" s="296"/>
    </row>
    <row r="17" spans="2:10" hidden="1">
      <c r="B17" s="294"/>
      <c r="C17" s="295"/>
      <c r="D17" s="295"/>
      <c r="E17" s="295"/>
      <c r="F17" s="104"/>
      <c r="G17" s="104"/>
      <c r="H17" s="104"/>
      <c r="I17" s="104"/>
      <c r="J17" s="296"/>
    </row>
    <row r="18" spans="2:10" hidden="1">
      <c r="B18" s="294" t="s">
        <v>144</v>
      </c>
      <c r="C18" s="295"/>
      <c r="D18" s="301"/>
      <c r="E18" s="301"/>
      <c r="F18" s="104"/>
      <c r="G18" s="104"/>
      <c r="H18" s="104"/>
      <c r="I18" s="104"/>
      <c r="J18" s="296"/>
    </row>
    <row r="19" spans="2:10" hidden="1">
      <c r="B19" s="294"/>
      <c r="C19" s="295"/>
      <c r="D19" s="301"/>
      <c r="E19" s="301"/>
      <c r="F19" s="104"/>
      <c r="G19" s="104"/>
      <c r="H19" s="104"/>
      <c r="I19" s="104"/>
      <c r="J19" s="296"/>
    </row>
    <row r="20" spans="2:10" hidden="1">
      <c r="B20" s="294"/>
      <c r="C20" s="295"/>
      <c r="D20" s="295"/>
      <c r="E20" s="295"/>
      <c r="F20" s="288"/>
      <c r="G20" s="288"/>
      <c r="H20" s="288"/>
      <c r="I20" s="288"/>
      <c r="J20" s="296"/>
    </row>
    <row r="21" spans="2:10" hidden="1">
      <c r="B21" s="294"/>
      <c r="C21" s="295"/>
      <c r="D21" s="295"/>
      <c r="E21" s="295"/>
      <c r="F21" s="104"/>
      <c r="G21" s="104"/>
      <c r="H21" s="104"/>
      <c r="I21" s="104"/>
      <c r="J21" s="296"/>
    </row>
    <row r="22" spans="2:10" hidden="1">
      <c r="B22" s="294" t="s">
        <v>145</v>
      </c>
      <c r="C22" s="295"/>
      <c r="D22" s="295"/>
      <c r="E22" s="295"/>
      <c r="F22" s="104"/>
      <c r="G22" s="104"/>
      <c r="H22" s="104"/>
      <c r="I22" s="104"/>
      <c r="J22" s="296"/>
    </row>
    <row r="23" spans="2:10" hidden="1">
      <c r="B23" s="294"/>
      <c r="C23" s="295"/>
      <c r="D23" s="302"/>
      <c r="E23" s="302"/>
      <c r="F23" s="104"/>
      <c r="G23" s="104"/>
      <c r="H23" s="104"/>
      <c r="I23" s="104"/>
      <c r="J23" s="296"/>
    </row>
    <row r="24" spans="2:10" hidden="1">
      <c r="B24" s="294"/>
      <c r="C24" s="295"/>
      <c r="D24" s="302"/>
      <c r="E24" s="302"/>
      <c r="F24" s="104"/>
      <c r="G24" s="104"/>
      <c r="H24" s="104"/>
      <c r="I24" s="104"/>
      <c r="J24" s="296"/>
    </row>
    <row r="25" spans="2:10" hidden="1">
      <c r="B25" s="294"/>
      <c r="C25" s="295"/>
      <c r="D25" s="301"/>
      <c r="E25" s="301"/>
      <c r="F25" s="104"/>
      <c r="G25" s="104"/>
      <c r="H25" s="104"/>
      <c r="I25" s="104"/>
      <c r="J25" s="296"/>
    </row>
    <row r="26" spans="2:10" hidden="1">
      <c r="B26" s="294"/>
      <c r="C26" s="295"/>
      <c r="D26" s="295"/>
      <c r="E26" s="295"/>
      <c r="F26" s="104"/>
      <c r="G26" s="104"/>
      <c r="H26" s="104"/>
      <c r="I26" s="104"/>
      <c r="J26" s="296"/>
    </row>
    <row r="27" spans="2:10" hidden="1">
      <c r="B27" s="294"/>
      <c r="C27" s="295"/>
      <c r="D27" s="301"/>
      <c r="E27" s="301"/>
      <c r="F27" s="104"/>
      <c r="G27" s="104"/>
      <c r="H27" s="104"/>
      <c r="I27" s="104"/>
      <c r="J27" s="296"/>
    </row>
    <row r="28" spans="2:10" hidden="1">
      <c r="B28" s="294"/>
      <c r="C28" s="295"/>
      <c r="D28" s="295"/>
      <c r="E28" s="295"/>
      <c r="F28" s="104"/>
      <c r="G28" s="104"/>
      <c r="H28" s="104"/>
      <c r="I28" s="104"/>
      <c r="J28" s="296"/>
    </row>
    <row r="29" spans="2:10" hidden="1">
      <c r="B29" s="294"/>
      <c r="C29" s="295"/>
      <c r="D29" s="301"/>
      <c r="E29" s="301"/>
      <c r="F29" s="104"/>
      <c r="G29" s="104"/>
      <c r="H29" s="104"/>
      <c r="I29" s="104"/>
      <c r="J29" s="296"/>
    </row>
    <row r="30" spans="2:10" hidden="1">
      <c r="B30" s="294"/>
      <c r="C30" s="295"/>
      <c r="D30" s="295"/>
      <c r="E30" s="295"/>
      <c r="F30" s="104"/>
      <c r="G30" s="104"/>
      <c r="H30" s="104"/>
      <c r="I30" s="104"/>
      <c r="J30" s="296"/>
    </row>
    <row r="31" spans="2:10" hidden="1">
      <c r="B31" s="294"/>
      <c r="C31" s="295"/>
      <c r="D31" s="301"/>
      <c r="E31" s="301"/>
      <c r="F31" s="104"/>
      <c r="G31" s="104"/>
      <c r="H31" s="104"/>
      <c r="I31" s="104"/>
      <c r="J31" s="296"/>
    </row>
    <row r="32" spans="2:10" hidden="1">
      <c r="B32" s="294"/>
      <c r="C32" s="295"/>
      <c r="D32" s="295"/>
      <c r="E32" s="295"/>
      <c r="F32" s="104"/>
      <c r="G32" s="104"/>
      <c r="H32" s="104"/>
      <c r="I32" s="104"/>
      <c r="J32" s="296"/>
    </row>
    <row r="33" spans="2:10" hidden="1">
      <c r="B33" s="294"/>
      <c r="C33" s="295"/>
      <c r="D33" s="301"/>
      <c r="E33" s="301"/>
      <c r="F33" s="104"/>
      <c r="G33" s="104"/>
      <c r="H33" s="104"/>
      <c r="I33" s="104"/>
      <c r="J33" s="296"/>
    </row>
    <row r="34" spans="2:10" hidden="1">
      <c r="B34" s="294"/>
      <c r="C34" s="295"/>
      <c r="D34" s="295"/>
      <c r="E34" s="295"/>
      <c r="F34" s="104"/>
      <c r="G34" s="104"/>
      <c r="H34" s="104"/>
      <c r="I34" s="104"/>
      <c r="J34" s="296"/>
    </row>
    <row r="35" spans="2:10" hidden="1">
      <c r="B35" s="294"/>
      <c r="C35" s="295"/>
      <c r="D35" s="295"/>
      <c r="E35" s="295"/>
      <c r="F35" s="104"/>
      <c r="G35" s="104"/>
      <c r="H35" s="104"/>
      <c r="I35" s="104"/>
      <c r="J35" s="296"/>
    </row>
    <row r="36" spans="2:10" hidden="1">
      <c r="B36" s="294"/>
      <c r="C36" s="295"/>
      <c r="D36" s="301"/>
      <c r="E36" s="301"/>
      <c r="F36" s="104"/>
      <c r="G36" s="104"/>
      <c r="H36" s="104"/>
      <c r="I36" s="104"/>
      <c r="J36" s="296"/>
    </row>
    <row r="37" spans="2:10" hidden="1">
      <c r="B37" s="294"/>
      <c r="C37" s="295"/>
      <c r="D37" s="301"/>
      <c r="E37" s="301"/>
      <c r="F37" s="104"/>
      <c r="G37" s="104"/>
      <c r="H37" s="104"/>
      <c r="I37" s="104"/>
      <c r="J37" s="296"/>
    </row>
    <row r="38" spans="2:10" hidden="1">
      <c r="B38" s="294"/>
      <c r="C38" s="295"/>
      <c r="D38" s="295"/>
      <c r="E38" s="295"/>
      <c r="F38" s="288"/>
      <c r="G38" s="288"/>
      <c r="H38" s="288"/>
      <c r="I38" s="288"/>
      <c r="J38" s="296"/>
    </row>
    <row r="39" spans="2:10" hidden="1">
      <c r="B39" s="294"/>
      <c r="C39" s="295"/>
      <c r="D39" s="295"/>
      <c r="E39" s="295"/>
      <c r="F39" s="104"/>
      <c r="G39" s="104"/>
      <c r="H39" s="104"/>
      <c r="I39" s="104"/>
      <c r="J39" s="296"/>
    </row>
    <row r="40" spans="2:10" hidden="1">
      <c r="B40" s="294" t="s">
        <v>146</v>
      </c>
      <c r="C40" s="295"/>
      <c r="D40" s="301"/>
      <c r="E40" s="301"/>
      <c r="F40" s="104"/>
      <c r="G40" s="104"/>
      <c r="H40" s="104"/>
      <c r="I40" s="104"/>
      <c r="J40" s="296"/>
    </row>
    <row r="41" spans="2:10" hidden="1">
      <c r="B41" s="294"/>
      <c r="C41" s="295"/>
      <c r="D41" s="295"/>
      <c r="E41" s="295"/>
      <c r="F41" s="104"/>
      <c r="G41" s="104"/>
      <c r="H41" s="104"/>
      <c r="I41" s="104"/>
      <c r="J41" s="296"/>
    </row>
    <row r="42" spans="2:10" hidden="1">
      <c r="B42" s="294"/>
      <c r="C42" s="295"/>
      <c r="D42" s="301"/>
      <c r="E42" s="301"/>
      <c r="F42" s="104"/>
      <c r="G42" s="104"/>
      <c r="H42" s="104"/>
      <c r="I42" s="104"/>
      <c r="J42" s="296"/>
    </row>
    <row r="43" spans="2:10" hidden="1">
      <c r="B43" s="294"/>
      <c r="C43" s="295"/>
      <c r="D43" s="295"/>
      <c r="E43" s="295"/>
      <c r="F43" s="104"/>
      <c r="G43" s="104"/>
      <c r="H43" s="104"/>
      <c r="I43" s="104"/>
      <c r="J43" s="296"/>
    </row>
    <row r="44" spans="2:10" hidden="1">
      <c r="B44" s="294"/>
      <c r="C44" s="295"/>
      <c r="D44" s="295"/>
      <c r="E44" s="295"/>
      <c r="F44" s="104"/>
      <c r="G44" s="104"/>
      <c r="H44" s="104"/>
      <c r="I44" s="104"/>
      <c r="J44" s="296"/>
    </row>
    <row r="45" spans="2:10" hidden="1">
      <c r="B45" s="294"/>
      <c r="C45" s="295"/>
      <c r="D45" s="295"/>
      <c r="E45" s="295"/>
      <c r="F45" s="288"/>
      <c r="G45" s="288"/>
      <c r="H45" s="288"/>
      <c r="I45" s="288"/>
      <c r="J45" s="296"/>
    </row>
    <row r="46" spans="2:10" hidden="1">
      <c r="B46" s="294"/>
      <c r="C46" s="295"/>
      <c r="D46" s="295"/>
      <c r="E46" s="295"/>
      <c r="F46" s="104"/>
      <c r="G46" s="104"/>
      <c r="H46" s="104"/>
      <c r="I46" s="104"/>
      <c r="J46" s="296"/>
    </row>
    <row r="47" spans="2:10" hidden="1">
      <c r="B47" s="294" t="s">
        <v>147</v>
      </c>
      <c r="C47" s="295"/>
      <c r="D47" s="301"/>
      <c r="E47" s="301"/>
      <c r="F47" s="104"/>
      <c r="G47" s="104"/>
      <c r="H47" s="104"/>
      <c r="I47" s="104"/>
      <c r="J47" s="296"/>
    </row>
    <row r="48" spans="2:10" hidden="1">
      <c r="B48" s="294"/>
      <c r="C48" s="295"/>
      <c r="D48" s="301"/>
      <c r="E48" s="301"/>
      <c r="F48" s="104"/>
      <c r="G48" s="104"/>
      <c r="H48" s="104"/>
      <c r="I48" s="104"/>
      <c r="J48" s="296"/>
    </row>
    <row r="49" spans="2:10" hidden="1">
      <c r="B49" s="294"/>
      <c r="C49" s="295"/>
      <c r="D49" s="301"/>
      <c r="E49" s="301"/>
      <c r="F49" s="104"/>
      <c r="G49" s="104"/>
      <c r="H49" s="104"/>
      <c r="I49" s="104"/>
      <c r="J49" s="296"/>
    </row>
    <row r="50" spans="2:10" hidden="1">
      <c r="B50" s="294"/>
      <c r="C50" s="295"/>
      <c r="D50" s="295"/>
      <c r="E50" s="295"/>
      <c r="F50" s="288"/>
      <c r="G50" s="288"/>
      <c r="H50" s="288"/>
      <c r="I50" s="288"/>
      <c r="J50" s="296"/>
    </row>
    <row r="51" spans="2:10" hidden="1">
      <c r="B51" s="294"/>
      <c r="C51" s="295"/>
      <c r="D51" s="295"/>
      <c r="E51" s="295"/>
      <c r="F51" s="104"/>
      <c r="G51" s="104"/>
      <c r="H51" s="104"/>
      <c r="I51" s="104"/>
      <c r="J51" s="296"/>
    </row>
    <row r="52" spans="2:10" hidden="1">
      <c r="B52" s="294"/>
      <c r="C52" s="295"/>
      <c r="D52" s="295"/>
      <c r="E52" s="295"/>
      <c r="F52" s="104"/>
      <c r="G52" s="104"/>
      <c r="H52" s="104"/>
      <c r="I52" s="104"/>
      <c r="J52" s="296"/>
    </row>
    <row r="53" spans="2:10" hidden="1">
      <c r="B53" s="294" t="s">
        <v>148</v>
      </c>
      <c r="C53" s="295"/>
      <c r="D53" s="295"/>
      <c r="E53" s="295"/>
      <c r="F53" s="104"/>
      <c r="G53" s="104"/>
      <c r="H53" s="104"/>
      <c r="I53" s="104"/>
      <c r="J53" s="296"/>
    </row>
    <row r="54" spans="2:10" hidden="1">
      <c r="B54" s="294"/>
      <c r="C54" s="295"/>
      <c r="D54" s="295"/>
      <c r="E54" s="295"/>
      <c r="F54" s="288"/>
      <c r="G54" s="288"/>
      <c r="H54" s="288"/>
      <c r="I54" s="288"/>
      <c r="J54" s="296"/>
    </row>
    <row r="55" spans="2:10" hidden="1">
      <c r="B55" s="294"/>
      <c r="C55" s="295"/>
      <c r="D55" s="295"/>
      <c r="E55" s="295"/>
      <c r="F55" s="104"/>
      <c r="G55" s="104"/>
      <c r="H55" s="104"/>
      <c r="I55" s="104"/>
      <c r="J55" s="296"/>
    </row>
    <row r="56" spans="2:10" hidden="1">
      <c r="B56" s="294" t="s">
        <v>149</v>
      </c>
      <c r="C56" s="295"/>
      <c r="D56" s="301"/>
      <c r="E56" s="301"/>
      <c r="F56" s="104"/>
      <c r="G56" s="104"/>
      <c r="H56" s="104"/>
      <c r="I56" s="104"/>
      <c r="J56" s="296"/>
    </row>
    <row r="57" spans="2:10" hidden="1">
      <c r="B57" s="294"/>
      <c r="C57" s="295"/>
      <c r="D57" s="295"/>
      <c r="E57" s="295"/>
      <c r="F57" s="104"/>
      <c r="G57" s="104"/>
      <c r="H57" s="104"/>
      <c r="I57" s="104"/>
      <c r="J57" s="296"/>
    </row>
    <row r="58" spans="2:10" hidden="1">
      <c r="B58" s="294"/>
      <c r="C58" s="295"/>
      <c r="D58" s="301"/>
      <c r="E58" s="301"/>
      <c r="F58" s="104"/>
      <c r="G58" s="104"/>
      <c r="H58" s="104"/>
      <c r="I58" s="104"/>
      <c r="J58" s="296"/>
    </row>
    <row r="59" spans="2:10" hidden="1">
      <c r="B59" s="294"/>
      <c r="C59" s="295"/>
      <c r="D59" s="301"/>
      <c r="E59" s="301"/>
      <c r="F59" s="104"/>
      <c r="G59" s="104"/>
      <c r="H59" s="104"/>
      <c r="I59" s="104"/>
      <c r="J59" s="296"/>
    </row>
    <row r="60" spans="2:10" hidden="1">
      <c r="B60" s="294"/>
      <c r="C60" s="295"/>
      <c r="D60" s="301"/>
      <c r="E60" s="301"/>
      <c r="F60" s="104"/>
      <c r="G60" s="104"/>
      <c r="H60" s="104"/>
      <c r="I60" s="104"/>
      <c r="J60" s="296"/>
    </row>
    <row r="61" spans="2:10" hidden="1">
      <c r="B61" s="294"/>
      <c r="C61" s="295"/>
      <c r="D61" s="301"/>
      <c r="E61" s="301"/>
      <c r="F61" s="104"/>
      <c r="G61" s="104"/>
      <c r="H61" s="104"/>
      <c r="I61" s="104"/>
      <c r="J61" s="296"/>
    </row>
    <row r="62" spans="2:10" hidden="1">
      <c r="B62" s="294"/>
      <c r="C62" s="295"/>
      <c r="D62" s="301"/>
      <c r="E62" s="301"/>
      <c r="F62" s="104"/>
      <c r="G62" s="104"/>
      <c r="H62" s="104"/>
      <c r="I62" s="104"/>
      <c r="J62" s="296"/>
    </row>
    <row r="63" spans="2:10" hidden="1">
      <c r="B63" s="294"/>
      <c r="C63" s="295"/>
      <c r="D63" s="301"/>
      <c r="E63" s="301"/>
      <c r="F63" s="104"/>
      <c r="G63" s="104"/>
      <c r="H63" s="104"/>
      <c r="I63" s="104"/>
      <c r="J63" s="296"/>
    </row>
    <row r="64" spans="2:10" hidden="1">
      <c r="B64" s="294"/>
      <c r="C64" s="295"/>
      <c r="D64" s="303"/>
      <c r="E64" s="301"/>
      <c r="F64" s="104"/>
      <c r="G64" s="104"/>
      <c r="H64" s="104"/>
      <c r="I64" s="104"/>
      <c r="J64" s="296"/>
    </row>
    <row r="65" spans="2:10" hidden="1">
      <c r="B65" s="294"/>
      <c r="C65" s="295"/>
      <c r="D65" s="295"/>
      <c r="E65" s="295"/>
      <c r="F65" s="288"/>
      <c r="G65" s="288"/>
      <c r="H65" s="288"/>
      <c r="I65" s="288"/>
      <c r="J65" s="296"/>
    </row>
    <row r="66" spans="2:10" hidden="1">
      <c r="B66" s="294"/>
      <c r="C66" s="295"/>
      <c r="D66" s="295"/>
      <c r="E66" s="295"/>
      <c r="F66" s="104"/>
      <c r="G66" s="104"/>
      <c r="H66" s="104"/>
      <c r="I66" s="104"/>
      <c r="J66" s="296"/>
    </row>
    <row r="67" spans="2:10" hidden="1">
      <c r="B67" s="294" t="s">
        <v>150</v>
      </c>
      <c r="C67" s="295"/>
      <c r="D67" s="301"/>
      <c r="E67" s="301"/>
      <c r="F67" s="104"/>
      <c r="G67" s="104"/>
      <c r="H67" s="104"/>
      <c r="I67" s="104"/>
      <c r="J67" s="296"/>
    </row>
    <row r="68" spans="2:10" hidden="1">
      <c r="B68" s="294"/>
      <c r="C68" s="295"/>
      <c r="D68" s="295"/>
      <c r="E68" s="295"/>
      <c r="F68" s="288"/>
      <c r="G68" s="288"/>
      <c r="H68" s="288"/>
      <c r="I68" s="288"/>
      <c r="J68" s="296"/>
    </row>
    <row r="69" spans="2:10" hidden="1">
      <c r="B69" s="294"/>
      <c r="C69" s="295"/>
      <c r="D69" s="295"/>
      <c r="E69" s="295"/>
      <c r="F69" s="104"/>
      <c r="G69" s="104"/>
      <c r="H69" s="104"/>
      <c r="I69" s="104"/>
      <c r="J69" s="296"/>
    </row>
    <row r="70" spans="2:10" hidden="1">
      <c r="B70" s="294" t="s">
        <v>151</v>
      </c>
      <c r="C70" s="295"/>
      <c r="D70" s="295"/>
      <c r="E70" s="295"/>
      <c r="F70" s="104"/>
      <c r="G70" s="104"/>
      <c r="H70" s="104"/>
      <c r="I70" s="104"/>
      <c r="J70" s="296"/>
    </row>
    <row r="71" spans="2:10" hidden="1">
      <c r="B71" s="294"/>
      <c r="C71" s="295"/>
      <c r="D71" s="295"/>
      <c r="E71" s="295"/>
      <c r="F71" s="104"/>
      <c r="G71" s="104"/>
      <c r="H71" s="104"/>
      <c r="I71" s="104"/>
      <c r="J71" s="296"/>
    </row>
    <row r="72" spans="2:10" hidden="1">
      <c r="B72" s="294"/>
      <c r="C72" s="295"/>
      <c r="D72" s="295"/>
      <c r="E72" s="295"/>
      <c r="F72" s="104"/>
      <c r="G72" s="104"/>
      <c r="H72" s="104"/>
      <c r="I72" s="104"/>
      <c r="J72" s="296"/>
    </row>
    <row r="73" spans="2:10" hidden="1">
      <c r="B73" s="294"/>
      <c r="C73" s="295"/>
      <c r="D73" s="295"/>
      <c r="E73" s="295"/>
      <c r="F73" s="104"/>
      <c r="G73" s="104"/>
      <c r="H73" s="104"/>
      <c r="I73" s="104"/>
      <c r="J73" s="296"/>
    </row>
    <row r="74" spans="2:10">
      <c r="B74" s="294"/>
      <c r="C74" s="295"/>
      <c r="D74" s="301"/>
      <c r="E74" s="301"/>
      <c r="F74" s="104"/>
      <c r="G74" s="104"/>
      <c r="H74" s="104"/>
      <c r="I74" s="104"/>
      <c r="J74" s="296"/>
    </row>
    <row r="75" spans="2:10">
      <c r="B75" s="123" t="s">
        <v>764</v>
      </c>
      <c r="C75" s="135"/>
      <c r="D75" s="136" t="s">
        <v>765</v>
      </c>
      <c r="E75" s="137"/>
      <c r="F75" s="138">
        <v>445684</v>
      </c>
      <c r="G75" s="139"/>
      <c r="H75" s="138">
        <v>445684</v>
      </c>
      <c r="I75" s="139"/>
      <c r="J75" s="138">
        <f>(F75+H75)/2</f>
        <v>445684</v>
      </c>
    </row>
    <row r="76" spans="2:10">
      <c r="B76" s="123"/>
      <c r="C76" s="135"/>
      <c r="D76" s="137"/>
      <c r="E76" s="137"/>
      <c r="F76" s="139"/>
      <c r="G76" s="139"/>
      <c r="H76" s="139"/>
      <c r="I76" s="139"/>
      <c r="J76" s="139"/>
    </row>
    <row r="77" spans="2:10">
      <c r="B77" s="123" t="s">
        <v>766</v>
      </c>
      <c r="C77" s="135"/>
      <c r="D77" s="136" t="s">
        <v>765</v>
      </c>
      <c r="E77" s="137"/>
      <c r="F77" s="138">
        <v>1094758</v>
      </c>
      <c r="G77" s="139"/>
      <c r="H77" s="138">
        <v>1094758</v>
      </c>
      <c r="I77" s="139"/>
      <c r="J77" s="138">
        <f>(F77+H77)/2</f>
        <v>1094758</v>
      </c>
    </row>
    <row r="78" spans="2:10">
      <c r="B78" s="123"/>
      <c r="C78" s="135"/>
      <c r="D78" s="137"/>
      <c r="E78" s="137"/>
      <c r="F78" s="139"/>
      <c r="G78" s="139"/>
      <c r="H78" s="139"/>
      <c r="I78" s="139"/>
      <c r="J78" s="139"/>
    </row>
    <row r="79" spans="2:10">
      <c r="B79" s="123" t="s">
        <v>767</v>
      </c>
      <c r="C79" s="135"/>
      <c r="D79" s="136" t="s">
        <v>765</v>
      </c>
      <c r="E79" s="135"/>
      <c r="F79" s="138">
        <v>1094758</v>
      </c>
      <c r="G79" s="139"/>
      <c r="H79" s="138">
        <v>1094758</v>
      </c>
      <c r="I79" s="139"/>
      <c r="J79" s="138">
        <f>(F79+H79)/2</f>
        <v>1094758</v>
      </c>
    </row>
    <row r="80" spans="2:10">
      <c r="B80" s="123"/>
      <c r="C80" s="135"/>
      <c r="D80" s="137"/>
      <c r="E80" s="137"/>
      <c r="F80" s="139"/>
      <c r="G80" s="139"/>
      <c r="H80" s="139"/>
      <c r="I80" s="139"/>
      <c r="J80" s="139"/>
    </row>
    <row r="81" spans="2:10">
      <c r="B81" s="123" t="s">
        <v>768</v>
      </c>
      <c r="C81" s="135"/>
      <c r="D81" s="136" t="s">
        <v>765</v>
      </c>
      <c r="E81" s="135"/>
      <c r="F81" s="138">
        <v>1094758</v>
      </c>
      <c r="G81" s="139"/>
      <c r="H81" s="138">
        <v>1094758</v>
      </c>
      <c r="I81" s="139"/>
      <c r="J81" s="138">
        <f>(F81+H81)/2</f>
        <v>1094758</v>
      </c>
    </row>
    <row r="82" spans="2:10">
      <c r="B82" s="123"/>
      <c r="C82" s="135"/>
      <c r="D82" s="136"/>
      <c r="E82" s="135"/>
      <c r="F82" s="138"/>
      <c r="G82" s="139"/>
      <c r="H82" s="138"/>
      <c r="I82" s="139"/>
      <c r="J82" s="138"/>
    </row>
    <row r="83" spans="2:10">
      <c r="B83" s="123" t="s">
        <v>703</v>
      </c>
      <c r="C83" s="135"/>
      <c r="D83" s="136"/>
      <c r="E83" s="135"/>
      <c r="F83" s="138">
        <v>3836955</v>
      </c>
      <c r="G83" s="139"/>
      <c r="H83" s="138">
        <v>3836955</v>
      </c>
      <c r="I83" s="139"/>
      <c r="J83" s="138">
        <f>(F83+H83)/2</f>
        <v>3836955</v>
      </c>
    </row>
    <row r="84" spans="2:10" ht="12" customHeight="1">
      <c r="B84" s="294"/>
      <c r="C84" s="295"/>
      <c r="D84" s="295"/>
      <c r="E84" s="295"/>
      <c r="F84" s="104"/>
      <c r="G84" s="104"/>
      <c r="H84" s="104"/>
      <c r="I84" s="104"/>
      <c r="J84" s="296"/>
    </row>
    <row r="85" spans="2:10">
      <c r="B85" s="8" t="s">
        <v>381</v>
      </c>
      <c r="C85" s="158"/>
      <c r="D85" s="158"/>
      <c r="E85" s="158"/>
      <c r="F85" s="304">
        <f>SUM(F75:F83)</f>
        <v>7566913</v>
      </c>
      <c r="G85" s="304"/>
      <c r="H85" s="304">
        <f>SUM(H75:H83)</f>
        <v>7566913</v>
      </c>
      <c r="I85" s="304"/>
      <c r="J85" s="305">
        <f>(F85+H85)/2</f>
        <v>7566913</v>
      </c>
    </row>
    <row r="86" spans="2:10">
      <c r="C86" s="158"/>
      <c r="D86" s="158"/>
      <c r="E86" s="158"/>
      <c r="F86" s="158"/>
      <c r="G86" s="158"/>
      <c r="H86" s="158"/>
      <c r="I86" s="158"/>
      <c r="J86" s="158"/>
    </row>
    <row r="87" spans="2:10">
      <c r="C87" s="158"/>
      <c r="D87" s="158"/>
      <c r="E87" s="158"/>
      <c r="F87" s="158"/>
      <c r="G87" s="158"/>
      <c r="H87" s="158"/>
      <c r="I87" s="158"/>
      <c r="J87" s="158"/>
    </row>
    <row r="88" spans="2:10">
      <c r="C88" s="158"/>
      <c r="D88" s="158"/>
      <c r="E88" s="158"/>
      <c r="F88" s="158"/>
      <c r="G88" s="158"/>
      <c r="H88" s="158"/>
      <c r="I88" s="158"/>
      <c r="J88" s="158"/>
    </row>
    <row r="89" spans="2:10">
      <c r="C89" s="158"/>
      <c r="D89" s="158"/>
      <c r="E89" s="158"/>
      <c r="F89" s="158"/>
      <c r="G89" s="158"/>
      <c r="H89" s="158"/>
      <c r="I89" s="158"/>
      <c r="J89" s="158"/>
    </row>
    <row r="90" spans="2:10">
      <c r="C90" s="158"/>
      <c r="D90" s="158"/>
      <c r="E90" s="158"/>
      <c r="F90" s="158"/>
      <c r="G90" s="158"/>
      <c r="H90" s="158"/>
      <c r="I90" s="158"/>
      <c r="J90" s="158"/>
    </row>
  </sheetData>
  <mergeCells count="5">
    <mergeCell ref="J1:K1"/>
    <mergeCell ref="J3:K3"/>
    <mergeCell ref="A5:J5"/>
    <mergeCell ref="A7:J7"/>
    <mergeCell ref="A8:J8"/>
  </mergeCells>
  <phoneticPr fontId="0" type="noConversion"/>
  <printOptions horizontalCentered="1"/>
  <pageMargins left="0.5" right="0.5" top="0.75" bottom="0.5" header="0.5" footer="0.5"/>
  <pageSetup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workbookViewId="0"/>
  </sheetViews>
  <sheetFormatPr defaultRowHeight="12.75"/>
  <cols>
    <col min="1" max="1" width="8.85546875" style="3" customWidth="1"/>
    <col min="2" max="2" width="47.140625" style="3" customWidth="1"/>
    <col min="3" max="3" width="3.7109375" style="3" customWidth="1"/>
    <col min="4" max="4" width="21.7109375" style="3" bestFit="1" customWidth="1"/>
    <col min="5" max="5" width="3.7109375" style="3" customWidth="1"/>
    <col min="6" max="7" width="9.140625" style="3"/>
    <col min="8" max="8" width="3.7109375" style="3" customWidth="1"/>
    <col min="9" max="9" width="11.28515625" style="3" bestFit="1" customWidth="1"/>
    <col min="10" max="16384" width="9.140625" style="3"/>
  </cols>
  <sheetData>
    <row r="1" spans="1:10" ht="15">
      <c r="A1" s="5"/>
      <c r="B1" s="5"/>
      <c r="C1" s="5"/>
      <c r="D1" s="5"/>
      <c r="E1" s="5"/>
      <c r="F1" s="5"/>
      <c r="G1" s="5"/>
      <c r="H1" s="5"/>
      <c r="I1" s="335" t="s">
        <v>910</v>
      </c>
      <c r="J1" s="335"/>
    </row>
    <row r="2" spans="1:10" ht="15">
      <c r="A2" s="5"/>
      <c r="B2" s="5"/>
      <c r="C2" s="5"/>
      <c r="D2" s="5"/>
      <c r="E2" s="5"/>
      <c r="F2" s="5"/>
      <c r="G2" s="5"/>
      <c r="H2" s="5"/>
      <c r="I2" s="234" t="s">
        <v>771</v>
      </c>
      <c r="J2" s="234"/>
    </row>
    <row r="3" spans="1:10">
      <c r="A3" s="5"/>
      <c r="B3" s="24"/>
      <c r="C3" s="24"/>
      <c r="D3" s="5"/>
      <c r="E3" s="5"/>
      <c r="F3" s="5"/>
      <c r="G3" s="5"/>
      <c r="H3" s="5"/>
      <c r="I3" s="337" t="str">
        <f>"Year Ending "&amp;L_YR_P</f>
        <v>Year Ending 12/31/2011</v>
      </c>
      <c r="J3" s="345"/>
    </row>
    <row r="4" spans="1:10">
      <c r="A4" s="5"/>
      <c r="B4" s="24"/>
      <c r="C4" s="24"/>
      <c r="D4" s="5"/>
      <c r="E4" s="5"/>
      <c r="F4" s="5"/>
      <c r="G4" s="5"/>
      <c r="H4" s="5"/>
      <c r="I4" s="228"/>
      <c r="J4" s="228"/>
    </row>
    <row r="5" spans="1:10">
      <c r="A5" s="177" t="s">
        <v>924</v>
      </c>
      <c r="B5" s="306"/>
      <c r="C5" s="306"/>
      <c r="D5" s="306"/>
      <c r="E5" s="306"/>
      <c r="F5" s="306"/>
      <c r="G5" s="306"/>
      <c r="H5" s="306"/>
      <c r="I5" s="306"/>
      <c r="J5" s="228"/>
    </row>
    <row r="6" spans="1:10">
      <c r="A6" s="177" t="s">
        <v>377</v>
      </c>
      <c r="B6" s="306"/>
      <c r="C6" s="306"/>
      <c r="D6" s="306"/>
      <c r="E6" s="306"/>
      <c r="F6" s="306"/>
      <c r="G6" s="306"/>
      <c r="H6" s="306"/>
      <c r="I6" s="306"/>
      <c r="J6" s="228"/>
    </row>
    <row r="7" spans="1:10">
      <c r="A7" s="5"/>
      <c r="B7" s="24"/>
      <c r="C7" s="24"/>
      <c r="D7" s="5"/>
      <c r="E7" s="5"/>
      <c r="F7" s="5"/>
      <c r="G7" s="5"/>
      <c r="H7" s="5"/>
      <c r="I7" s="5"/>
      <c r="J7" s="5"/>
    </row>
    <row r="8" spans="1:10">
      <c r="A8" s="25"/>
      <c r="B8" s="26"/>
      <c r="C8" s="26"/>
      <c r="D8" s="26"/>
      <c r="E8" s="27"/>
      <c r="F8" s="27"/>
      <c r="G8" s="27"/>
      <c r="H8" s="27"/>
      <c r="I8" s="27"/>
      <c r="J8" s="27"/>
    </row>
    <row r="9" spans="1:10">
      <c r="A9" s="25"/>
      <c r="B9" s="26"/>
      <c r="C9" s="26"/>
      <c r="D9" s="235" t="s">
        <v>230</v>
      </c>
      <c r="E9" s="27"/>
      <c r="F9" s="28" t="s">
        <v>23</v>
      </c>
      <c r="G9" s="28" t="s">
        <v>231</v>
      </c>
      <c r="H9" s="28"/>
      <c r="I9" s="28" t="s">
        <v>232</v>
      </c>
      <c r="J9" s="27"/>
    </row>
    <row r="10" spans="1:10">
      <c r="A10" s="25" t="s">
        <v>233</v>
      </c>
      <c r="B10" s="25" t="s">
        <v>3</v>
      </c>
      <c r="C10" s="29"/>
      <c r="D10" s="235" t="str">
        <f>"Tax at 12/31/"&amp;YR-1</f>
        <v>Tax at 12/31/2011</v>
      </c>
      <c r="E10" s="5"/>
      <c r="F10" s="5"/>
      <c r="G10" s="5"/>
      <c r="H10" s="5"/>
      <c r="I10" s="5"/>
      <c r="J10" s="5"/>
    </row>
    <row r="11" spans="1:10">
      <c r="A11" s="25"/>
      <c r="B11" s="25"/>
      <c r="C11" s="29"/>
      <c r="D11" s="235"/>
      <c r="E11" s="5"/>
      <c r="F11" s="5"/>
      <c r="G11" s="5"/>
      <c r="H11" s="5"/>
      <c r="I11" s="5"/>
      <c r="J11" s="5"/>
    </row>
    <row r="12" spans="1:10">
      <c r="A12" s="140">
        <v>190</v>
      </c>
      <c r="B12" s="9" t="s">
        <v>931</v>
      </c>
      <c r="C12" s="9"/>
      <c r="D12" s="9">
        <v>2057974</v>
      </c>
      <c r="E12" s="9"/>
      <c r="F12" s="9" t="s">
        <v>234</v>
      </c>
      <c r="G12" s="115">
        <f t="shared" ref="G12:G75" si="0">VLOOKUP(F12,ALLOCATORS,2,FALSE)</f>
        <v>0</v>
      </c>
      <c r="H12" s="106"/>
      <c r="I12" s="9">
        <f>D12*G12</f>
        <v>0</v>
      </c>
      <c r="J12" s="5"/>
    </row>
    <row r="13" spans="1:10">
      <c r="A13" s="140">
        <v>190</v>
      </c>
      <c r="B13" s="9" t="s">
        <v>932</v>
      </c>
      <c r="C13" s="9"/>
      <c r="D13" s="9">
        <v>4805508</v>
      </c>
      <c r="E13" s="9"/>
      <c r="F13" s="9" t="s">
        <v>238</v>
      </c>
      <c r="G13" s="115">
        <f t="shared" si="0"/>
        <v>0</v>
      </c>
      <c r="H13" s="106"/>
      <c r="I13" s="9">
        <f t="shared" ref="I13:I76" si="1">D13*G13</f>
        <v>0</v>
      </c>
      <c r="J13" s="5"/>
    </row>
    <row r="14" spans="1:10">
      <c r="A14" s="140">
        <v>190</v>
      </c>
      <c r="B14" s="9" t="s">
        <v>933</v>
      </c>
      <c r="C14" s="9"/>
      <c r="D14" s="9">
        <v>13116</v>
      </c>
      <c r="E14" s="9"/>
      <c r="F14" s="9" t="s">
        <v>236</v>
      </c>
      <c r="G14" s="115">
        <f t="shared" si="0"/>
        <v>0</v>
      </c>
      <c r="H14" s="106"/>
      <c r="I14" s="9">
        <f t="shared" si="1"/>
        <v>0</v>
      </c>
      <c r="J14" s="5"/>
    </row>
    <row r="15" spans="1:10">
      <c r="A15" s="140">
        <v>190</v>
      </c>
      <c r="B15" s="9" t="s">
        <v>934</v>
      </c>
      <c r="C15" s="9"/>
      <c r="D15" s="9">
        <v>655775</v>
      </c>
      <c r="E15" s="9"/>
      <c r="F15" s="9" t="s">
        <v>37</v>
      </c>
      <c r="G15" s="115">
        <f t="shared" si="0"/>
        <v>0.18262006498391903</v>
      </c>
      <c r="H15" s="106"/>
      <c r="I15" s="9">
        <f t="shared" si="1"/>
        <v>119757.67311482951</v>
      </c>
      <c r="J15" s="5"/>
    </row>
    <row r="16" spans="1:10">
      <c r="A16" s="140">
        <v>190</v>
      </c>
      <c r="B16" s="9" t="s">
        <v>935</v>
      </c>
      <c r="C16" s="9"/>
      <c r="D16" s="9">
        <v>1776409</v>
      </c>
      <c r="E16" s="9"/>
      <c r="F16" s="9" t="s">
        <v>238</v>
      </c>
      <c r="G16" s="115">
        <f t="shared" si="0"/>
        <v>0</v>
      </c>
      <c r="H16" s="106"/>
      <c r="I16" s="9">
        <f t="shared" si="1"/>
        <v>0</v>
      </c>
      <c r="J16" s="5"/>
    </row>
    <row r="17" spans="1:10">
      <c r="A17" s="140">
        <v>190</v>
      </c>
      <c r="B17" s="9" t="s">
        <v>936</v>
      </c>
      <c r="C17" s="9"/>
      <c r="D17" s="9">
        <v>285783</v>
      </c>
      <c r="E17" s="9"/>
      <c r="F17" s="9" t="s">
        <v>235</v>
      </c>
      <c r="G17" s="115">
        <f t="shared" si="0"/>
        <v>6.5736053966476971E-2</v>
      </c>
      <c r="H17" s="106"/>
      <c r="I17" s="9">
        <f t="shared" si="1"/>
        <v>18786.246710701689</v>
      </c>
      <c r="J17" s="5"/>
    </row>
    <row r="18" spans="1:10">
      <c r="A18" s="140">
        <v>190</v>
      </c>
      <c r="B18" s="9" t="s">
        <v>937</v>
      </c>
      <c r="C18" s="9"/>
      <c r="D18" s="9">
        <v>0</v>
      </c>
      <c r="E18" s="9"/>
      <c r="F18" s="9" t="s">
        <v>235</v>
      </c>
      <c r="G18" s="115">
        <f t="shared" si="0"/>
        <v>6.5736053966476971E-2</v>
      </c>
      <c r="H18" s="106"/>
      <c r="I18" s="9">
        <f t="shared" si="1"/>
        <v>0</v>
      </c>
      <c r="J18" s="5"/>
    </row>
    <row r="19" spans="1:10">
      <c r="A19" s="140">
        <v>190</v>
      </c>
      <c r="B19" s="9" t="s">
        <v>938</v>
      </c>
      <c r="C19" s="9"/>
      <c r="D19" s="9">
        <v>1325578</v>
      </c>
      <c r="E19" s="9"/>
      <c r="F19" s="9" t="s">
        <v>235</v>
      </c>
      <c r="G19" s="115">
        <f t="shared" si="0"/>
        <v>6.5736053966476971E-2</v>
      </c>
      <c r="H19" s="106"/>
      <c r="I19" s="9">
        <f t="shared" si="1"/>
        <v>87138.266944774616</v>
      </c>
      <c r="J19" s="5"/>
    </row>
    <row r="20" spans="1:10">
      <c r="A20" s="140">
        <v>190</v>
      </c>
      <c r="B20" s="9" t="s">
        <v>939</v>
      </c>
      <c r="C20" s="9"/>
      <c r="D20" s="9">
        <v>1683779</v>
      </c>
      <c r="E20" s="9"/>
      <c r="F20" s="9" t="s">
        <v>235</v>
      </c>
      <c r="G20" s="115">
        <f t="shared" si="0"/>
        <v>6.5736053966476971E-2</v>
      </c>
      <c r="H20" s="106"/>
      <c r="I20" s="9">
        <f t="shared" si="1"/>
        <v>110684.98721162062</v>
      </c>
      <c r="J20" s="5"/>
    </row>
    <row r="21" spans="1:10">
      <c r="A21" s="140">
        <v>190</v>
      </c>
      <c r="B21" s="9" t="s">
        <v>940</v>
      </c>
      <c r="C21" s="9"/>
      <c r="D21" s="9">
        <v>1798409</v>
      </c>
      <c r="E21" s="9"/>
      <c r="F21" s="9" t="s">
        <v>1000</v>
      </c>
      <c r="G21" s="115">
        <f t="shared" si="0"/>
        <v>0</v>
      </c>
      <c r="H21" s="106"/>
      <c r="I21" s="9">
        <f t="shared" si="1"/>
        <v>0</v>
      </c>
      <c r="J21" s="5"/>
    </row>
    <row r="22" spans="1:10">
      <c r="A22" s="140">
        <v>190</v>
      </c>
      <c r="B22" s="142" t="s">
        <v>941</v>
      </c>
      <c r="C22" s="9"/>
      <c r="D22" s="9">
        <v>8436035</v>
      </c>
      <c r="E22" s="9"/>
      <c r="F22" s="9" t="s">
        <v>235</v>
      </c>
      <c r="G22" s="115">
        <f t="shared" si="0"/>
        <v>6.5736053966476971E-2</v>
      </c>
      <c r="H22" s="106"/>
      <c r="I22" s="9">
        <f t="shared" si="1"/>
        <v>554551.65202308854</v>
      </c>
      <c r="J22" s="5"/>
    </row>
    <row r="23" spans="1:10">
      <c r="A23" s="140">
        <v>190</v>
      </c>
      <c r="B23" s="9" t="s">
        <v>942</v>
      </c>
      <c r="C23" s="9"/>
      <c r="D23" s="9">
        <v>-120368</v>
      </c>
      <c r="E23" s="9"/>
      <c r="F23" s="9" t="s">
        <v>236</v>
      </c>
      <c r="G23" s="115">
        <f t="shared" si="0"/>
        <v>0</v>
      </c>
      <c r="H23" s="106"/>
      <c r="I23" s="9">
        <f t="shared" si="1"/>
        <v>0</v>
      </c>
      <c r="J23" s="5"/>
    </row>
    <row r="24" spans="1:10">
      <c r="A24" s="140">
        <v>190</v>
      </c>
      <c r="B24" s="9" t="s">
        <v>943</v>
      </c>
      <c r="C24" s="9"/>
      <c r="D24" s="9">
        <v>1632052</v>
      </c>
      <c r="E24" s="9"/>
      <c r="F24" s="9" t="s">
        <v>238</v>
      </c>
      <c r="G24" s="115">
        <f t="shared" si="0"/>
        <v>0</v>
      </c>
      <c r="H24" s="106"/>
      <c r="I24" s="9">
        <f t="shared" si="1"/>
        <v>0</v>
      </c>
      <c r="J24" s="5"/>
    </row>
    <row r="25" spans="1:10">
      <c r="A25" s="140">
        <v>190</v>
      </c>
      <c r="B25" s="9" t="s">
        <v>944</v>
      </c>
      <c r="C25" s="9"/>
      <c r="D25" s="9">
        <v>37384484</v>
      </c>
      <c r="E25" s="9"/>
      <c r="F25" s="9" t="s">
        <v>234</v>
      </c>
      <c r="G25" s="115">
        <f t="shared" si="0"/>
        <v>0</v>
      </c>
      <c r="H25" s="106"/>
      <c r="I25" s="9">
        <f t="shared" si="1"/>
        <v>0</v>
      </c>
      <c r="J25" s="5"/>
    </row>
    <row r="26" spans="1:10">
      <c r="A26" s="140">
        <v>190</v>
      </c>
      <c r="B26" s="9" t="s">
        <v>945</v>
      </c>
      <c r="C26" s="9"/>
      <c r="D26" s="9">
        <v>3065337</v>
      </c>
      <c r="E26" s="9"/>
      <c r="F26" s="9" t="s">
        <v>235</v>
      </c>
      <c r="G26" s="115">
        <f t="shared" si="0"/>
        <v>6.5736053966476971E-2</v>
      </c>
      <c r="H26" s="106"/>
      <c r="I26" s="9">
        <f t="shared" si="1"/>
        <v>201503.15845743861</v>
      </c>
      <c r="J26" s="5"/>
    </row>
    <row r="27" spans="1:10">
      <c r="A27" s="140">
        <v>190</v>
      </c>
      <c r="B27" s="9" t="s">
        <v>946</v>
      </c>
      <c r="C27" s="9"/>
      <c r="D27" s="9">
        <v>231001</v>
      </c>
      <c r="E27" s="9"/>
      <c r="F27" s="9" t="s">
        <v>238</v>
      </c>
      <c r="G27" s="115">
        <f t="shared" si="0"/>
        <v>0</v>
      </c>
      <c r="H27" s="106"/>
      <c r="I27" s="9">
        <f t="shared" si="1"/>
        <v>0</v>
      </c>
      <c r="J27" s="5"/>
    </row>
    <row r="28" spans="1:10">
      <c r="A28" s="140">
        <v>190</v>
      </c>
      <c r="B28" s="9" t="s">
        <v>947</v>
      </c>
      <c r="C28" s="9"/>
      <c r="D28" s="9">
        <v>0</v>
      </c>
      <c r="E28" s="9"/>
      <c r="F28" s="9" t="s">
        <v>37</v>
      </c>
      <c r="G28" s="115">
        <f t="shared" si="0"/>
        <v>0.18262006498391903</v>
      </c>
      <c r="H28" s="106"/>
      <c r="I28" s="9">
        <f t="shared" si="1"/>
        <v>0</v>
      </c>
      <c r="J28" s="5"/>
    </row>
    <row r="29" spans="1:10">
      <c r="A29" s="140">
        <v>190</v>
      </c>
      <c r="B29" s="9" t="s">
        <v>948</v>
      </c>
      <c r="C29" s="9"/>
      <c r="D29" s="9">
        <v>380733</v>
      </c>
      <c r="E29" s="9"/>
      <c r="F29" s="9" t="s">
        <v>37</v>
      </c>
      <c r="G29" s="115">
        <f t="shared" si="0"/>
        <v>0.18262006498391903</v>
      </c>
      <c r="H29" s="106"/>
      <c r="I29" s="9">
        <f t="shared" si="1"/>
        <v>69529.485201522446</v>
      </c>
      <c r="J29" s="5"/>
    </row>
    <row r="30" spans="1:10">
      <c r="A30" s="140">
        <v>190</v>
      </c>
      <c r="B30" s="9" t="s">
        <v>949</v>
      </c>
      <c r="C30" s="9"/>
      <c r="D30" s="9">
        <v>41138430</v>
      </c>
      <c r="E30" s="9"/>
      <c r="F30" s="9" t="s">
        <v>37</v>
      </c>
      <c r="G30" s="115">
        <f t="shared" si="0"/>
        <v>0.18262006498391903</v>
      </c>
      <c r="H30" s="106"/>
      <c r="I30" s="9">
        <f t="shared" si="1"/>
        <v>7512702.7599364044</v>
      </c>
      <c r="J30" s="5"/>
    </row>
    <row r="31" spans="1:10">
      <c r="A31" s="140">
        <v>190</v>
      </c>
      <c r="B31" s="9" t="s">
        <v>950</v>
      </c>
      <c r="C31" s="9"/>
      <c r="D31" s="9">
        <v>3152303</v>
      </c>
      <c r="E31" s="9"/>
      <c r="F31" s="9" t="s">
        <v>238</v>
      </c>
      <c r="G31" s="115">
        <f t="shared" si="0"/>
        <v>0</v>
      </c>
      <c r="H31" s="106"/>
      <c r="I31" s="9">
        <f t="shared" si="1"/>
        <v>0</v>
      </c>
      <c r="J31" s="5"/>
    </row>
    <row r="32" spans="1:10">
      <c r="A32" s="140">
        <v>190</v>
      </c>
      <c r="B32" s="9" t="s">
        <v>951</v>
      </c>
      <c r="C32" s="9"/>
      <c r="D32" s="9">
        <v>1149570</v>
      </c>
      <c r="E32" s="9"/>
      <c r="F32" s="9" t="s">
        <v>238</v>
      </c>
      <c r="G32" s="115">
        <f t="shared" si="0"/>
        <v>0</v>
      </c>
      <c r="H32" s="106"/>
      <c r="I32" s="9">
        <f t="shared" si="1"/>
        <v>0</v>
      </c>
      <c r="J32" s="5"/>
    </row>
    <row r="33" spans="1:10">
      <c r="A33" s="140">
        <v>190</v>
      </c>
      <c r="B33" s="9" t="s">
        <v>952</v>
      </c>
      <c r="C33" s="9"/>
      <c r="D33" s="9">
        <v>195829333</v>
      </c>
      <c r="E33" s="9"/>
      <c r="F33" s="9" t="s">
        <v>238</v>
      </c>
      <c r="G33" s="115">
        <f t="shared" si="0"/>
        <v>0</v>
      </c>
      <c r="H33" s="106"/>
      <c r="I33" s="9">
        <f t="shared" si="1"/>
        <v>0</v>
      </c>
      <c r="J33" s="5"/>
    </row>
    <row r="34" spans="1:10">
      <c r="A34" s="140">
        <v>190</v>
      </c>
      <c r="B34" s="9" t="s">
        <v>953</v>
      </c>
      <c r="C34" s="9"/>
      <c r="D34" s="9">
        <v>52447030</v>
      </c>
      <c r="E34" s="9"/>
      <c r="F34" s="9" t="s">
        <v>234</v>
      </c>
      <c r="G34" s="115">
        <f t="shared" si="0"/>
        <v>0</v>
      </c>
      <c r="H34" s="106"/>
      <c r="I34" s="9">
        <f t="shared" si="1"/>
        <v>0</v>
      </c>
      <c r="J34" s="5"/>
    </row>
    <row r="35" spans="1:10">
      <c r="A35" s="140">
        <v>190</v>
      </c>
      <c r="B35" s="9" t="s">
        <v>954</v>
      </c>
      <c r="C35" s="9"/>
      <c r="D35" s="9">
        <v>8824449</v>
      </c>
      <c r="E35" s="9"/>
      <c r="F35" s="9" t="s">
        <v>235</v>
      </c>
      <c r="G35" s="115">
        <f t="shared" si="0"/>
        <v>6.5736053966476971E-2</v>
      </c>
      <c r="H35" s="106"/>
      <c r="I35" s="9">
        <f t="shared" si="1"/>
        <v>580084.45568842371</v>
      </c>
      <c r="J35" s="5"/>
    </row>
    <row r="36" spans="1:10">
      <c r="A36" s="140">
        <v>190</v>
      </c>
      <c r="B36" s="9" t="s">
        <v>955</v>
      </c>
      <c r="C36" s="9"/>
      <c r="D36" s="9">
        <v>556791</v>
      </c>
      <c r="E36" s="9"/>
      <c r="F36" s="9" t="s">
        <v>235</v>
      </c>
      <c r="G36" s="115">
        <f t="shared" si="0"/>
        <v>6.5736053966476971E-2</v>
      </c>
      <c r="H36" s="106"/>
      <c r="I36" s="9">
        <f t="shared" si="1"/>
        <v>36601.243224048681</v>
      </c>
      <c r="J36" s="5"/>
    </row>
    <row r="37" spans="1:10">
      <c r="A37" s="140">
        <v>190</v>
      </c>
      <c r="B37" s="9" t="s">
        <v>956</v>
      </c>
      <c r="C37" s="9"/>
      <c r="D37" s="9">
        <v>16853583</v>
      </c>
      <c r="E37" s="9"/>
      <c r="F37" s="9" t="s">
        <v>235</v>
      </c>
      <c r="G37" s="115">
        <f t="shared" si="0"/>
        <v>6.5736053966476971E-2</v>
      </c>
      <c r="H37" s="106"/>
      <c r="I37" s="9">
        <f t="shared" si="1"/>
        <v>1107888.0416164987</v>
      </c>
      <c r="J37" s="5"/>
    </row>
    <row r="38" spans="1:10">
      <c r="A38" s="140">
        <v>190</v>
      </c>
      <c r="B38" s="9" t="s">
        <v>957</v>
      </c>
      <c r="C38" s="9"/>
      <c r="D38" s="9">
        <v>4744739</v>
      </c>
      <c r="E38" s="9"/>
      <c r="F38" s="9" t="s">
        <v>236</v>
      </c>
      <c r="G38" s="115">
        <f t="shared" si="0"/>
        <v>0</v>
      </c>
      <c r="H38" s="106"/>
      <c r="I38" s="9">
        <f t="shared" si="1"/>
        <v>0</v>
      </c>
      <c r="J38" s="5"/>
    </row>
    <row r="39" spans="1:10">
      <c r="A39" s="140">
        <v>190</v>
      </c>
      <c r="B39" s="9" t="s">
        <v>958</v>
      </c>
      <c r="C39" s="9"/>
      <c r="D39" s="9">
        <v>6056278</v>
      </c>
      <c r="E39" s="9"/>
      <c r="F39" s="9" t="s">
        <v>236</v>
      </c>
      <c r="G39" s="115">
        <f t="shared" si="0"/>
        <v>0</v>
      </c>
      <c r="H39" s="106"/>
      <c r="I39" s="9">
        <f t="shared" si="1"/>
        <v>0</v>
      </c>
      <c r="J39" s="5"/>
    </row>
    <row r="40" spans="1:10">
      <c r="A40" s="140">
        <v>190</v>
      </c>
      <c r="B40" s="9" t="s">
        <v>959</v>
      </c>
      <c r="C40" s="9"/>
      <c r="D40" s="9">
        <v>7719487</v>
      </c>
      <c r="E40" s="9"/>
      <c r="F40" s="9" t="s">
        <v>236</v>
      </c>
      <c r="G40" s="115">
        <f t="shared" si="0"/>
        <v>0</v>
      </c>
      <c r="H40" s="106"/>
      <c r="I40" s="9">
        <f t="shared" si="1"/>
        <v>0</v>
      </c>
      <c r="J40" s="5"/>
    </row>
    <row r="41" spans="1:10">
      <c r="A41" s="140">
        <v>190</v>
      </c>
      <c r="B41" s="9" t="s">
        <v>960</v>
      </c>
      <c r="C41" s="9"/>
      <c r="D41" s="9">
        <v>536204</v>
      </c>
      <c r="E41" s="9"/>
      <c r="F41" s="9" t="s">
        <v>235</v>
      </c>
      <c r="G41" s="115">
        <f t="shared" si="0"/>
        <v>6.5736053966476971E-2</v>
      </c>
      <c r="H41" s="106"/>
      <c r="I41" s="9">
        <f t="shared" si="1"/>
        <v>35247.935081040814</v>
      </c>
      <c r="J41" s="5"/>
    </row>
    <row r="42" spans="1:10">
      <c r="A42" s="140">
        <v>190</v>
      </c>
      <c r="B42" s="9" t="s">
        <v>961</v>
      </c>
      <c r="C42" s="9"/>
      <c r="D42" s="9">
        <v>353045</v>
      </c>
      <c r="E42" s="9"/>
      <c r="F42" s="9" t="s">
        <v>235</v>
      </c>
      <c r="G42" s="115">
        <f t="shared" si="0"/>
        <v>6.5736053966476971E-2</v>
      </c>
      <c r="H42" s="106"/>
      <c r="I42" s="9">
        <f t="shared" si="1"/>
        <v>23207.78517259486</v>
      </c>
      <c r="J42" s="5"/>
    </row>
    <row r="43" spans="1:10">
      <c r="A43" s="140">
        <v>190</v>
      </c>
      <c r="B43" s="9" t="s">
        <v>962</v>
      </c>
      <c r="C43" s="9"/>
      <c r="D43" s="9">
        <v>4512195</v>
      </c>
      <c r="E43" s="9"/>
      <c r="F43" s="9" t="s">
        <v>236</v>
      </c>
      <c r="G43" s="115">
        <f t="shared" si="0"/>
        <v>0</v>
      </c>
      <c r="H43" s="106"/>
      <c r="I43" s="9">
        <f t="shared" si="1"/>
        <v>0</v>
      </c>
      <c r="J43" s="5"/>
    </row>
    <row r="44" spans="1:10">
      <c r="A44" s="140">
        <v>190</v>
      </c>
      <c r="B44" s="9" t="s">
        <v>963</v>
      </c>
      <c r="C44" s="9"/>
      <c r="D44" s="9">
        <v>1177422</v>
      </c>
      <c r="E44" s="9"/>
      <c r="F44" s="9" t="s">
        <v>235</v>
      </c>
      <c r="G44" s="115">
        <f t="shared" si="0"/>
        <v>6.5736053966476971E-2</v>
      </c>
      <c r="H44" s="106"/>
      <c r="I44" s="9">
        <f t="shared" si="1"/>
        <v>77399.076133317241</v>
      </c>
      <c r="J44" s="5"/>
    </row>
    <row r="45" spans="1:10">
      <c r="A45" s="140">
        <v>190</v>
      </c>
      <c r="B45" s="9" t="s">
        <v>964</v>
      </c>
      <c r="C45" s="9"/>
      <c r="D45" s="9">
        <v>0</v>
      </c>
      <c r="E45" s="9"/>
      <c r="F45" s="9" t="s">
        <v>236</v>
      </c>
      <c r="G45" s="115">
        <f t="shared" si="0"/>
        <v>0</v>
      </c>
      <c r="H45" s="106"/>
      <c r="I45" s="9">
        <f t="shared" si="1"/>
        <v>0</v>
      </c>
      <c r="J45" s="5"/>
    </row>
    <row r="46" spans="1:10">
      <c r="A46" s="140">
        <v>190</v>
      </c>
      <c r="B46" s="9" t="s">
        <v>965</v>
      </c>
      <c r="C46" s="9"/>
      <c r="D46" s="9">
        <v>0</v>
      </c>
      <c r="E46" s="9"/>
      <c r="F46" s="9" t="s">
        <v>238</v>
      </c>
      <c r="G46" s="115">
        <f t="shared" si="0"/>
        <v>0</v>
      </c>
      <c r="H46" s="106"/>
      <c r="I46" s="9">
        <f t="shared" si="1"/>
        <v>0</v>
      </c>
      <c r="J46" s="5"/>
    </row>
    <row r="47" spans="1:10">
      <c r="A47" s="140">
        <v>190</v>
      </c>
      <c r="B47" s="9" t="s">
        <v>966</v>
      </c>
      <c r="C47" s="9"/>
      <c r="D47" s="9">
        <v>56401352</v>
      </c>
      <c r="E47" s="9"/>
      <c r="F47" s="9" t="s">
        <v>236</v>
      </c>
      <c r="G47" s="115">
        <f t="shared" si="0"/>
        <v>0</v>
      </c>
      <c r="H47" s="106"/>
      <c r="I47" s="9">
        <f t="shared" si="1"/>
        <v>0</v>
      </c>
      <c r="J47" s="5"/>
    </row>
    <row r="48" spans="1:10">
      <c r="A48" s="140">
        <v>190</v>
      </c>
      <c r="B48" s="9" t="s">
        <v>967</v>
      </c>
      <c r="C48" s="9"/>
      <c r="D48" s="9">
        <v>0</v>
      </c>
      <c r="E48" s="9"/>
      <c r="F48" s="9" t="s">
        <v>236</v>
      </c>
      <c r="G48" s="115">
        <f t="shared" si="0"/>
        <v>0</v>
      </c>
      <c r="H48" s="106"/>
      <c r="I48" s="9">
        <f t="shared" si="1"/>
        <v>0</v>
      </c>
      <c r="J48" s="5"/>
    </row>
    <row r="49" spans="1:10">
      <c r="A49" s="140">
        <v>190</v>
      </c>
      <c r="B49" s="9" t="s">
        <v>968</v>
      </c>
      <c r="C49" s="9"/>
      <c r="D49" s="9">
        <v>46445</v>
      </c>
      <c r="E49" s="9"/>
      <c r="F49" s="9" t="s">
        <v>236</v>
      </c>
      <c r="G49" s="115">
        <f t="shared" si="0"/>
        <v>0</v>
      </c>
      <c r="H49" s="106"/>
      <c r="I49" s="9">
        <f t="shared" si="1"/>
        <v>0</v>
      </c>
      <c r="J49" s="5"/>
    </row>
    <row r="50" spans="1:10">
      <c r="A50" s="140">
        <v>190</v>
      </c>
      <c r="B50" s="9" t="s">
        <v>969</v>
      </c>
      <c r="C50" s="9"/>
      <c r="D50" s="9">
        <v>7263597</v>
      </c>
      <c r="E50" s="9"/>
      <c r="F50" s="9" t="s">
        <v>238</v>
      </c>
      <c r="G50" s="115">
        <f t="shared" si="0"/>
        <v>0</v>
      </c>
      <c r="H50" s="106"/>
      <c r="I50" s="9">
        <f t="shared" si="1"/>
        <v>0</v>
      </c>
      <c r="J50" s="5"/>
    </row>
    <row r="51" spans="1:10">
      <c r="A51" s="140">
        <v>190</v>
      </c>
      <c r="B51" s="9" t="s">
        <v>970</v>
      </c>
      <c r="C51" s="9"/>
      <c r="D51" s="9">
        <v>1578299</v>
      </c>
      <c r="E51" s="9"/>
      <c r="F51" s="9" t="s">
        <v>37</v>
      </c>
      <c r="G51" s="115">
        <f t="shared" si="0"/>
        <v>0.18262006498391903</v>
      </c>
      <c r="H51" s="106"/>
      <c r="I51" s="9">
        <f t="shared" si="1"/>
        <v>288229.0659440544</v>
      </c>
      <c r="J51" s="5"/>
    </row>
    <row r="52" spans="1:10">
      <c r="A52" s="140">
        <v>190</v>
      </c>
      <c r="B52" s="9" t="s">
        <v>971</v>
      </c>
      <c r="C52" s="9"/>
      <c r="D52" s="9">
        <v>288557</v>
      </c>
      <c r="E52" s="9"/>
      <c r="F52" s="9" t="s">
        <v>37</v>
      </c>
      <c r="G52" s="115">
        <f t="shared" si="0"/>
        <v>0.18262006498391903</v>
      </c>
      <c r="H52" s="106"/>
      <c r="I52" s="9">
        <f t="shared" si="1"/>
        <v>52696.29809156472</v>
      </c>
      <c r="J52" s="5"/>
    </row>
    <row r="53" spans="1:10">
      <c r="A53" s="140">
        <v>190</v>
      </c>
      <c r="B53" s="9" t="s">
        <v>972</v>
      </c>
      <c r="C53" s="9"/>
      <c r="D53" s="9">
        <v>16159559</v>
      </c>
      <c r="E53" s="9"/>
      <c r="F53" s="9" t="s">
        <v>37</v>
      </c>
      <c r="G53" s="115">
        <f t="shared" si="0"/>
        <v>0.18262006498391903</v>
      </c>
      <c r="H53" s="106"/>
      <c r="I53" s="9">
        <f t="shared" si="1"/>
        <v>2951059.7146914736</v>
      </c>
      <c r="J53" s="5"/>
    </row>
    <row r="54" spans="1:10">
      <c r="A54" s="140">
        <v>190</v>
      </c>
      <c r="B54" s="9" t="s">
        <v>973</v>
      </c>
      <c r="C54" s="9"/>
      <c r="D54" s="9">
        <v>2678314</v>
      </c>
      <c r="E54" s="9"/>
      <c r="F54" s="9" t="s">
        <v>235</v>
      </c>
      <c r="G54" s="115">
        <f t="shared" si="0"/>
        <v>6.5736053966476971E-2</v>
      </c>
      <c r="H54" s="106"/>
      <c r="I54" s="9">
        <f t="shared" si="1"/>
        <v>176061.79364317079</v>
      </c>
      <c r="J54" s="5"/>
    </row>
    <row r="55" spans="1:10">
      <c r="A55" s="140">
        <v>190</v>
      </c>
      <c r="B55" s="9" t="s">
        <v>974</v>
      </c>
      <c r="C55" s="9"/>
      <c r="D55" s="9">
        <v>889454</v>
      </c>
      <c r="E55" s="9"/>
      <c r="F55" s="9" t="s">
        <v>235</v>
      </c>
      <c r="G55" s="115">
        <f t="shared" si="0"/>
        <v>6.5736053966476971E-2</v>
      </c>
      <c r="H55" s="106"/>
      <c r="I55" s="9">
        <f t="shared" si="1"/>
        <v>58469.196144698806</v>
      </c>
      <c r="J55" s="5"/>
    </row>
    <row r="56" spans="1:10">
      <c r="A56" s="140">
        <v>190</v>
      </c>
      <c r="B56" s="9" t="s">
        <v>975</v>
      </c>
      <c r="C56" s="9"/>
      <c r="D56" s="9">
        <v>23622</v>
      </c>
      <c r="E56" s="9"/>
      <c r="F56" s="9" t="s">
        <v>235</v>
      </c>
      <c r="G56" s="115">
        <f t="shared" si="0"/>
        <v>6.5736053966476971E-2</v>
      </c>
      <c r="H56" s="106"/>
      <c r="I56" s="9">
        <f t="shared" si="1"/>
        <v>1552.817066796119</v>
      </c>
      <c r="J56" s="5"/>
    </row>
    <row r="57" spans="1:10">
      <c r="A57" s="140">
        <v>190</v>
      </c>
      <c r="B57" s="9" t="s">
        <v>976</v>
      </c>
      <c r="C57" s="9"/>
      <c r="D57" s="9">
        <v>69635560</v>
      </c>
      <c r="E57" s="9"/>
      <c r="F57" s="9" t="s">
        <v>235</v>
      </c>
      <c r="G57" s="115">
        <f t="shared" si="0"/>
        <v>6.5736053966476971E-2</v>
      </c>
      <c r="H57" s="106"/>
      <c r="I57" s="9">
        <f t="shared" si="1"/>
        <v>4577566.9301458448</v>
      </c>
      <c r="J57" s="5"/>
    </row>
    <row r="58" spans="1:10">
      <c r="A58" s="140">
        <v>190</v>
      </c>
      <c r="B58" s="9" t="s">
        <v>977</v>
      </c>
      <c r="C58" s="9"/>
      <c r="D58" s="9">
        <v>0</v>
      </c>
      <c r="E58" s="9"/>
      <c r="F58" s="9" t="s">
        <v>235</v>
      </c>
      <c r="G58" s="115">
        <f t="shared" si="0"/>
        <v>6.5736053966476971E-2</v>
      </c>
      <c r="H58" s="106"/>
      <c r="I58" s="9">
        <f t="shared" si="1"/>
        <v>0</v>
      </c>
      <c r="J58" s="5"/>
    </row>
    <row r="59" spans="1:10">
      <c r="A59" s="140">
        <v>190</v>
      </c>
      <c r="B59" s="9" t="s">
        <v>978</v>
      </c>
      <c r="C59" s="9"/>
      <c r="D59" s="9">
        <v>-13040506</v>
      </c>
      <c r="E59" s="9"/>
      <c r="F59" s="9" t="s">
        <v>238</v>
      </c>
      <c r="G59" s="115">
        <f t="shared" si="0"/>
        <v>0</v>
      </c>
      <c r="H59" s="106"/>
      <c r="I59" s="9">
        <f t="shared" si="1"/>
        <v>0</v>
      </c>
      <c r="J59" s="5"/>
    </row>
    <row r="60" spans="1:10">
      <c r="A60" s="140">
        <v>190</v>
      </c>
      <c r="B60" s="9" t="s">
        <v>979</v>
      </c>
      <c r="C60" s="9"/>
      <c r="D60" s="9">
        <v>1217052</v>
      </c>
      <c r="E60" s="9"/>
      <c r="F60" s="9" t="s">
        <v>236</v>
      </c>
      <c r="G60" s="115">
        <f t="shared" si="0"/>
        <v>0</v>
      </c>
      <c r="H60" s="106"/>
      <c r="I60" s="9">
        <f t="shared" si="1"/>
        <v>0</v>
      </c>
      <c r="J60" s="5"/>
    </row>
    <row r="61" spans="1:10">
      <c r="A61" s="140">
        <v>190</v>
      </c>
      <c r="B61" s="9" t="s">
        <v>980</v>
      </c>
      <c r="C61" s="9"/>
      <c r="D61" s="9">
        <v>2039986</v>
      </c>
      <c r="E61" s="9"/>
      <c r="F61" s="9" t="s">
        <v>236</v>
      </c>
      <c r="G61" s="115">
        <f t="shared" si="0"/>
        <v>0</v>
      </c>
      <c r="H61" s="106"/>
      <c r="I61" s="9">
        <f t="shared" si="1"/>
        <v>0</v>
      </c>
      <c r="J61" s="5"/>
    </row>
    <row r="62" spans="1:10">
      <c r="A62" s="140">
        <v>190</v>
      </c>
      <c r="B62" s="9" t="s">
        <v>981</v>
      </c>
      <c r="C62" s="9"/>
      <c r="D62" s="9">
        <v>190930262</v>
      </c>
      <c r="E62" s="9"/>
      <c r="F62" s="9" t="s">
        <v>236</v>
      </c>
      <c r="G62" s="115">
        <f t="shared" si="0"/>
        <v>0</v>
      </c>
      <c r="H62" s="106"/>
      <c r="I62" s="9">
        <f t="shared" si="1"/>
        <v>0</v>
      </c>
      <c r="J62" s="5"/>
    </row>
    <row r="63" spans="1:10">
      <c r="A63" s="140">
        <v>190</v>
      </c>
      <c r="B63" s="9" t="s">
        <v>982</v>
      </c>
      <c r="C63" s="9"/>
      <c r="D63" s="9">
        <v>0</v>
      </c>
      <c r="E63" s="9"/>
      <c r="F63" s="9" t="s">
        <v>238</v>
      </c>
      <c r="G63" s="115">
        <f t="shared" si="0"/>
        <v>0</v>
      </c>
      <c r="H63" s="106"/>
      <c r="I63" s="9">
        <f t="shared" si="1"/>
        <v>0</v>
      </c>
      <c r="J63" s="5"/>
    </row>
    <row r="64" spans="1:10">
      <c r="A64" s="140">
        <v>190</v>
      </c>
      <c r="B64" s="9" t="s">
        <v>983</v>
      </c>
      <c r="C64" s="9"/>
      <c r="D64" s="9">
        <v>2039952</v>
      </c>
      <c r="E64" s="9"/>
      <c r="F64" s="9" t="s">
        <v>235</v>
      </c>
      <c r="G64" s="115">
        <f t="shared" si="0"/>
        <v>6.5736053966476971E-2</v>
      </c>
      <c r="H64" s="106"/>
      <c r="I64" s="9">
        <f t="shared" si="1"/>
        <v>134098.39476102262</v>
      </c>
      <c r="J64" s="5"/>
    </row>
    <row r="65" spans="1:10">
      <c r="A65" s="140">
        <v>190</v>
      </c>
      <c r="B65" s="9" t="s">
        <v>984</v>
      </c>
      <c r="C65" s="9"/>
      <c r="D65" s="9">
        <v>-477827</v>
      </c>
      <c r="E65" s="9"/>
      <c r="F65" s="9" t="s">
        <v>235</v>
      </c>
      <c r="G65" s="115">
        <f t="shared" si="0"/>
        <v>6.5736053966476971E-2</v>
      </c>
      <c r="H65" s="106"/>
      <c r="I65" s="9">
        <f t="shared" si="1"/>
        <v>-31410.461458639791</v>
      </c>
      <c r="J65" s="5"/>
    </row>
    <row r="66" spans="1:10">
      <c r="A66" s="140">
        <v>190</v>
      </c>
      <c r="B66" s="9" t="s">
        <v>769</v>
      </c>
      <c r="C66" s="9"/>
      <c r="D66" s="9">
        <v>-586988</v>
      </c>
      <c r="E66" s="9"/>
      <c r="F66" s="9" t="s">
        <v>235</v>
      </c>
      <c r="G66" s="115">
        <f t="shared" si="0"/>
        <v>6.5736053966476971E-2</v>
      </c>
      <c r="H66" s="106"/>
      <c r="I66" s="9">
        <f t="shared" si="1"/>
        <v>-38586.274845674387</v>
      </c>
      <c r="J66" s="5"/>
    </row>
    <row r="67" spans="1:10">
      <c r="A67" s="140">
        <v>190</v>
      </c>
      <c r="B67" s="9" t="s">
        <v>770</v>
      </c>
      <c r="C67" s="9"/>
      <c r="D67" s="9">
        <v>1701277</v>
      </c>
      <c r="E67" s="9"/>
      <c r="F67" s="9" t="s">
        <v>235</v>
      </c>
      <c r="G67" s="115">
        <f t="shared" si="0"/>
        <v>6.5736053966476971E-2</v>
      </c>
      <c r="H67" s="106"/>
      <c r="I67" s="9">
        <f t="shared" si="1"/>
        <v>111835.23668392604</v>
      </c>
      <c r="J67" s="5"/>
    </row>
    <row r="68" spans="1:10">
      <c r="A68" s="140">
        <v>190</v>
      </c>
      <c r="B68" s="9" t="s">
        <v>985</v>
      </c>
      <c r="C68" s="9"/>
      <c r="D68" s="9">
        <v>99516</v>
      </c>
      <c r="E68" s="9"/>
      <c r="F68" s="9" t="s">
        <v>235</v>
      </c>
      <c r="G68" s="115">
        <f t="shared" si="0"/>
        <v>6.5736053966476971E-2</v>
      </c>
      <c r="H68" s="106"/>
      <c r="I68" s="9">
        <f t="shared" si="1"/>
        <v>6541.7891465279226</v>
      </c>
      <c r="J68" s="5"/>
    </row>
    <row r="69" spans="1:10">
      <c r="A69" s="140">
        <v>190</v>
      </c>
      <c r="B69" s="9" t="s">
        <v>986</v>
      </c>
      <c r="C69" s="9"/>
      <c r="D69" s="9">
        <v>723401</v>
      </c>
      <c r="E69" s="9"/>
      <c r="F69" s="9" t="s">
        <v>235</v>
      </c>
      <c r="G69" s="115">
        <f t="shared" si="0"/>
        <v>6.5736053966476971E-2</v>
      </c>
      <c r="H69" s="106"/>
      <c r="I69" s="9">
        <f t="shared" si="1"/>
        <v>47553.527175403404</v>
      </c>
      <c r="J69" s="5"/>
    </row>
    <row r="70" spans="1:10">
      <c r="A70" s="140">
        <v>190</v>
      </c>
      <c r="B70" s="9" t="s">
        <v>987</v>
      </c>
      <c r="C70" s="9"/>
      <c r="D70" s="9">
        <v>9482581</v>
      </c>
      <c r="E70" s="9"/>
      <c r="F70" s="9" t="s">
        <v>235</v>
      </c>
      <c r="G70" s="115">
        <f t="shared" si="0"/>
        <v>6.5736053966476971E-2</v>
      </c>
      <c r="H70" s="106"/>
      <c r="I70" s="9">
        <f t="shared" si="1"/>
        <v>623347.45635748911</v>
      </c>
      <c r="J70" s="5"/>
    </row>
    <row r="71" spans="1:10">
      <c r="A71" s="140">
        <v>190</v>
      </c>
      <c r="B71" s="9" t="s">
        <v>988</v>
      </c>
      <c r="C71" s="9"/>
      <c r="D71" s="9">
        <v>125587311</v>
      </c>
      <c r="E71" s="9"/>
      <c r="F71" s="9" t="s">
        <v>235</v>
      </c>
      <c r="G71" s="115">
        <f t="shared" si="0"/>
        <v>6.5736053966476971E-2</v>
      </c>
      <c r="H71" s="106"/>
      <c r="I71" s="9">
        <f t="shared" si="1"/>
        <v>8255614.2534007272</v>
      </c>
      <c r="J71" s="5"/>
    </row>
    <row r="72" spans="1:10">
      <c r="A72" s="140">
        <v>190</v>
      </c>
      <c r="B72" s="9" t="s">
        <v>989</v>
      </c>
      <c r="C72" s="9"/>
      <c r="D72" s="9">
        <v>-6365234</v>
      </c>
      <c r="E72" s="9"/>
      <c r="F72" s="9" t="s">
        <v>235</v>
      </c>
      <c r="G72" s="115">
        <f t="shared" si="0"/>
        <v>6.5736053966476971E-2</v>
      </c>
      <c r="H72" s="106"/>
      <c r="I72" s="9">
        <f t="shared" si="1"/>
        <v>-418425.36573325406</v>
      </c>
      <c r="J72" s="5"/>
    </row>
    <row r="73" spans="1:10">
      <c r="A73" s="140">
        <v>190</v>
      </c>
      <c r="B73" s="9" t="s">
        <v>990</v>
      </c>
      <c r="C73" s="9"/>
      <c r="D73" s="9">
        <v>8926710</v>
      </c>
      <c r="E73" s="9"/>
      <c r="F73" s="9" t="s">
        <v>235</v>
      </c>
      <c r="G73" s="115">
        <f t="shared" si="0"/>
        <v>6.5736053966476971E-2</v>
      </c>
      <c r="H73" s="106"/>
      <c r="I73" s="9">
        <f t="shared" si="1"/>
        <v>586806.69030308968</v>
      </c>
      <c r="J73" s="5"/>
    </row>
    <row r="74" spans="1:10">
      <c r="A74" s="140">
        <v>190</v>
      </c>
      <c r="B74" s="9" t="s">
        <v>991</v>
      </c>
      <c r="C74" s="9"/>
      <c r="D74" s="9">
        <v>-3133607</v>
      </c>
      <c r="E74" s="9"/>
      <c r="F74" s="9" t="s">
        <v>236</v>
      </c>
      <c r="G74" s="115">
        <f t="shared" si="0"/>
        <v>0</v>
      </c>
      <c r="H74" s="106"/>
      <c r="I74" s="9">
        <f t="shared" si="1"/>
        <v>0</v>
      </c>
      <c r="J74" s="5"/>
    </row>
    <row r="75" spans="1:10">
      <c r="A75" s="140">
        <v>190</v>
      </c>
      <c r="B75" s="9" t="s">
        <v>992</v>
      </c>
      <c r="C75" s="9"/>
      <c r="D75" s="9">
        <v>0</v>
      </c>
      <c r="E75" s="9"/>
      <c r="F75" s="9" t="s">
        <v>235</v>
      </c>
      <c r="G75" s="115">
        <f t="shared" si="0"/>
        <v>6.5736053966476971E-2</v>
      </c>
      <c r="H75" s="106"/>
      <c r="I75" s="9">
        <f t="shared" si="1"/>
        <v>0</v>
      </c>
      <c r="J75" s="5"/>
    </row>
    <row r="76" spans="1:10">
      <c r="A76" s="140">
        <v>190</v>
      </c>
      <c r="B76" s="9" t="s">
        <v>993</v>
      </c>
      <c r="C76" s="9"/>
      <c r="D76" s="9">
        <v>0</v>
      </c>
      <c r="E76" s="9"/>
      <c r="F76" s="9" t="s">
        <v>236</v>
      </c>
      <c r="G76" s="115">
        <f t="shared" ref="G76:G82" si="2">VLOOKUP(F76,ALLOCATORS,2,FALSE)</f>
        <v>0</v>
      </c>
      <c r="H76" s="106"/>
      <c r="I76" s="9">
        <f t="shared" si="1"/>
        <v>0</v>
      </c>
      <c r="J76" s="5"/>
    </row>
    <row r="77" spans="1:10">
      <c r="A77" s="140">
        <v>190</v>
      </c>
      <c r="B77" s="9" t="s">
        <v>994</v>
      </c>
      <c r="C77" s="9"/>
      <c r="D77" s="9">
        <v>11587</v>
      </c>
      <c r="E77" s="9"/>
      <c r="F77" s="9" t="s">
        <v>238</v>
      </c>
      <c r="G77" s="115">
        <f t="shared" si="2"/>
        <v>0</v>
      </c>
      <c r="H77" s="106"/>
      <c r="I77" s="9">
        <f t="shared" ref="I77:I82" si="3">D77*G77</f>
        <v>0</v>
      </c>
      <c r="J77" s="5"/>
    </row>
    <row r="78" spans="1:10">
      <c r="A78" s="140">
        <v>190</v>
      </c>
      <c r="B78" s="9" t="s">
        <v>995</v>
      </c>
      <c r="C78" s="9"/>
      <c r="D78" s="9">
        <v>0</v>
      </c>
      <c r="E78" s="9"/>
      <c r="F78" s="9" t="s">
        <v>236</v>
      </c>
      <c r="G78" s="115">
        <f t="shared" si="2"/>
        <v>0</v>
      </c>
      <c r="H78" s="106"/>
      <c r="I78" s="9">
        <f t="shared" si="3"/>
        <v>0</v>
      </c>
      <c r="J78" s="5"/>
    </row>
    <row r="79" spans="1:10">
      <c r="A79" s="140">
        <v>190</v>
      </c>
      <c r="B79" s="9" t="s">
        <v>996</v>
      </c>
      <c r="C79" s="9"/>
      <c r="D79" s="9">
        <v>1075549.6100000001</v>
      </c>
      <c r="E79" s="9"/>
      <c r="F79" s="9" t="s">
        <v>236</v>
      </c>
      <c r="G79" s="115">
        <f t="shared" si="2"/>
        <v>0</v>
      </c>
      <c r="H79" s="106"/>
      <c r="I79" s="9">
        <f t="shared" si="3"/>
        <v>0</v>
      </c>
      <c r="J79" s="5"/>
    </row>
    <row r="80" spans="1:10">
      <c r="A80" s="140">
        <v>190</v>
      </c>
      <c r="B80" s="9" t="s">
        <v>997</v>
      </c>
      <c r="C80" s="9"/>
      <c r="D80" s="9">
        <v>12359208</v>
      </c>
      <c r="E80" s="9"/>
      <c r="F80" s="9" t="s">
        <v>236</v>
      </c>
      <c r="G80" s="115">
        <f t="shared" si="2"/>
        <v>0</v>
      </c>
      <c r="H80" s="106"/>
      <c r="I80" s="9">
        <f t="shared" si="3"/>
        <v>0</v>
      </c>
      <c r="J80" s="5"/>
    </row>
    <row r="81" spans="1:10">
      <c r="A81" s="140">
        <v>190</v>
      </c>
      <c r="B81" s="9" t="s">
        <v>998</v>
      </c>
      <c r="C81" s="9"/>
      <c r="D81" s="9">
        <v>1012701</v>
      </c>
      <c r="E81" s="9"/>
      <c r="F81" s="9" t="s">
        <v>37</v>
      </c>
      <c r="G81" s="115">
        <f t="shared" si="2"/>
        <v>0.18262006498391903</v>
      </c>
      <c r="H81" s="106"/>
      <c r="I81" s="9">
        <f t="shared" si="3"/>
        <v>184939.52242927978</v>
      </c>
      <c r="J81" s="5"/>
    </row>
    <row r="82" spans="1:10">
      <c r="A82" s="140">
        <v>190</v>
      </c>
      <c r="B82" s="9" t="s">
        <v>999</v>
      </c>
      <c r="C82" s="9"/>
      <c r="D82" s="9">
        <v>1098</v>
      </c>
      <c r="E82" s="9"/>
      <c r="F82" s="9" t="s">
        <v>37</v>
      </c>
      <c r="G82" s="115">
        <f t="shared" si="2"/>
        <v>0.18262006498391903</v>
      </c>
      <c r="H82" s="106"/>
      <c r="I82" s="9">
        <f t="shared" si="3"/>
        <v>200.5168313523431</v>
      </c>
      <c r="J82" s="5"/>
    </row>
    <row r="83" spans="1:10" ht="4.5" customHeight="1">
      <c r="A83" s="30"/>
      <c r="B83" s="5"/>
      <c r="C83" s="5"/>
      <c r="D83" s="5"/>
      <c r="E83" s="5"/>
      <c r="F83" s="95"/>
      <c r="G83" s="13"/>
      <c r="H83" s="5"/>
      <c r="I83" s="5"/>
      <c r="J83" s="5"/>
    </row>
    <row r="84" spans="1:10" ht="13.5" thickBot="1">
      <c r="A84" s="30"/>
      <c r="B84" s="178" t="s">
        <v>884</v>
      </c>
      <c r="C84" s="25"/>
      <c r="D84" s="31">
        <f>SUM(D12:D82)</f>
        <v>899031252.61000001</v>
      </c>
      <c r="E84" s="5"/>
      <c r="F84" s="5"/>
      <c r="G84" s="13"/>
      <c r="H84" s="5"/>
      <c r="I84" s="31">
        <f>SUM(I12:I82)</f>
        <v>28103233.867295165</v>
      </c>
      <c r="J84" s="95"/>
    </row>
    <row r="85" spans="1:10" ht="13.5" thickTop="1">
      <c r="A85" s="30"/>
      <c r="B85" s="5"/>
      <c r="C85" s="5"/>
      <c r="D85" s="5"/>
      <c r="E85" s="5"/>
      <c r="F85" s="5"/>
      <c r="G85" s="13"/>
      <c r="H85" s="5"/>
      <c r="I85" s="5"/>
      <c r="J85" s="5"/>
    </row>
    <row r="86" spans="1:10">
      <c r="E86" s="307" t="s">
        <v>234</v>
      </c>
      <c r="F86" s="225">
        <v>0</v>
      </c>
      <c r="G86" s="13"/>
    </row>
  </sheetData>
  <mergeCells count="2">
    <mergeCell ref="I1:J1"/>
    <mergeCell ref="I3:J3"/>
  </mergeCells>
  <printOptions horizontalCentered="1"/>
  <pageMargins left="0.5" right="0.5" top="0.5" bottom="0.5" header="0.5" footer="0.5"/>
  <pageSetup scale="6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workbookViewId="0"/>
  </sheetViews>
  <sheetFormatPr defaultRowHeight="12.75"/>
  <cols>
    <col min="1" max="1" width="9.7109375" style="3" customWidth="1"/>
    <col min="2" max="2" width="41.28515625" style="3" customWidth="1"/>
    <col min="3" max="3" width="3.7109375" style="3" customWidth="1"/>
    <col min="4" max="4" width="17.42578125" style="3" customWidth="1"/>
    <col min="5" max="5" width="3.7109375" style="3" customWidth="1"/>
    <col min="6" max="6" width="14.140625" style="3" customWidth="1"/>
    <col min="7" max="7" width="17.7109375" style="3" customWidth="1"/>
    <col min="8" max="8" width="3.7109375" style="3" customWidth="1"/>
    <col min="9" max="9" width="12.42578125" style="3" bestFit="1" customWidth="1"/>
    <col min="10" max="16384" width="9.140625" style="3"/>
  </cols>
  <sheetData>
    <row r="1" spans="1:10" ht="15">
      <c r="A1" s="5"/>
      <c r="B1" s="5"/>
      <c r="C1" s="5"/>
      <c r="D1" s="5"/>
      <c r="E1" s="5"/>
      <c r="F1" s="5"/>
      <c r="G1" s="5"/>
      <c r="H1" s="5"/>
      <c r="I1" s="335" t="s">
        <v>910</v>
      </c>
      <c r="J1" s="335"/>
    </row>
    <row r="2" spans="1:10" ht="15">
      <c r="A2" s="5"/>
      <c r="B2" s="5"/>
      <c r="C2" s="5"/>
      <c r="D2" s="5"/>
      <c r="E2" s="5"/>
      <c r="F2" s="5"/>
      <c r="G2" s="5"/>
      <c r="H2" s="5"/>
      <c r="I2" s="234" t="s">
        <v>772</v>
      </c>
      <c r="J2" s="234"/>
    </row>
    <row r="3" spans="1:10">
      <c r="A3" s="5"/>
      <c r="B3" s="24"/>
      <c r="C3" s="24"/>
      <c r="D3" s="5"/>
      <c r="E3" s="5"/>
      <c r="F3" s="5"/>
      <c r="G3" s="5"/>
      <c r="H3" s="5"/>
      <c r="I3" s="337" t="str">
        <f>"Year Ending "&amp;L_YR_P</f>
        <v>Year Ending 12/31/2011</v>
      </c>
      <c r="J3" s="345"/>
    </row>
    <row r="4" spans="1:10">
      <c r="A4" s="5"/>
      <c r="B4" s="24"/>
      <c r="C4" s="24"/>
      <c r="D4" s="5"/>
      <c r="E4" s="5"/>
      <c r="F4" s="5"/>
      <c r="G4" s="5"/>
      <c r="H4" s="5"/>
      <c r="I4" s="228"/>
      <c r="J4" s="228"/>
    </row>
    <row r="5" spans="1:10">
      <c r="A5" s="350" t="s">
        <v>924</v>
      </c>
      <c r="B5" s="351"/>
      <c r="C5" s="351"/>
      <c r="D5" s="351"/>
      <c r="E5" s="351"/>
      <c r="F5" s="351"/>
      <c r="G5" s="351"/>
      <c r="H5" s="351"/>
      <c r="I5" s="351"/>
      <c r="J5" s="228"/>
    </row>
    <row r="6" spans="1:10">
      <c r="A6" s="350" t="s">
        <v>377</v>
      </c>
      <c r="B6" s="351"/>
      <c r="C6" s="351"/>
      <c r="D6" s="351"/>
      <c r="E6" s="351"/>
      <c r="F6" s="351"/>
      <c r="G6" s="351"/>
      <c r="H6" s="351"/>
      <c r="I6" s="351"/>
      <c r="J6" s="228"/>
    </row>
    <row r="7" spans="1:10">
      <c r="A7" s="5"/>
      <c r="B7" s="24"/>
      <c r="C7" s="24"/>
      <c r="D7" s="5"/>
      <c r="E7" s="5"/>
      <c r="F7" s="5"/>
      <c r="G7" s="5"/>
      <c r="H7" s="5"/>
      <c r="I7" s="228"/>
      <c r="J7" s="228"/>
    </row>
    <row r="8" spans="1:10">
      <c r="A8" s="25"/>
      <c r="B8" s="26"/>
      <c r="C8" s="26"/>
      <c r="D8" s="26"/>
      <c r="E8" s="27"/>
      <c r="F8" s="27"/>
      <c r="G8" s="27"/>
      <c r="H8" s="27"/>
      <c r="I8" s="27"/>
      <c r="J8" s="27"/>
    </row>
    <row r="9" spans="1:10">
      <c r="A9" s="25"/>
      <c r="B9" s="26"/>
      <c r="C9" s="26"/>
      <c r="D9" s="39" t="s">
        <v>230</v>
      </c>
      <c r="E9" s="27"/>
      <c r="F9" s="28" t="s">
        <v>23</v>
      </c>
      <c r="G9" s="28" t="s">
        <v>231</v>
      </c>
      <c r="H9" s="28"/>
      <c r="I9" s="28" t="s">
        <v>232</v>
      </c>
      <c r="J9" s="27"/>
    </row>
    <row r="10" spans="1:10">
      <c r="A10" s="25" t="s">
        <v>233</v>
      </c>
      <c r="B10" s="25" t="s">
        <v>3</v>
      </c>
      <c r="C10" s="29"/>
      <c r="D10" s="235" t="str">
        <f>"Tax at 12/31/"&amp;YR-1</f>
        <v>Tax at 12/31/2011</v>
      </c>
      <c r="E10" s="5"/>
      <c r="F10" s="5"/>
      <c r="G10" s="5"/>
      <c r="H10" s="5"/>
      <c r="I10" s="5"/>
      <c r="J10" s="5"/>
    </row>
    <row r="11" spans="1:10">
      <c r="A11" s="25"/>
      <c r="B11" s="25"/>
      <c r="C11" s="29"/>
      <c r="D11" s="235"/>
      <c r="E11" s="5"/>
      <c r="F11" s="5"/>
      <c r="G11" s="5"/>
      <c r="H11" s="5"/>
      <c r="I11" s="5"/>
      <c r="J11" s="5"/>
    </row>
    <row r="12" spans="1:10">
      <c r="A12" s="140">
        <v>281</v>
      </c>
      <c r="B12" s="9" t="s">
        <v>773</v>
      </c>
      <c r="C12" s="9"/>
      <c r="D12" s="9">
        <v>-3757590</v>
      </c>
      <c r="E12" s="9"/>
      <c r="F12" s="9" t="s">
        <v>236</v>
      </c>
      <c r="G12" s="115">
        <f>VLOOKUP(F12,ALLOCATORS,2,FALSE)</f>
        <v>0</v>
      </c>
      <c r="H12" s="106"/>
      <c r="I12" s="9">
        <f>D12*G12</f>
        <v>0</v>
      </c>
      <c r="J12" s="5"/>
    </row>
    <row r="13" spans="1:10" ht="13.5" thickBot="1">
      <c r="A13" s="30"/>
      <c r="B13" s="178" t="s">
        <v>885</v>
      </c>
      <c r="C13" s="25"/>
      <c r="D13" s="31">
        <f>SUM(D12)</f>
        <v>-3757590</v>
      </c>
      <c r="E13" s="5"/>
      <c r="F13" s="5"/>
      <c r="G13" s="13"/>
      <c r="H13" s="5"/>
      <c r="I13" s="31">
        <f>SUM(I12)</f>
        <v>0</v>
      </c>
      <c r="J13" s="5"/>
    </row>
    <row r="14" spans="1:10" ht="13.5" thickTop="1">
      <c r="A14" s="30"/>
      <c r="B14" s="5"/>
      <c r="C14" s="5"/>
      <c r="D14" s="5"/>
      <c r="E14" s="5"/>
      <c r="F14" s="5"/>
      <c r="G14" s="13"/>
      <c r="H14" s="5"/>
      <c r="I14" s="5"/>
      <c r="J14" s="5"/>
    </row>
    <row r="15" spans="1:10">
      <c r="A15" s="140">
        <v>282</v>
      </c>
      <c r="B15" s="9" t="s">
        <v>1001</v>
      </c>
      <c r="C15" s="9"/>
      <c r="D15" s="9">
        <v>-1455708901.0699999</v>
      </c>
      <c r="E15" s="9"/>
      <c r="F15" s="9" t="s">
        <v>37</v>
      </c>
      <c r="G15" s="115">
        <f>VLOOKUP(F15,ALLOCATORS,2,FALSE)</f>
        <v>0.18262006498391903</v>
      </c>
      <c r="H15" s="106"/>
      <c r="I15" s="9">
        <f t="shared" ref="I15:I19" si="0">D15*G15</f>
        <v>-265841654.11107275</v>
      </c>
      <c r="J15" s="5"/>
    </row>
    <row r="16" spans="1:10">
      <c r="A16" s="140">
        <v>282</v>
      </c>
      <c r="B16" s="9" t="s">
        <v>1002</v>
      </c>
      <c r="C16" s="9"/>
      <c r="D16" s="9">
        <v>214003368</v>
      </c>
      <c r="E16" s="9"/>
      <c r="F16" s="9" t="s">
        <v>234</v>
      </c>
      <c r="G16" s="115">
        <f>VLOOKUP(F16,ALLOCATORS,2,FALSE)</f>
        <v>0</v>
      </c>
      <c r="H16" s="106"/>
      <c r="I16" s="9">
        <f t="shared" si="0"/>
        <v>0</v>
      </c>
      <c r="J16" s="5"/>
    </row>
    <row r="17" spans="1:10">
      <c r="A17" s="140">
        <v>282</v>
      </c>
      <c r="B17" s="9" t="s">
        <v>1003</v>
      </c>
      <c r="C17" s="9"/>
      <c r="D17" s="9">
        <v>18040963</v>
      </c>
      <c r="E17" s="9"/>
      <c r="F17" s="9" t="s">
        <v>236</v>
      </c>
      <c r="G17" s="115">
        <f>VLOOKUP(F17,ALLOCATORS,2,FALSE)</f>
        <v>0</v>
      </c>
      <c r="H17" s="106"/>
      <c r="I17" s="9">
        <f t="shared" si="0"/>
        <v>0</v>
      </c>
      <c r="J17" s="5"/>
    </row>
    <row r="18" spans="1:10">
      <c r="A18" s="140">
        <v>282</v>
      </c>
      <c r="B18" s="9" t="s">
        <v>1004</v>
      </c>
      <c r="C18" s="9"/>
      <c r="D18" s="9">
        <v>-124242832.93000001</v>
      </c>
      <c r="E18" s="9"/>
      <c r="F18" s="9" t="s">
        <v>234</v>
      </c>
      <c r="G18" s="115"/>
      <c r="H18" s="106"/>
      <c r="I18" s="9"/>
      <c r="J18" s="5"/>
    </row>
    <row r="19" spans="1:10">
      <c r="A19" s="140">
        <v>282</v>
      </c>
      <c r="B19" s="9" t="s">
        <v>1005</v>
      </c>
      <c r="C19" s="9"/>
      <c r="D19" s="9">
        <v>-1655</v>
      </c>
      <c r="E19" s="9"/>
      <c r="F19" s="9" t="s">
        <v>37</v>
      </c>
      <c r="G19" s="115">
        <f>VLOOKUP(F19,ALLOCATORS,2,FALSE)</f>
        <v>0.18262006498391903</v>
      </c>
      <c r="H19" s="106"/>
      <c r="I19" s="9">
        <f t="shared" si="0"/>
        <v>-302.23620754838601</v>
      </c>
      <c r="J19" s="5"/>
    </row>
    <row r="20" spans="1:10" ht="13.5" thickBot="1">
      <c r="A20" s="30"/>
      <c r="B20" s="178" t="s">
        <v>886</v>
      </c>
      <c r="C20" s="25"/>
      <c r="D20" s="31">
        <f>SUM(D15:D19)</f>
        <v>-1347909058</v>
      </c>
      <c r="E20" s="5"/>
      <c r="F20" s="5"/>
      <c r="G20" s="13"/>
      <c r="H20" s="5"/>
      <c r="I20" s="31">
        <f>SUM(I15:I19)</f>
        <v>-265841956.34728029</v>
      </c>
      <c r="J20" s="95"/>
    </row>
    <row r="21" spans="1:10" ht="13.5" thickTop="1">
      <c r="A21" s="30"/>
      <c r="B21" s="5"/>
      <c r="C21" s="5"/>
      <c r="D21" s="5"/>
      <c r="E21" s="5"/>
      <c r="F21" s="5"/>
      <c r="G21" s="13"/>
      <c r="H21" s="5"/>
      <c r="I21" s="5"/>
      <c r="J21" s="5"/>
    </row>
    <row r="22" spans="1:10">
      <c r="A22" s="140">
        <v>283</v>
      </c>
      <c r="B22" s="141" t="s">
        <v>1006</v>
      </c>
      <c r="C22" s="9"/>
      <c r="D22" s="9">
        <v>3579520</v>
      </c>
      <c r="E22" s="9"/>
      <c r="F22" s="9" t="s">
        <v>236</v>
      </c>
      <c r="G22" s="115">
        <f t="shared" ref="G22:G44" si="1">VLOOKUP(F22,ALLOCATORS,2,FALSE)</f>
        <v>0</v>
      </c>
      <c r="H22" s="106"/>
      <c r="I22" s="9">
        <f t="shared" ref="I22:I44" si="2">D22*G22</f>
        <v>0</v>
      </c>
      <c r="J22" s="5"/>
    </row>
    <row r="23" spans="1:10">
      <c r="A23" s="140">
        <v>283</v>
      </c>
      <c r="B23" s="9" t="s">
        <v>1007</v>
      </c>
      <c r="C23" s="9"/>
      <c r="D23" s="9">
        <v>-68382557</v>
      </c>
      <c r="E23" s="9"/>
      <c r="F23" s="9" t="s">
        <v>234</v>
      </c>
      <c r="G23" s="115">
        <f t="shared" si="1"/>
        <v>0</v>
      </c>
      <c r="H23" s="106"/>
      <c r="I23" s="9">
        <f t="shared" si="2"/>
        <v>0</v>
      </c>
      <c r="J23" s="5"/>
    </row>
    <row r="24" spans="1:10">
      <c r="A24" s="140">
        <v>283</v>
      </c>
      <c r="B24" s="9" t="s">
        <v>1008</v>
      </c>
      <c r="C24" s="9"/>
      <c r="D24" s="9">
        <v>0</v>
      </c>
      <c r="E24" s="9"/>
      <c r="F24" s="9" t="s">
        <v>234</v>
      </c>
      <c r="G24" s="115">
        <f t="shared" si="1"/>
        <v>0</v>
      </c>
      <c r="H24" s="106"/>
      <c r="I24" s="9">
        <f t="shared" si="2"/>
        <v>0</v>
      </c>
      <c r="J24" s="5"/>
    </row>
    <row r="25" spans="1:10">
      <c r="A25" s="140">
        <v>283</v>
      </c>
      <c r="B25" s="9" t="s">
        <v>1009</v>
      </c>
      <c r="C25" s="9"/>
      <c r="D25" s="9">
        <v>-125184436</v>
      </c>
      <c r="E25" s="9"/>
      <c r="F25" s="9" t="s">
        <v>234</v>
      </c>
      <c r="G25" s="115">
        <f t="shared" si="1"/>
        <v>0</v>
      </c>
      <c r="H25" s="106"/>
      <c r="I25" s="9">
        <f t="shared" si="2"/>
        <v>0</v>
      </c>
      <c r="J25" s="5"/>
    </row>
    <row r="26" spans="1:10">
      <c r="A26" s="140">
        <v>283</v>
      </c>
      <c r="B26" s="9" t="s">
        <v>1010</v>
      </c>
      <c r="C26" s="9"/>
      <c r="D26" s="9">
        <v>-56401352</v>
      </c>
      <c r="E26" s="9"/>
      <c r="F26" s="9" t="s">
        <v>236</v>
      </c>
      <c r="G26" s="115">
        <f t="shared" si="1"/>
        <v>0</v>
      </c>
      <c r="H26" s="106"/>
      <c r="I26" s="9">
        <f t="shared" si="2"/>
        <v>0</v>
      </c>
      <c r="J26" s="5"/>
    </row>
    <row r="27" spans="1:10">
      <c r="A27" s="140">
        <v>283</v>
      </c>
      <c r="B27" s="141" t="s">
        <v>1011</v>
      </c>
      <c r="C27" s="9"/>
      <c r="D27" s="9">
        <v>-194165024</v>
      </c>
      <c r="E27" s="9"/>
      <c r="F27" s="9" t="s">
        <v>236</v>
      </c>
      <c r="G27" s="115">
        <f t="shared" si="1"/>
        <v>0</v>
      </c>
      <c r="H27" s="106"/>
      <c r="I27" s="9">
        <f t="shared" si="2"/>
        <v>0</v>
      </c>
      <c r="J27" s="5"/>
    </row>
    <row r="28" spans="1:10">
      <c r="A28" s="140">
        <v>283</v>
      </c>
      <c r="B28" s="9" t="s">
        <v>1012</v>
      </c>
      <c r="C28" s="9"/>
      <c r="D28" s="9">
        <v>-257675819</v>
      </c>
      <c r="E28" s="9"/>
      <c r="F28" s="9" t="s">
        <v>235</v>
      </c>
      <c r="G28" s="115">
        <f t="shared" si="1"/>
        <v>6.5736053966476971E-2</v>
      </c>
      <c r="H28" s="106"/>
      <c r="I28" s="9">
        <f t="shared" si="2"/>
        <v>-16938591.543640152</v>
      </c>
      <c r="J28" s="5"/>
    </row>
    <row r="29" spans="1:10">
      <c r="A29" s="140">
        <v>283</v>
      </c>
      <c r="B29" s="141" t="s">
        <v>1013</v>
      </c>
      <c r="C29" s="9"/>
      <c r="D29" s="9">
        <v>0</v>
      </c>
      <c r="E29" s="9"/>
      <c r="F29" s="9" t="s">
        <v>238</v>
      </c>
      <c r="G29" s="115">
        <f t="shared" si="1"/>
        <v>0</v>
      </c>
      <c r="H29" s="106"/>
      <c r="I29" s="9">
        <f t="shared" si="2"/>
        <v>0</v>
      </c>
      <c r="J29" s="5"/>
    </row>
    <row r="30" spans="1:10">
      <c r="A30" s="140">
        <v>283</v>
      </c>
      <c r="B30" s="9" t="s">
        <v>1014</v>
      </c>
      <c r="C30" s="9"/>
      <c r="D30" s="9">
        <v>-1875191</v>
      </c>
      <c r="E30" s="9"/>
      <c r="F30" s="9" t="s">
        <v>236</v>
      </c>
      <c r="G30" s="115">
        <f t="shared" si="1"/>
        <v>0</v>
      </c>
      <c r="H30" s="106"/>
      <c r="I30" s="9">
        <f t="shared" si="2"/>
        <v>0</v>
      </c>
      <c r="J30" s="5"/>
    </row>
    <row r="31" spans="1:10">
      <c r="A31" s="140">
        <v>283</v>
      </c>
      <c r="B31" s="9" t="s">
        <v>1015</v>
      </c>
      <c r="C31" s="9"/>
      <c r="D31" s="9">
        <v>600438</v>
      </c>
      <c r="E31" s="9"/>
      <c r="F31" s="9" t="s">
        <v>236</v>
      </c>
      <c r="G31" s="115">
        <f t="shared" si="1"/>
        <v>0</v>
      </c>
      <c r="H31" s="106"/>
      <c r="I31" s="9">
        <f t="shared" si="2"/>
        <v>0</v>
      </c>
      <c r="J31" s="5"/>
    </row>
    <row r="32" spans="1:10">
      <c r="A32" s="140">
        <v>283</v>
      </c>
      <c r="B32" s="9" t="s">
        <v>1016</v>
      </c>
      <c r="C32" s="9"/>
      <c r="D32" s="9">
        <v>-6511652</v>
      </c>
      <c r="E32" s="9"/>
      <c r="F32" s="9" t="s">
        <v>37</v>
      </c>
      <c r="G32" s="115">
        <f t="shared" si="1"/>
        <v>0.18262006498391903</v>
      </c>
      <c r="H32" s="106"/>
      <c r="I32" s="9">
        <f t="shared" si="2"/>
        <v>-1189158.3113926663</v>
      </c>
      <c r="J32" s="5"/>
    </row>
    <row r="33" spans="1:10">
      <c r="A33" s="140">
        <v>283</v>
      </c>
      <c r="B33" s="9" t="s">
        <v>1017</v>
      </c>
      <c r="C33" s="9"/>
      <c r="D33" s="9">
        <v>0</v>
      </c>
      <c r="E33" s="9"/>
      <c r="F33" s="9" t="s">
        <v>37</v>
      </c>
      <c r="G33" s="115">
        <f t="shared" si="1"/>
        <v>0.18262006498391903</v>
      </c>
      <c r="H33" s="106"/>
      <c r="I33" s="9">
        <f t="shared" si="2"/>
        <v>0</v>
      </c>
      <c r="J33" s="5"/>
    </row>
    <row r="34" spans="1:10">
      <c r="A34" s="140">
        <v>283</v>
      </c>
      <c r="B34" s="9" t="s">
        <v>1018</v>
      </c>
      <c r="C34" s="9"/>
      <c r="D34" s="9">
        <v>0</v>
      </c>
      <c r="E34" s="9"/>
      <c r="F34" s="9" t="s">
        <v>37</v>
      </c>
      <c r="G34" s="115">
        <f t="shared" si="1"/>
        <v>0.18262006498391903</v>
      </c>
      <c r="H34" s="106"/>
      <c r="I34" s="9">
        <f t="shared" si="2"/>
        <v>0</v>
      </c>
      <c r="J34" s="5"/>
    </row>
    <row r="35" spans="1:10">
      <c r="A35" s="140">
        <v>283</v>
      </c>
      <c r="B35" s="9" t="s">
        <v>929</v>
      </c>
      <c r="C35" s="9"/>
      <c r="D35" s="9">
        <v>-12320407</v>
      </c>
      <c r="E35" s="9"/>
      <c r="F35" s="9" t="s">
        <v>236</v>
      </c>
      <c r="G35" s="115">
        <f t="shared" si="1"/>
        <v>0</v>
      </c>
      <c r="H35" s="106"/>
      <c r="I35" s="9">
        <f t="shared" si="2"/>
        <v>0</v>
      </c>
      <c r="J35" s="5"/>
    </row>
    <row r="36" spans="1:10">
      <c r="A36" s="140">
        <v>283</v>
      </c>
      <c r="B36" s="9" t="s">
        <v>1019</v>
      </c>
      <c r="C36" s="9"/>
      <c r="D36" s="9">
        <v>-88966345</v>
      </c>
      <c r="E36" s="9"/>
      <c r="F36" s="9" t="s">
        <v>238</v>
      </c>
      <c r="G36" s="115">
        <f t="shared" si="1"/>
        <v>0</v>
      </c>
      <c r="H36" s="106"/>
      <c r="I36" s="9">
        <f t="shared" si="2"/>
        <v>0</v>
      </c>
      <c r="J36" s="5"/>
    </row>
    <row r="37" spans="1:10">
      <c r="A37" s="140">
        <v>283</v>
      </c>
      <c r="B37" s="9" t="s">
        <v>1020</v>
      </c>
      <c r="C37" s="9"/>
      <c r="D37" s="9">
        <v>-806285</v>
      </c>
      <c r="E37" s="9"/>
      <c r="F37" s="9" t="s">
        <v>238</v>
      </c>
      <c r="G37" s="115">
        <f t="shared" si="1"/>
        <v>0</v>
      </c>
      <c r="H37" s="106"/>
      <c r="I37" s="9">
        <f t="shared" si="2"/>
        <v>0</v>
      </c>
      <c r="J37" s="5"/>
    </row>
    <row r="38" spans="1:10">
      <c r="A38" s="140">
        <v>283</v>
      </c>
      <c r="B38" s="9" t="s">
        <v>1021</v>
      </c>
      <c r="C38" s="9"/>
      <c r="D38" s="9">
        <v>0</v>
      </c>
      <c r="E38" s="9"/>
      <c r="F38" s="9" t="s">
        <v>774</v>
      </c>
      <c r="G38" s="115">
        <f t="shared" si="1"/>
        <v>1</v>
      </c>
      <c r="H38" s="106"/>
      <c r="I38" s="9">
        <f t="shared" si="2"/>
        <v>0</v>
      </c>
      <c r="J38" s="5"/>
    </row>
    <row r="39" spans="1:10">
      <c r="A39" s="140">
        <v>283</v>
      </c>
      <c r="B39" s="9" t="s">
        <v>1022</v>
      </c>
      <c r="C39" s="9"/>
      <c r="D39" s="9">
        <v>-2495993</v>
      </c>
      <c r="E39" s="9"/>
      <c r="F39" s="9" t="s">
        <v>238</v>
      </c>
      <c r="G39" s="115">
        <f t="shared" si="1"/>
        <v>0</v>
      </c>
      <c r="H39" s="106"/>
      <c r="I39" s="9">
        <f t="shared" si="2"/>
        <v>0</v>
      </c>
      <c r="J39" s="5"/>
    </row>
    <row r="40" spans="1:10">
      <c r="A40" s="140">
        <v>283</v>
      </c>
      <c r="B40" s="9" t="s">
        <v>1023</v>
      </c>
      <c r="C40" s="9"/>
      <c r="D40" s="9">
        <v>-2492793</v>
      </c>
      <c r="E40" s="9"/>
      <c r="F40" s="9" t="s">
        <v>238</v>
      </c>
      <c r="G40" s="115">
        <f t="shared" si="1"/>
        <v>0</v>
      </c>
      <c r="H40" s="106"/>
      <c r="I40" s="9">
        <f t="shared" si="2"/>
        <v>0</v>
      </c>
      <c r="J40" s="5"/>
    </row>
    <row r="41" spans="1:10">
      <c r="A41" s="140">
        <v>283</v>
      </c>
      <c r="B41" s="9" t="s">
        <v>1024</v>
      </c>
      <c r="C41" s="9"/>
      <c r="D41" s="9">
        <v>0</v>
      </c>
      <c r="E41" s="9"/>
      <c r="F41" s="9" t="s">
        <v>37</v>
      </c>
      <c r="G41" s="115">
        <f t="shared" si="1"/>
        <v>0.18262006498391903</v>
      </c>
      <c r="H41" s="106"/>
      <c r="I41" s="9">
        <f t="shared" si="2"/>
        <v>0</v>
      </c>
      <c r="J41" s="5"/>
    </row>
    <row r="42" spans="1:10">
      <c r="A42" s="140">
        <v>283</v>
      </c>
      <c r="B42" s="9" t="s">
        <v>1025</v>
      </c>
      <c r="C42" s="9"/>
      <c r="D42" s="9">
        <v>-45220</v>
      </c>
      <c r="E42" s="9"/>
      <c r="F42" s="9" t="s">
        <v>37</v>
      </c>
      <c r="G42" s="115">
        <f t="shared" si="1"/>
        <v>0.18262006498391903</v>
      </c>
      <c r="H42" s="106"/>
      <c r="I42" s="9">
        <f t="shared" si="2"/>
        <v>-8258.0793385728193</v>
      </c>
      <c r="J42" s="5"/>
    </row>
    <row r="43" spans="1:10">
      <c r="A43" s="140">
        <v>283</v>
      </c>
      <c r="B43" s="142" t="s">
        <v>1026</v>
      </c>
      <c r="C43" s="9"/>
      <c r="D43" s="9">
        <v>-518588</v>
      </c>
      <c r="E43" s="9"/>
      <c r="F43" s="9" t="s">
        <v>234</v>
      </c>
      <c r="G43" s="115">
        <f t="shared" si="1"/>
        <v>0</v>
      </c>
      <c r="H43" s="106"/>
      <c r="I43" s="9">
        <f t="shared" si="2"/>
        <v>0</v>
      </c>
      <c r="J43" s="5"/>
    </row>
    <row r="44" spans="1:10">
      <c r="A44" s="140">
        <v>283</v>
      </c>
      <c r="B44" s="9" t="s">
        <v>999</v>
      </c>
      <c r="C44" s="9"/>
      <c r="D44" s="9">
        <v>-18</v>
      </c>
      <c r="E44" s="9"/>
      <c r="F44" s="9" t="s">
        <v>37</v>
      </c>
      <c r="G44" s="115">
        <f t="shared" si="1"/>
        <v>0.18262006498391903</v>
      </c>
      <c r="H44" s="106"/>
      <c r="I44" s="9">
        <f t="shared" si="2"/>
        <v>-3.2871611697105427</v>
      </c>
      <c r="J44" s="5"/>
    </row>
    <row r="45" spans="1:10" ht="13.5" thickBot="1">
      <c r="A45" s="30"/>
      <c r="B45" s="178" t="s">
        <v>887</v>
      </c>
      <c r="C45" s="25"/>
      <c r="D45" s="31">
        <f>SUM(D22:D44)</f>
        <v>-813661722</v>
      </c>
      <c r="E45" s="5"/>
      <c r="F45" s="5"/>
      <c r="G45" s="13"/>
      <c r="H45" s="5"/>
      <c r="I45" s="31">
        <f>SUM(I22:I44)</f>
        <v>-18136011.221532561</v>
      </c>
      <c r="J45" s="5"/>
    </row>
    <row r="46" spans="1:10" ht="13.5" thickTop="1">
      <c r="A46" s="30"/>
      <c r="B46" s="25"/>
      <c r="C46" s="25"/>
      <c r="D46" s="32"/>
      <c r="E46" s="5"/>
      <c r="F46" s="5"/>
      <c r="G46" s="13"/>
      <c r="H46" s="5"/>
      <c r="I46" s="5"/>
      <c r="J46" s="5"/>
    </row>
    <row r="47" spans="1:10" ht="13.5" thickBot="1">
      <c r="A47" s="5"/>
      <c r="B47" s="31" t="s">
        <v>239</v>
      </c>
      <c r="C47" s="31"/>
      <c r="D47" s="31">
        <f>'DEF - 5 p1 PY ADIT 190'!D84+'DEF - 5 p2 PY ADIT 28x'!D13+'DEF - 5 p2 PY ADIT 28x'!D20+'DEF - 5 p2 PY ADIT 28x'!D45</f>
        <v>-1266297117.3899999</v>
      </c>
      <c r="E47" s="5"/>
      <c r="F47" s="5"/>
      <c r="G47" s="13"/>
      <c r="H47" s="5"/>
      <c r="I47" s="31">
        <f>'DEF - 5 p1 PY ADIT 190'!I84+'DEF - 5 p2 PY ADIT 28x'!I13+'DEF - 5 p2 PY ADIT 28x'!I20+'DEF - 5 p2 PY ADIT 28x'!I45</f>
        <v>-255874733.70151767</v>
      </c>
      <c r="J47" s="95"/>
    </row>
    <row r="48" spans="1:10" ht="13.5" thickTop="1">
      <c r="A48" s="30"/>
      <c r="B48" s="25"/>
      <c r="C48" s="25"/>
      <c r="D48" s="32"/>
      <c r="E48" s="5"/>
      <c r="F48" s="5"/>
      <c r="G48" s="13"/>
      <c r="H48" s="5"/>
      <c r="I48" s="5"/>
      <c r="J48" s="5"/>
    </row>
    <row r="49" spans="1:10">
      <c r="A49" s="37"/>
      <c r="B49" s="153"/>
      <c r="C49" s="32"/>
      <c r="D49" s="32"/>
      <c r="E49" s="5"/>
      <c r="F49" s="5"/>
      <c r="G49" s="13"/>
      <c r="H49" s="5"/>
      <c r="I49" s="153"/>
      <c r="J49" s="5"/>
    </row>
    <row r="50" spans="1:10">
      <c r="A50" s="5"/>
      <c r="B50" s="5"/>
      <c r="C50" s="5"/>
      <c r="D50" s="5"/>
      <c r="E50" s="5"/>
      <c r="F50" s="5"/>
      <c r="G50" s="13"/>
      <c r="H50" s="5"/>
      <c r="I50" s="5"/>
      <c r="J50" s="5"/>
    </row>
    <row r="51" spans="1:10">
      <c r="A51" s="30"/>
      <c r="B51" s="25"/>
      <c r="C51" s="25"/>
      <c r="D51" s="32"/>
      <c r="E51" s="5"/>
      <c r="F51" s="5"/>
      <c r="G51" s="13"/>
      <c r="H51" s="5"/>
      <c r="I51" s="5"/>
      <c r="J51" s="5"/>
    </row>
    <row r="52" spans="1:10">
      <c r="A52" s="30"/>
      <c r="B52" s="25"/>
      <c r="C52" s="25"/>
      <c r="D52" s="32"/>
      <c r="E52" s="5"/>
      <c r="F52" s="5"/>
      <c r="G52" s="13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13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13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E58" s="307" t="s">
        <v>237</v>
      </c>
      <c r="F58" s="225"/>
      <c r="G58" s="13"/>
    </row>
    <row r="59" spans="1:10">
      <c r="E59" s="307" t="s">
        <v>41</v>
      </c>
      <c r="F59" s="225"/>
      <c r="G59" s="13"/>
    </row>
    <row r="60" spans="1:10">
      <c r="E60" s="307" t="s">
        <v>235</v>
      </c>
      <c r="F60" s="225"/>
      <c r="G60" s="13"/>
      <c r="I60" s="5"/>
    </row>
    <row r="61" spans="1:10">
      <c r="E61" s="307" t="s">
        <v>238</v>
      </c>
      <c r="F61" s="225"/>
      <c r="G61" s="13"/>
    </row>
    <row r="62" spans="1:10">
      <c r="E62" s="307" t="s">
        <v>37</v>
      </c>
      <c r="F62" s="225"/>
      <c r="G62" s="13"/>
    </row>
    <row r="63" spans="1:10">
      <c r="E63" s="307" t="s">
        <v>236</v>
      </c>
      <c r="F63" s="225"/>
      <c r="G63" s="13"/>
    </row>
    <row r="64" spans="1:10">
      <c r="E64" s="307" t="s">
        <v>234</v>
      </c>
      <c r="F64" s="225"/>
      <c r="G64" s="13"/>
    </row>
    <row r="65" spans="5:7">
      <c r="E65" s="307" t="s">
        <v>51</v>
      </c>
      <c r="F65" s="225"/>
      <c r="G65" s="13"/>
    </row>
  </sheetData>
  <mergeCells count="4">
    <mergeCell ref="I1:J1"/>
    <mergeCell ref="I3:J3"/>
    <mergeCell ref="A5:I5"/>
    <mergeCell ref="A6:I6"/>
  </mergeCells>
  <phoneticPr fontId="14" type="noConversion"/>
  <pageMargins left="0.5" right="0.5" top="0.5" bottom="0.5" header="0.5" footer="0.5"/>
  <pageSetup scale="73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workbookViewId="0"/>
  </sheetViews>
  <sheetFormatPr defaultRowHeight="12.75"/>
  <cols>
    <col min="1" max="1" width="8.85546875" style="3" customWidth="1"/>
    <col min="2" max="2" width="47.140625" style="3" customWidth="1"/>
    <col min="3" max="3" width="3.7109375" style="3" customWidth="1"/>
    <col min="4" max="4" width="21.7109375" style="3" bestFit="1" customWidth="1"/>
    <col min="5" max="5" width="3.7109375" style="3" customWidth="1"/>
    <col min="6" max="7" width="9.140625" style="3"/>
    <col min="8" max="8" width="3.7109375" style="3" customWidth="1"/>
    <col min="9" max="9" width="11.28515625" style="3" bestFit="1" customWidth="1"/>
    <col min="10" max="10" width="9.140625" style="3"/>
    <col min="11" max="11" width="10.7109375" style="3" bestFit="1" customWidth="1"/>
    <col min="12" max="16384" width="9.140625" style="3"/>
  </cols>
  <sheetData>
    <row r="1" spans="1:11" ht="15">
      <c r="A1" s="5"/>
      <c r="B1" s="5"/>
      <c r="C1" s="5"/>
      <c r="D1" s="5"/>
      <c r="E1" s="5"/>
      <c r="F1" s="5"/>
      <c r="G1" s="5"/>
      <c r="H1" s="5"/>
      <c r="I1" s="335" t="s">
        <v>910</v>
      </c>
      <c r="J1" s="335"/>
    </row>
    <row r="2" spans="1:11" ht="15">
      <c r="A2" s="5"/>
      <c r="B2" s="5"/>
      <c r="C2" s="5"/>
      <c r="D2" s="5"/>
      <c r="E2" s="5"/>
      <c r="F2" s="5"/>
      <c r="G2" s="5"/>
      <c r="H2" s="5"/>
      <c r="I2" s="234" t="s">
        <v>775</v>
      </c>
      <c r="J2" s="234"/>
    </row>
    <row r="3" spans="1:11">
      <c r="A3" s="5"/>
      <c r="B3" s="24"/>
      <c r="C3" s="24"/>
      <c r="D3" s="5"/>
      <c r="E3" s="5"/>
      <c r="F3" s="5"/>
      <c r="G3" s="5"/>
      <c r="H3" s="5"/>
      <c r="I3" s="344" t="str">
        <f>FF1_Year</f>
        <v>Year Ending 12/31/2012</v>
      </c>
      <c r="J3" s="345"/>
    </row>
    <row r="4" spans="1:11">
      <c r="A4" s="5"/>
      <c r="B4" s="24"/>
      <c r="C4" s="24"/>
      <c r="D4" s="5"/>
      <c r="E4" s="5"/>
      <c r="F4" s="5"/>
      <c r="G4" s="5"/>
      <c r="H4" s="5"/>
      <c r="I4" s="228"/>
      <c r="J4" s="228"/>
    </row>
    <row r="5" spans="1:11">
      <c r="A5" s="350" t="s">
        <v>924</v>
      </c>
      <c r="B5" s="351"/>
      <c r="C5" s="351"/>
      <c r="D5" s="351"/>
      <c r="E5" s="351"/>
      <c r="F5" s="351"/>
      <c r="G5" s="351"/>
      <c r="H5" s="351"/>
      <c r="I5" s="351"/>
      <c r="J5" s="228"/>
    </row>
    <row r="6" spans="1:11">
      <c r="A6" s="350" t="s">
        <v>378</v>
      </c>
      <c r="B6" s="351"/>
      <c r="C6" s="351"/>
      <c r="D6" s="351"/>
      <c r="E6" s="351"/>
      <c r="F6" s="351"/>
      <c r="G6" s="351"/>
      <c r="H6" s="351"/>
      <c r="I6" s="351"/>
      <c r="J6" s="228"/>
    </row>
    <row r="7" spans="1:11">
      <c r="A7" s="5"/>
      <c r="B7" s="24"/>
      <c r="C7" s="24"/>
      <c r="D7" s="5"/>
      <c r="E7" s="5"/>
      <c r="F7" s="5"/>
      <c r="G7" s="5"/>
      <c r="H7" s="5"/>
      <c r="I7" s="5"/>
      <c r="J7" s="5"/>
    </row>
    <row r="8" spans="1:11">
      <c r="A8" s="25"/>
      <c r="B8" s="26"/>
      <c r="C8" s="26"/>
      <c r="D8" s="26"/>
      <c r="E8" s="27"/>
      <c r="F8" s="27"/>
      <c r="G8" s="27"/>
      <c r="H8" s="27"/>
      <c r="I8" s="27"/>
      <c r="J8" s="27"/>
    </row>
    <row r="9" spans="1:11">
      <c r="A9" s="25"/>
      <c r="B9" s="26"/>
      <c r="C9" s="26"/>
      <c r="D9" s="235" t="s">
        <v>230</v>
      </c>
      <c r="E9" s="27"/>
      <c r="F9" s="28" t="s">
        <v>23</v>
      </c>
      <c r="G9" s="28" t="s">
        <v>231</v>
      </c>
      <c r="H9" s="28"/>
      <c r="I9" s="28" t="s">
        <v>232</v>
      </c>
      <c r="J9" s="27"/>
    </row>
    <row r="10" spans="1:11">
      <c r="A10" s="25" t="s">
        <v>233</v>
      </c>
      <c r="B10" s="25" t="s">
        <v>3</v>
      </c>
      <c r="C10" s="29"/>
      <c r="D10" s="235" t="str">
        <f>"Tax at 12/31/"&amp;YR</f>
        <v>Tax at 12/31/2012</v>
      </c>
      <c r="E10" s="5"/>
      <c r="F10" s="5"/>
      <c r="G10" s="5"/>
      <c r="H10" s="5"/>
      <c r="I10" s="5"/>
      <c r="J10" s="5"/>
    </row>
    <row r="11" spans="1:11">
      <c r="A11" s="25"/>
      <c r="B11" s="25"/>
      <c r="C11" s="29"/>
      <c r="D11" s="235"/>
      <c r="E11" s="5"/>
      <c r="F11" s="5"/>
      <c r="G11" s="5"/>
      <c r="H11" s="5"/>
      <c r="I11" s="5"/>
      <c r="J11" s="5"/>
    </row>
    <row r="12" spans="1:11">
      <c r="A12" s="140">
        <v>190</v>
      </c>
      <c r="B12" s="9" t="s">
        <v>931</v>
      </c>
      <c r="C12" s="9"/>
      <c r="D12" s="9">
        <v>1218584</v>
      </c>
      <c r="E12" s="9"/>
      <c r="F12" s="9" t="s">
        <v>234</v>
      </c>
      <c r="G12" s="115">
        <f t="shared" ref="G12:G43" si="0">VLOOKUP(F12,ALLOCATORS,2,FALSE)</f>
        <v>0</v>
      </c>
      <c r="H12" s="106"/>
      <c r="I12" s="9">
        <f>D12*G12</f>
        <v>0</v>
      </c>
      <c r="J12" s="5"/>
      <c r="K12" s="5"/>
    </row>
    <row r="13" spans="1:11">
      <c r="A13" s="140">
        <v>190</v>
      </c>
      <c r="B13" s="9" t="s">
        <v>932</v>
      </c>
      <c r="C13" s="9"/>
      <c r="D13" s="9">
        <v>1525070</v>
      </c>
      <c r="E13" s="9"/>
      <c r="F13" s="9" t="s">
        <v>238</v>
      </c>
      <c r="G13" s="115">
        <f t="shared" si="0"/>
        <v>0</v>
      </c>
      <c r="H13" s="106"/>
      <c r="I13" s="9">
        <f t="shared" ref="I13:I69" si="1">D13*G13</f>
        <v>0</v>
      </c>
      <c r="J13" s="5"/>
      <c r="K13" s="5"/>
    </row>
    <row r="14" spans="1:11">
      <c r="A14" s="140">
        <v>190</v>
      </c>
      <c r="B14" s="9" t="s">
        <v>933</v>
      </c>
      <c r="C14" s="9"/>
      <c r="D14" s="9">
        <v>8101</v>
      </c>
      <c r="E14" s="9"/>
      <c r="F14" s="9" t="s">
        <v>236</v>
      </c>
      <c r="G14" s="115">
        <f t="shared" si="0"/>
        <v>0</v>
      </c>
      <c r="H14" s="106"/>
      <c r="I14" s="9">
        <f t="shared" si="1"/>
        <v>0</v>
      </c>
      <c r="J14" s="5"/>
      <c r="K14" s="5"/>
    </row>
    <row r="15" spans="1:11">
      <c r="A15" s="140">
        <v>190</v>
      </c>
      <c r="B15" s="9" t="s">
        <v>934</v>
      </c>
      <c r="C15" s="9"/>
      <c r="D15" s="9">
        <v>655775</v>
      </c>
      <c r="E15" s="9"/>
      <c r="F15" s="9" t="s">
        <v>37</v>
      </c>
      <c r="G15" s="115">
        <f t="shared" si="0"/>
        <v>0.18262006498391903</v>
      </c>
      <c r="H15" s="106"/>
      <c r="I15" s="9">
        <f t="shared" si="1"/>
        <v>119757.67311482951</v>
      </c>
      <c r="J15" s="5"/>
      <c r="K15" s="5"/>
    </row>
    <row r="16" spans="1:11">
      <c r="A16" s="140">
        <v>190</v>
      </c>
      <c r="B16" s="9" t="s">
        <v>1027</v>
      </c>
      <c r="C16" s="9"/>
      <c r="D16" s="9">
        <v>21112397</v>
      </c>
      <c r="E16" s="9"/>
      <c r="F16" s="9" t="s">
        <v>236</v>
      </c>
      <c r="G16" s="115">
        <f t="shared" si="0"/>
        <v>0</v>
      </c>
      <c r="H16" s="106"/>
      <c r="I16" s="9">
        <f t="shared" si="1"/>
        <v>0</v>
      </c>
      <c r="J16" s="5"/>
    </row>
    <row r="17" spans="1:11">
      <c r="A17" s="140">
        <v>190</v>
      </c>
      <c r="B17" s="9" t="s">
        <v>935</v>
      </c>
      <c r="C17" s="9"/>
      <c r="D17" s="9">
        <v>2346334</v>
      </c>
      <c r="E17" s="9"/>
      <c r="F17" s="9" t="s">
        <v>234</v>
      </c>
      <c r="G17" s="115">
        <f t="shared" si="0"/>
        <v>0</v>
      </c>
      <c r="H17" s="106"/>
      <c r="I17" s="9">
        <f t="shared" si="1"/>
        <v>0</v>
      </c>
      <c r="J17" s="5"/>
    </row>
    <row r="18" spans="1:11">
      <c r="A18" s="140">
        <v>190</v>
      </c>
      <c r="B18" s="9" t="s">
        <v>936</v>
      </c>
      <c r="C18" s="9"/>
      <c r="D18" s="9">
        <v>277879</v>
      </c>
      <c r="E18" s="9"/>
      <c r="F18" s="9" t="s">
        <v>235</v>
      </c>
      <c r="G18" s="115">
        <f t="shared" si="0"/>
        <v>6.5736053966476971E-2</v>
      </c>
      <c r="H18" s="106"/>
      <c r="I18" s="9">
        <f t="shared" si="1"/>
        <v>18266.668940150656</v>
      </c>
      <c r="J18" s="5"/>
      <c r="K18" s="5"/>
    </row>
    <row r="19" spans="1:11">
      <c r="A19" s="140">
        <v>190</v>
      </c>
      <c r="B19" s="9" t="s">
        <v>937</v>
      </c>
      <c r="C19" s="9"/>
      <c r="D19" s="9">
        <v>2279256</v>
      </c>
      <c r="E19" s="9"/>
      <c r="F19" s="9" t="s">
        <v>235</v>
      </c>
      <c r="G19" s="115">
        <f t="shared" si="0"/>
        <v>6.5736053966476971E-2</v>
      </c>
      <c r="H19" s="106"/>
      <c r="I19" s="9">
        <f t="shared" si="1"/>
        <v>149829.29541941642</v>
      </c>
      <c r="J19" s="5"/>
      <c r="K19" s="5"/>
    </row>
    <row r="20" spans="1:11">
      <c r="A20" s="140">
        <v>190</v>
      </c>
      <c r="B20" s="9" t="s">
        <v>938</v>
      </c>
      <c r="C20" s="9"/>
      <c r="D20" s="9">
        <v>1122165</v>
      </c>
      <c r="E20" s="9"/>
      <c r="F20" s="9" t="s">
        <v>235</v>
      </c>
      <c r="G20" s="115">
        <f t="shared" si="0"/>
        <v>6.5736053966476971E-2</v>
      </c>
      <c r="H20" s="106"/>
      <c r="I20" s="9">
        <f t="shared" si="1"/>
        <v>73766.698999291635</v>
      </c>
      <c r="J20" s="5"/>
      <c r="K20" s="5"/>
    </row>
    <row r="21" spans="1:11">
      <c r="A21" s="140">
        <v>190</v>
      </c>
      <c r="B21" s="9" t="s">
        <v>939</v>
      </c>
      <c r="C21" s="9"/>
      <c r="D21" s="9">
        <v>2008549</v>
      </c>
      <c r="E21" s="9"/>
      <c r="F21" s="9" t="s">
        <v>235</v>
      </c>
      <c r="G21" s="115">
        <f t="shared" si="0"/>
        <v>6.5736053966476971E-2</v>
      </c>
      <c r="H21" s="106"/>
      <c r="I21" s="9">
        <f t="shared" si="1"/>
        <v>132034.08545831335</v>
      </c>
      <c r="J21" s="5"/>
      <c r="K21" s="5"/>
    </row>
    <row r="22" spans="1:11">
      <c r="A22" s="140">
        <v>190</v>
      </c>
      <c r="B22" s="142" t="s">
        <v>940</v>
      </c>
      <c r="C22" s="9"/>
      <c r="D22" s="9">
        <v>335015</v>
      </c>
      <c r="E22" s="9"/>
      <c r="F22" s="9" t="s">
        <v>1000</v>
      </c>
      <c r="G22" s="115">
        <f t="shared" si="0"/>
        <v>0</v>
      </c>
      <c r="H22" s="106"/>
      <c r="I22" s="9">
        <f t="shared" si="1"/>
        <v>0</v>
      </c>
      <c r="J22" s="5"/>
      <c r="K22" s="5"/>
    </row>
    <row r="23" spans="1:11">
      <c r="A23" s="140">
        <v>190</v>
      </c>
      <c r="B23" s="9" t="s">
        <v>941</v>
      </c>
      <c r="C23" s="9"/>
      <c r="D23" s="9">
        <v>9814936</v>
      </c>
      <c r="E23" s="9"/>
      <c r="F23" s="9" t="s">
        <v>235</v>
      </c>
      <c r="G23" s="115">
        <f t="shared" si="0"/>
        <v>6.5736053966476971E-2</v>
      </c>
      <c r="H23" s="106"/>
      <c r="I23" s="9">
        <f t="shared" si="1"/>
        <v>645195.16257351765</v>
      </c>
      <c r="J23" s="5"/>
      <c r="K23" s="5"/>
    </row>
    <row r="24" spans="1:11">
      <c r="A24" s="140">
        <v>190</v>
      </c>
      <c r="B24" s="9" t="s">
        <v>942</v>
      </c>
      <c r="C24" s="9"/>
      <c r="D24" s="9">
        <v>-1183834</v>
      </c>
      <c r="E24" s="9"/>
      <c r="F24" s="9" t="s">
        <v>236</v>
      </c>
      <c r="G24" s="115">
        <f t="shared" si="0"/>
        <v>0</v>
      </c>
      <c r="H24" s="106"/>
      <c r="I24" s="9">
        <f t="shared" si="1"/>
        <v>0</v>
      </c>
      <c r="J24" s="5"/>
      <c r="K24" s="5"/>
    </row>
    <row r="25" spans="1:11">
      <c r="A25" s="140">
        <v>190</v>
      </c>
      <c r="B25" s="9" t="s">
        <v>943</v>
      </c>
      <c r="C25" s="9"/>
      <c r="D25" s="9">
        <v>1660659</v>
      </c>
      <c r="E25" s="9"/>
      <c r="F25" s="9" t="s">
        <v>234</v>
      </c>
      <c r="G25" s="115">
        <f t="shared" si="0"/>
        <v>0</v>
      </c>
      <c r="H25" s="106"/>
      <c r="I25" s="9">
        <f t="shared" si="1"/>
        <v>0</v>
      </c>
      <c r="J25" s="5"/>
    </row>
    <row r="26" spans="1:11">
      <c r="A26" s="140">
        <v>190</v>
      </c>
      <c r="B26" s="9" t="s">
        <v>944</v>
      </c>
      <c r="C26" s="9"/>
      <c r="D26" s="9">
        <v>48697971</v>
      </c>
      <c r="E26" s="9"/>
      <c r="F26" s="9" t="s">
        <v>234</v>
      </c>
      <c r="G26" s="115">
        <f t="shared" si="0"/>
        <v>0</v>
      </c>
      <c r="H26" s="106"/>
      <c r="I26" s="9">
        <f t="shared" si="1"/>
        <v>0</v>
      </c>
      <c r="J26" s="5"/>
      <c r="K26" s="5"/>
    </row>
    <row r="27" spans="1:11">
      <c r="A27" s="140">
        <v>190</v>
      </c>
      <c r="B27" s="9" t="s">
        <v>945</v>
      </c>
      <c r="C27" s="9"/>
      <c r="D27" s="9">
        <v>12746264</v>
      </c>
      <c r="E27" s="9"/>
      <c r="F27" s="9" t="s">
        <v>235</v>
      </c>
      <c r="G27" s="115">
        <f t="shared" si="0"/>
        <v>6.5736053966476971E-2</v>
      </c>
      <c r="H27" s="106"/>
      <c r="I27" s="9">
        <f t="shared" si="1"/>
        <v>837889.09817496256</v>
      </c>
      <c r="J27" s="5"/>
      <c r="K27" s="5"/>
    </row>
    <row r="28" spans="1:11">
      <c r="A28" s="140">
        <v>190</v>
      </c>
      <c r="B28" s="9" t="s">
        <v>946</v>
      </c>
      <c r="C28" s="9"/>
      <c r="D28" s="9">
        <v>231001</v>
      </c>
      <c r="E28" s="9"/>
      <c r="F28" s="9" t="s">
        <v>238</v>
      </c>
      <c r="G28" s="115">
        <f t="shared" si="0"/>
        <v>0</v>
      </c>
      <c r="H28" s="106"/>
      <c r="I28" s="9">
        <f t="shared" si="1"/>
        <v>0</v>
      </c>
      <c r="J28" s="5"/>
      <c r="K28" s="5"/>
    </row>
    <row r="29" spans="1:11">
      <c r="A29" s="140">
        <v>190</v>
      </c>
      <c r="B29" s="9" t="s">
        <v>947</v>
      </c>
      <c r="C29" s="9"/>
      <c r="D29" s="9">
        <v>1547448</v>
      </c>
      <c r="E29" s="9"/>
      <c r="F29" s="9" t="s">
        <v>37</v>
      </c>
      <c r="G29" s="115">
        <f t="shared" si="0"/>
        <v>0.18262006498391903</v>
      </c>
      <c r="H29" s="106"/>
      <c r="I29" s="9">
        <f t="shared" si="1"/>
        <v>282595.05431923555</v>
      </c>
      <c r="J29" s="5"/>
      <c r="K29" s="5"/>
    </row>
    <row r="30" spans="1:11">
      <c r="A30" s="140">
        <v>190</v>
      </c>
      <c r="B30" s="9" t="s">
        <v>948</v>
      </c>
      <c r="C30" s="9"/>
      <c r="D30" s="9">
        <v>40872</v>
      </c>
      <c r="E30" s="9"/>
      <c r="F30" s="9" t="s">
        <v>37</v>
      </c>
      <c r="G30" s="115">
        <f t="shared" si="0"/>
        <v>0.18262006498391903</v>
      </c>
      <c r="H30" s="106"/>
      <c r="I30" s="9">
        <f t="shared" si="1"/>
        <v>7464.0472960227389</v>
      </c>
      <c r="J30" s="5"/>
      <c r="K30" s="5"/>
    </row>
    <row r="31" spans="1:11">
      <c r="A31" s="140">
        <v>190</v>
      </c>
      <c r="B31" s="9" t="s">
        <v>949</v>
      </c>
      <c r="C31" s="9"/>
      <c r="D31" s="9">
        <v>87368337</v>
      </c>
      <c r="E31" s="9"/>
      <c r="F31" s="9" t="s">
        <v>37</v>
      </c>
      <c r="G31" s="115">
        <f t="shared" si="0"/>
        <v>0.18262006498391903</v>
      </c>
      <c r="H31" s="106"/>
      <c r="I31" s="9">
        <f t="shared" si="1"/>
        <v>15955211.380476937</v>
      </c>
      <c r="J31" s="5"/>
      <c r="K31" s="5"/>
    </row>
    <row r="32" spans="1:11">
      <c r="A32" s="140">
        <v>190</v>
      </c>
      <c r="B32" s="9" t="s">
        <v>950</v>
      </c>
      <c r="C32" s="9"/>
      <c r="D32" s="9">
        <v>3231609</v>
      </c>
      <c r="E32" s="9"/>
      <c r="F32" s="9" t="s">
        <v>238</v>
      </c>
      <c r="G32" s="115">
        <f t="shared" si="0"/>
        <v>0</v>
      </c>
      <c r="H32" s="106"/>
      <c r="I32" s="9">
        <f t="shared" si="1"/>
        <v>0</v>
      </c>
      <c r="J32" s="5"/>
      <c r="K32" s="5"/>
    </row>
    <row r="33" spans="1:11">
      <c r="A33" s="140">
        <v>190</v>
      </c>
      <c r="B33" s="9" t="s">
        <v>952</v>
      </c>
      <c r="C33" s="9"/>
      <c r="D33" s="9">
        <v>171115575</v>
      </c>
      <c r="E33" s="9"/>
      <c r="F33" s="9" t="s">
        <v>236</v>
      </c>
      <c r="G33" s="115">
        <f t="shared" si="0"/>
        <v>0</v>
      </c>
      <c r="H33" s="106"/>
      <c r="I33" s="9">
        <f t="shared" si="1"/>
        <v>0</v>
      </c>
      <c r="J33" s="5"/>
      <c r="K33" s="5"/>
    </row>
    <row r="34" spans="1:11">
      <c r="A34" s="140">
        <v>190</v>
      </c>
      <c r="B34" s="9" t="s">
        <v>953</v>
      </c>
      <c r="C34" s="9"/>
      <c r="D34" s="9">
        <v>44420474</v>
      </c>
      <c r="E34" s="9"/>
      <c r="F34" s="9" t="s">
        <v>234</v>
      </c>
      <c r="G34" s="115">
        <f t="shared" si="0"/>
        <v>0</v>
      </c>
      <c r="H34" s="106"/>
      <c r="I34" s="9">
        <f t="shared" si="1"/>
        <v>0</v>
      </c>
      <c r="J34" s="5"/>
      <c r="K34" s="5"/>
    </row>
    <row r="35" spans="1:11">
      <c r="A35" s="140">
        <v>190</v>
      </c>
      <c r="B35" s="9" t="s">
        <v>954</v>
      </c>
      <c r="C35" s="9"/>
      <c r="D35" s="9">
        <v>7842063</v>
      </c>
      <c r="E35" s="9"/>
      <c r="F35" s="9" t="s">
        <v>235</v>
      </c>
      <c r="G35" s="115">
        <f t="shared" si="0"/>
        <v>6.5736053966476971E-2</v>
      </c>
      <c r="H35" s="106"/>
      <c r="I35" s="9">
        <f t="shared" si="1"/>
        <v>515506.27657651232</v>
      </c>
      <c r="J35" s="5"/>
      <c r="K35" s="5"/>
    </row>
    <row r="36" spans="1:11">
      <c r="A36" s="140">
        <v>190</v>
      </c>
      <c r="B36" s="9" t="s">
        <v>955</v>
      </c>
      <c r="C36" s="9"/>
      <c r="D36" s="9">
        <v>485621</v>
      </c>
      <c r="E36" s="9"/>
      <c r="F36" s="9" t="s">
        <v>235</v>
      </c>
      <c r="G36" s="115">
        <f t="shared" si="0"/>
        <v>6.5736053966476971E-2</v>
      </c>
      <c r="H36" s="106"/>
      <c r="I36" s="9">
        <f t="shared" si="1"/>
        <v>31922.808263254512</v>
      </c>
      <c r="J36" s="5"/>
      <c r="K36" s="5"/>
    </row>
    <row r="37" spans="1:11">
      <c r="A37" s="140">
        <v>190</v>
      </c>
      <c r="B37" s="9" t="s">
        <v>956</v>
      </c>
      <c r="C37" s="9"/>
      <c r="D37" s="9">
        <v>17146976</v>
      </c>
      <c r="E37" s="9"/>
      <c r="F37" s="9" t="s">
        <v>235</v>
      </c>
      <c r="G37" s="115">
        <f t="shared" si="0"/>
        <v>6.5736053966476971E-2</v>
      </c>
      <c r="H37" s="106"/>
      <c r="I37" s="9">
        <f t="shared" si="1"/>
        <v>1127174.5396978855</v>
      </c>
      <c r="J37" s="5"/>
      <c r="K37" s="5"/>
    </row>
    <row r="38" spans="1:11">
      <c r="A38" s="140">
        <v>190</v>
      </c>
      <c r="B38" s="9" t="s">
        <v>960</v>
      </c>
      <c r="C38" s="9"/>
      <c r="D38" s="9">
        <v>590350</v>
      </c>
      <c r="E38" s="9"/>
      <c r="F38" s="9" t="s">
        <v>235</v>
      </c>
      <c r="G38" s="115">
        <f t="shared" si="0"/>
        <v>6.5736053966476971E-2</v>
      </c>
      <c r="H38" s="106"/>
      <c r="I38" s="9">
        <f t="shared" si="1"/>
        <v>38807.279459109683</v>
      </c>
      <c r="J38" s="5"/>
      <c r="K38" s="5"/>
    </row>
    <row r="39" spans="1:11">
      <c r="A39" s="140">
        <v>190</v>
      </c>
      <c r="B39" s="9" t="s">
        <v>961</v>
      </c>
      <c r="C39" s="9"/>
      <c r="D39" s="9">
        <v>294477</v>
      </c>
      <c r="E39" s="9"/>
      <c r="F39" s="9" t="s">
        <v>235</v>
      </c>
      <c r="G39" s="115">
        <f t="shared" si="0"/>
        <v>6.5736053966476971E-2</v>
      </c>
      <c r="H39" s="106"/>
      <c r="I39" s="9">
        <f t="shared" si="1"/>
        <v>19357.75596388624</v>
      </c>
      <c r="J39" s="5"/>
      <c r="K39" s="5"/>
    </row>
    <row r="40" spans="1:11">
      <c r="A40" s="140">
        <v>190</v>
      </c>
      <c r="B40" s="9" t="s">
        <v>962</v>
      </c>
      <c r="C40" s="9"/>
      <c r="D40" s="9">
        <v>7255343</v>
      </c>
      <c r="E40" s="9"/>
      <c r="F40" s="9" t="s">
        <v>37</v>
      </c>
      <c r="G40" s="115">
        <f t="shared" si="0"/>
        <v>0.18262006498391903</v>
      </c>
      <c r="H40" s="106"/>
      <c r="I40" s="9">
        <f t="shared" si="1"/>
        <v>1324971.210140622</v>
      </c>
      <c r="J40" s="5"/>
    </row>
    <row r="41" spans="1:11">
      <c r="A41" s="140">
        <v>190</v>
      </c>
      <c r="B41" s="9" t="s">
        <v>963</v>
      </c>
      <c r="C41" s="9"/>
      <c r="D41" s="9">
        <v>1019150</v>
      </c>
      <c r="E41" s="9"/>
      <c r="F41" s="9" t="s">
        <v>235</v>
      </c>
      <c r="G41" s="115">
        <f t="shared" si="0"/>
        <v>6.5736053966476971E-2</v>
      </c>
      <c r="H41" s="106"/>
      <c r="I41" s="9">
        <f t="shared" si="1"/>
        <v>66994.899399935006</v>
      </c>
      <c r="J41" s="5"/>
    </row>
    <row r="42" spans="1:11">
      <c r="A42" s="140">
        <v>190</v>
      </c>
      <c r="B42" s="9" t="s">
        <v>965</v>
      </c>
      <c r="C42" s="9"/>
      <c r="D42" s="9">
        <v>1151535</v>
      </c>
      <c r="E42" s="9"/>
      <c r="F42" s="9" t="s">
        <v>238</v>
      </c>
      <c r="G42" s="115">
        <f t="shared" si="0"/>
        <v>0</v>
      </c>
      <c r="H42" s="106"/>
      <c r="I42" s="9">
        <f t="shared" si="1"/>
        <v>0</v>
      </c>
      <c r="J42" s="5"/>
    </row>
    <row r="43" spans="1:11">
      <c r="A43" s="140">
        <v>190</v>
      </c>
      <c r="B43" s="9" t="s">
        <v>966</v>
      </c>
      <c r="C43" s="9"/>
      <c r="D43" s="9">
        <v>76963509</v>
      </c>
      <c r="E43" s="9"/>
      <c r="F43" s="9" t="s">
        <v>236</v>
      </c>
      <c r="G43" s="115">
        <f t="shared" si="0"/>
        <v>0</v>
      </c>
      <c r="H43" s="106"/>
      <c r="I43" s="9">
        <f t="shared" si="1"/>
        <v>0</v>
      </c>
      <c r="J43" s="5"/>
    </row>
    <row r="44" spans="1:11">
      <c r="A44" s="140">
        <v>190</v>
      </c>
      <c r="B44" s="9" t="s">
        <v>968</v>
      </c>
      <c r="C44" s="9"/>
      <c r="D44" s="9">
        <v>16789</v>
      </c>
      <c r="E44" s="9"/>
      <c r="F44" s="9" t="s">
        <v>236</v>
      </c>
      <c r="G44" s="115">
        <f t="shared" ref="G44:G69" si="2">VLOOKUP(F44,ALLOCATORS,2,FALSE)</f>
        <v>0</v>
      </c>
      <c r="H44" s="106"/>
      <c r="I44" s="9">
        <f t="shared" si="1"/>
        <v>0</v>
      </c>
      <c r="J44" s="5"/>
    </row>
    <row r="45" spans="1:11">
      <c r="A45" s="140">
        <v>190</v>
      </c>
      <c r="B45" s="9" t="s">
        <v>969</v>
      </c>
      <c r="C45" s="9"/>
      <c r="D45" s="9">
        <v>6039742</v>
      </c>
      <c r="E45" s="9"/>
      <c r="F45" s="9" t="s">
        <v>238</v>
      </c>
      <c r="G45" s="115">
        <f t="shared" si="2"/>
        <v>0</v>
      </c>
      <c r="H45" s="106"/>
      <c r="I45" s="9">
        <f t="shared" si="1"/>
        <v>0</v>
      </c>
      <c r="J45" s="5"/>
    </row>
    <row r="46" spans="1:11">
      <c r="A46" s="140">
        <v>190</v>
      </c>
      <c r="B46" s="9" t="s">
        <v>970</v>
      </c>
      <c r="C46" s="9"/>
      <c r="D46" s="9">
        <v>1172490</v>
      </c>
      <c r="E46" s="9"/>
      <c r="F46" s="9" t="s">
        <v>37</v>
      </c>
      <c r="G46" s="115">
        <f t="shared" si="2"/>
        <v>0.18262006498391903</v>
      </c>
      <c r="H46" s="106"/>
      <c r="I46" s="9">
        <f t="shared" si="1"/>
        <v>214120.19999299521</v>
      </c>
      <c r="J46" s="5"/>
    </row>
    <row r="47" spans="1:11">
      <c r="A47" s="140">
        <v>190</v>
      </c>
      <c r="B47" s="9" t="s">
        <v>1028</v>
      </c>
      <c r="C47" s="9"/>
      <c r="D47" s="9">
        <v>2154791</v>
      </c>
      <c r="E47" s="9"/>
      <c r="F47" s="9" t="s">
        <v>37</v>
      </c>
      <c r="G47" s="115">
        <f t="shared" si="2"/>
        <v>0.18262006498391903</v>
      </c>
      <c r="H47" s="106"/>
      <c r="I47" s="9">
        <f t="shared" si="1"/>
        <v>393508.07244676386</v>
      </c>
      <c r="J47" s="5"/>
    </row>
    <row r="48" spans="1:11">
      <c r="A48" s="140">
        <v>190</v>
      </c>
      <c r="B48" s="9" t="s">
        <v>972</v>
      </c>
      <c r="C48" s="9"/>
      <c r="D48" s="9">
        <v>-187293</v>
      </c>
      <c r="E48" s="9"/>
      <c r="F48" s="9" t="s">
        <v>37</v>
      </c>
      <c r="G48" s="115">
        <f t="shared" si="2"/>
        <v>0.18262006498391903</v>
      </c>
      <c r="H48" s="106"/>
      <c r="I48" s="9">
        <f t="shared" si="1"/>
        <v>-34203.459831033149</v>
      </c>
      <c r="J48" s="5"/>
    </row>
    <row r="49" spans="1:10">
      <c r="A49" s="140">
        <v>190</v>
      </c>
      <c r="B49" s="9" t="s">
        <v>976</v>
      </c>
      <c r="C49" s="9"/>
      <c r="D49" s="9">
        <v>44247118</v>
      </c>
      <c r="E49" s="9"/>
      <c r="F49" s="9" t="s">
        <v>235</v>
      </c>
      <c r="G49" s="115">
        <f t="shared" si="2"/>
        <v>6.5736053966476971E-2</v>
      </c>
      <c r="H49" s="106"/>
      <c r="I49" s="9">
        <f t="shared" si="1"/>
        <v>2908630.9367090748</v>
      </c>
      <c r="J49" s="5"/>
    </row>
    <row r="50" spans="1:10">
      <c r="A50" s="140">
        <v>190</v>
      </c>
      <c r="B50" s="9" t="s">
        <v>978</v>
      </c>
      <c r="C50" s="9"/>
      <c r="D50" s="9">
        <v>-13040506</v>
      </c>
      <c r="E50" s="9"/>
      <c r="F50" s="9" t="s">
        <v>234</v>
      </c>
      <c r="G50" s="115">
        <f t="shared" si="2"/>
        <v>0</v>
      </c>
      <c r="H50" s="106"/>
      <c r="I50" s="9">
        <f t="shared" si="1"/>
        <v>0</v>
      </c>
      <c r="J50" s="5"/>
    </row>
    <row r="51" spans="1:10">
      <c r="A51" s="140">
        <v>190</v>
      </c>
      <c r="B51" s="9" t="s">
        <v>979</v>
      </c>
      <c r="C51" s="9"/>
      <c r="D51" s="9">
        <v>1185734</v>
      </c>
      <c r="E51" s="9"/>
      <c r="F51" s="9" t="s">
        <v>236</v>
      </c>
      <c r="G51" s="115">
        <f t="shared" si="2"/>
        <v>0</v>
      </c>
      <c r="H51" s="106"/>
      <c r="I51" s="9">
        <f t="shared" si="1"/>
        <v>0</v>
      </c>
      <c r="J51" s="5"/>
    </row>
    <row r="52" spans="1:10">
      <c r="A52" s="140">
        <v>190</v>
      </c>
      <c r="B52" s="9" t="s">
        <v>981</v>
      </c>
      <c r="C52" s="9"/>
      <c r="D52" s="9">
        <v>104123187</v>
      </c>
      <c r="E52" s="9"/>
      <c r="F52" s="9" t="s">
        <v>236</v>
      </c>
      <c r="G52" s="115">
        <f t="shared" si="2"/>
        <v>0</v>
      </c>
      <c r="H52" s="106"/>
      <c r="I52" s="9">
        <f t="shared" si="1"/>
        <v>0</v>
      </c>
      <c r="J52" s="5"/>
    </row>
    <row r="53" spans="1:10">
      <c r="A53" s="140">
        <v>190</v>
      </c>
      <c r="B53" s="9" t="s">
        <v>983</v>
      </c>
      <c r="C53" s="9"/>
      <c r="D53" s="9">
        <v>2123147</v>
      </c>
      <c r="E53" s="9"/>
      <c r="F53" s="9" t="s">
        <v>235</v>
      </c>
      <c r="G53" s="115">
        <f t="shared" si="2"/>
        <v>6.5736053966476971E-2</v>
      </c>
      <c r="H53" s="106"/>
      <c r="I53" s="9">
        <f t="shared" si="1"/>
        <v>139567.30577076369</v>
      </c>
      <c r="J53" s="5"/>
    </row>
    <row r="54" spans="1:10">
      <c r="A54" s="140">
        <v>190</v>
      </c>
      <c r="B54" s="9" t="s">
        <v>984</v>
      </c>
      <c r="C54" s="9"/>
      <c r="D54" s="9">
        <v>-605740</v>
      </c>
      <c r="E54" s="9"/>
      <c r="F54" s="9" t="s">
        <v>235</v>
      </c>
      <c r="G54" s="115">
        <f t="shared" si="2"/>
        <v>6.5736053966476971E-2</v>
      </c>
      <c r="H54" s="106"/>
      <c r="I54" s="9">
        <f t="shared" si="1"/>
        <v>-39818.957329653764</v>
      </c>
      <c r="J54" s="5"/>
    </row>
    <row r="55" spans="1:10">
      <c r="A55" s="140">
        <v>190</v>
      </c>
      <c r="B55" s="9" t="s">
        <v>769</v>
      </c>
      <c r="C55" s="9"/>
      <c r="D55" s="9">
        <v>-724653</v>
      </c>
      <c r="E55" s="9"/>
      <c r="F55" s="9" t="s">
        <v>235</v>
      </c>
      <c r="G55" s="115">
        <f t="shared" si="2"/>
        <v>6.5736053966476971E-2</v>
      </c>
      <c r="H55" s="106"/>
      <c r="I55" s="9">
        <f t="shared" si="1"/>
        <v>-47635.828714969437</v>
      </c>
      <c r="J55" s="5"/>
    </row>
    <row r="56" spans="1:10">
      <c r="A56" s="140">
        <v>190</v>
      </c>
      <c r="B56" s="9" t="s">
        <v>770</v>
      </c>
      <c r="C56" s="9"/>
      <c r="D56" s="9">
        <v>2263180</v>
      </c>
      <c r="E56" s="9"/>
      <c r="F56" s="9" t="s">
        <v>235</v>
      </c>
      <c r="G56" s="115">
        <f t="shared" si="2"/>
        <v>6.5736053966476971E-2</v>
      </c>
      <c r="H56" s="106"/>
      <c r="I56" s="9">
        <f t="shared" si="1"/>
        <v>148772.52261585134</v>
      </c>
      <c r="J56" s="5"/>
    </row>
    <row r="57" spans="1:10">
      <c r="A57" s="140">
        <v>190</v>
      </c>
      <c r="B57" s="9" t="s">
        <v>985</v>
      </c>
      <c r="C57" s="9"/>
      <c r="D57" s="9">
        <v>49995</v>
      </c>
      <c r="E57" s="9"/>
      <c r="F57" s="9" t="s">
        <v>235</v>
      </c>
      <c r="G57" s="115">
        <f t="shared" si="2"/>
        <v>6.5736053966476971E-2</v>
      </c>
      <c r="H57" s="106"/>
      <c r="I57" s="9">
        <f t="shared" si="1"/>
        <v>3286.4740180540161</v>
      </c>
      <c r="J57" s="5"/>
    </row>
    <row r="58" spans="1:10">
      <c r="A58" s="140">
        <v>190</v>
      </c>
      <c r="B58" s="9" t="s">
        <v>986</v>
      </c>
      <c r="C58" s="9"/>
      <c r="D58" s="9">
        <v>994509</v>
      </c>
      <c r="E58" s="9"/>
      <c r="F58" s="9" t="s">
        <v>235</v>
      </c>
      <c r="G58" s="115">
        <f t="shared" si="2"/>
        <v>6.5736053966476971E-2</v>
      </c>
      <c r="H58" s="106"/>
      <c r="I58" s="9">
        <f t="shared" si="1"/>
        <v>65375.097294147046</v>
      </c>
      <c r="J58" s="5"/>
    </row>
    <row r="59" spans="1:10">
      <c r="A59" s="140">
        <v>190</v>
      </c>
      <c r="B59" s="9" t="s">
        <v>987</v>
      </c>
      <c r="C59" s="9"/>
      <c r="D59" s="9">
        <v>13101805</v>
      </c>
      <c r="E59" s="9"/>
      <c r="F59" s="9" t="s">
        <v>235</v>
      </c>
      <c r="G59" s="115">
        <f t="shared" si="2"/>
        <v>6.5736053966476971E-2</v>
      </c>
      <c r="H59" s="106"/>
      <c r="I59" s="9">
        <f t="shared" si="1"/>
        <v>861260.96053825784</v>
      </c>
      <c r="J59" s="5"/>
    </row>
    <row r="60" spans="1:10">
      <c r="A60" s="140">
        <v>190</v>
      </c>
      <c r="B60" s="9" t="s">
        <v>988</v>
      </c>
      <c r="C60" s="9"/>
      <c r="D60" s="9">
        <v>154100476</v>
      </c>
      <c r="E60" s="9"/>
      <c r="F60" s="9" t="s">
        <v>235</v>
      </c>
      <c r="G60" s="115">
        <f t="shared" si="2"/>
        <v>6.5736053966476971E-2</v>
      </c>
      <c r="H60" s="106"/>
      <c r="I60" s="9">
        <f t="shared" si="1"/>
        <v>10129957.20659579</v>
      </c>
      <c r="J60" s="5"/>
    </row>
    <row r="61" spans="1:10">
      <c r="A61" s="140">
        <v>190</v>
      </c>
      <c r="B61" s="9" t="s">
        <v>989</v>
      </c>
      <c r="C61" s="9"/>
      <c r="D61" s="9">
        <v>-7534260</v>
      </c>
      <c r="E61" s="9"/>
      <c r="F61" s="9" t="s">
        <v>235</v>
      </c>
      <c r="G61" s="115">
        <f t="shared" si="2"/>
        <v>6.5736053966476971E-2</v>
      </c>
      <c r="H61" s="106"/>
      <c r="I61" s="9">
        <f t="shared" si="1"/>
        <v>-495272.52195746877</v>
      </c>
      <c r="J61" s="5"/>
    </row>
    <row r="62" spans="1:10">
      <c r="A62" s="140">
        <v>190</v>
      </c>
      <c r="B62" s="9" t="s">
        <v>990</v>
      </c>
      <c r="C62" s="9"/>
      <c r="D62" s="9">
        <v>9103393</v>
      </c>
      <c r="E62" s="9"/>
      <c r="F62" s="9" t="s">
        <v>235</v>
      </c>
      <c r="G62" s="115">
        <f t="shared" si="2"/>
        <v>6.5736053966476971E-2</v>
      </c>
      <c r="H62" s="106"/>
      <c r="I62" s="9">
        <f t="shared" si="1"/>
        <v>598421.13352604874</v>
      </c>
      <c r="J62" s="5"/>
    </row>
    <row r="63" spans="1:10">
      <c r="A63" s="140">
        <v>190</v>
      </c>
      <c r="B63" s="9" t="s">
        <v>991</v>
      </c>
      <c r="C63" s="9"/>
      <c r="D63" s="9">
        <v>137452029</v>
      </c>
      <c r="E63" s="9"/>
      <c r="F63" s="9" t="s">
        <v>236</v>
      </c>
      <c r="G63" s="115">
        <f t="shared" si="2"/>
        <v>0</v>
      </c>
      <c r="H63" s="106"/>
      <c r="I63" s="9">
        <f t="shared" si="1"/>
        <v>0</v>
      </c>
      <c r="J63" s="5"/>
    </row>
    <row r="64" spans="1:10">
      <c r="A64" s="140">
        <v>190</v>
      </c>
      <c r="B64" s="9" t="s">
        <v>994</v>
      </c>
      <c r="C64" s="9"/>
      <c r="D64" s="9">
        <v>13642</v>
      </c>
      <c r="E64" s="9"/>
      <c r="F64" s="9" t="s">
        <v>238</v>
      </c>
      <c r="G64" s="115">
        <f t="shared" si="2"/>
        <v>0</v>
      </c>
      <c r="H64" s="106"/>
      <c r="I64" s="9">
        <f t="shared" si="1"/>
        <v>0</v>
      </c>
      <c r="J64" s="5"/>
    </row>
    <row r="65" spans="1:10">
      <c r="A65" s="140">
        <v>190</v>
      </c>
      <c r="B65" s="9" t="s">
        <v>996</v>
      </c>
      <c r="C65" s="9"/>
      <c r="D65" s="9">
        <v>3563412</v>
      </c>
      <c r="E65" s="9"/>
      <c r="F65" s="9" t="s">
        <v>37</v>
      </c>
      <c r="G65" s="115">
        <f t="shared" si="2"/>
        <v>0.18262006498391903</v>
      </c>
      <c r="H65" s="106"/>
      <c r="I65" s="9">
        <f t="shared" si="1"/>
        <v>650750.53100447683</v>
      </c>
      <c r="J65" s="5"/>
    </row>
    <row r="66" spans="1:10">
      <c r="A66" s="140">
        <v>190</v>
      </c>
      <c r="B66" s="9" t="s">
        <v>997</v>
      </c>
      <c r="C66" s="9"/>
      <c r="D66" s="9">
        <v>22397437</v>
      </c>
      <c r="E66" s="9"/>
      <c r="F66" s="9" t="s">
        <v>236</v>
      </c>
      <c r="G66" s="115">
        <f t="shared" si="2"/>
        <v>0</v>
      </c>
      <c r="H66" s="106"/>
      <c r="I66" s="9">
        <f t="shared" si="1"/>
        <v>0</v>
      </c>
      <c r="J66" s="5"/>
    </row>
    <row r="67" spans="1:10">
      <c r="A67" s="140">
        <v>190</v>
      </c>
      <c r="B67" s="9" t="s">
        <v>1029</v>
      </c>
      <c r="C67" s="9"/>
      <c r="D67" s="9">
        <v>-15024150</v>
      </c>
      <c r="E67" s="9"/>
      <c r="F67" s="9" t="s">
        <v>235</v>
      </c>
      <c r="G67" s="115">
        <f t="shared" si="2"/>
        <v>6.5736053966476971E-2</v>
      </c>
      <c r="H67" s="106"/>
      <c r="I67" s="9">
        <f t="shared" si="1"/>
        <v>-987628.33520044503</v>
      </c>
      <c r="J67" s="5"/>
    </row>
    <row r="68" spans="1:10">
      <c r="A68" s="140">
        <v>190</v>
      </c>
      <c r="B68" s="9" t="s">
        <v>1030</v>
      </c>
      <c r="C68" s="9"/>
      <c r="D68" s="9">
        <v>3211282</v>
      </c>
      <c r="E68" s="9"/>
      <c r="F68" s="9" t="s">
        <v>236</v>
      </c>
      <c r="G68" s="115">
        <f t="shared" si="2"/>
        <v>0</v>
      </c>
      <c r="H68" s="106"/>
      <c r="I68" s="9">
        <f t="shared" si="1"/>
        <v>0</v>
      </c>
      <c r="J68" s="5"/>
    </row>
    <row r="69" spans="1:10">
      <c r="A69" s="140">
        <v>190</v>
      </c>
      <c r="B69" s="9" t="s">
        <v>999</v>
      </c>
      <c r="C69" s="9"/>
      <c r="D69" s="9">
        <v>1067</v>
      </c>
      <c r="E69" s="9"/>
      <c r="F69" s="9" t="s">
        <v>37</v>
      </c>
      <c r="G69" s="115">
        <f t="shared" si="2"/>
        <v>0.18262006498391903</v>
      </c>
      <c r="H69" s="106"/>
      <c r="I69" s="9">
        <f t="shared" si="1"/>
        <v>194.8556093378416</v>
      </c>
      <c r="J69" s="5"/>
    </row>
    <row r="70" spans="1:10" hidden="1">
      <c r="A70" s="140"/>
      <c r="B70" s="9"/>
      <c r="C70" s="9"/>
      <c r="D70" s="9"/>
      <c r="E70" s="9"/>
      <c r="F70" s="9"/>
      <c r="G70" s="115"/>
      <c r="H70" s="106"/>
      <c r="I70" s="9"/>
      <c r="J70" s="5"/>
    </row>
    <row r="71" spans="1:10" hidden="1">
      <c r="A71" s="140"/>
      <c r="B71" s="9"/>
      <c r="C71" s="9"/>
      <c r="D71" s="9"/>
      <c r="E71" s="9"/>
      <c r="F71" s="9"/>
      <c r="G71" s="115"/>
      <c r="H71" s="106"/>
      <c r="I71" s="9"/>
      <c r="J71" s="5"/>
    </row>
    <row r="72" spans="1:10" hidden="1">
      <c r="A72" s="140"/>
      <c r="B72" s="9"/>
      <c r="C72" s="9"/>
      <c r="D72" s="9"/>
      <c r="E72" s="9"/>
      <c r="F72" s="9"/>
      <c r="G72" s="115"/>
      <c r="H72" s="106"/>
      <c r="I72" s="9"/>
      <c r="J72" s="5"/>
    </row>
    <row r="73" spans="1:10" hidden="1">
      <c r="A73" s="140"/>
      <c r="B73" s="9"/>
      <c r="C73" s="9"/>
      <c r="D73" s="9"/>
      <c r="E73" s="9"/>
      <c r="F73" s="9"/>
      <c r="G73" s="115"/>
      <c r="H73" s="106"/>
      <c r="I73" s="9"/>
      <c r="J73" s="5"/>
    </row>
    <row r="74" spans="1:10" hidden="1">
      <c r="A74" s="140"/>
      <c r="B74" s="9"/>
      <c r="C74" s="9"/>
      <c r="D74" s="9"/>
      <c r="E74" s="9"/>
      <c r="F74" s="9"/>
      <c r="G74" s="115"/>
      <c r="H74" s="106"/>
      <c r="I74" s="9"/>
      <c r="J74" s="5"/>
    </row>
    <row r="75" spans="1:10" hidden="1">
      <c r="A75" s="140"/>
      <c r="B75" s="9"/>
      <c r="C75" s="9"/>
      <c r="D75" s="9"/>
      <c r="E75" s="9"/>
      <c r="F75" s="9"/>
      <c r="G75" s="115"/>
      <c r="H75" s="106"/>
      <c r="I75" s="9"/>
      <c r="J75" s="5"/>
    </row>
    <row r="76" spans="1:10" hidden="1">
      <c r="A76" s="140"/>
      <c r="B76" s="9"/>
      <c r="C76" s="9"/>
      <c r="D76" s="9"/>
      <c r="E76" s="9"/>
      <c r="F76" s="9"/>
      <c r="G76" s="115"/>
      <c r="H76" s="106"/>
      <c r="I76" s="9"/>
      <c r="J76" s="5"/>
    </row>
    <row r="77" spans="1:10" hidden="1">
      <c r="A77" s="140"/>
      <c r="B77" s="9"/>
      <c r="C77" s="9"/>
      <c r="D77" s="9"/>
      <c r="E77" s="9"/>
      <c r="F77" s="9"/>
      <c r="G77" s="115"/>
      <c r="H77" s="106"/>
      <c r="I77" s="9"/>
      <c r="J77" s="5"/>
    </row>
    <row r="78" spans="1:10" hidden="1">
      <c r="A78" s="140"/>
      <c r="B78" s="9"/>
      <c r="C78" s="9"/>
      <c r="D78" s="9"/>
      <c r="E78" s="9"/>
      <c r="F78" s="9"/>
      <c r="G78" s="115"/>
      <c r="H78" s="106"/>
      <c r="I78" s="9"/>
      <c r="J78" s="5"/>
    </row>
    <row r="79" spans="1:10" hidden="1">
      <c r="A79" s="140"/>
      <c r="B79" s="9"/>
      <c r="C79" s="9"/>
      <c r="D79" s="9"/>
      <c r="E79" s="9"/>
      <c r="F79" s="9"/>
      <c r="G79" s="115"/>
      <c r="H79" s="106"/>
      <c r="I79" s="9"/>
    </row>
    <row r="80" spans="1:10" hidden="1">
      <c r="A80" s="140"/>
      <c r="B80" s="9"/>
      <c r="C80" s="9"/>
      <c r="D80" s="9"/>
      <c r="E80" s="9"/>
      <c r="F80" s="9"/>
      <c r="G80" s="115"/>
      <c r="H80" s="106"/>
      <c r="I80" s="9"/>
    </row>
    <row r="81" spans="1:10" hidden="1">
      <c r="A81" s="140"/>
      <c r="B81" s="9"/>
      <c r="C81" s="9"/>
      <c r="D81" s="9"/>
      <c r="E81" s="9"/>
      <c r="F81" s="9"/>
      <c r="G81" s="115"/>
      <c r="H81" s="106"/>
      <c r="I81" s="9"/>
      <c r="J81" s="5"/>
    </row>
    <row r="82" spans="1:10" hidden="1">
      <c r="A82" s="140"/>
      <c r="B82" s="9"/>
      <c r="C82" s="9"/>
      <c r="D82" s="9"/>
      <c r="E82" s="9"/>
      <c r="F82" s="9"/>
      <c r="G82" s="115"/>
      <c r="H82" s="106"/>
      <c r="I82" s="9"/>
      <c r="J82" s="5"/>
    </row>
    <row r="83" spans="1:10" ht="4.5" customHeight="1">
      <c r="A83" s="30"/>
      <c r="B83" s="5"/>
      <c r="C83" s="5"/>
      <c r="D83" s="5"/>
      <c r="E83" s="5"/>
      <c r="F83" s="95"/>
      <c r="G83" s="13"/>
      <c r="H83" s="5"/>
      <c r="I83" s="5"/>
      <c r="J83" s="5"/>
    </row>
    <row r="84" spans="1:10" ht="13.5" thickBot="1">
      <c r="A84" s="30"/>
      <c r="B84" s="178" t="s">
        <v>884</v>
      </c>
      <c r="C84" s="25"/>
      <c r="D84" s="31">
        <f>SUM(D12:D82)</f>
        <v>995528084</v>
      </c>
      <c r="E84" s="5"/>
      <c r="F84" s="5"/>
      <c r="G84" s="13"/>
      <c r="H84" s="5"/>
      <c r="I84" s="31">
        <f>SUM(I12:I82)</f>
        <v>35856030.127361864</v>
      </c>
      <c r="J84" s="95"/>
    </row>
    <row r="85" spans="1:10" ht="13.5" thickTop="1">
      <c r="A85" s="30"/>
      <c r="B85" s="5"/>
      <c r="C85" s="5"/>
      <c r="D85" s="5"/>
      <c r="E85" s="5"/>
      <c r="F85" s="5"/>
      <c r="G85" s="13"/>
      <c r="H85" s="5"/>
      <c r="I85" s="5"/>
      <c r="J85" s="5"/>
    </row>
    <row r="86" spans="1:10">
      <c r="E86" s="307" t="s">
        <v>234</v>
      </c>
      <c r="F86" s="225">
        <v>0</v>
      </c>
      <c r="G86" s="13"/>
    </row>
  </sheetData>
  <mergeCells count="4">
    <mergeCell ref="I1:J1"/>
    <mergeCell ref="I3:J3"/>
    <mergeCell ref="A5:I5"/>
    <mergeCell ref="A6:I6"/>
  </mergeCells>
  <printOptions horizontalCentered="1"/>
  <pageMargins left="0.5" right="0.5" top="0.5" bottom="0.5" header="0.5" footer="0.5"/>
  <pageSetup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workbookViewId="0"/>
  </sheetViews>
  <sheetFormatPr defaultRowHeight="12.75"/>
  <cols>
    <col min="1" max="1" width="9.7109375" style="3" customWidth="1"/>
    <col min="2" max="2" width="45.5703125" style="3" customWidth="1"/>
    <col min="3" max="3" width="3.7109375" style="3" customWidth="1"/>
    <col min="4" max="4" width="17.42578125" style="3" customWidth="1"/>
    <col min="5" max="5" width="3.7109375" style="3" customWidth="1"/>
    <col min="6" max="6" width="9.140625" style="3"/>
    <col min="7" max="7" width="10.42578125" style="3" bestFit="1" customWidth="1"/>
    <col min="8" max="8" width="3.7109375" style="3" customWidth="1"/>
    <col min="9" max="9" width="15.5703125" style="3" bestFit="1" customWidth="1"/>
    <col min="10" max="10" width="12.28515625" style="3" bestFit="1" customWidth="1"/>
    <col min="11" max="16384" width="9.140625" style="3"/>
  </cols>
  <sheetData>
    <row r="1" spans="1:10" ht="15">
      <c r="A1" s="5"/>
      <c r="B1" s="5"/>
      <c r="C1" s="5"/>
      <c r="D1" s="5"/>
      <c r="E1" s="5"/>
      <c r="F1" s="5"/>
      <c r="G1" s="5"/>
      <c r="H1" s="5"/>
      <c r="I1" s="335" t="s">
        <v>910</v>
      </c>
      <c r="J1" s="335"/>
    </row>
    <row r="2" spans="1:10" ht="15">
      <c r="A2" s="5"/>
      <c r="B2" s="5"/>
      <c r="C2" s="5"/>
      <c r="D2" s="5"/>
      <c r="E2" s="5"/>
      <c r="F2" s="5"/>
      <c r="G2" s="5"/>
      <c r="H2" s="5"/>
      <c r="I2" s="234" t="s">
        <v>798</v>
      </c>
      <c r="J2" s="234"/>
    </row>
    <row r="3" spans="1:10">
      <c r="A3" s="5"/>
      <c r="B3" s="24"/>
      <c r="C3" s="24"/>
      <c r="D3" s="5"/>
      <c r="E3" s="5"/>
      <c r="F3" s="5"/>
      <c r="G3" s="5"/>
      <c r="H3" s="5"/>
      <c r="I3" s="344" t="str">
        <f>FF1_Year</f>
        <v>Year Ending 12/31/2012</v>
      </c>
      <c r="J3" s="345"/>
    </row>
    <row r="4" spans="1:10">
      <c r="A4" s="5"/>
      <c r="B4" s="24"/>
      <c r="C4" s="24"/>
      <c r="D4" s="5"/>
      <c r="E4" s="5"/>
      <c r="F4" s="5"/>
      <c r="G4" s="5"/>
      <c r="H4" s="5"/>
      <c r="I4" s="228"/>
      <c r="J4" s="228"/>
    </row>
    <row r="5" spans="1:10">
      <c r="A5" s="350" t="s">
        <v>924</v>
      </c>
      <c r="B5" s="351"/>
      <c r="C5" s="351"/>
      <c r="D5" s="351"/>
      <c r="E5" s="351"/>
      <c r="F5" s="351"/>
      <c r="G5" s="351"/>
      <c r="H5" s="351"/>
      <c r="I5" s="351"/>
      <c r="J5" s="228"/>
    </row>
    <row r="6" spans="1:10">
      <c r="A6" s="350" t="s">
        <v>378</v>
      </c>
      <c r="B6" s="351"/>
      <c r="C6" s="351"/>
      <c r="D6" s="351"/>
      <c r="E6" s="351"/>
      <c r="F6" s="351"/>
      <c r="G6" s="351"/>
      <c r="H6" s="351"/>
      <c r="I6" s="351"/>
      <c r="J6" s="228"/>
    </row>
    <row r="7" spans="1:10">
      <c r="A7" s="5"/>
      <c r="B7" s="24"/>
      <c r="C7" s="24"/>
      <c r="D7" s="5"/>
      <c r="E7" s="5"/>
      <c r="F7" s="5"/>
      <c r="G7" s="5"/>
      <c r="H7" s="5"/>
      <c r="I7" s="5"/>
      <c r="J7" s="5"/>
    </row>
    <row r="8" spans="1:10">
      <c r="A8" s="25"/>
      <c r="B8" s="26"/>
      <c r="C8" s="26"/>
      <c r="D8" s="26"/>
      <c r="E8" s="27"/>
      <c r="F8" s="27"/>
      <c r="G8" s="27"/>
      <c r="H8" s="27"/>
      <c r="I8" s="27"/>
      <c r="J8" s="27"/>
    </row>
    <row r="9" spans="1:10">
      <c r="A9" s="25"/>
      <c r="B9" s="26"/>
      <c r="C9" s="26"/>
      <c r="D9" s="39" t="s">
        <v>230</v>
      </c>
      <c r="E9" s="27"/>
      <c r="F9" s="28" t="s">
        <v>23</v>
      </c>
      <c r="G9" s="28" t="s">
        <v>231</v>
      </c>
      <c r="H9" s="28"/>
      <c r="I9" s="28" t="s">
        <v>232</v>
      </c>
      <c r="J9" s="27"/>
    </row>
    <row r="10" spans="1:10">
      <c r="A10" s="25" t="s">
        <v>233</v>
      </c>
      <c r="B10" s="25" t="s">
        <v>3</v>
      </c>
      <c r="C10" s="29"/>
      <c r="D10" s="235" t="str">
        <f>"Tax at 12/31/"&amp;YR</f>
        <v>Tax at 12/31/2012</v>
      </c>
      <c r="E10" s="5"/>
      <c r="F10" s="5"/>
      <c r="G10" s="5"/>
      <c r="H10" s="5"/>
      <c r="I10" s="5"/>
      <c r="J10" s="5"/>
    </row>
    <row r="11" spans="1:10">
      <c r="A11" s="25"/>
      <c r="B11" s="25"/>
      <c r="C11" s="29"/>
      <c r="D11" s="235"/>
      <c r="E11" s="5"/>
      <c r="F11" s="5"/>
      <c r="G11" s="5"/>
      <c r="H11" s="5"/>
      <c r="I11" s="5"/>
      <c r="J11" s="5"/>
    </row>
    <row r="12" spans="1:10">
      <c r="A12" s="140">
        <v>281</v>
      </c>
      <c r="B12" s="9" t="s">
        <v>773</v>
      </c>
      <c r="C12" s="9"/>
      <c r="D12" s="9">
        <v>-3757590</v>
      </c>
      <c r="E12" s="9"/>
      <c r="F12" s="9" t="s">
        <v>236</v>
      </c>
      <c r="G12" s="115">
        <f>VLOOKUP(F12,ALLOCATORS,2,FALSE)</f>
        <v>0</v>
      </c>
      <c r="H12" s="106"/>
      <c r="I12" s="9">
        <f>D12*G12</f>
        <v>0</v>
      </c>
      <c r="J12" s="5"/>
    </row>
    <row r="13" spans="1:10" ht="13.5" thickBot="1">
      <c r="A13" s="30"/>
      <c r="B13" s="178" t="s">
        <v>885</v>
      </c>
      <c r="C13" s="25"/>
      <c r="D13" s="31">
        <f>SUM(D12)</f>
        <v>-3757590</v>
      </c>
      <c r="E13" s="5"/>
      <c r="F13" s="5"/>
      <c r="G13" s="13"/>
      <c r="H13" s="5"/>
      <c r="I13" s="31">
        <f>SUM(I12)</f>
        <v>0</v>
      </c>
      <c r="J13" s="5"/>
    </row>
    <row r="14" spans="1:10" ht="13.5" thickTop="1">
      <c r="A14" s="30"/>
      <c r="B14" s="5"/>
      <c r="C14" s="5"/>
      <c r="D14" s="5"/>
      <c r="E14" s="5"/>
      <c r="F14" s="5"/>
      <c r="G14" s="13"/>
      <c r="H14" s="5"/>
      <c r="I14" s="5"/>
      <c r="J14" s="5"/>
    </row>
    <row r="15" spans="1:10">
      <c r="A15" s="140">
        <v>282</v>
      </c>
      <c r="B15" s="9" t="s">
        <v>1001</v>
      </c>
      <c r="C15" s="9"/>
      <c r="D15" s="9">
        <v>-988896970</v>
      </c>
      <c r="E15" s="9"/>
      <c r="F15" s="9" t="s">
        <v>37</v>
      </c>
      <c r="G15" s="115">
        <f t="shared" ref="G15:G21" si="0">VLOOKUP(F15,ALLOCATORS,2,FALSE)</f>
        <v>0.18262006498391903</v>
      </c>
      <c r="H15" s="106"/>
      <c r="I15" s="9">
        <f t="shared" ref="I15:I21" si="1">D15*G15</f>
        <v>-180592428.92380062</v>
      </c>
      <c r="J15" s="5"/>
    </row>
    <row r="16" spans="1:10">
      <c r="A16" s="140">
        <v>282</v>
      </c>
      <c r="B16" s="9" t="s">
        <v>1002</v>
      </c>
      <c r="C16" s="9"/>
      <c r="D16" s="9">
        <v>228330048</v>
      </c>
      <c r="E16" s="9"/>
      <c r="F16" s="9" t="s">
        <v>234</v>
      </c>
      <c r="G16" s="115">
        <f t="shared" si="0"/>
        <v>0</v>
      </c>
      <c r="H16" s="106"/>
      <c r="I16" s="9">
        <f t="shared" si="1"/>
        <v>0</v>
      </c>
      <c r="J16" s="5"/>
    </row>
    <row r="17" spans="1:10">
      <c r="A17" s="140">
        <v>282</v>
      </c>
      <c r="B17" s="9" t="s">
        <v>1031</v>
      </c>
      <c r="C17" s="9"/>
      <c r="D17" s="9">
        <v>-3211282</v>
      </c>
      <c r="E17" s="9"/>
      <c r="F17" s="9" t="s">
        <v>236</v>
      </c>
      <c r="G17" s="115">
        <f t="shared" si="0"/>
        <v>0</v>
      </c>
      <c r="H17" s="106"/>
      <c r="I17" s="9">
        <f t="shared" si="1"/>
        <v>0</v>
      </c>
      <c r="J17" s="5"/>
    </row>
    <row r="18" spans="1:10">
      <c r="A18" s="140">
        <v>282</v>
      </c>
      <c r="B18" s="9" t="s">
        <v>1003</v>
      </c>
      <c r="C18" s="9"/>
      <c r="D18" s="9">
        <v>-6250016</v>
      </c>
      <c r="E18" s="9"/>
      <c r="F18" s="9" t="s">
        <v>236</v>
      </c>
      <c r="G18" s="115">
        <f t="shared" si="0"/>
        <v>0</v>
      </c>
      <c r="H18" s="106"/>
      <c r="I18" s="9">
        <f t="shared" si="1"/>
        <v>0</v>
      </c>
      <c r="J18" s="5"/>
    </row>
    <row r="19" spans="1:10">
      <c r="A19" s="140">
        <v>282</v>
      </c>
      <c r="B19" s="9" t="s">
        <v>1032</v>
      </c>
      <c r="C19" s="9"/>
      <c r="D19" s="9">
        <v>-9927076.1999999993</v>
      </c>
      <c r="E19" s="9"/>
      <c r="F19" s="9" t="s">
        <v>236</v>
      </c>
      <c r="G19" s="115">
        <f t="shared" si="0"/>
        <v>0</v>
      </c>
      <c r="H19" s="106"/>
      <c r="I19" s="9">
        <f t="shared" si="1"/>
        <v>0</v>
      </c>
      <c r="J19" s="5"/>
    </row>
    <row r="20" spans="1:10">
      <c r="A20" s="140">
        <v>282</v>
      </c>
      <c r="B20" s="9" t="s">
        <v>1004</v>
      </c>
      <c r="C20" s="9"/>
      <c r="D20" s="9">
        <v>-195159349.30000001</v>
      </c>
      <c r="E20" s="9"/>
      <c r="F20" s="9" t="s">
        <v>234</v>
      </c>
      <c r="G20" s="115">
        <f t="shared" si="0"/>
        <v>0</v>
      </c>
      <c r="H20" s="106"/>
      <c r="I20" s="9">
        <f t="shared" si="1"/>
        <v>0</v>
      </c>
    </row>
    <row r="21" spans="1:10">
      <c r="A21" s="140">
        <v>282</v>
      </c>
      <c r="B21" s="9" t="s">
        <v>1005</v>
      </c>
      <c r="C21" s="9"/>
      <c r="D21" s="9">
        <v>-1598</v>
      </c>
      <c r="E21" s="9"/>
      <c r="F21" s="9" t="s">
        <v>37</v>
      </c>
      <c r="G21" s="115">
        <f t="shared" si="0"/>
        <v>0.18262006498391903</v>
      </c>
      <c r="H21" s="106"/>
      <c r="I21" s="9">
        <f t="shared" si="1"/>
        <v>-291.82686384430258</v>
      </c>
      <c r="J21" s="5"/>
    </row>
    <row r="22" spans="1:10" ht="13.5" thickBot="1">
      <c r="A22" s="30"/>
      <c r="B22" s="178" t="s">
        <v>886</v>
      </c>
      <c r="C22" s="25"/>
      <c r="D22" s="31">
        <f>SUM(D15:D21)</f>
        <v>-975116243.5</v>
      </c>
      <c r="E22" s="5"/>
      <c r="F22" s="5"/>
      <c r="G22" s="13"/>
      <c r="H22" s="5"/>
      <c r="I22" s="31">
        <f>SUM(I15:I21)</f>
        <v>-180592720.75066447</v>
      </c>
      <c r="J22" s="5"/>
    </row>
    <row r="23" spans="1:10" ht="13.5" thickTop="1">
      <c r="A23" s="30"/>
      <c r="B23" s="5"/>
      <c r="C23" s="5"/>
      <c r="D23" s="5"/>
      <c r="E23" s="5"/>
      <c r="F23" s="5"/>
      <c r="G23" s="13"/>
      <c r="H23" s="5"/>
      <c r="I23" s="5"/>
    </row>
    <row r="24" spans="1:10">
      <c r="A24" s="140">
        <v>283</v>
      </c>
      <c r="B24" s="141" t="s">
        <v>1006</v>
      </c>
      <c r="C24" s="9"/>
      <c r="D24" s="9">
        <v>1762990</v>
      </c>
      <c r="E24" s="9"/>
      <c r="F24" s="9" t="s">
        <v>236</v>
      </c>
      <c r="G24" s="115">
        <f t="shared" ref="G24:G44" si="2">VLOOKUP(F24,ALLOCATORS,2,FALSE)</f>
        <v>0</v>
      </c>
      <c r="H24" s="106"/>
      <c r="I24" s="9">
        <f t="shared" ref="I24:I44" si="3">D24*G24</f>
        <v>0</v>
      </c>
    </row>
    <row r="25" spans="1:10">
      <c r="A25" s="140">
        <v>283</v>
      </c>
      <c r="B25" s="9" t="s">
        <v>1007</v>
      </c>
      <c r="C25" s="9"/>
      <c r="D25" s="9">
        <v>-149753421</v>
      </c>
      <c r="E25" s="9"/>
      <c r="F25" s="9" t="s">
        <v>234</v>
      </c>
      <c r="G25" s="115">
        <f t="shared" si="2"/>
        <v>0</v>
      </c>
      <c r="H25" s="106"/>
      <c r="I25" s="9">
        <f t="shared" si="3"/>
        <v>0</v>
      </c>
    </row>
    <row r="26" spans="1:10">
      <c r="A26" s="140">
        <v>283</v>
      </c>
      <c r="B26" s="9" t="s">
        <v>1009</v>
      </c>
      <c r="C26" s="9"/>
      <c r="D26" s="9">
        <v>-70172198</v>
      </c>
      <c r="E26" s="9"/>
      <c r="F26" s="9" t="s">
        <v>234</v>
      </c>
      <c r="G26" s="115">
        <f t="shared" si="2"/>
        <v>0</v>
      </c>
      <c r="H26" s="106"/>
      <c r="I26" s="9">
        <f t="shared" si="3"/>
        <v>0</v>
      </c>
    </row>
    <row r="27" spans="1:10">
      <c r="A27" s="140">
        <v>283</v>
      </c>
      <c r="B27" s="9" t="s">
        <v>1033</v>
      </c>
      <c r="C27" s="9"/>
      <c r="D27" s="9">
        <v>-7812931</v>
      </c>
      <c r="E27" s="9"/>
      <c r="F27" s="9" t="s">
        <v>234</v>
      </c>
      <c r="G27" s="115">
        <f t="shared" si="2"/>
        <v>0</v>
      </c>
      <c r="H27" s="106"/>
      <c r="I27" s="9">
        <f t="shared" si="3"/>
        <v>0</v>
      </c>
    </row>
    <row r="28" spans="1:10">
      <c r="A28" s="140">
        <v>283</v>
      </c>
      <c r="B28" s="9" t="s">
        <v>1010</v>
      </c>
      <c r="C28" s="9"/>
      <c r="D28" s="9">
        <v>-76963509</v>
      </c>
      <c r="E28" s="9"/>
      <c r="F28" s="9" t="s">
        <v>236</v>
      </c>
      <c r="G28" s="115">
        <f t="shared" si="2"/>
        <v>0</v>
      </c>
      <c r="H28" s="106"/>
      <c r="I28" s="9">
        <f t="shared" si="3"/>
        <v>0</v>
      </c>
    </row>
    <row r="29" spans="1:10">
      <c r="A29" s="140">
        <v>283</v>
      </c>
      <c r="B29" s="141" t="s">
        <v>1011</v>
      </c>
      <c r="C29" s="9"/>
      <c r="D29" s="9">
        <v>-105396918</v>
      </c>
      <c r="E29" s="9"/>
      <c r="F29" s="9" t="s">
        <v>236</v>
      </c>
      <c r="G29" s="115">
        <f t="shared" si="2"/>
        <v>0</v>
      </c>
      <c r="H29" s="106"/>
      <c r="I29" s="9">
        <f t="shared" si="3"/>
        <v>0</v>
      </c>
    </row>
    <row r="30" spans="1:10">
      <c r="A30" s="140">
        <v>283</v>
      </c>
      <c r="B30" s="9" t="s">
        <v>1012</v>
      </c>
      <c r="C30" s="9"/>
      <c r="D30" s="9">
        <v>-277999024</v>
      </c>
      <c r="E30" s="9"/>
      <c r="F30" s="9" t="s">
        <v>235</v>
      </c>
      <c r="G30" s="115">
        <f t="shared" si="2"/>
        <v>6.5736053966476971E-2</v>
      </c>
      <c r="H30" s="106"/>
      <c r="I30" s="9">
        <f t="shared" si="3"/>
        <v>-18274558.844291925</v>
      </c>
    </row>
    <row r="31" spans="1:10">
      <c r="A31" s="140">
        <v>283</v>
      </c>
      <c r="B31" s="141" t="s">
        <v>1034</v>
      </c>
      <c r="C31" s="9"/>
      <c r="D31" s="9">
        <v>-506607754</v>
      </c>
      <c r="E31" s="9"/>
      <c r="F31" s="9" t="s">
        <v>236</v>
      </c>
      <c r="G31" s="115">
        <f t="shared" si="2"/>
        <v>0</v>
      </c>
      <c r="H31" s="106"/>
      <c r="I31" s="9">
        <f t="shared" si="3"/>
        <v>0</v>
      </c>
    </row>
    <row r="32" spans="1:10">
      <c r="A32" s="140">
        <v>283</v>
      </c>
      <c r="B32" s="9" t="s">
        <v>1013</v>
      </c>
      <c r="C32" s="9"/>
      <c r="D32" s="9">
        <v>-576917</v>
      </c>
      <c r="E32" s="9"/>
      <c r="F32" s="9" t="s">
        <v>236</v>
      </c>
      <c r="G32" s="115">
        <f t="shared" si="2"/>
        <v>0</v>
      </c>
      <c r="H32" s="106"/>
      <c r="I32" s="9">
        <f t="shared" si="3"/>
        <v>0</v>
      </c>
    </row>
    <row r="33" spans="1:9">
      <c r="A33" s="140">
        <v>283</v>
      </c>
      <c r="B33" s="9" t="s">
        <v>1014</v>
      </c>
      <c r="C33" s="9"/>
      <c r="D33" s="9">
        <v>-7435623</v>
      </c>
      <c r="E33" s="9"/>
      <c r="F33" s="9" t="s">
        <v>234</v>
      </c>
      <c r="G33" s="115">
        <f t="shared" si="2"/>
        <v>0</v>
      </c>
      <c r="H33" s="106"/>
      <c r="I33" s="9">
        <f t="shared" si="3"/>
        <v>0</v>
      </c>
    </row>
    <row r="34" spans="1:9">
      <c r="A34" s="140">
        <v>283</v>
      </c>
      <c r="B34" s="9" t="s">
        <v>1015</v>
      </c>
      <c r="C34" s="9"/>
      <c r="D34" s="9">
        <v>403010</v>
      </c>
      <c r="E34" s="9"/>
      <c r="F34" s="9" t="s">
        <v>236</v>
      </c>
      <c r="G34" s="115">
        <f t="shared" si="2"/>
        <v>0</v>
      </c>
      <c r="H34" s="106"/>
      <c r="I34" s="9">
        <f t="shared" si="3"/>
        <v>0</v>
      </c>
    </row>
    <row r="35" spans="1:9">
      <c r="A35" s="140">
        <v>283</v>
      </c>
      <c r="B35" s="9" t="s">
        <v>1016</v>
      </c>
      <c r="C35" s="9"/>
      <c r="D35" s="9">
        <v>-4021170</v>
      </c>
      <c r="E35" s="9"/>
      <c r="F35" s="9" t="s">
        <v>37</v>
      </c>
      <c r="G35" s="115">
        <f t="shared" si="2"/>
        <v>0.18262006498391903</v>
      </c>
      <c r="H35" s="106"/>
      <c r="I35" s="9">
        <f t="shared" si="3"/>
        <v>-734346.32671138563</v>
      </c>
    </row>
    <row r="36" spans="1:9">
      <c r="A36" s="140">
        <v>283</v>
      </c>
      <c r="B36" s="9" t="s">
        <v>1019</v>
      </c>
      <c r="C36" s="9"/>
      <c r="D36" s="9">
        <v>-93567644</v>
      </c>
      <c r="E36" s="9"/>
      <c r="F36" s="9" t="s">
        <v>238</v>
      </c>
      <c r="G36" s="115">
        <f t="shared" si="2"/>
        <v>0</v>
      </c>
      <c r="H36" s="106"/>
      <c r="I36" s="9">
        <f t="shared" si="3"/>
        <v>0</v>
      </c>
    </row>
    <row r="37" spans="1:9">
      <c r="A37" s="140">
        <v>283</v>
      </c>
      <c r="B37" s="9" t="s">
        <v>1020</v>
      </c>
      <c r="C37" s="9"/>
      <c r="D37" s="9">
        <v>-781151</v>
      </c>
      <c r="E37" s="9"/>
      <c r="F37" s="9" t="s">
        <v>37</v>
      </c>
      <c r="G37" s="115">
        <f t="shared" si="2"/>
        <v>0.18262006498391903</v>
      </c>
      <c r="H37" s="106"/>
      <c r="I37" s="9">
        <f t="shared" si="3"/>
        <v>-142653.84638225334</v>
      </c>
    </row>
    <row r="38" spans="1:9">
      <c r="A38" s="140">
        <v>283</v>
      </c>
      <c r="B38" s="9" t="s">
        <v>1022</v>
      </c>
      <c r="C38" s="9"/>
      <c r="D38" s="9">
        <v>-2640762</v>
      </c>
      <c r="E38" s="9"/>
      <c r="F38" s="9" t="s">
        <v>236</v>
      </c>
      <c r="G38" s="115">
        <f t="shared" si="2"/>
        <v>0</v>
      </c>
      <c r="H38" s="106"/>
      <c r="I38" s="9">
        <f t="shared" si="3"/>
        <v>0</v>
      </c>
    </row>
    <row r="39" spans="1:9">
      <c r="A39" s="140">
        <v>283</v>
      </c>
      <c r="B39" s="9" t="s">
        <v>1035</v>
      </c>
      <c r="C39" s="9"/>
      <c r="D39" s="9">
        <v>-126003627</v>
      </c>
      <c r="E39" s="9"/>
      <c r="F39" s="9" t="s">
        <v>236</v>
      </c>
      <c r="G39" s="115">
        <f t="shared" si="2"/>
        <v>0</v>
      </c>
      <c r="H39" s="106"/>
      <c r="I39" s="9">
        <f t="shared" si="3"/>
        <v>0</v>
      </c>
    </row>
    <row r="40" spans="1:9">
      <c r="A40" s="140">
        <v>283</v>
      </c>
      <c r="B40" s="9" t="s">
        <v>1023</v>
      </c>
      <c r="C40" s="9"/>
      <c r="D40" s="9">
        <v>-2866321</v>
      </c>
      <c r="E40" s="9"/>
      <c r="F40" s="9" t="s">
        <v>236</v>
      </c>
      <c r="G40" s="115">
        <f t="shared" si="2"/>
        <v>0</v>
      </c>
      <c r="H40" s="106"/>
      <c r="I40" s="9">
        <f t="shared" si="3"/>
        <v>0</v>
      </c>
    </row>
    <row r="41" spans="1:9">
      <c r="A41" s="140">
        <v>283</v>
      </c>
      <c r="B41" s="9" t="s">
        <v>1025</v>
      </c>
      <c r="C41" s="9"/>
      <c r="D41" s="9">
        <v>-53587</v>
      </c>
      <c r="E41" s="9"/>
      <c r="F41" s="9" t="s">
        <v>37</v>
      </c>
      <c r="G41" s="115">
        <f t="shared" si="2"/>
        <v>0.18262006498391903</v>
      </c>
      <c r="H41" s="106"/>
      <c r="I41" s="9">
        <f t="shared" si="3"/>
        <v>-9786.0614222932691</v>
      </c>
    </row>
    <row r="42" spans="1:9">
      <c r="A42" s="140">
        <v>283</v>
      </c>
      <c r="B42" s="9" t="s">
        <v>1026</v>
      </c>
      <c r="C42" s="9"/>
      <c r="D42" s="9">
        <v>-250712</v>
      </c>
      <c r="E42" s="9"/>
      <c r="F42" s="9" t="s">
        <v>234</v>
      </c>
      <c r="G42" s="115">
        <f t="shared" si="2"/>
        <v>0</v>
      </c>
      <c r="H42" s="106"/>
      <c r="I42" s="9">
        <f t="shared" si="3"/>
        <v>0</v>
      </c>
    </row>
    <row r="43" spans="1:9">
      <c r="A43" s="140">
        <v>283</v>
      </c>
      <c r="B43" s="9" t="s">
        <v>1036</v>
      </c>
      <c r="C43" s="9"/>
      <c r="D43" s="9">
        <v>5736279</v>
      </c>
      <c r="E43" s="9"/>
      <c r="F43" s="9" t="s">
        <v>236</v>
      </c>
      <c r="G43" s="115">
        <f t="shared" si="2"/>
        <v>0</v>
      </c>
      <c r="H43" s="106"/>
      <c r="I43" s="9">
        <f t="shared" si="3"/>
        <v>0</v>
      </c>
    </row>
    <row r="44" spans="1:9">
      <c r="A44" s="140">
        <v>283</v>
      </c>
      <c r="B44" s="142" t="s">
        <v>999</v>
      </c>
      <c r="C44" s="9"/>
      <c r="D44" s="9">
        <v>46</v>
      </c>
      <c r="E44" s="9"/>
      <c r="F44" s="9" t="s">
        <v>37</v>
      </c>
      <c r="G44" s="115">
        <f t="shared" si="2"/>
        <v>0.18262006498391903</v>
      </c>
      <c r="H44" s="106"/>
      <c r="I44" s="9">
        <f t="shared" si="3"/>
        <v>8.400522989260276</v>
      </c>
    </row>
    <row r="45" spans="1:9" hidden="1">
      <c r="A45" s="140"/>
      <c r="B45" s="9"/>
      <c r="C45" s="9"/>
      <c r="D45" s="9"/>
      <c r="E45" s="9"/>
      <c r="F45" s="9"/>
      <c r="G45" s="115"/>
      <c r="H45" s="106"/>
      <c r="I45" s="9"/>
    </row>
    <row r="46" spans="1:9" ht="13.5" thickBot="1">
      <c r="A46" s="30"/>
      <c r="B46" s="178" t="s">
        <v>887</v>
      </c>
      <c r="C46" s="25"/>
      <c r="D46" s="31">
        <f>SUM(D24:D45)</f>
        <v>-1425000944</v>
      </c>
      <c r="E46" s="5"/>
      <c r="F46" s="5"/>
      <c r="G46" s="13"/>
      <c r="H46" s="5"/>
      <c r="I46" s="31">
        <f>SUM(I24:I45)</f>
        <v>-19161336.678284869</v>
      </c>
    </row>
    <row r="47" spans="1:9" ht="8.25" customHeight="1" thickTop="1">
      <c r="A47" s="30"/>
      <c r="B47" s="25"/>
      <c r="C47" s="25"/>
      <c r="D47" s="32"/>
      <c r="E47" s="5"/>
      <c r="F47" s="5"/>
      <c r="G47" s="13"/>
      <c r="H47" s="5"/>
      <c r="I47" s="5"/>
    </row>
    <row r="48" spans="1:9" ht="13.5" thickBot="1">
      <c r="A48" s="5"/>
      <c r="B48" s="179" t="s">
        <v>888</v>
      </c>
      <c r="C48" s="31"/>
      <c r="D48" s="31">
        <f>SUM('DEF - 5 p3 CY ADIT 190'!D84,D13,D22,D46)</f>
        <v>-1408346693.5</v>
      </c>
      <c r="E48" s="5"/>
      <c r="F48" s="5"/>
      <c r="G48" s="13"/>
      <c r="H48" s="5"/>
      <c r="I48" s="31">
        <f>SUM('DEF - 5 p3 CY ADIT 190'!I84,I13,I22,I46)</f>
        <v>-163898027.30158746</v>
      </c>
    </row>
    <row r="49" spans="5:7" ht="13.5" thickTop="1">
      <c r="E49" s="307" t="s">
        <v>234</v>
      </c>
      <c r="F49" s="225">
        <v>0</v>
      </c>
      <c r="G49" s="13"/>
    </row>
  </sheetData>
  <mergeCells count="4">
    <mergeCell ref="I1:J1"/>
    <mergeCell ref="I3:J3"/>
    <mergeCell ref="A5:I5"/>
    <mergeCell ref="A6:I6"/>
  </mergeCells>
  <phoneticPr fontId="14" type="noConversion"/>
  <pageMargins left="0.5" right="0.5" top="0.5" bottom="0.5" header="0.5" footer="0.5"/>
  <pageSetup scale="74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workbookViewId="0"/>
  </sheetViews>
  <sheetFormatPr defaultRowHeight="12.75"/>
  <cols>
    <col min="1" max="1" width="5.7109375" style="3" customWidth="1"/>
    <col min="2" max="2" width="8.140625" style="3" bestFit="1" customWidth="1"/>
    <col min="3" max="3" width="2.140625" style="3" customWidth="1"/>
    <col min="4" max="4" width="32.7109375" style="3" customWidth="1"/>
    <col min="5" max="5" width="11.7109375" style="3" bestFit="1" customWidth="1"/>
    <col min="6" max="6" width="1.42578125" style="3" customWidth="1"/>
    <col min="7" max="7" width="11.7109375" style="3" bestFit="1" customWidth="1"/>
    <col min="8" max="8" width="1.42578125" style="3" customWidth="1"/>
    <col min="9" max="9" width="11.7109375" style="3" bestFit="1" customWidth="1"/>
    <col min="10" max="10" width="1.42578125" style="3" customWidth="1"/>
    <col min="11" max="11" width="9" style="3" bestFit="1" customWidth="1"/>
    <col min="12" max="12" width="8.140625" style="3" bestFit="1" customWidth="1"/>
    <col min="13" max="13" width="1.42578125" style="3" customWidth="1"/>
    <col min="14" max="14" width="14.5703125" style="3" customWidth="1"/>
    <col min="15" max="15" width="6.7109375" style="3" customWidth="1"/>
    <col min="16" max="16384" width="9.140625" style="3"/>
  </cols>
  <sheetData>
    <row r="1" spans="1:15" ht="15.7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352" t="s">
        <v>921</v>
      </c>
      <c r="O1" s="352"/>
    </row>
    <row r="2" spans="1:15" ht="15.7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308" t="s">
        <v>450</v>
      </c>
      <c r="O2" s="308"/>
    </row>
    <row r="3" spans="1:15" ht="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353" t="str">
        <f>"Year Ending 12/31/"&amp;YR</f>
        <v>Year Ending 12/31/2012</v>
      </c>
      <c r="O3" s="353"/>
    </row>
    <row r="4" spans="1:1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15">
      <c r="A6" s="354" t="s">
        <v>924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</row>
    <row r="7" spans="1:15" ht="15">
      <c r="A7" s="309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</row>
    <row r="8" spans="1:15" ht="15">
      <c r="A8" s="355" t="s">
        <v>488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</row>
    <row r="9" spans="1:15" ht="15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</row>
    <row r="10" spans="1:15" ht="15">
      <c r="A10" s="310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</row>
    <row r="11" spans="1:15" ht="15">
      <c r="A11" s="309"/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</row>
    <row r="12" spans="1:15" ht="30">
      <c r="A12" s="309"/>
      <c r="B12" s="311" t="s">
        <v>233</v>
      </c>
      <c r="C12" s="311"/>
      <c r="D12" s="312" t="s">
        <v>478</v>
      </c>
      <c r="E12" s="311" t="s">
        <v>248</v>
      </c>
      <c r="F12" s="311"/>
      <c r="G12" s="311" t="s">
        <v>479</v>
      </c>
      <c r="H12" s="313"/>
      <c r="I12" s="311" t="s">
        <v>254</v>
      </c>
      <c r="J12" s="312"/>
      <c r="K12" s="312" t="s">
        <v>23</v>
      </c>
      <c r="L12" s="312" t="s">
        <v>489</v>
      </c>
      <c r="M12" s="312"/>
      <c r="N12" s="311" t="s">
        <v>232</v>
      </c>
      <c r="O12" s="314"/>
    </row>
    <row r="13" spans="1:15" ht="15">
      <c r="A13" s="309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O13" s="309"/>
    </row>
    <row r="14" spans="1:15" ht="15">
      <c r="A14" s="309"/>
      <c r="B14" s="309"/>
      <c r="C14" s="309"/>
      <c r="D14" s="315" t="s">
        <v>490</v>
      </c>
      <c r="E14" s="309"/>
      <c r="F14" s="309"/>
      <c r="G14" s="309"/>
      <c r="H14" s="309"/>
      <c r="I14" s="309"/>
      <c r="J14" s="309"/>
      <c r="K14" s="309"/>
      <c r="L14" s="309"/>
      <c r="M14" s="309"/>
      <c r="O14" s="309"/>
    </row>
    <row r="15" spans="1:15" ht="15">
      <c r="A15" s="309"/>
      <c r="B15" s="143">
        <v>2283141</v>
      </c>
      <c r="C15" s="106"/>
      <c r="D15" s="120" t="s">
        <v>776</v>
      </c>
      <c r="E15" s="121">
        <v>325566587</v>
      </c>
      <c r="F15" s="121">
        <v>0</v>
      </c>
      <c r="G15" s="121">
        <v>399482764</v>
      </c>
      <c r="H15" s="106"/>
      <c r="I15" s="121">
        <f>(E15+G15)/2</f>
        <v>362524675.5</v>
      </c>
      <c r="J15" s="106"/>
      <c r="K15" s="20" t="s">
        <v>235</v>
      </c>
      <c r="L15" s="115">
        <f t="shared" ref="L15:L24" si="0">VLOOKUP(K15,ALLOCATORS,2,FALSE)</f>
        <v>6.5736053966476971E-2</v>
      </c>
      <c r="M15" s="106"/>
      <c r="N15" s="121">
        <f>I15*L15</f>
        <v>23830941.632847551</v>
      </c>
      <c r="O15" s="309"/>
    </row>
    <row r="16" spans="1:15" ht="15">
      <c r="A16" s="309"/>
      <c r="B16" s="143">
        <v>2283142</v>
      </c>
      <c r="C16" s="106"/>
      <c r="D16" s="120" t="s">
        <v>777</v>
      </c>
      <c r="E16" s="121">
        <v>-16500930</v>
      </c>
      <c r="F16" s="121">
        <v>0</v>
      </c>
      <c r="G16" s="121">
        <v>-19531458</v>
      </c>
      <c r="H16" s="106"/>
      <c r="I16" s="121">
        <f t="shared" ref="I16:I24" si="1">(E16+G16)/2</f>
        <v>-18016194</v>
      </c>
      <c r="J16" s="106"/>
      <c r="K16" s="20" t="s">
        <v>235</v>
      </c>
      <c r="L16" s="115">
        <f t="shared" si="0"/>
        <v>6.5736053966476971E-2</v>
      </c>
      <c r="M16" s="106"/>
      <c r="N16" s="121">
        <f t="shared" ref="N16:N24" si="2">I16*L16</f>
        <v>-1184313.5010545186</v>
      </c>
      <c r="O16" s="309"/>
    </row>
    <row r="17" spans="1:15" ht="15">
      <c r="A17" s="309"/>
      <c r="B17" s="143">
        <v>2283143</v>
      </c>
      <c r="C17" s="106"/>
      <c r="D17" s="120" t="s">
        <v>778</v>
      </c>
      <c r="E17" s="121">
        <v>24582191</v>
      </c>
      <c r="F17" s="121">
        <v>0</v>
      </c>
      <c r="G17" s="121">
        <v>33964496</v>
      </c>
      <c r="H17" s="106"/>
      <c r="I17" s="121">
        <f t="shared" si="1"/>
        <v>29273343.5</v>
      </c>
      <c r="J17" s="106"/>
      <c r="K17" s="20" t="s">
        <v>235</v>
      </c>
      <c r="L17" s="115">
        <f t="shared" si="0"/>
        <v>6.5736053966476971E-2</v>
      </c>
      <c r="M17" s="106"/>
      <c r="N17" s="121">
        <f t="shared" si="2"/>
        <v>1924314.0880952179</v>
      </c>
      <c r="O17" s="309"/>
    </row>
    <row r="18" spans="1:15" ht="15">
      <c r="A18" s="309"/>
      <c r="B18" s="143">
        <v>2283510</v>
      </c>
      <c r="C18" s="106"/>
      <c r="D18" s="120" t="s">
        <v>769</v>
      </c>
      <c r="E18" s="121">
        <v>-1521681</v>
      </c>
      <c r="F18" s="121">
        <v>0</v>
      </c>
      <c r="G18" s="121">
        <v>-1878557</v>
      </c>
      <c r="H18" s="106"/>
      <c r="I18" s="121">
        <f t="shared" si="1"/>
        <v>-1700119</v>
      </c>
      <c r="J18" s="106"/>
      <c r="K18" s="20" t="s">
        <v>235</v>
      </c>
      <c r="L18" s="115">
        <f t="shared" si="0"/>
        <v>6.5736053966476971E-2</v>
      </c>
      <c r="M18" s="106"/>
      <c r="N18" s="121">
        <f t="shared" si="2"/>
        <v>-111759.11433343287</v>
      </c>
      <c r="O18" s="309"/>
    </row>
    <row r="19" spans="1:15" ht="15">
      <c r="A19" s="309"/>
      <c r="B19" s="143">
        <v>2283520</v>
      </c>
      <c r="C19" s="106"/>
      <c r="D19" s="120" t="s">
        <v>779</v>
      </c>
      <c r="E19" s="121">
        <v>-1238695</v>
      </c>
      <c r="F19" s="121">
        <v>0</v>
      </c>
      <c r="G19" s="121">
        <v>-1570290</v>
      </c>
      <c r="H19" s="106"/>
      <c r="I19" s="121">
        <f t="shared" si="1"/>
        <v>-1404492.5</v>
      </c>
      <c r="J19" s="106"/>
      <c r="K19" s="20" t="s">
        <v>235</v>
      </c>
      <c r="L19" s="115">
        <f t="shared" si="0"/>
        <v>6.5736053966476971E-2</v>
      </c>
      <c r="M19" s="106"/>
      <c r="N19" s="121">
        <f t="shared" si="2"/>
        <v>-92325.794775512157</v>
      </c>
      <c r="O19" s="309"/>
    </row>
    <row r="20" spans="1:15" ht="15">
      <c r="A20" s="309"/>
      <c r="B20" s="143">
        <v>2283540</v>
      </c>
      <c r="C20" s="106"/>
      <c r="D20" s="120" t="s">
        <v>770</v>
      </c>
      <c r="E20" s="121">
        <v>4410309</v>
      </c>
      <c r="F20" s="121">
        <v>0</v>
      </c>
      <c r="G20" s="121">
        <v>5866959</v>
      </c>
      <c r="H20" s="106"/>
      <c r="I20" s="121">
        <f t="shared" si="1"/>
        <v>5138634</v>
      </c>
      <c r="J20" s="106"/>
      <c r="K20" s="20" t="s">
        <v>235</v>
      </c>
      <c r="L20" s="115">
        <f t="shared" si="0"/>
        <v>6.5736053966476971E-2</v>
      </c>
      <c r="M20" s="106"/>
      <c r="N20" s="121">
        <f t="shared" si="2"/>
        <v>337793.52193797345</v>
      </c>
      <c r="O20" s="309"/>
    </row>
    <row r="21" spans="1:15" ht="15">
      <c r="A21" s="309"/>
      <c r="B21" s="143">
        <v>2283550</v>
      </c>
      <c r="C21" s="106"/>
      <c r="D21" s="120" t="s">
        <v>780</v>
      </c>
      <c r="E21" s="121">
        <v>5288276</v>
      </c>
      <c r="F21" s="121">
        <v>0</v>
      </c>
      <c r="G21" s="121">
        <v>5503944</v>
      </c>
      <c r="H21" s="106"/>
      <c r="I21" s="121">
        <f t="shared" si="1"/>
        <v>5396110</v>
      </c>
      <c r="J21" s="106"/>
      <c r="K21" s="20" t="s">
        <v>235</v>
      </c>
      <c r="L21" s="115">
        <f t="shared" si="0"/>
        <v>6.5736053966476971E-2</v>
      </c>
      <c r="M21" s="106"/>
      <c r="N21" s="121">
        <f t="shared" si="2"/>
        <v>354718.97816904605</v>
      </c>
      <c r="O21" s="309"/>
    </row>
    <row r="22" spans="1:15" ht="15">
      <c r="A22" s="309"/>
      <c r="B22" s="143">
        <v>2282200</v>
      </c>
      <c r="C22" s="120"/>
      <c r="D22" s="120" t="s">
        <v>781</v>
      </c>
      <c r="E22" s="121">
        <v>46110775</v>
      </c>
      <c r="F22" s="9">
        <v>0</v>
      </c>
      <c r="G22" s="121">
        <v>43167401</v>
      </c>
      <c r="H22" s="106"/>
      <c r="I22" s="121">
        <f t="shared" si="1"/>
        <v>44639088</v>
      </c>
      <c r="J22" s="106"/>
      <c r="K22" s="20" t="s">
        <v>235</v>
      </c>
      <c r="L22" s="115">
        <f t="shared" si="0"/>
        <v>6.5736053966476971E-2</v>
      </c>
      <c r="M22" s="106"/>
      <c r="N22" s="121">
        <f t="shared" si="2"/>
        <v>2934397.4977823147</v>
      </c>
      <c r="O22" s="309"/>
    </row>
    <row r="23" spans="1:15" ht="15">
      <c r="A23" s="309"/>
      <c r="B23" s="143">
        <v>2282600</v>
      </c>
      <c r="C23" s="120"/>
      <c r="D23" s="120" t="s">
        <v>782</v>
      </c>
      <c r="E23" s="121">
        <v>1443400</v>
      </c>
      <c r="F23" s="9">
        <v>0</v>
      </c>
      <c r="G23" s="121">
        <v>1258900</v>
      </c>
      <c r="H23" s="106"/>
      <c r="I23" s="121">
        <f t="shared" si="1"/>
        <v>1351150</v>
      </c>
      <c r="J23" s="106"/>
      <c r="K23" s="20" t="s">
        <v>235</v>
      </c>
      <c r="L23" s="115">
        <f t="shared" si="0"/>
        <v>6.5736053966476971E-2</v>
      </c>
      <c r="M23" s="106"/>
      <c r="N23" s="121">
        <f t="shared" si="2"/>
        <v>88819.269316805352</v>
      </c>
      <c r="O23" s="309"/>
    </row>
    <row r="24" spans="1:15" ht="15.75" thickBot="1">
      <c r="A24" s="309"/>
      <c r="B24" s="143">
        <v>2284800</v>
      </c>
      <c r="C24" s="120"/>
      <c r="D24" s="120" t="s">
        <v>783</v>
      </c>
      <c r="E24" s="144">
        <v>11697201</v>
      </c>
      <c r="F24" s="9">
        <v>0</v>
      </c>
      <c r="G24" s="144">
        <v>18808409</v>
      </c>
      <c r="H24" s="106"/>
      <c r="I24" s="121">
        <f t="shared" si="1"/>
        <v>15252805</v>
      </c>
      <c r="J24" s="106"/>
      <c r="K24" s="20" t="s">
        <v>235</v>
      </c>
      <c r="L24" s="115">
        <f t="shared" si="0"/>
        <v>6.5736053966476971E-2</v>
      </c>
      <c r="M24" s="106"/>
      <c r="N24" s="144">
        <f t="shared" si="2"/>
        <v>1002659.2126201497</v>
      </c>
      <c r="O24" s="309"/>
    </row>
    <row r="25" spans="1:15" ht="15.75" thickTop="1">
      <c r="A25" s="309"/>
      <c r="B25" s="316"/>
      <c r="C25" s="316"/>
      <c r="D25" s="120" t="s">
        <v>491</v>
      </c>
      <c r="E25" s="317">
        <f>SUM(E15:E24)</f>
        <v>399837433</v>
      </c>
      <c r="F25" s="317"/>
      <c r="G25" s="317">
        <f>SUM(G15:G24)</f>
        <v>485072568</v>
      </c>
      <c r="H25" s="144"/>
      <c r="I25" s="237">
        <f>SUM(I15:I24)</f>
        <v>442455000.5</v>
      </c>
      <c r="J25" s="120"/>
      <c r="K25" s="120"/>
      <c r="L25" s="120"/>
      <c r="M25" s="120"/>
      <c r="N25" s="121">
        <f>SUM(N15:N24)</f>
        <v>29085245.790605597</v>
      </c>
      <c r="O25" s="309"/>
    </row>
    <row r="26" spans="1:15" ht="15">
      <c r="A26" s="309"/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O26" s="309"/>
    </row>
    <row r="27" spans="1:15" ht="15">
      <c r="A27" s="309"/>
      <c r="B27" s="309"/>
      <c r="C27" s="309"/>
      <c r="D27" s="315" t="s">
        <v>492</v>
      </c>
      <c r="E27" s="318"/>
      <c r="F27" s="318"/>
      <c r="G27" s="318"/>
      <c r="H27" s="319"/>
      <c r="I27" s="319"/>
      <c r="J27" s="309"/>
      <c r="K27" s="309"/>
      <c r="L27" s="309"/>
      <c r="M27" s="309"/>
      <c r="O27" s="309"/>
    </row>
    <row r="28" spans="1:15" ht="15.75" thickBot="1">
      <c r="A28" s="309"/>
      <c r="B28" s="309"/>
      <c r="C28" s="309"/>
      <c r="D28" s="106" t="s">
        <v>784</v>
      </c>
      <c r="E28" s="107">
        <v>-37335957.82</v>
      </c>
      <c r="F28" s="107">
        <v>0</v>
      </c>
      <c r="G28" s="107">
        <v>-40542620</v>
      </c>
      <c r="H28" s="106"/>
      <c r="I28" s="121">
        <f t="shared" ref="I28" si="3">(E28+G28)/2</f>
        <v>-38939288.909999996</v>
      </c>
      <c r="J28" s="106"/>
      <c r="K28" s="20" t="s">
        <v>235</v>
      </c>
      <c r="L28" s="115">
        <f>VLOOKUP(K28,ALLOCATORS,2,FALSE)</f>
        <v>6.5736053966476971E-2</v>
      </c>
      <c r="M28" s="106"/>
      <c r="N28" s="144">
        <f t="shared" ref="N28" si="4">I28*L28</f>
        <v>-2559715.197203998</v>
      </c>
      <c r="O28" s="309"/>
    </row>
    <row r="29" spans="1:15" ht="15.75" thickTop="1">
      <c r="A29" s="309"/>
      <c r="B29" s="309"/>
      <c r="C29" s="309"/>
      <c r="D29" s="106" t="s">
        <v>493</v>
      </c>
      <c r="E29" s="317">
        <f>+E28</f>
        <v>-37335957.82</v>
      </c>
      <c r="F29" s="317"/>
      <c r="G29" s="317">
        <f>+G28</f>
        <v>-40542620</v>
      </c>
      <c r="H29" s="106"/>
      <c r="I29" s="237">
        <f>+I28</f>
        <v>-38939288.909999996</v>
      </c>
      <c r="J29" s="120"/>
      <c r="K29" s="120"/>
      <c r="L29" s="120"/>
      <c r="M29" s="120"/>
      <c r="N29" s="121">
        <f>+N28</f>
        <v>-2559715.197203998</v>
      </c>
      <c r="O29" s="309"/>
    </row>
    <row r="30" spans="1:15" ht="15">
      <c r="A30" s="309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O30" s="309"/>
    </row>
    <row r="31" spans="1:15" ht="15">
      <c r="A31" s="309"/>
      <c r="B31" s="309"/>
      <c r="C31" s="309"/>
      <c r="D31" s="106" t="s">
        <v>494</v>
      </c>
      <c r="E31" s="9">
        <f>E25+E29</f>
        <v>362501475.18000001</v>
      </c>
      <c r="F31" s="9"/>
      <c r="G31" s="9">
        <f>G25+G29</f>
        <v>444529948</v>
      </c>
      <c r="H31" s="107"/>
      <c r="I31" s="9">
        <f>I25+I29</f>
        <v>403515711.59000003</v>
      </c>
      <c r="J31" s="106"/>
      <c r="K31" s="106"/>
      <c r="L31" s="106"/>
      <c r="M31" s="106"/>
      <c r="N31" s="9">
        <f>N25+N29</f>
        <v>26525530.5934016</v>
      </c>
      <c r="O31" s="309"/>
    </row>
    <row r="32" spans="1:15" ht="15">
      <c r="A32" s="309"/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</row>
  </sheetData>
  <mergeCells count="5">
    <mergeCell ref="N1:O1"/>
    <mergeCell ref="N3:O3"/>
    <mergeCell ref="A6:O6"/>
    <mergeCell ref="A8:O8"/>
    <mergeCell ref="A9:O9"/>
  </mergeCells>
  <pageMargins left="0.5" right="0.5" top="0.5" bottom="0.5" header="0.3" footer="0.3"/>
  <pageSetup scale="7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AF76"/>
  <sheetViews>
    <sheetView topLeftCell="O61" zoomScale="112" zoomScaleNormal="112" workbookViewId="0">
      <selection activeCell="V35" sqref="V35"/>
    </sheetView>
  </sheetViews>
  <sheetFormatPr defaultRowHeight="12.75"/>
  <cols>
    <col min="1" max="1" width="3.7109375" style="3" customWidth="1"/>
    <col min="2" max="2" width="7.7109375" style="3" customWidth="1"/>
    <col min="3" max="3" width="9" style="3" customWidth="1"/>
    <col min="4" max="4" width="8.140625" style="3" customWidth="1"/>
    <col min="5" max="5" width="39.42578125" style="3" customWidth="1"/>
    <col min="6" max="6" width="14.5703125" style="3" bestFit="1" customWidth="1"/>
    <col min="7" max="7" width="3.7109375" style="3" customWidth="1"/>
    <col min="8" max="8" width="14.42578125" style="3" customWidth="1"/>
    <col min="9" max="9" width="3.7109375" style="3" customWidth="1"/>
    <col min="10" max="10" width="15.85546875" style="3" bestFit="1" customWidth="1"/>
    <col min="11" max="11" width="11.85546875" style="3" customWidth="1"/>
    <col min="12" max="12" width="9.5703125" style="3" customWidth="1"/>
    <col min="13" max="13" width="13.7109375" style="3" customWidth="1"/>
    <col min="14" max="14" width="11.42578125" style="3" customWidth="1"/>
    <col min="15" max="15" width="12.85546875" style="3" customWidth="1"/>
    <col min="16" max="16" width="16.85546875" style="3" customWidth="1"/>
    <col min="17" max="18" width="12.42578125" style="3" customWidth="1"/>
    <col min="19" max="19" width="4.28515625" style="3" customWidth="1"/>
    <col min="20" max="20" width="14.42578125" style="3" customWidth="1"/>
    <col min="21" max="22" width="12.7109375" style="3" customWidth="1"/>
    <col min="23" max="23" width="14.7109375" style="3" bestFit="1" customWidth="1"/>
    <col min="24" max="24" width="12.7109375" style="3" customWidth="1"/>
    <col min="25" max="26" width="9.140625" style="3" customWidth="1"/>
    <col min="27" max="27" width="16.5703125" style="3" bestFit="1" customWidth="1"/>
    <col min="28" max="28" width="14.42578125" style="3" customWidth="1"/>
    <col min="29" max="29" width="9.140625" style="3"/>
    <col min="30" max="30" width="13.7109375" style="3" customWidth="1"/>
    <col min="31" max="16384" width="9.140625" style="3"/>
  </cols>
  <sheetData>
    <row r="1" spans="1:32" ht="15">
      <c r="K1" s="320" t="s">
        <v>922</v>
      </c>
    </row>
    <row r="2" spans="1:32" ht="15">
      <c r="K2" s="320" t="s">
        <v>372</v>
      </c>
    </row>
    <row r="3" spans="1:32">
      <c r="K3" s="337" t="str">
        <f>"Year Ending 12/31/"&amp;YR</f>
        <v>Year Ending 12/31/2012</v>
      </c>
      <c r="L3" s="345"/>
    </row>
    <row r="5" spans="1:32">
      <c r="A5" s="338" t="s">
        <v>924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</row>
    <row r="6" spans="1:32">
      <c r="A6" s="347" t="s">
        <v>203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8" spans="1:32">
      <c r="AA8" s="341"/>
      <c r="AB8" s="357"/>
    </row>
    <row r="9" spans="1:32" ht="25.5">
      <c r="B9" s="35" t="s">
        <v>0</v>
      </c>
      <c r="C9" s="35" t="s">
        <v>1</v>
      </c>
      <c r="D9" s="35" t="s">
        <v>2</v>
      </c>
      <c r="E9" s="35" t="s">
        <v>3</v>
      </c>
      <c r="F9" s="35" t="s">
        <v>4</v>
      </c>
      <c r="G9" s="35"/>
      <c r="H9" s="321" t="s">
        <v>248</v>
      </c>
      <c r="I9" s="321"/>
      <c r="J9" s="321" t="s">
        <v>250</v>
      </c>
      <c r="K9" s="321"/>
      <c r="T9" s="106" t="s">
        <v>890</v>
      </c>
      <c r="U9" s="106" t="s">
        <v>891</v>
      </c>
      <c r="V9" s="106" t="s">
        <v>892</v>
      </c>
      <c r="W9" s="106" t="s">
        <v>889</v>
      </c>
      <c r="X9" s="106" t="s">
        <v>893</v>
      </c>
      <c r="Y9" s="106" t="s">
        <v>892</v>
      </c>
      <c r="AB9" s="322"/>
      <c r="AD9" s="106"/>
      <c r="AE9" s="106"/>
      <c r="AF9" s="106"/>
    </row>
    <row r="10" spans="1:32" ht="6" customHeight="1">
      <c r="B10" s="231"/>
      <c r="C10" s="231"/>
      <c r="D10" s="231"/>
    </row>
    <row r="11" spans="1:32">
      <c r="B11" s="231">
        <v>111</v>
      </c>
      <c r="C11" s="231">
        <v>57</v>
      </c>
      <c r="D11" s="231" t="s">
        <v>251</v>
      </c>
      <c r="E11" s="3" t="s">
        <v>40</v>
      </c>
      <c r="F11" s="231" t="str">
        <f>FIXED(B11,0)&amp;"."&amp;FIXED(C11,0)&amp;"."&amp;D11</f>
        <v>111.57.c&amp;d</v>
      </c>
      <c r="G11" s="231"/>
      <c r="H11" s="190">
        <f>W11+X11</f>
        <v>25733736</v>
      </c>
      <c r="I11" s="9"/>
      <c r="J11" s="190">
        <f>T11+U11</f>
        <v>36642350</v>
      </c>
      <c r="T11" s="191">
        <v>36642350</v>
      </c>
      <c r="U11" s="191"/>
      <c r="V11" s="191"/>
      <c r="W11" s="191">
        <v>25733736</v>
      </c>
      <c r="X11" s="191"/>
      <c r="Y11" s="191"/>
      <c r="AA11" s="191"/>
      <c r="AB11" s="191"/>
      <c r="AC11" s="191"/>
      <c r="AD11" s="191"/>
      <c r="AE11" s="323"/>
      <c r="AF11" s="324"/>
    </row>
    <row r="12" spans="1:32">
      <c r="B12" s="231">
        <v>111</v>
      </c>
      <c r="C12" s="231">
        <v>81</v>
      </c>
      <c r="D12" s="231" t="s">
        <v>251</v>
      </c>
      <c r="E12" s="3" t="s">
        <v>199</v>
      </c>
      <c r="F12" s="231" t="str">
        <f t="shared" ref="F12:F17" si="0">B12&amp;"."&amp;C12&amp;"."&amp;D12</f>
        <v>111.81.c&amp;d</v>
      </c>
      <c r="G12" s="231"/>
      <c r="H12" s="190">
        <f t="shared" ref="H12:H48" si="1">W12+X12</f>
        <v>16880501</v>
      </c>
      <c r="I12" s="9"/>
      <c r="J12" s="190">
        <f t="shared" ref="J12:J66" si="2">T12+U12</f>
        <v>10424293</v>
      </c>
      <c r="T12" s="191">
        <v>10424293</v>
      </c>
      <c r="U12" s="191"/>
      <c r="V12" s="191"/>
      <c r="W12" s="191">
        <v>16880501</v>
      </c>
      <c r="X12" s="191"/>
      <c r="Y12" s="191"/>
      <c r="AA12" s="191"/>
      <c r="AB12" s="191"/>
      <c r="AC12" s="191"/>
      <c r="AD12" s="191"/>
      <c r="AE12" s="323"/>
      <c r="AF12" s="324"/>
    </row>
    <row r="13" spans="1:32">
      <c r="B13" s="231">
        <v>112</v>
      </c>
      <c r="C13" s="231">
        <v>3</v>
      </c>
      <c r="D13" s="231" t="s">
        <v>251</v>
      </c>
      <c r="E13" s="3" t="s">
        <v>198</v>
      </c>
      <c r="F13" s="231" t="str">
        <f t="shared" si="0"/>
        <v>112.3.c&amp;d</v>
      </c>
      <c r="G13" s="231"/>
      <c r="H13" s="190">
        <f t="shared" si="1"/>
        <v>33496700</v>
      </c>
      <c r="I13" s="9"/>
      <c r="J13" s="190">
        <f t="shared" si="2"/>
        <v>33496700</v>
      </c>
      <c r="T13" s="191">
        <v>33496700</v>
      </c>
      <c r="U13" s="191"/>
      <c r="V13" s="191"/>
      <c r="W13" s="191">
        <v>33496700</v>
      </c>
      <c r="X13" s="191"/>
      <c r="Y13" s="191"/>
      <c r="AA13" s="191"/>
      <c r="AB13" s="191"/>
      <c r="AC13" s="191"/>
      <c r="AD13" s="191"/>
      <c r="AE13" s="323"/>
      <c r="AF13" s="324"/>
    </row>
    <row r="14" spans="1:32">
      <c r="B14" s="231">
        <v>112</v>
      </c>
      <c r="C14" s="231">
        <v>12</v>
      </c>
      <c r="D14" s="231" t="s">
        <v>251</v>
      </c>
      <c r="E14" s="3" t="s">
        <v>200</v>
      </c>
      <c r="F14" s="231" t="str">
        <f t="shared" si="0"/>
        <v>112.12.c&amp;d</v>
      </c>
      <c r="G14" s="231"/>
      <c r="H14" s="190">
        <f t="shared" si="1"/>
        <v>0</v>
      </c>
      <c r="I14" s="9"/>
      <c r="J14" s="190">
        <f t="shared" si="2"/>
        <v>0</v>
      </c>
      <c r="M14" s="106"/>
      <c r="T14" s="191">
        <v>0</v>
      </c>
      <c r="U14" s="191"/>
      <c r="V14" s="191"/>
      <c r="W14" s="191">
        <v>0</v>
      </c>
      <c r="X14" s="191"/>
      <c r="Y14" s="191"/>
      <c r="AA14" s="191"/>
      <c r="AB14" s="191"/>
      <c r="AC14" s="191"/>
      <c r="AD14" s="191"/>
      <c r="AE14" s="323"/>
      <c r="AF14" s="324"/>
    </row>
    <row r="15" spans="1:32">
      <c r="B15" s="231">
        <v>112</v>
      </c>
      <c r="C15" s="231">
        <v>16</v>
      </c>
      <c r="D15" s="231" t="s">
        <v>251</v>
      </c>
      <c r="E15" s="3" t="s">
        <v>201</v>
      </c>
      <c r="F15" s="231" t="str">
        <f t="shared" si="0"/>
        <v>112.16.c&amp;d</v>
      </c>
      <c r="G15" s="231"/>
      <c r="H15" s="190">
        <f t="shared" si="1"/>
        <v>4709257713</v>
      </c>
      <c r="I15" s="9"/>
      <c r="J15" s="190">
        <f t="shared" si="2"/>
        <v>4832441481</v>
      </c>
      <c r="T15" s="191">
        <v>4832441481</v>
      </c>
      <c r="U15" s="191"/>
      <c r="V15" s="191"/>
      <c r="W15" s="191">
        <v>4709257713</v>
      </c>
      <c r="X15" s="191"/>
      <c r="Y15" s="191"/>
      <c r="AA15" s="191"/>
      <c r="AB15" s="191"/>
      <c r="AC15" s="191"/>
      <c r="AD15" s="191"/>
      <c r="AE15" s="323"/>
      <c r="AF15" s="324"/>
    </row>
    <row r="16" spans="1:32">
      <c r="B16" s="231">
        <v>112</v>
      </c>
      <c r="C16" s="231">
        <v>24</v>
      </c>
      <c r="D16" s="231" t="s">
        <v>251</v>
      </c>
      <c r="E16" s="3" t="s">
        <v>72</v>
      </c>
      <c r="F16" s="231" t="str">
        <f t="shared" si="0"/>
        <v>112.24.c&amp;d</v>
      </c>
      <c r="G16" s="231"/>
      <c r="H16" s="190">
        <f t="shared" si="1"/>
        <v>4481946907</v>
      </c>
      <c r="I16" s="9"/>
      <c r="J16" s="190">
        <f t="shared" si="2"/>
        <v>5131230111</v>
      </c>
      <c r="T16" s="191">
        <v>5131230111</v>
      </c>
      <c r="U16" s="191"/>
      <c r="V16" s="191"/>
      <c r="W16" s="191">
        <v>4481946907</v>
      </c>
      <c r="X16" s="191"/>
      <c r="Y16" s="191"/>
      <c r="AA16" s="191"/>
      <c r="AB16" s="191"/>
      <c r="AC16" s="191"/>
      <c r="AD16" s="191"/>
      <c r="AE16" s="323"/>
      <c r="AF16" s="324"/>
    </row>
    <row r="17" spans="2:32">
      <c r="B17" s="231">
        <v>113</v>
      </c>
      <c r="C17" s="231">
        <v>61</v>
      </c>
      <c r="D17" s="231" t="s">
        <v>251</v>
      </c>
      <c r="E17" s="3" t="s">
        <v>202</v>
      </c>
      <c r="F17" s="231" t="str">
        <f t="shared" si="0"/>
        <v>113.61.c&amp;d</v>
      </c>
      <c r="G17" s="231"/>
      <c r="H17" s="190">
        <f t="shared" si="1"/>
        <v>0</v>
      </c>
      <c r="I17" s="9"/>
      <c r="J17" s="190">
        <f t="shared" si="2"/>
        <v>0</v>
      </c>
      <c r="M17" s="197" t="s">
        <v>844</v>
      </c>
      <c r="N17" s="198"/>
      <c r="O17" s="198"/>
      <c r="P17" s="198"/>
      <c r="Q17" s="198"/>
      <c r="R17" s="199"/>
      <c r="S17" s="158"/>
      <c r="T17" s="191">
        <v>0</v>
      </c>
      <c r="U17" s="191"/>
      <c r="V17" s="191"/>
      <c r="W17" s="191">
        <v>0</v>
      </c>
      <c r="X17" s="191"/>
      <c r="Y17" s="191"/>
      <c r="AA17" s="191"/>
      <c r="AB17" s="191"/>
      <c r="AC17" s="191"/>
      <c r="AD17" s="191"/>
      <c r="AE17" s="325"/>
      <c r="AF17" s="324"/>
    </row>
    <row r="18" spans="2:32">
      <c r="B18" s="231">
        <v>117</v>
      </c>
      <c r="C18" s="94" t="s">
        <v>444</v>
      </c>
      <c r="D18" s="231" t="s">
        <v>12</v>
      </c>
      <c r="E18" s="3" t="s">
        <v>70</v>
      </c>
      <c r="F18" s="231" t="str">
        <f>FIXED(B18,0)&amp;"."&amp;C18&amp;"."&amp;D18</f>
        <v>117.62 thru 67.c</v>
      </c>
      <c r="G18" s="231"/>
      <c r="H18" s="190"/>
      <c r="I18" s="9"/>
      <c r="J18" s="190">
        <f t="shared" si="2"/>
        <v>258179963.94</v>
      </c>
      <c r="M18" s="200" t="s">
        <v>841</v>
      </c>
      <c r="N18" s="201" t="s">
        <v>502</v>
      </c>
      <c r="O18" s="201" t="s">
        <v>840</v>
      </c>
      <c r="P18" s="202" t="s">
        <v>4</v>
      </c>
      <c r="Q18" s="198"/>
      <c r="R18" s="199"/>
      <c r="S18" s="158"/>
      <c r="T18" s="191">
        <f>245660309+7358321+6456208+327505</f>
        <v>259802343</v>
      </c>
      <c r="U18" s="191">
        <v>-1622379.06</v>
      </c>
      <c r="V18" s="191" t="s">
        <v>930</v>
      </c>
      <c r="W18" s="191"/>
      <c r="X18" s="191"/>
      <c r="Y18" s="191"/>
      <c r="AA18" s="191"/>
      <c r="AB18" s="191"/>
      <c r="AC18" s="191"/>
      <c r="AD18" s="191"/>
      <c r="AE18" s="325"/>
      <c r="AF18" s="324"/>
    </row>
    <row r="19" spans="2:32">
      <c r="B19" s="231">
        <v>118</v>
      </c>
      <c r="C19" s="231">
        <v>29</v>
      </c>
      <c r="D19" s="231" t="s">
        <v>12</v>
      </c>
      <c r="E19" s="3" t="s">
        <v>71</v>
      </c>
      <c r="F19" s="231" t="str">
        <f>FIXED(B19,0)&amp;"."&amp;C19&amp;"."&amp;D19</f>
        <v>118.29.c</v>
      </c>
      <c r="G19" s="231"/>
      <c r="H19" s="190"/>
      <c r="I19" s="9"/>
      <c r="J19" s="190">
        <f t="shared" si="2"/>
        <v>1511860</v>
      </c>
      <c r="M19" s="173" t="s">
        <v>799</v>
      </c>
      <c r="N19" s="146">
        <f>N20-1</f>
        <v>2011</v>
      </c>
      <c r="O19" s="163">
        <f>-R29</f>
        <v>-1124035</v>
      </c>
      <c r="P19" s="203" t="s">
        <v>836</v>
      </c>
      <c r="Q19" s="158"/>
      <c r="R19" s="204"/>
      <c r="S19" s="158"/>
      <c r="T19" s="191">
        <v>1511860</v>
      </c>
      <c r="U19" s="191"/>
      <c r="V19" s="191"/>
      <c r="W19" s="191"/>
      <c r="X19" s="191"/>
      <c r="Y19" s="191"/>
      <c r="AA19" s="191"/>
      <c r="AB19" s="191"/>
      <c r="AC19" s="191"/>
      <c r="AD19" s="191"/>
      <c r="AE19" s="325"/>
      <c r="AF19" s="324"/>
    </row>
    <row r="20" spans="2:32">
      <c r="B20" s="231">
        <v>200</v>
      </c>
      <c r="C20" s="231">
        <v>21</v>
      </c>
      <c r="D20" s="231" t="s">
        <v>12</v>
      </c>
      <c r="E20" s="3" t="s">
        <v>166</v>
      </c>
      <c r="F20" s="231" t="str">
        <f t="shared" ref="F20:F30" si="3">FIXED(B20,0)&amp;"."&amp;FIXED(C20,0)&amp;"."&amp;D20</f>
        <v>200.21.c</v>
      </c>
      <c r="G20" s="231"/>
      <c r="H20" s="190"/>
      <c r="I20" s="9"/>
      <c r="J20" s="190">
        <f t="shared" si="2"/>
        <v>138037065</v>
      </c>
      <c r="M20" s="173" t="s">
        <v>799</v>
      </c>
      <c r="N20" s="146">
        <f>_YR</f>
        <v>2012</v>
      </c>
      <c r="O20" s="163">
        <f>-R30</f>
        <v>-1124035</v>
      </c>
      <c r="P20" s="203" t="s">
        <v>837</v>
      </c>
      <c r="Q20" s="158"/>
      <c r="R20" s="204"/>
      <c r="S20" s="158"/>
      <c r="T20" s="191">
        <v>138037065</v>
      </c>
      <c r="U20" s="191"/>
      <c r="V20" s="191"/>
      <c r="W20" s="191"/>
      <c r="X20" s="191"/>
      <c r="Y20" s="191"/>
      <c r="AA20" s="191"/>
      <c r="AB20" s="191"/>
      <c r="AC20" s="191"/>
      <c r="AD20" s="191"/>
      <c r="AE20" s="325"/>
      <c r="AF20" s="324"/>
    </row>
    <row r="21" spans="2:32">
      <c r="B21" s="231">
        <v>205</v>
      </c>
      <c r="C21" s="231">
        <v>5</v>
      </c>
      <c r="D21" s="231" t="s">
        <v>247</v>
      </c>
      <c r="E21" s="3" t="s">
        <v>162</v>
      </c>
      <c r="F21" s="231" t="str">
        <f t="shared" si="3"/>
        <v>205.5.b&amp;g</v>
      </c>
      <c r="G21" s="231"/>
      <c r="H21" s="190">
        <f t="shared" si="1"/>
        <v>153869341</v>
      </c>
      <c r="I21" s="9"/>
      <c r="J21" s="190">
        <f t="shared" si="2"/>
        <v>140095249</v>
      </c>
      <c r="M21" s="173" t="s">
        <v>833</v>
      </c>
      <c r="N21" s="158">
        <f>N19</f>
        <v>2011</v>
      </c>
      <c r="O21" s="205">
        <f>-R37</f>
        <v>-147994.91078546827</v>
      </c>
      <c r="P21" s="203" t="s">
        <v>838</v>
      </c>
      <c r="Q21" s="158"/>
      <c r="R21" s="204"/>
      <c r="S21" s="158"/>
      <c r="T21" s="191">
        <v>140095249</v>
      </c>
      <c r="U21" s="191"/>
      <c r="V21" s="191"/>
      <c r="W21" s="191">
        <v>153869341</v>
      </c>
      <c r="X21" s="191"/>
      <c r="Y21" s="191"/>
      <c r="AA21" s="191"/>
      <c r="AB21" s="191"/>
      <c r="AC21" s="191"/>
      <c r="AD21" s="191"/>
      <c r="AE21" s="323"/>
      <c r="AF21" s="324"/>
    </row>
    <row r="22" spans="2:32">
      <c r="B22" s="231">
        <v>205</v>
      </c>
      <c r="C22" s="231">
        <v>46</v>
      </c>
      <c r="D22" s="231" t="s">
        <v>247</v>
      </c>
      <c r="E22" s="3" t="s">
        <v>253</v>
      </c>
      <c r="F22" s="231" t="str">
        <f t="shared" si="3"/>
        <v>205.46.b&amp;g</v>
      </c>
      <c r="G22" s="231"/>
      <c r="H22" s="190">
        <f t="shared" si="1"/>
        <v>6570051050</v>
      </c>
      <c r="I22" s="9"/>
      <c r="J22" s="190">
        <f t="shared" si="2"/>
        <v>5730636186</v>
      </c>
      <c r="K22" s="106"/>
      <c r="M22" s="173" t="s">
        <v>833</v>
      </c>
      <c r="N22" s="158">
        <f>N20</f>
        <v>2012</v>
      </c>
      <c r="O22" s="205">
        <f>-R38</f>
        <v>-227402.43491102156</v>
      </c>
      <c r="P22" s="203" t="s">
        <v>838</v>
      </c>
      <c r="Q22" s="158"/>
      <c r="R22" s="204"/>
      <c r="S22" s="158"/>
      <c r="T22" s="145">
        <f>5748205641</f>
        <v>5748205641</v>
      </c>
      <c r="U22" s="191">
        <v>-17569455</v>
      </c>
      <c r="V22" s="145" t="s">
        <v>894</v>
      </c>
      <c r="W22" s="145">
        <f>6544119691</f>
        <v>6544119691</v>
      </c>
      <c r="X22" s="191">
        <f>-9768575--35699934</f>
        <v>25931359</v>
      </c>
      <c r="Y22" s="145" t="s">
        <v>894</v>
      </c>
      <c r="AA22" s="191"/>
      <c r="AB22" s="191"/>
      <c r="AC22" s="191"/>
      <c r="AD22" s="191"/>
      <c r="AE22" s="323"/>
      <c r="AF22" s="324"/>
    </row>
    <row r="23" spans="2:32">
      <c r="B23" s="231">
        <v>207</v>
      </c>
      <c r="C23" s="231">
        <v>58</v>
      </c>
      <c r="D23" s="231" t="s">
        <v>247</v>
      </c>
      <c r="E23" s="3" t="s">
        <v>163</v>
      </c>
      <c r="F23" s="231" t="str">
        <f t="shared" si="3"/>
        <v>207.58.b&amp;g</v>
      </c>
      <c r="G23" s="231"/>
      <c r="H23" s="190">
        <f t="shared" si="1"/>
        <v>2029729761</v>
      </c>
      <c r="I23" s="9"/>
      <c r="J23" s="190">
        <f t="shared" si="2"/>
        <v>2163562301</v>
      </c>
      <c r="K23" s="106"/>
      <c r="M23" s="173" t="s">
        <v>832</v>
      </c>
      <c r="N23" s="158">
        <f>N20</f>
        <v>2012</v>
      </c>
      <c r="O23" s="205">
        <f>-Q38</f>
        <v>-79407.524125553304</v>
      </c>
      <c r="P23" s="206" t="s">
        <v>839</v>
      </c>
      <c r="Q23" s="158"/>
      <c r="R23" s="204"/>
      <c r="S23" s="158"/>
      <c r="T23" s="191">
        <v>2164686336</v>
      </c>
      <c r="U23" s="191">
        <f>+O20</f>
        <v>-1124035</v>
      </c>
      <c r="V23" s="191"/>
      <c r="W23" s="191">
        <v>2030853796</v>
      </c>
      <c r="X23" s="191">
        <f>+O19</f>
        <v>-1124035</v>
      </c>
      <c r="Y23" s="191"/>
      <c r="AA23" s="191"/>
      <c r="AB23" s="191"/>
      <c r="AC23" s="191"/>
      <c r="AD23" s="191"/>
      <c r="AE23" s="323"/>
      <c r="AF23" s="324"/>
    </row>
    <row r="24" spans="2:32">
      <c r="B24" s="231">
        <v>207</v>
      </c>
      <c r="C24" s="231">
        <v>75</v>
      </c>
      <c r="D24" s="231" t="s">
        <v>247</v>
      </c>
      <c r="E24" s="3" t="s">
        <v>164</v>
      </c>
      <c r="F24" s="231" t="str">
        <f t="shared" si="3"/>
        <v>207.75.b&amp;g</v>
      </c>
      <c r="G24" s="231"/>
      <c r="H24" s="190">
        <f t="shared" si="1"/>
        <v>4146253365</v>
      </c>
      <c r="I24" s="9"/>
      <c r="J24" s="190">
        <f t="shared" si="2"/>
        <v>4307614618</v>
      </c>
      <c r="K24" s="106"/>
      <c r="M24" s="197" t="s">
        <v>835</v>
      </c>
      <c r="N24" s="198"/>
      <c r="O24" s="198"/>
      <c r="P24" s="207"/>
      <c r="Q24" s="198"/>
      <c r="R24" s="208"/>
      <c r="S24" s="158"/>
      <c r="T24" s="191">
        <v>4307614618</v>
      </c>
      <c r="U24" s="191"/>
      <c r="V24" s="191"/>
      <c r="W24" s="191">
        <v>4146253365</v>
      </c>
      <c r="X24" s="191"/>
      <c r="Y24" s="191"/>
      <c r="AA24" s="191"/>
      <c r="AB24" s="191"/>
      <c r="AC24" s="191"/>
      <c r="AD24" s="191"/>
      <c r="AE24" s="323"/>
      <c r="AF24" s="324"/>
    </row>
    <row r="25" spans="2:32">
      <c r="B25" s="231">
        <v>207</v>
      </c>
      <c r="C25" s="231">
        <v>99</v>
      </c>
      <c r="D25" s="231" t="s">
        <v>247</v>
      </c>
      <c r="E25" s="3" t="s">
        <v>165</v>
      </c>
      <c r="F25" s="231" t="str">
        <f t="shared" si="3"/>
        <v>207.99.b&amp;g</v>
      </c>
      <c r="G25" s="231"/>
      <c r="H25" s="190">
        <f t="shared" si="1"/>
        <v>326862240</v>
      </c>
      <c r="I25" s="9"/>
      <c r="J25" s="190">
        <f t="shared" si="2"/>
        <v>330661239</v>
      </c>
      <c r="K25" s="106"/>
      <c r="M25" s="194"/>
      <c r="N25" s="158"/>
      <c r="O25" s="207" t="s">
        <v>829</v>
      </c>
      <c r="P25" s="207" t="s">
        <v>845</v>
      </c>
      <c r="Q25" s="207" t="s">
        <v>830</v>
      </c>
      <c r="R25" s="204"/>
      <c r="S25" s="158"/>
      <c r="T25" s="191">
        <v>332635478</v>
      </c>
      <c r="U25" s="191">
        <v>-1974239</v>
      </c>
      <c r="V25" s="145" t="s">
        <v>895</v>
      </c>
      <c r="W25" s="191">
        <v>328836479</v>
      </c>
      <c r="X25" s="191">
        <v>-1974239</v>
      </c>
      <c r="Y25" s="145" t="s">
        <v>895</v>
      </c>
      <c r="AA25" s="191"/>
      <c r="AB25" s="191"/>
      <c r="AC25" s="191"/>
      <c r="AD25" s="191"/>
      <c r="AE25" s="323"/>
      <c r="AF25" s="324"/>
    </row>
    <row r="26" spans="2:32">
      <c r="B26" s="231">
        <v>214</v>
      </c>
      <c r="C26" s="231">
        <v>47</v>
      </c>
      <c r="D26" s="231" t="s">
        <v>15</v>
      </c>
      <c r="E26" s="3" t="s">
        <v>11</v>
      </c>
      <c r="F26" s="231" t="str">
        <f t="shared" si="3"/>
        <v>214.47.d</v>
      </c>
      <c r="G26" s="231"/>
      <c r="H26" s="190"/>
      <c r="I26" s="9"/>
      <c r="J26" s="190">
        <f t="shared" si="2"/>
        <v>6192322</v>
      </c>
      <c r="M26" s="194"/>
      <c r="N26" s="207" t="s">
        <v>822</v>
      </c>
      <c r="O26" s="207" t="s">
        <v>826</v>
      </c>
      <c r="P26" s="207" t="s">
        <v>847</v>
      </c>
      <c r="Q26" s="207" t="s">
        <v>849</v>
      </c>
      <c r="R26" s="209" t="s">
        <v>823</v>
      </c>
      <c r="S26" s="207"/>
      <c r="T26" s="9">
        <f>1046211+1808764+2584486+752861</f>
        <v>6192322</v>
      </c>
      <c r="U26" s="191"/>
      <c r="V26" s="145" t="s">
        <v>896</v>
      </c>
      <c r="W26" s="191"/>
      <c r="X26" s="191"/>
      <c r="Y26" s="191"/>
      <c r="AA26" s="191"/>
      <c r="AB26" s="191"/>
      <c r="AC26" s="191"/>
      <c r="AD26" s="191"/>
      <c r="AE26" s="325"/>
      <c r="AF26" s="324"/>
    </row>
    <row r="27" spans="2:32">
      <c r="B27" s="231">
        <v>219</v>
      </c>
      <c r="C27" s="94" t="s">
        <v>445</v>
      </c>
      <c r="D27" s="10" t="s">
        <v>12</v>
      </c>
      <c r="E27" s="3" t="s">
        <v>167</v>
      </c>
      <c r="F27" s="231" t="str">
        <f>B27&amp;"."&amp;C27&amp;"."&amp;D27</f>
        <v>219.20 thru 24.c</v>
      </c>
      <c r="G27" s="231"/>
      <c r="H27" s="190"/>
      <c r="I27" s="9"/>
      <c r="J27" s="190">
        <f t="shared" si="2"/>
        <v>2277766078</v>
      </c>
      <c r="M27" s="194"/>
      <c r="N27" s="210" t="s">
        <v>828</v>
      </c>
      <c r="O27" s="210" t="s">
        <v>827</v>
      </c>
      <c r="P27" s="210" t="s">
        <v>846</v>
      </c>
      <c r="Q27" s="210" t="s">
        <v>848</v>
      </c>
      <c r="R27" s="211" t="s">
        <v>800</v>
      </c>
      <c r="S27" s="210"/>
      <c r="T27" s="145">
        <f>1414392432+77678161+785695485</f>
        <v>2277766078</v>
      </c>
      <c r="U27" s="191"/>
      <c r="V27" s="191"/>
      <c r="W27" s="191"/>
      <c r="X27" s="191"/>
      <c r="Y27" s="191"/>
      <c r="AA27" s="191"/>
      <c r="AB27" s="191"/>
      <c r="AC27" s="191"/>
      <c r="AD27" s="191"/>
      <c r="AE27" s="325"/>
      <c r="AF27" s="324"/>
    </row>
    <row r="28" spans="2:32">
      <c r="B28" s="231">
        <v>219</v>
      </c>
      <c r="C28" s="231">
        <v>25</v>
      </c>
      <c r="D28" s="10" t="s">
        <v>12</v>
      </c>
      <c r="E28" s="3" t="s">
        <v>168</v>
      </c>
      <c r="F28" s="231" t="str">
        <f t="shared" si="3"/>
        <v>219.25.c</v>
      </c>
      <c r="G28" s="231"/>
      <c r="H28" s="190"/>
      <c r="I28" s="9"/>
      <c r="J28" s="190">
        <f t="shared" si="2"/>
        <v>539345948.56508899</v>
      </c>
      <c r="K28" s="106" t="s">
        <v>246</v>
      </c>
      <c r="M28" s="194">
        <f>M30-2</f>
        <v>2010</v>
      </c>
      <c r="N28" s="188">
        <v>3121018</v>
      </c>
      <c r="O28" s="188">
        <f>N28*0.5</f>
        <v>1560509</v>
      </c>
      <c r="P28" s="188">
        <v>436474</v>
      </c>
      <c r="Q28" s="188">
        <f>O28-P28</f>
        <v>1124035</v>
      </c>
      <c r="R28" s="212">
        <f>Q28</f>
        <v>1124035</v>
      </c>
      <c r="S28" s="227"/>
      <c r="T28" s="191">
        <v>539573351</v>
      </c>
      <c r="U28" s="191">
        <f>+O22</f>
        <v>-227402.43491102156</v>
      </c>
      <c r="V28" s="145" t="s">
        <v>897</v>
      </c>
      <c r="W28" s="191"/>
      <c r="X28" s="191"/>
      <c r="Y28" s="191"/>
      <c r="AA28" s="191"/>
      <c r="AB28" s="191"/>
      <c r="AC28" s="191"/>
      <c r="AD28" s="191"/>
      <c r="AE28" s="325"/>
      <c r="AF28" s="324"/>
    </row>
    <row r="29" spans="2:32">
      <c r="B29" s="231">
        <v>219</v>
      </c>
      <c r="C29" s="231">
        <v>26</v>
      </c>
      <c r="D29" s="10" t="s">
        <v>12</v>
      </c>
      <c r="E29" s="3" t="s">
        <v>169</v>
      </c>
      <c r="F29" s="231" t="str">
        <f t="shared" si="3"/>
        <v>219.26.c</v>
      </c>
      <c r="G29" s="231"/>
      <c r="H29" s="190"/>
      <c r="I29" s="9"/>
      <c r="J29" s="190">
        <f t="shared" si="2"/>
        <v>1705437350</v>
      </c>
      <c r="M29" s="194">
        <f>M30-1</f>
        <v>2011</v>
      </c>
      <c r="N29" s="223">
        <v>0</v>
      </c>
      <c r="O29" s="223">
        <f>N29*0.5</f>
        <v>0</v>
      </c>
      <c r="P29" s="223">
        <v>0</v>
      </c>
      <c r="Q29" s="223">
        <f>O29-P29</f>
        <v>0</v>
      </c>
      <c r="R29" s="212">
        <f>R28+Q29</f>
        <v>1124035</v>
      </c>
      <c r="S29" s="227"/>
      <c r="T29" s="191">
        <v>1705437350</v>
      </c>
      <c r="U29" s="191"/>
      <c r="V29" s="191"/>
      <c r="W29" s="191"/>
      <c r="X29" s="191"/>
      <c r="Y29" s="191"/>
      <c r="AA29" s="191"/>
      <c r="AB29" s="191"/>
      <c r="AC29" s="191"/>
      <c r="AD29" s="191"/>
      <c r="AE29" s="325"/>
      <c r="AF29" s="324"/>
    </row>
    <row r="30" spans="2:32">
      <c r="B30" s="231">
        <v>219</v>
      </c>
      <c r="C30" s="231">
        <v>28</v>
      </c>
      <c r="D30" s="10" t="s">
        <v>12</v>
      </c>
      <c r="E30" s="3" t="s">
        <v>170</v>
      </c>
      <c r="F30" s="231" t="str">
        <f t="shared" si="3"/>
        <v>219.28.c</v>
      </c>
      <c r="G30" s="231"/>
      <c r="H30" s="190"/>
      <c r="I30" s="9"/>
      <c r="J30" s="190">
        <f t="shared" si="2"/>
        <v>89081929</v>
      </c>
      <c r="M30" s="194">
        <f>N20</f>
        <v>2012</v>
      </c>
      <c r="N30" s="224">
        <v>0</v>
      </c>
      <c r="O30" s="224">
        <f>N30*0.5</f>
        <v>0</v>
      </c>
      <c r="P30" s="224">
        <v>0</v>
      </c>
      <c r="Q30" s="224">
        <f>O30-P30</f>
        <v>0</v>
      </c>
      <c r="R30" s="212">
        <f>R29+Q30</f>
        <v>1124035</v>
      </c>
      <c r="S30" s="227"/>
      <c r="T30" s="191">
        <v>89081929</v>
      </c>
      <c r="U30" s="191"/>
      <c r="V30" s="191"/>
      <c r="W30" s="191"/>
      <c r="X30" s="191"/>
      <c r="Y30" s="191"/>
      <c r="AA30" s="191"/>
      <c r="AB30" s="191"/>
      <c r="AC30" s="191"/>
      <c r="AD30" s="191"/>
      <c r="AE30" s="325"/>
      <c r="AF30" s="324"/>
    </row>
    <row r="31" spans="2:32">
      <c r="B31" s="231">
        <v>227</v>
      </c>
      <c r="C31" s="231">
        <v>8</v>
      </c>
      <c r="D31" s="231" t="s">
        <v>259</v>
      </c>
      <c r="E31" s="3" t="s">
        <v>65</v>
      </c>
      <c r="F31" s="231" t="str">
        <f>FIXED(B31,0)&amp;"."&amp;FIXED(C31,0)&amp;"."&amp;D31</f>
        <v>227.8.b&amp;c</v>
      </c>
      <c r="G31" s="231"/>
      <c r="H31" s="190">
        <f t="shared" si="1"/>
        <v>12671423</v>
      </c>
      <c r="I31" s="9"/>
      <c r="J31" s="190">
        <f t="shared" si="2"/>
        <v>5482316</v>
      </c>
      <c r="M31" s="195"/>
      <c r="N31" s="213"/>
      <c r="O31" s="213"/>
      <c r="P31" s="213"/>
      <c r="Q31" s="213"/>
      <c r="R31" s="214"/>
      <c r="S31" s="158"/>
      <c r="T31" s="191">
        <v>5482316</v>
      </c>
      <c r="U31" s="191"/>
      <c r="V31" s="191"/>
      <c r="W31" s="191">
        <v>12671423</v>
      </c>
      <c r="X31" s="191"/>
      <c r="Y31" s="191"/>
      <c r="AA31" s="191"/>
      <c r="AB31" s="191"/>
      <c r="AC31" s="191"/>
      <c r="AD31" s="191"/>
      <c r="AE31" s="323"/>
      <c r="AF31" s="324"/>
    </row>
    <row r="32" spans="2:32">
      <c r="B32" s="231">
        <v>227</v>
      </c>
      <c r="C32" s="231">
        <v>16</v>
      </c>
      <c r="D32" s="231" t="s">
        <v>259</v>
      </c>
      <c r="E32" s="3" t="s">
        <v>66</v>
      </c>
      <c r="F32" s="231" t="str">
        <f>FIXED(B32,0)&amp;"."&amp;FIXED(C32,0)&amp;"."&amp;D32</f>
        <v>227.16.b&amp;c</v>
      </c>
      <c r="G32" s="231"/>
      <c r="H32" s="190">
        <f t="shared" si="1"/>
        <v>8603207</v>
      </c>
      <c r="I32" s="9"/>
      <c r="J32" s="190">
        <f t="shared" si="2"/>
        <v>9773644</v>
      </c>
      <c r="M32" s="194" t="s">
        <v>834</v>
      </c>
      <c r="N32" s="189"/>
      <c r="O32" s="189"/>
      <c r="P32" s="215"/>
      <c r="Q32" s="189"/>
      <c r="R32" s="216"/>
      <c r="S32" s="189"/>
      <c r="T32" s="191">
        <v>9773644</v>
      </c>
      <c r="U32" s="191"/>
      <c r="V32" s="191"/>
      <c r="W32" s="191">
        <v>8603207</v>
      </c>
      <c r="X32" s="191"/>
      <c r="Y32" s="191"/>
      <c r="AA32" s="191"/>
      <c r="AB32" s="191"/>
      <c r="AC32" s="191"/>
      <c r="AD32" s="191"/>
      <c r="AE32" s="323"/>
      <c r="AF32" s="324"/>
    </row>
    <row r="33" spans="2:32">
      <c r="B33" s="231" t="s">
        <v>16</v>
      </c>
      <c r="C33" s="231">
        <v>5</v>
      </c>
      <c r="D33" s="231" t="s">
        <v>13</v>
      </c>
      <c r="E33" s="3" t="s">
        <v>176</v>
      </c>
      <c r="F33" s="231" t="str">
        <f>B33&amp;"."&amp;C33&amp;"."&amp;D33</f>
        <v>230a.5.b</v>
      </c>
      <c r="G33" s="231"/>
      <c r="H33" s="190"/>
      <c r="I33" s="9"/>
      <c r="J33" s="190">
        <f t="shared" si="2"/>
        <v>2090175</v>
      </c>
      <c r="M33" s="217"/>
      <c r="N33" s="207" t="s">
        <v>824</v>
      </c>
      <c r="O33" s="207" t="s">
        <v>829</v>
      </c>
      <c r="P33" s="207" t="s">
        <v>845</v>
      </c>
      <c r="Q33" s="207" t="s">
        <v>830</v>
      </c>
      <c r="R33" s="209" t="s">
        <v>830</v>
      </c>
      <c r="S33" s="207"/>
      <c r="T33" s="191">
        <v>2090175</v>
      </c>
      <c r="U33" s="191"/>
      <c r="V33" s="191"/>
      <c r="W33" s="191"/>
      <c r="X33" s="191"/>
      <c r="Y33" s="191"/>
      <c r="AA33" s="191"/>
      <c r="AB33" s="191"/>
      <c r="AC33" s="191"/>
      <c r="AD33" s="191"/>
      <c r="AE33" s="325"/>
      <c r="AF33" s="324"/>
    </row>
    <row r="34" spans="2:32">
      <c r="B34" s="231" t="s">
        <v>16</v>
      </c>
      <c r="C34" s="231">
        <v>5</v>
      </c>
      <c r="D34" s="231" t="s">
        <v>17</v>
      </c>
      <c r="E34" s="3" t="s">
        <v>176</v>
      </c>
      <c r="F34" s="231" t="str">
        <f>B34&amp;"."&amp;C34&amp;"."&amp;D34</f>
        <v>230a.5.e</v>
      </c>
      <c r="G34" s="231"/>
      <c r="H34" s="190"/>
      <c r="I34" s="9"/>
      <c r="J34" s="190">
        <f t="shared" si="2"/>
        <v>65155</v>
      </c>
      <c r="M34" s="194"/>
      <c r="N34" s="207" t="s">
        <v>825</v>
      </c>
      <c r="O34" s="207" t="s">
        <v>826</v>
      </c>
      <c r="P34" s="207" t="s">
        <v>847</v>
      </c>
      <c r="Q34" s="207" t="s">
        <v>831</v>
      </c>
      <c r="R34" s="209" t="s">
        <v>831</v>
      </c>
      <c r="S34" s="207"/>
      <c r="T34" s="191">
        <v>65155</v>
      </c>
      <c r="U34" s="191"/>
      <c r="V34" s="191"/>
      <c r="W34" s="191"/>
      <c r="X34" s="191"/>
      <c r="Y34" s="191"/>
      <c r="AA34" s="191"/>
      <c r="AB34" s="191"/>
      <c r="AC34" s="191"/>
      <c r="AD34" s="191"/>
      <c r="AE34" s="325"/>
      <c r="AF34" s="324"/>
    </row>
    <row r="35" spans="2:32">
      <c r="B35" s="231" t="s">
        <v>16</v>
      </c>
      <c r="C35" s="231">
        <v>5</v>
      </c>
      <c r="D35" s="231" t="s">
        <v>35</v>
      </c>
      <c r="E35" s="3" t="s">
        <v>177</v>
      </c>
      <c r="F35" s="231" t="str">
        <f>B35&amp;"."&amp;C35&amp;"."&amp;D35</f>
        <v>230a.5.f</v>
      </c>
      <c r="G35" s="231"/>
      <c r="H35" s="190"/>
      <c r="I35" s="9"/>
      <c r="J35" s="190">
        <f t="shared" si="2"/>
        <v>-4618198</v>
      </c>
      <c r="L35" s="158"/>
      <c r="M35" s="326">
        <f>(J63+J64+J65+J66)/121459</f>
        <v>0.29739994270954878</v>
      </c>
      <c r="N35" s="210" t="s">
        <v>828</v>
      </c>
      <c r="O35" s="210" t="s">
        <v>827</v>
      </c>
      <c r="P35" s="210" t="s">
        <v>850</v>
      </c>
      <c r="Q35" s="210" t="s">
        <v>832</v>
      </c>
      <c r="R35" s="211" t="s">
        <v>833</v>
      </c>
      <c r="S35" s="210"/>
      <c r="T35" s="327">
        <v>2025020</v>
      </c>
      <c r="U35" s="327">
        <f>-(9237621-2594403)</f>
        <v>-6643218</v>
      </c>
      <c r="V35" s="172" t="s">
        <v>906</v>
      </c>
      <c r="W35" s="191"/>
      <c r="X35" s="191"/>
      <c r="Y35" s="191"/>
      <c r="AA35" s="191"/>
      <c r="AB35" s="191"/>
      <c r="AC35" s="191"/>
      <c r="AD35" s="191"/>
      <c r="AE35" s="325"/>
      <c r="AF35" s="324"/>
    </row>
    <row r="36" spans="2:32">
      <c r="B36" s="231">
        <v>234</v>
      </c>
      <c r="C36" s="231">
        <v>8</v>
      </c>
      <c r="D36" s="231" t="s">
        <v>259</v>
      </c>
      <c r="E36" s="3" t="s">
        <v>18</v>
      </c>
      <c r="F36" s="231" t="str">
        <f>FIXED(B36,0)&amp;"."&amp;FIXED(C36,0)&amp;"."&amp;D36</f>
        <v>234.8.b&amp;c</v>
      </c>
      <c r="G36" s="231"/>
      <c r="H36" s="190">
        <f t="shared" si="1"/>
        <v>899031253</v>
      </c>
      <c r="I36" s="9"/>
      <c r="J36" s="190">
        <f t="shared" si="2"/>
        <v>995528084</v>
      </c>
      <c r="L36" s="158"/>
      <c r="M36" s="194">
        <f>M38-2</f>
        <v>2010</v>
      </c>
      <c r="N36" s="188">
        <f>O36*2</f>
        <v>195238.77331982992</v>
      </c>
      <c r="O36" s="188">
        <f>P36/M35</f>
        <v>97619.386659914962</v>
      </c>
      <c r="P36" s="188">
        <v>29032</v>
      </c>
      <c r="Q36" s="188">
        <f>O36-P36</f>
        <v>68587.386659914962</v>
      </c>
      <c r="R36" s="212">
        <f>Q36</f>
        <v>68587.386659914962</v>
      </c>
      <c r="S36" s="227"/>
      <c r="T36" s="327">
        <v>995528084</v>
      </c>
      <c r="U36" s="327"/>
      <c r="V36" s="327"/>
      <c r="W36" s="191">
        <v>899031253</v>
      </c>
      <c r="X36" s="191"/>
      <c r="Y36" s="191"/>
      <c r="AA36" s="191"/>
      <c r="AB36" s="191"/>
      <c r="AC36" s="191"/>
      <c r="AD36" s="191"/>
      <c r="AE36" s="323"/>
      <c r="AF36" s="324"/>
    </row>
    <row r="37" spans="2:32">
      <c r="B37" s="231">
        <v>263</v>
      </c>
      <c r="C37" s="231">
        <v>3</v>
      </c>
      <c r="D37" s="231" t="s">
        <v>98</v>
      </c>
      <c r="E37" s="3" t="s">
        <v>155</v>
      </c>
      <c r="F37" s="231" t="str">
        <f t="shared" ref="F37:F42" si="4">B37&amp;"."&amp;C37&amp;"."&amp;D37</f>
        <v>263.3.i</v>
      </c>
      <c r="G37" s="231"/>
      <c r="H37" s="190"/>
      <c r="I37" s="9"/>
      <c r="J37" s="190">
        <f t="shared" si="2"/>
        <v>20878200.98</v>
      </c>
      <c r="L37" s="158"/>
      <c r="M37" s="194">
        <f>M38-1</f>
        <v>2011</v>
      </c>
      <c r="N37" s="188">
        <f>O37*2</f>
        <v>226039.04825110667</v>
      </c>
      <c r="O37" s="188">
        <f>P37/M35</f>
        <v>113019.52412555333</v>
      </c>
      <c r="P37" s="188">
        <v>33612.000000000029</v>
      </c>
      <c r="Q37" s="188">
        <f>O37-P37</f>
        <v>79407.524125553304</v>
      </c>
      <c r="R37" s="212">
        <f>R36+Q37</f>
        <v>147994.91078546827</v>
      </c>
      <c r="S37" s="227"/>
      <c r="T37" s="327">
        <v>22310120</v>
      </c>
      <c r="U37" s="327">
        <v>-1431919.0200000009</v>
      </c>
      <c r="V37" s="327" t="s">
        <v>930</v>
      </c>
      <c r="W37" s="191"/>
      <c r="X37" s="191"/>
      <c r="Y37" s="191"/>
      <c r="AA37" s="191"/>
      <c r="AB37" s="191"/>
      <c r="AC37" s="191"/>
      <c r="AD37" s="191"/>
      <c r="AE37" s="325"/>
      <c r="AF37" s="324"/>
    </row>
    <row r="38" spans="2:32">
      <c r="B38" s="231">
        <v>263</v>
      </c>
      <c r="C38" s="231">
        <v>4</v>
      </c>
      <c r="D38" s="231" t="s">
        <v>98</v>
      </c>
      <c r="E38" s="3" t="s">
        <v>156</v>
      </c>
      <c r="F38" s="231" t="str">
        <f t="shared" si="4"/>
        <v>263.4.i</v>
      </c>
      <c r="G38" s="231"/>
      <c r="H38" s="190"/>
      <c r="I38" s="9"/>
      <c r="J38" s="190">
        <f t="shared" si="2"/>
        <v>0</v>
      </c>
      <c r="L38" s="158"/>
      <c r="M38" s="196">
        <f>N20</f>
        <v>2012</v>
      </c>
      <c r="N38" s="218">
        <f>O38*2</f>
        <v>226039.04825110667</v>
      </c>
      <c r="O38" s="218">
        <f>P38/M35</f>
        <v>113019.52412555333</v>
      </c>
      <c r="P38" s="218">
        <v>33612.000000000029</v>
      </c>
      <c r="Q38" s="218">
        <f>O38-P38</f>
        <v>79407.524125553304</v>
      </c>
      <c r="R38" s="219">
        <f>R37+Q38</f>
        <v>227402.43491102156</v>
      </c>
      <c r="S38" s="227"/>
      <c r="T38" s="327">
        <v>0</v>
      </c>
      <c r="U38" s="327"/>
      <c r="V38" s="327"/>
      <c r="W38" s="191"/>
      <c r="X38" s="191"/>
      <c r="Y38" s="191"/>
      <c r="AA38" s="191"/>
      <c r="AB38" s="191"/>
      <c r="AC38" s="191"/>
      <c r="AD38" s="191"/>
      <c r="AE38" s="325"/>
      <c r="AF38" s="324"/>
    </row>
    <row r="39" spans="2:32">
      <c r="B39" s="231">
        <v>263</v>
      </c>
      <c r="C39" s="231">
        <v>7</v>
      </c>
      <c r="D39" s="231" t="s">
        <v>98</v>
      </c>
      <c r="E39" s="3" t="s">
        <v>159</v>
      </c>
      <c r="F39" s="231" t="str">
        <f t="shared" si="4"/>
        <v>263.7.i</v>
      </c>
      <c r="G39" s="231"/>
      <c r="H39" s="190"/>
      <c r="I39" s="9"/>
      <c r="J39" s="190">
        <f t="shared" si="2"/>
        <v>47489</v>
      </c>
      <c r="L39" s="158"/>
      <c r="T39" s="327">
        <v>47489</v>
      </c>
      <c r="U39" s="327"/>
      <c r="V39" s="327"/>
      <c r="W39" s="191"/>
      <c r="X39" s="191"/>
      <c r="Y39" s="191"/>
      <c r="AA39" s="191"/>
      <c r="AB39" s="191"/>
      <c r="AC39" s="191"/>
      <c r="AD39" s="191"/>
      <c r="AE39" s="325"/>
      <c r="AF39" s="324"/>
    </row>
    <row r="40" spans="2:32">
      <c r="B40" s="231">
        <v>263</v>
      </c>
      <c r="C40" s="231">
        <v>15</v>
      </c>
      <c r="D40" s="231" t="s">
        <v>98</v>
      </c>
      <c r="E40" s="3" t="s">
        <v>157</v>
      </c>
      <c r="F40" s="231" t="str">
        <f t="shared" si="4"/>
        <v>263.15.i</v>
      </c>
      <c r="G40" s="231"/>
      <c r="H40" s="190"/>
      <c r="I40" s="9"/>
      <c r="J40" s="190">
        <f t="shared" si="2"/>
        <v>0</v>
      </c>
      <c r="L40" s="158"/>
      <c r="T40" s="327">
        <v>0</v>
      </c>
      <c r="U40" s="327"/>
      <c r="V40" s="327"/>
      <c r="W40" s="191"/>
      <c r="X40" s="191"/>
      <c r="Y40" s="191"/>
      <c r="AA40" s="191"/>
      <c r="AB40" s="191"/>
      <c r="AC40" s="191"/>
      <c r="AD40" s="191"/>
      <c r="AE40" s="325"/>
      <c r="AF40" s="324"/>
    </row>
    <row r="41" spans="2:32">
      <c r="B41" s="231">
        <v>263</v>
      </c>
      <c r="C41" s="231">
        <v>16</v>
      </c>
      <c r="D41" s="231" t="s">
        <v>98</v>
      </c>
      <c r="E41" s="3" t="s">
        <v>158</v>
      </c>
      <c r="F41" s="231" t="str">
        <f t="shared" si="4"/>
        <v>263.16.i</v>
      </c>
      <c r="G41" s="231"/>
      <c r="H41" s="190"/>
      <c r="I41" s="9"/>
      <c r="J41" s="190">
        <f t="shared" si="2"/>
        <v>266755</v>
      </c>
      <c r="L41" s="158"/>
      <c r="T41" s="327">
        <v>266755</v>
      </c>
      <c r="U41" s="327"/>
      <c r="V41" s="327"/>
      <c r="W41" s="191"/>
      <c r="X41" s="191"/>
      <c r="Y41" s="191"/>
      <c r="AA41" s="191"/>
      <c r="AB41" s="191"/>
      <c r="AC41" s="191"/>
      <c r="AD41" s="191"/>
      <c r="AE41" s="325"/>
      <c r="AF41" s="324"/>
    </row>
    <row r="42" spans="2:32">
      <c r="B42" s="231">
        <v>263</v>
      </c>
      <c r="C42" s="231">
        <v>22</v>
      </c>
      <c r="D42" s="231" t="s">
        <v>98</v>
      </c>
      <c r="E42" s="3" t="s">
        <v>160</v>
      </c>
      <c r="F42" s="231" t="str">
        <f t="shared" si="4"/>
        <v>263.22.i</v>
      </c>
      <c r="G42" s="231"/>
      <c r="H42" s="190"/>
      <c r="I42" s="9"/>
      <c r="J42" s="190">
        <f t="shared" si="2"/>
        <v>113076622</v>
      </c>
      <c r="L42" s="158"/>
      <c r="T42" s="327">
        <v>113076622</v>
      </c>
      <c r="U42" s="327"/>
      <c r="V42" s="327"/>
      <c r="W42" s="191"/>
      <c r="X42" s="191"/>
      <c r="Y42" s="191"/>
      <c r="AA42" s="191"/>
      <c r="AB42" s="191"/>
      <c r="AC42" s="191"/>
      <c r="AD42" s="191"/>
      <c r="AE42" s="325"/>
      <c r="AF42" s="324"/>
    </row>
    <row r="43" spans="2:32">
      <c r="B43" s="231">
        <v>266</v>
      </c>
      <c r="C43" s="231">
        <v>8</v>
      </c>
      <c r="D43" s="231" t="s">
        <v>35</v>
      </c>
      <c r="E43" s="3" t="s">
        <v>36</v>
      </c>
      <c r="F43" s="231" t="str">
        <f t="shared" ref="F43:F61" si="5">FIXED(B43,0)&amp;"."&amp;FIXED(C43,0)&amp;"."&amp;D43</f>
        <v>266.8.f</v>
      </c>
      <c r="G43" s="231"/>
      <c r="H43" s="190"/>
      <c r="I43" s="9"/>
      <c r="J43" s="190">
        <f t="shared" si="2"/>
        <v>-1052000</v>
      </c>
      <c r="L43" s="158"/>
      <c r="T43" s="327">
        <v>-1052000</v>
      </c>
      <c r="U43" s="327"/>
      <c r="V43" s="327"/>
      <c r="W43" s="191"/>
      <c r="X43" s="191"/>
      <c r="Y43" s="191"/>
      <c r="AA43" s="191"/>
      <c r="AB43" s="191"/>
      <c r="AC43" s="191"/>
      <c r="AD43" s="191"/>
      <c r="AE43" s="325"/>
      <c r="AF43" s="324"/>
    </row>
    <row r="44" spans="2:32">
      <c r="B44" s="231">
        <v>267</v>
      </c>
      <c r="C44" s="231">
        <v>8</v>
      </c>
      <c r="D44" s="231" t="s">
        <v>257</v>
      </c>
      <c r="E44" s="3" t="s">
        <v>33</v>
      </c>
      <c r="F44" s="231" t="str">
        <f t="shared" si="5"/>
        <v>267.8.b&amp;h</v>
      </c>
      <c r="G44" s="231"/>
      <c r="H44" s="190">
        <f t="shared" si="1"/>
        <v>-4091516</v>
      </c>
      <c r="I44" s="9"/>
      <c r="J44" s="190">
        <f t="shared" si="2"/>
        <v>-3039516</v>
      </c>
      <c r="L44" s="158"/>
      <c r="T44" s="327">
        <v>-3039516</v>
      </c>
      <c r="U44" s="327"/>
      <c r="V44" s="327"/>
      <c r="W44" s="191">
        <v>-4091516</v>
      </c>
      <c r="X44" s="191"/>
      <c r="Y44" s="191"/>
      <c r="AA44" s="191"/>
      <c r="AB44" s="191"/>
      <c r="AC44" s="191"/>
      <c r="AD44" s="191"/>
      <c r="AE44" s="323"/>
      <c r="AF44" s="324"/>
    </row>
    <row r="45" spans="2:32">
      <c r="B45" s="231">
        <v>273</v>
      </c>
      <c r="C45" s="231">
        <v>8</v>
      </c>
      <c r="D45" s="231" t="s">
        <v>258</v>
      </c>
      <c r="E45" s="3" t="s">
        <v>19</v>
      </c>
      <c r="F45" s="231" t="str">
        <f t="shared" si="5"/>
        <v>273.8.b&amp;k</v>
      </c>
      <c r="G45" s="231"/>
      <c r="H45" s="190">
        <f t="shared" si="1"/>
        <v>-3757590</v>
      </c>
      <c r="I45" s="9"/>
      <c r="J45" s="190">
        <f t="shared" si="2"/>
        <v>-3757590</v>
      </c>
      <c r="L45" s="158"/>
      <c r="T45" s="327">
        <v>-3757590</v>
      </c>
      <c r="U45" s="327"/>
      <c r="V45" s="327"/>
      <c r="W45" s="191">
        <v>-3757590</v>
      </c>
      <c r="X45" s="191"/>
      <c r="Y45" s="191"/>
      <c r="AA45" s="191"/>
      <c r="AB45" s="191"/>
      <c r="AC45" s="191"/>
      <c r="AD45" s="191"/>
      <c r="AE45" s="323"/>
      <c r="AF45" s="324"/>
    </row>
    <row r="46" spans="2:32">
      <c r="B46" s="231">
        <v>275</v>
      </c>
      <c r="C46" s="231">
        <v>2</v>
      </c>
      <c r="D46" s="231" t="s">
        <v>258</v>
      </c>
      <c r="E46" s="3" t="s">
        <v>20</v>
      </c>
      <c r="F46" s="231" t="str">
        <f t="shared" si="5"/>
        <v>275.2.b&amp;k</v>
      </c>
      <c r="G46" s="231"/>
      <c r="H46" s="190">
        <f t="shared" si="1"/>
        <v>-1347909058</v>
      </c>
      <c r="I46" s="9"/>
      <c r="J46" s="190">
        <f t="shared" si="2"/>
        <v>-975116243</v>
      </c>
      <c r="L46" s="158"/>
      <c r="T46" s="327">
        <v>-975116243</v>
      </c>
      <c r="U46" s="327"/>
      <c r="V46" s="327"/>
      <c r="W46" s="191">
        <v>-1347909058</v>
      </c>
      <c r="X46" s="191"/>
      <c r="Y46" s="191"/>
      <c r="AA46" s="191"/>
      <c r="AB46" s="191"/>
      <c r="AC46" s="191"/>
      <c r="AD46" s="191"/>
      <c r="AE46" s="323"/>
      <c r="AF46" s="324"/>
    </row>
    <row r="47" spans="2:32">
      <c r="B47" s="231">
        <v>277</v>
      </c>
      <c r="C47" s="231">
        <v>9</v>
      </c>
      <c r="D47" s="231" t="s">
        <v>258</v>
      </c>
      <c r="E47" s="3" t="s">
        <v>189</v>
      </c>
      <c r="F47" s="231" t="str">
        <f>FIXED(B47,0)&amp;"."&amp;FIXED(C47,0)&amp;"."&amp;D47</f>
        <v>277.9.b&amp;k</v>
      </c>
      <c r="G47" s="231"/>
      <c r="H47" s="190">
        <f t="shared" si="1"/>
        <v>-813661722</v>
      </c>
      <c r="I47" s="9"/>
      <c r="J47" s="190">
        <f t="shared" si="2"/>
        <v>-1425000944</v>
      </c>
      <c r="L47" s="158"/>
      <c r="T47" s="327">
        <v>-1425000944</v>
      </c>
      <c r="U47" s="327"/>
      <c r="V47" s="327"/>
      <c r="W47" s="191">
        <v>-813661722</v>
      </c>
      <c r="X47" s="191"/>
      <c r="Y47" s="191"/>
      <c r="AA47" s="191"/>
      <c r="AB47" s="191"/>
      <c r="AC47" s="191"/>
      <c r="AD47" s="191"/>
      <c r="AE47" s="323"/>
      <c r="AF47" s="324"/>
    </row>
    <row r="48" spans="2:32">
      <c r="B48" s="231">
        <v>321</v>
      </c>
      <c r="C48" s="94" t="s">
        <v>446</v>
      </c>
      <c r="D48" s="94" t="s">
        <v>13</v>
      </c>
      <c r="E48" s="43" t="s">
        <v>447</v>
      </c>
      <c r="F48" s="231" t="str">
        <f>B48&amp;"."&amp;C48&amp;"."&amp;D48</f>
        <v>321.84 thru 92.b</v>
      </c>
      <c r="G48" s="231"/>
      <c r="H48" s="190">
        <f t="shared" si="1"/>
        <v>4473621</v>
      </c>
      <c r="I48" s="9"/>
      <c r="J48" s="190">
        <f t="shared" si="2"/>
        <v>4772592</v>
      </c>
      <c r="L48" s="158"/>
      <c r="T48" s="327">
        <f>1352335+1015231+1313214+612109+3964+475739</f>
        <v>4772592</v>
      </c>
      <c r="U48" s="327"/>
      <c r="V48" s="327"/>
      <c r="W48" s="191">
        <f>1249383+975054+1191750+542778+418+514238</f>
        <v>4473621</v>
      </c>
      <c r="X48" s="191"/>
      <c r="Y48" s="191"/>
      <c r="AA48" s="191"/>
      <c r="AB48" s="191"/>
      <c r="AC48" s="191"/>
      <c r="AD48" s="191"/>
      <c r="AE48" s="323"/>
      <c r="AF48" s="324"/>
    </row>
    <row r="49" spans="2:32">
      <c r="B49" s="231">
        <v>321</v>
      </c>
      <c r="C49" s="231">
        <v>96</v>
      </c>
      <c r="D49" s="231" t="s">
        <v>13</v>
      </c>
      <c r="E49" s="3" t="s">
        <v>7</v>
      </c>
      <c r="F49" s="231" t="str">
        <f t="shared" si="5"/>
        <v>321.96.b</v>
      </c>
      <c r="G49" s="231"/>
      <c r="H49" s="190"/>
      <c r="I49" s="9"/>
      <c r="J49" s="190">
        <f t="shared" si="2"/>
        <v>0</v>
      </c>
      <c r="L49" s="158"/>
      <c r="T49" s="191">
        <v>0</v>
      </c>
      <c r="U49" s="191"/>
      <c r="V49" s="191"/>
      <c r="W49" s="191"/>
      <c r="X49" s="191"/>
      <c r="Y49" s="191"/>
      <c r="AA49" s="191"/>
      <c r="AB49" s="191"/>
      <c r="AC49" s="191"/>
      <c r="AD49" s="191"/>
      <c r="AE49" s="325"/>
      <c r="AF49" s="324"/>
    </row>
    <row r="50" spans="2:32">
      <c r="B50" s="231">
        <v>321</v>
      </c>
      <c r="C50" s="231">
        <v>112</v>
      </c>
      <c r="D50" s="231" t="s">
        <v>13</v>
      </c>
      <c r="E50" s="3" t="s">
        <v>50</v>
      </c>
      <c r="F50" s="231" t="str">
        <f t="shared" si="5"/>
        <v>321.112.b</v>
      </c>
      <c r="G50" s="231"/>
      <c r="H50" s="190"/>
      <c r="I50" s="9"/>
      <c r="J50" s="190">
        <f t="shared" si="2"/>
        <v>39151014</v>
      </c>
      <c r="T50" s="191">
        <v>39151014</v>
      </c>
      <c r="U50" s="191"/>
      <c r="V50" s="191"/>
      <c r="W50" s="191"/>
      <c r="X50" s="191"/>
      <c r="Y50" s="191"/>
      <c r="AA50" s="191"/>
      <c r="AB50" s="191"/>
      <c r="AC50" s="191"/>
      <c r="AD50" s="191"/>
      <c r="AE50" s="325"/>
      <c r="AF50" s="324"/>
    </row>
    <row r="51" spans="2:32">
      <c r="B51" s="231">
        <v>323</v>
      </c>
      <c r="C51" s="231">
        <v>185</v>
      </c>
      <c r="D51" s="231" t="s">
        <v>13</v>
      </c>
      <c r="E51" s="3" t="s">
        <v>52</v>
      </c>
      <c r="F51" s="231" t="str">
        <f t="shared" si="5"/>
        <v>323.185.b</v>
      </c>
      <c r="G51" s="231"/>
      <c r="H51" s="190"/>
      <c r="I51" s="9"/>
      <c r="J51" s="190">
        <f t="shared" si="2"/>
        <v>12783247</v>
      </c>
      <c r="T51" s="191">
        <v>12783247</v>
      </c>
      <c r="U51" s="191"/>
      <c r="V51" s="191"/>
      <c r="W51" s="191"/>
      <c r="X51" s="191"/>
      <c r="Y51" s="191"/>
      <c r="AA51" s="191"/>
      <c r="AB51" s="191"/>
      <c r="AC51" s="191"/>
      <c r="AD51" s="191"/>
      <c r="AE51" s="325"/>
      <c r="AF51" s="324"/>
    </row>
    <row r="52" spans="2:32">
      <c r="B52" s="231">
        <v>323</v>
      </c>
      <c r="C52" s="231">
        <v>189</v>
      </c>
      <c r="D52" s="231" t="s">
        <v>13</v>
      </c>
      <c r="E52" s="3" t="s">
        <v>9</v>
      </c>
      <c r="F52" s="231" t="str">
        <f t="shared" si="5"/>
        <v>323.189.b</v>
      </c>
      <c r="G52" s="231"/>
      <c r="H52" s="190"/>
      <c r="I52" s="9"/>
      <c r="J52" s="190">
        <f t="shared" si="2"/>
        <v>266006</v>
      </c>
      <c r="T52" s="191">
        <v>266006</v>
      </c>
      <c r="U52" s="191"/>
      <c r="V52" s="191"/>
      <c r="W52" s="191"/>
      <c r="X52" s="191"/>
      <c r="Y52" s="191"/>
      <c r="AA52" s="191"/>
      <c r="AB52" s="191"/>
      <c r="AC52" s="191"/>
      <c r="AD52" s="191"/>
      <c r="AE52" s="325"/>
      <c r="AF52" s="324"/>
    </row>
    <row r="53" spans="2:32">
      <c r="B53" s="231">
        <v>323</v>
      </c>
      <c r="C53" s="231">
        <v>191</v>
      </c>
      <c r="D53" s="231" t="s">
        <v>13</v>
      </c>
      <c r="E53" s="3" t="s">
        <v>10</v>
      </c>
      <c r="F53" s="231" t="str">
        <f t="shared" si="5"/>
        <v>323.191.b</v>
      </c>
      <c r="G53" s="231"/>
      <c r="H53" s="190"/>
      <c r="I53" s="9"/>
      <c r="J53" s="190">
        <f t="shared" si="2"/>
        <v>549163</v>
      </c>
      <c r="T53" s="191">
        <v>549163</v>
      </c>
      <c r="U53" s="191"/>
      <c r="V53" s="191"/>
      <c r="W53" s="191"/>
      <c r="X53" s="191"/>
      <c r="Y53" s="191"/>
      <c r="AA53" s="191"/>
      <c r="AB53" s="191"/>
      <c r="AC53" s="191"/>
      <c r="AD53" s="191"/>
      <c r="AE53" s="325"/>
      <c r="AF53" s="324"/>
    </row>
    <row r="54" spans="2:32">
      <c r="B54" s="231">
        <v>323</v>
      </c>
      <c r="C54" s="231">
        <v>197</v>
      </c>
      <c r="D54" s="231" t="s">
        <v>13</v>
      </c>
      <c r="E54" s="3" t="s">
        <v>8</v>
      </c>
      <c r="F54" s="231" t="str">
        <f t="shared" si="5"/>
        <v>323.197.b</v>
      </c>
      <c r="G54" s="231"/>
      <c r="H54" s="190"/>
      <c r="I54" s="9"/>
      <c r="J54" s="190">
        <f t="shared" si="2"/>
        <v>369280521</v>
      </c>
      <c r="T54" s="191">
        <v>369280521</v>
      </c>
      <c r="U54" s="191"/>
      <c r="V54" s="191"/>
      <c r="W54" s="191"/>
      <c r="X54" s="191"/>
      <c r="Y54" s="191"/>
      <c r="AA54" s="191"/>
      <c r="AB54" s="191"/>
      <c r="AC54" s="191"/>
      <c r="AD54" s="191"/>
      <c r="AE54" s="325"/>
      <c r="AF54" s="324"/>
    </row>
    <row r="55" spans="2:32">
      <c r="B55" s="231">
        <v>335</v>
      </c>
      <c r="C55" s="231">
        <v>1</v>
      </c>
      <c r="D55" s="231" t="s">
        <v>13</v>
      </c>
      <c r="E55" s="3" t="s">
        <v>262</v>
      </c>
      <c r="F55" s="231" t="str">
        <f t="shared" si="5"/>
        <v>335.1.b</v>
      </c>
      <c r="G55" s="231"/>
      <c r="H55" s="190"/>
      <c r="I55" s="9"/>
      <c r="J55" s="190">
        <f t="shared" si="2"/>
        <v>4769109</v>
      </c>
      <c r="T55" s="191">
        <v>4769109</v>
      </c>
      <c r="U55" s="191"/>
      <c r="V55" s="191"/>
      <c r="W55" s="191"/>
      <c r="X55" s="191"/>
      <c r="Y55" s="191"/>
      <c r="AA55" s="191"/>
      <c r="AB55" s="191"/>
      <c r="AC55" s="191"/>
      <c r="AD55" s="191"/>
      <c r="AE55" s="325"/>
      <c r="AF55" s="324"/>
    </row>
    <row r="56" spans="2:32">
      <c r="B56" s="231">
        <v>336</v>
      </c>
      <c r="C56" s="231">
        <v>1</v>
      </c>
      <c r="D56" s="231" t="s">
        <v>35</v>
      </c>
      <c r="E56" s="3" t="s">
        <v>174</v>
      </c>
      <c r="F56" s="231" t="str">
        <f t="shared" si="5"/>
        <v>336.1.f</v>
      </c>
      <c r="G56" s="231"/>
      <c r="H56" s="190"/>
      <c r="I56" s="9"/>
      <c r="J56" s="190">
        <f t="shared" si="2"/>
        <v>4883794</v>
      </c>
      <c r="T56" s="191">
        <v>4883794</v>
      </c>
      <c r="U56" s="191"/>
      <c r="V56" s="191"/>
      <c r="W56" s="191"/>
      <c r="X56" s="191"/>
      <c r="Y56" s="191"/>
      <c r="AA56" s="191"/>
      <c r="AB56" s="191"/>
      <c r="AC56" s="191"/>
      <c r="AD56" s="191"/>
      <c r="AE56" s="325"/>
      <c r="AF56" s="324"/>
    </row>
    <row r="57" spans="2:32">
      <c r="B57" s="231">
        <v>336</v>
      </c>
      <c r="C57" s="231">
        <v>7</v>
      </c>
      <c r="D57" s="231" t="s">
        <v>35</v>
      </c>
      <c r="E57" s="3" t="s">
        <v>58</v>
      </c>
      <c r="F57" s="231" t="str">
        <f t="shared" si="5"/>
        <v>336.7.f</v>
      </c>
      <c r="G57" s="231"/>
      <c r="H57" s="190"/>
      <c r="I57" s="9"/>
      <c r="J57" s="190">
        <f t="shared" si="2"/>
        <v>44813318.475874446</v>
      </c>
      <c r="K57" s="106" t="s">
        <v>246</v>
      </c>
      <c r="T57" s="191">
        <v>44892726</v>
      </c>
      <c r="U57" s="191">
        <f>+O23</f>
        <v>-79407.524125553304</v>
      </c>
      <c r="V57" s="191" t="s">
        <v>898</v>
      </c>
      <c r="W57" s="191"/>
      <c r="X57" s="191"/>
      <c r="Y57" s="191"/>
      <c r="AA57" s="191"/>
      <c r="AB57" s="191"/>
      <c r="AC57" s="191"/>
      <c r="AD57" s="191"/>
      <c r="AE57" s="325"/>
      <c r="AF57" s="324"/>
    </row>
    <row r="58" spans="2:32">
      <c r="B58" s="231">
        <v>336</v>
      </c>
      <c r="C58" s="231">
        <v>10</v>
      </c>
      <c r="D58" s="231" t="s">
        <v>35</v>
      </c>
      <c r="E58" s="3" t="s">
        <v>59</v>
      </c>
      <c r="F58" s="231" t="str">
        <f t="shared" si="5"/>
        <v>336.10.f</v>
      </c>
      <c r="G58" s="231"/>
      <c r="H58" s="190"/>
      <c r="I58" s="9"/>
      <c r="J58" s="190">
        <f t="shared" si="2"/>
        <v>15968250</v>
      </c>
      <c r="K58" s="106"/>
      <c r="T58" s="191">
        <v>15968250</v>
      </c>
      <c r="U58" s="191"/>
      <c r="V58" s="191"/>
      <c r="W58" s="191"/>
      <c r="X58" s="191"/>
      <c r="Y58" s="191"/>
      <c r="AA58" s="191"/>
      <c r="AB58" s="191"/>
      <c r="AC58" s="191"/>
      <c r="AD58" s="191"/>
      <c r="AE58" s="325"/>
      <c r="AF58" s="324"/>
    </row>
    <row r="59" spans="2:32">
      <c r="B59" s="231">
        <v>354</v>
      </c>
      <c r="C59" s="20">
        <v>21</v>
      </c>
      <c r="D59" s="231" t="s">
        <v>13</v>
      </c>
      <c r="E59" s="3" t="s">
        <v>6</v>
      </c>
      <c r="F59" s="231" t="str">
        <f t="shared" si="5"/>
        <v>354.21.b</v>
      </c>
      <c r="G59" s="231"/>
      <c r="H59" s="190"/>
      <c r="I59" s="9"/>
      <c r="J59" s="190">
        <f t="shared" si="2"/>
        <v>17376781</v>
      </c>
      <c r="T59" s="191">
        <v>17376781</v>
      </c>
      <c r="U59" s="191"/>
      <c r="V59" s="191"/>
      <c r="W59" s="191"/>
      <c r="X59" s="191"/>
      <c r="Y59" s="191"/>
      <c r="AA59" s="191"/>
      <c r="AB59" s="191"/>
      <c r="AC59" s="191"/>
      <c r="AD59" s="191"/>
      <c r="AE59" s="325"/>
      <c r="AF59" s="324"/>
    </row>
    <row r="60" spans="2:32">
      <c r="B60" s="231">
        <v>354</v>
      </c>
      <c r="C60" s="20">
        <v>27</v>
      </c>
      <c r="D60" s="231" t="s">
        <v>13</v>
      </c>
      <c r="E60" s="3" t="s">
        <v>161</v>
      </c>
      <c r="F60" s="231" t="str">
        <f t="shared" si="5"/>
        <v>354.27.b</v>
      </c>
      <c r="G60" s="231"/>
      <c r="H60" s="190"/>
      <c r="I60" s="9"/>
      <c r="J60" s="190">
        <f t="shared" si="2"/>
        <v>60266827</v>
      </c>
      <c r="T60" s="191">
        <v>60266827</v>
      </c>
      <c r="U60" s="191"/>
      <c r="V60" s="191"/>
      <c r="W60" s="191"/>
      <c r="X60" s="191"/>
      <c r="Y60" s="191"/>
      <c r="AA60" s="191"/>
      <c r="AB60" s="191"/>
      <c r="AC60" s="191"/>
      <c r="AD60" s="191"/>
      <c r="AE60" s="325"/>
      <c r="AF60" s="324"/>
    </row>
    <row r="61" spans="2:32">
      <c r="B61" s="231">
        <v>354</v>
      </c>
      <c r="C61" s="20">
        <v>28</v>
      </c>
      <c r="D61" s="231" t="s">
        <v>13</v>
      </c>
      <c r="E61" s="3" t="s">
        <v>5</v>
      </c>
      <c r="F61" s="231" t="str">
        <f t="shared" si="5"/>
        <v>354.28.b</v>
      </c>
      <c r="G61" s="231"/>
      <c r="H61" s="190"/>
      <c r="I61" s="9"/>
      <c r="J61" s="190">
        <f t="shared" si="2"/>
        <v>304848853</v>
      </c>
      <c r="T61" s="191">
        <v>304848853</v>
      </c>
      <c r="U61" s="191"/>
      <c r="V61" s="191"/>
      <c r="W61" s="191"/>
      <c r="X61" s="191"/>
      <c r="Y61" s="191"/>
      <c r="AA61" s="191"/>
      <c r="AB61" s="191"/>
      <c r="AC61" s="191"/>
      <c r="AD61" s="191"/>
      <c r="AE61" s="325"/>
      <c r="AF61" s="324"/>
    </row>
    <row r="62" spans="2:32" ht="15.75">
      <c r="B62" s="231">
        <v>400</v>
      </c>
      <c r="C62" s="20">
        <v>17</v>
      </c>
      <c r="D62" s="231" t="s">
        <v>17</v>
      </c>
      <c r="E62" s="3" t="s">
        <v>102</v>
      </c>
      <c r="F62" s="231" t="str">
        <f>B62&amp;"."&amp;C62&amp;"."&amp;D62</f>
        <v>400.17.e</v>
      </c>
      <c r="G62" s="231"/>
      <c r="H62" s="190"/>
      <c r="I62" s="9"/>
      <c r="J62" s="190">
        <f t="shared" si="2"/>
        <v>85396</v>
      </c>
      <c r="M62" s="159"/>
      <c r="N62" s="160"/>
      <c r="O62" s="160"/>
      <c r="P62" s="158"/>
      <c r="Q62" s="158"/>
      <c r="T62" s="191">
        <v>85396</v>
      </c>
      <c r="U62" s="191"/>
      <c r="V62" s="191"/>
      <c r="W62" s="191"/>
      <c r="X62" s="191"/>
      <c r="Y62" s="191"/>
      <c r="AA62" s="191"/>
      <c r="AB62" s="191"/>
      <c r="AC62" s="191"/>
      <c r="AD62" s="191"/>
      <c r="AE62" s="325"/>
      <c r="AF62" s="324"/>
    </row>
    <row r="63" spans="2:32" ht="15">
      <c r="B63" s="231">
        <v>400</v>
      </c>
      <c r="C63" s="20">
        <v>17</v>
      </c>
      <c r="D63" s="231" t="s">
        <v>35</v>
      </c>
      <c r="E63" s="3" t="s">
        <v>99</v>
      </c>
      <c r="F63" s="231" t="str">
        <f>B63&amp;"."&amp;C63&amp;"."&amp;D63</f>
        <v>400.17.f</v>
      </c>
      <c r="G63" s="231"/>
      <c r="H63" s="190"/>
      <c r="I63" s="9"/>
      <c r="J63" s="190">
        <f t="shared" si="2"/>
        <v>31749</v>
      </c>
      <c r="M63" s="160"/>
      <c r="N63" s="160"/>
      <c r="O63" s="161"/>
      <c r="P63" s="158"/>
      <c r="Q63" s="158"/>
      <c r="T63" s="191">
        <v>31749</v>
      </c>
      <c r="U63" s="191"/>
      <c r="V63" s="191"/>
      <c r="W63" s="191"/>
      <c r="X63" s="191"/>
      <c r="Y63" s="191"/>
      <c r="AA63" s="191"/>
      <c r="AB63" s="191"/>
      <c r="AC63" s="191"/>
      <c r="AD63" s="191"/>
      <c r="AE63" s="325"/>
      <c r="AF63" s="324"/>
    </row>
    <row r="64" spans="2:32" ht="15">
      <c r="B64" s="231">
        <v>400</v>
      </c>
      <c r="C64" s="231">
        <v>17</v>
      </c>
      <c r="D64" s="231" t="s">
        <v>14</v>
      </c>
      <c r="E64" s="3" t="s">
        <v>101</v>
      </c>
      <c r="F64" s="231" t="str">
        <f>B64&amp;"."&amp;C64&amp;"."&amp;D64</f>
        <v>400.17.g</v>
      </c>
      <c r="G64" s="231"/>
      <c r="H64" s="190"/>
      <c r="I64" s="9"/>
      <c r="J64" s="190">
        <f t="shared" si="2"/>
        <v>3884</v>
      </c>
      <c r="M64" s="160"/>
      <c r="N64" s="160"/>
      <c r="O64" s="161"/>
      <c r="P64" s="158"/>
      <c r="Q64" s="158"/>
      <c r="T64" s="191">
        <v>3882</v>
      </c>
      <c r="U64" s="191">
        <v>2</v>
      </c>
      <c r="V64" s="145" t="s">
        <v>1037</v>
      </c>
      <c r="W64" s="191"/>
      <c r="X64" s="191"/>
      <c r="Y64" s="191"/>
      <c r="AA64" s="191"/>
      <c r="AB64" s="191"/>
      <c r="AC64" s="191"/>
      <c r="AD64" s="191"/>
      <c r="AE64" s="325"/>
      <c r="AF64" s="324"/>
    </row>
    <row r="65" spans="2:32" ht="15">
      <c r="B65" s="231">
        <v>400</v>
      </c>
      <c r="C65" s="231">
        <v>17</v>
      </c>
      <c r="D65" s="231" t="s">
        <v>34</v>
      </c>
      <c r="E65" s="3" t="s">
        <v>154</v>
      </c>
      <c r="F65" s="231" t="str">
        <f>B65&amp;"."&amp;C65&amp;"."&amp;D65</f>
        <v>400.17.h</v>
      </c>
      <c r="G65" s="231"/>
      <c r="H65" s="190"/>
      <c r="I65" s="9"/>
      <c r="J65" s="190">
        <f t="shared" si="2"/>
        <v>488.89964155908513</v>
      </c>
      <c r="L65" s="324"/>
      <c r="M65" s="160"/>
      <c r="N65" s="160"/>
      <c r="O65" s="160"/>
      <c r="P65" s="158"/>
      <c r="Q65" s="158"/>
      <c r="T65" s="191">
        <v>481</v>
      </c>
      <c r="U65" s="191">
        <v>7.8996415590851541</v>
      </c>
      <c r="V65" s="145" t="s">
        <v>1038</v>
      </c>
      <c r="W65" s="191"/>
      <c r="X65" s="191"/>
      <c r="Y65" s="191"/>
      <c r="AA65" s="191"/>
      <c r="AB65" s="191"/>
      <c r="AC65" s="191"/>
      <c r="AD65" s="191"/>
      <c r="AE65" s="325"/>
      <c r="AF65" s="324"/>
    </row>
    <row r="66" spans="2:32">
      <c r="B66" s="231">
        <v>400</v>
      </c>
      <c r="C66" s="231">
        <v>17</v>
      </c>
      <c r="D66" s="231" t="s">
        <v>98</v>
      </c>
      <c r="E66" s="3" t="s">
        <v>100</v>
      </c>
      <c r="F66" s="231" t="str">
        <f>B66&amp;"."&amp;C66&amp;"."&amp;D66</f>
        <v>400.17.i</v>
      </c>
      <c r="G66" s="231"/>
      <c r="H66" s="190"/>
      <c r="I66" s="9"/>
      <c r="J66" s="190">
        <f t="shared" si="2"/>
        <v>0</v>
      </c>
      <c r="M66" s="5"/>
      <c r="T66" s="191">
        <v>0</v>
      </c>
      <c r="U66" s="191"/>
      <c r="V66" s="191"/>
      <c r="W66" s="191"/>
      <c r="X66" s="191"/>
      <c r="Y66" s="191"/>
      <c r="AA66" s="191"/>
      <c r="AB66" s="191"/>
      <c r="AC66" s="191"/>
      <c r="AD66" s="191"/>
      <c r="AE66" s="325"/>
      <c r="AF66" s="324"/>
    </row>
    <row r="67" spans="2:32" ht="15">
      <c r="B67" s="231"/>
      <c r="D67" s="231"/>
      <c r="H67" s="106"/>
      <c r="I67" s="106"/>
      <c r="J67" s="106"/>
      <c r="O67" s="220"/>
      <c r="P67" s="220"/>
      <c r="Q67" s="220"/>
      <c r="T67" s="191"/>
      <c r="U67" s="191"/>
      <c r="V67" s="191"/>
      <c r="W67" s="191"/>
      <c r="X67" s="191"/>
      <c r="Y67" s="191"/>
      <c r="AA67" s="191"/>
      <c r="AB67" s="191"/>
      <c r="AC67" s="191"/>
      <c r="AD67" s="191"/>
      <c r="AE67" s="323"/>
      <c r="AF67" s="324"/>
    </row>
    <row r="68" spans="2:32" ht="15.75">
      <c r="B68" s="8" t="s">
        <v>252</v>
      </c>
      <c r="H68" s="106"/>
      <c r="I68" s="106"/>
      <c r="J68" s="106"/>
      <c r="O68" s="221"/>
      <c r="P68" s="221"/>
      <c r="Q68" s="222"/>
      <c r="T68" s="191"/>
      <c r="U68" s="191"/>
      <c r="V68" s="191"/>
      <c r="W68" s="191"/>
      <c r="X68" s="191"/>
      <c r="Y68" s="191"/>
      <c r="AA68" s="191"/>
      <c r="AB68" s="191"/>
      <c r="AC68" s="191"/>
      <c r="AD68" s="191"/>
      <c r="AE68" s="323"/>
      <c r="AF68" s="324"/>
    </row>
    <row r="69" spans="2:32" ht="15">
      <c r="H69" s="106"/>
      <c r="I69" s="106"/>
      <c r="J69" s="106"/>
      <c r="O69" s="220"/>
      <c r="P69" s="220"/>
      <c r="Q69" s="222"/>
      <c r="T69" s="191"/>
      <c r="U69" s="191"/>
      <c r="V69" s="191"/>
      <c r="W69" s="191"/>
      <c r="X69" s="191"/>
      <c r="Y69" s="191"/>
      <c r="AA69" s="191"/>
      <c r="AB69" s="191"/>
      <c r="AC69" s="191"/>
      <c r="AD69" s="191"/>
      <c r="AE69" s="323"/>
      <c r="AF69" s="324"/>
    </row>
    <row r="70" spans="2:32">
      <c r="B70" s="231">
        <v>200</v>
      </c>
      <c r="C70" s="231">
        <v>21</v>
      </c>
      <c r="D70" s="231" t="s">
        <v>12</v>
      </c>
      <c r="E70" s="3" t="s">
        <v>166</v>
      </c>
      <c r="F70" s="231" t="str">
        <f t="shared" ref="F70:F75" si="6">FIXED(B70,0)&amp;"."&amp;FIXED(C70,0)&amp;"."&amp;D70</f>
        <v>200.21.c</v>
      </c>
      <c r="G70" s="231"/>
      <c r="H70" s="9"/>
      <c r="I70" s="9"/>
      <c r="J70" s="9">
        <f>T70</f>
        <v>132760764</v>
      </c>
      <c r="T70" s="191">
        <v>132760764</v>
      </c>
      <c r="U70" s="191"/>
      <c r="V70" s="191"/>
      <c r="W70" s="191"/>
      <c r="X70" s="191"/>
      <c r="Y70" s="191"/>
      <c r="AA70" s="191"/>
      <c r="AB70" s="191"/>
      <c r="AC70" s="191"/>
      <c r="AD70" s="191"/>
      <c r="AE70" s="325"/>
      <c r="AF70" s="324"/>
    </row>
    <row r="71" spans="2:32">
      <c r="B71" s="231">
        <v>214</v>
      </c>
      <c r="C71" s="231">
        <v>47</v>
      </c>
      <c r="D71" s="231" t="s">
        <v>15</v>
      </c>
      <c r="E71" s="3" t="s">
        <v>256</v>
      </c>
      <c r="F71" s="231" t="str">
        <f t="shared" si="6"/>
        <v>214.47.d</v>
      </c>
      <c r="G71" s="231"/>
      <c r="H71" s="9"/>
      <c r="I71" s="9"/>
      <c r="J71" s="9">
        <f t="shared" ref="J71:J75" si="7">T71</f>
        <v>6192322</v>
      </c>
      <c r="K71" s="106" t="s">
        <v>246</v>
      </c>
      <c r="T71" s="191">
        <f>1046211+1808764+2584486+752861</f>
        <v>6192322</v>
      </c>
      <c r="U71" s="191"/>
      <c r="V71" s="145" t="s">
        <v>896</v>
      </c>
      <c r="W71" s="191"/>
      <c r="X71" s="191"/>
      <c r="Y71" s="191"/>
      <c r="AA71" s="191"/>
      <c r="AB71" s="191"/>
      <c r="AC71" s="191"/>
      <c r="AD71" s="191"/>
      <c r="AE71" s="325"/>
      <c r="AF71" s="324"/>
    </row>
    <row r="72" spans="2:32">
      <c r="B72" s="231">
        <v>219</v>
      </c>
      <c r="C72" s="94" t="s">
        <v>445</v>
      </c>
      <c r="D72" s="10" t="s">
        <v>12</v>
      </c>
      <c r="E72" s="3" t="s">
        <v>167</v>
      </c>
      <c r="F72" s="231" t="str">
        <f>B72&amp;"."&amp;C72&amp;"."&amp;D72</f>
        <v>219.20 thru 24.c</v>
      </c>
      <c r="G72" s="231"/>
      <c r="H72" s="9"/>
      <c r="I72" s="9"/>
      <c r="J72" s="9">
        <f t="shared" si="7"/>
        <v>2689553821</v>
      </c>
      <c r="T72" s="191">
        <f>1370207890+581741408+737604523</f>
        <v>2689553821</v>
      </c>
      <c r="U72" s="191"/>
      <c r="V72" s="191"/>
      <c r="W72" s="191"/>
      <c r="X72" s="191"/>
      <c r="Y72" s="191"/>
      <c r="AA72" s="191"/>
      <c r="AB72" s="191"/>
      <c r="AC72" s="191"/>
      <c r="AD72" s="191"/>
      <c r="AE72" s="325"/>
      <c r="AF72" s="324"/>
    </row>
    <row r="73" spans="2:32">
      <c r="B73" s="231">
        <v>219</v>
      </c>
      <c r="C73" s="231">
        <v>25</v>
      </c>
      <c r="D73" s="10" t="s">
        <v>12</v>
      </c>
      <c r="E73" s="3" t="s">
        <v>168</v>
      </c>
      <c r="F73" s="231" t="str">
        <f t="shared" si="6"/>
        <v>219.25.c</v>
      </c>
      <c r="G73" s="231"/>
      <c r="H73" s="9"/>
      <c r="I73" s="9"/>
      <c r="J73" s="9">
        <f t="shared" si="7"/>
        <v>525044666</v>
      </c>
      <c r="K73" s="106" t="s">
        <v>246</v>
      </c>
      <c r="T73" s="191">
        <v>525044666</v>
      </c>
      <c r="U73" s="191"/>
      <c r="V73" s="191"/>
      <c r="W73" s="191"/>
      <c r="X73" s="191"/>
      <c r="Y73" s="191"/>
      <c r="AA73" s="191"/>
      <c r="AB73" s="191"/>
      <c r="AC73" s="191"/>
      <c r="AD73" s="191"/>
      <c r="AE73" s="325"/>
      <c r="AF73" s="324"/>
    </row>
    <row r="74" spans="2:32">
      <c r="B74" s="231">
        <v>219</v>
      </c>
      <c r="C74" s="231">
        <v>26</v>
      </c>
      <c r="D74" s="10" t="s">
        <v>12</v>
      </c>
      <c r="E74" s="3" t="s">
        <v>169</v>
      </c>
      <c r="F74" s="231" t="str">
        <f t="shared" si="6"/>
        <v>219.26.c</v>
      </c>
      <c r="G74" s="231"/>
      <c r="H74" s="9"/>
      <c r="I74" s="9"/>
      <c r="J74" s="9">
        <f t="shared" si="7"/>
        <v>1641233873</v>
      </c>
      <c r="T74" s="191">
        <v>1641233873</v>
      </c>
      <c r="U74" s="191"/>
      <c r="V74" s="191"/>
      <c r="W74" s="191"/>
      <c r="X74" s="191"/>
      <c r="Y74" s="191"/>
      <c r="AA74" s="191"/>
      <c r="AB74" s="191"/>
      <c r="AC74" s="191"/>
      <c r="AD74" s="191"/>
      <c r="AE74" s="325"/>
      <c r="AF74" s="324"/>
    </row>
    <row r="75" spans="2:32">
      <c r="B75" s="231">
        <v>219</v>
      </c>
      <c r="C75" s="231">
        <v>28</v>
      </c>
      <c r="D75" s="10" t="s">
        <v>12</v>
      </c>
      <c r="E75" s="3" t="s">
        <v>170</v>
      </c>
      <c r="F75" s="231" t="str">
        <f t="shared" si="6"/>
        <v>219.28.c</v>
      </c>
      <c r="G75" s="231"/>
      <c r="H75" s="9"/>
      <c r="I75" s="9"/>
      <c r="J75" s="9">
        <f t="shared" si="7"/>
        <v>77173247</v>
      </c>
      <c r="T75" s="191">
        <v>77173247</v>
      </c>
      <c r="U75" s="191"/>
      <c r="V75" s="191"/>
      <c r="W75" s="191"/>
      <c r="X75" s="191"/>
      <c r="Y75" s="191"/>
      <c r="AA75" s="191"/>
      <c r="AB75" s="191"/>
      <c r="AC75" s="191"/>
      <c r="AD75" s="191"/>
      <c r="AE75" s="325"/>
      <c r="AF75" s="324"/>
    </row>
    <row r="76" spans="2:32">
      <c r="B76" s="231" t="s">
        <v>16</v>
      </c>
      <c r="C76" s="231">
        <v>5</v>
      </c>
      <c r="D76" s="231" t="s">
        <v>35</v>
      </c>
      <c r="E76" s="3" t="s">
        <v>177</v>
      </c>
      <c r="F76" s="231" t="str">
        <f>B76&amp;"."&amp;C76&amp;"."&amp;D76</f>
        <v>230a.5.f</v>
      </c>
      <c r="G76" s="231"/>
      <c r="H76" s="9"/>
      <c r="I76" s="9"/>
      <c r="J76" s="9">
        <f>T76+U76</f>
        <v>-698028.7799999998</v>
      </c>
      <c r="T76" s="191">
        <v>2090175</v>
      </c>
      <c r="U76" s="191">
        <v>-2788203.78</v>
      </c>
      <c r="V76" s="191" t="s">
        <v>1039</v>
      </c>
      <c r="W76" s="191"/>
      <c r="X76" s="191"/>
      <c r="Y76" s="191"/>
      <c r="AA76" s="191"/>
      <c r="AB76" s="191"/>
      <c r="AC76" s="191"/>
      <c r="AD76" s="191"/>
      <c r="AE76" s="325"/>
      <c r="AF76" s="324"/>
    </row>
  </sheetData>
  <mergeCells count="4">
    <mergeCell ref="K3:L3"/>
    <mergeCell ref="A5:L5"/>
    <mergeCell ref="A6:L6"/>
    <mergeCell ref="AA8:AB8"/>
  </mergeCells>
  <phoneticPr fontId="0" type="noConversion"/>
  <printOptions horizontalCentered="1"/>
  <pageMargins left="0.5" right="0.5" top="0.5" bottom="0.5" header="0.5" footer="0.5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19" workbookViewId="0">
      <selection activeCell="K42" sqref="K42"/>
    </sheetView>
  </sheetViews>
  <sheetFormatPr defaultColWidth="9.140625" defaultRowHeight="12.75"/>
  <cols>
    <col min="1" max="1" width="5.7109375" style="62" customWidth="1"/>
    <col min="2" max="2" width="3.7109375" style="62" customWidth="1"/>
    <col min="3" max="3" width="9.140625" style="62"/>
    <col min="4" max="4" width="14.5703125" style="62" customWidth="1"/>
    <col min="5" max="5" width="25.28515625" style="62" customWidth="1"/>
    <col min="6" max="10" width="12.7109375" style="62" customWidth="1"/>
    <col min="11" max="11" width="11.7109375" style="62" customWidth="1"/>
    <col min="12" max="12" width="13.42578125" style="62" customWidth="1"/>
    <col min="13" max="16384" width="9.140625" style="62"/>
  </cols>
  <sheetData>
    <row r="1" spans="1:12" ht="15">
      <c r="A1" s="62" t="s">
        <v>398</v>
      </c>
      <c r="K1" s="63" t="s">
        <v>922</v>
      </c>
    </row>
    <row r="2" spans="1:12" ht="15">
      <c r="K2" s="63" t="s">
        <v>373</v>
      </c>
    </row>
    <row r="3" spans="1:12">
      <c r="K3" s="358"/>
      <c r="L3" s="358"/>
    </row>
    <row r="5" spans="1:12">
      <c r="A5" s="359" t="s">
        <v>924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</row>
    <row r="6" spans="1:12" ht="6" customHeight="1"/>
    <row r="7" spans="1:12">
      <c r="A7" s="360" t="s">
        <v>397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</row>
    <row r="10" spans="1:12">
      <c r="A10" s="66" t="s">
        <v>291</v>
      </c>
      <c r="B10" s="67"/>
      <c r="C10" s="67"/>
      <c r="D10" s="67"/>
      <c r="E10" s="67"/>
      <c r="F10" s="68"/>
      <c r="G10" s="68"/>
      <c r="H10" s="68"/>
      <c r="I10" s="68"/>
      <c r="J10" s="68"/>
    </row>
    <row r="11" spans="1:12" ht="13.5" thickBot="1"/>
    <row r="12" spans="1:12" ht="13.5" thickBot="1">
      <c r="A12" s="65">
        <v>1</v>
      </c>
      <c r="B12" s="69" t="s">
        <v>407</v>
      </c>
      <c r="C12" s="69"/>
      <c r="D12" s="69"/>
      <c r="E12" s="69"/>
      <c r="F12" s="69"/>
      <c r="H12" s="70"/>
      <c r="I12" s="70"/>
      <c r="J12" s="70"/>
    </row>
    <row r="13" spans="1:12">
      <c r="A13" s="65">
        <f t="shared" ref="A13:A44" si="0">A12+1</f>
        <v>2</v>
      </c>
      <c r="H13" s="71"/>
      <c r="I13" s="71"/>
      <c r="J13" s="71"/>
    </row>
    <row r="14" spans="1:12">
      <c r="A14" s="65">
        <f t="shared" si="0"/>
        <v>3</v>
      </c>
      <c r="C14" s="72" t="s">
        <v>408</v>
      </c>
      <c r="E14" s="71"/>
      <c r="F14" s="71"/>
      <c r="H14" s="71"/>
      <c r="I14" s="71"/>
      <c r="J14" s="71"/>
    </row>
    <row r="15" spans="1:12">
      <c r="A15" s="65">
        <f t="shared" si="0"/>
        <v>4</v>
      </c>
      <c r="C15" s="73"/>
      <c r="E15" s="71"/>
      <c r="F15" s="71"/>
      <c r="H15" s="71"/>
      <c r="I15" s="71"/>
      <c r="J15" s="71"/>
    </row>
    <row r="16" spans="1:12">
      <c r="A16" s="65">
        <f t="shared" si="0"/>
        <v>5</v>
      </c>
      <c r="C16" s="64" t="s">
        <v>408</v>
      </c>
      <c r="E16" s="71"/>
      <c r="F16" s="71"/>
      <c r="H16" s="71"/>
      <c r="I16" s="71"/>
      <c r="J16" s="71"/>
    </row>
    <row r="17" spans="1:13">
      <c r="A17" s="65">
        <f t="shared" si="0"/>
        <v>6</v>
      </c>
      <c r="C17" s="73" t="s">
        <v>292</v>
      </c>
      <c r="E17" s="71" t="s">
        <v>402</v>
      </c>
      <c r="F17" s="98">
        <f>'DEF - 2 - Page 5 Storm, Notes'!$K$19</f>
        <v>13307907.028750595</v>
      </c>
      <c r="H17" s="71"/>
      <c r="I17" s="71"/>
      <c r="J17" s="71"/>
    </row>
    <row r="18" spans="1:13">
      <c r="A18" s="65">
        <f t="shared" si="0"/>
        <v>7</v>
      </c>
      <c r="C18" s="73" t="s">
        <v>293</v>
      </c>
      <c r="E18" s="71" t="s">
        <v>403</v>
      </c>
      <c r="F18" s="100">
        <f>'DEF - 2 - Page 5 Storm, Notes'!$K$24</f>
        <v>8614773.8050481882</v>
      </c>
      <c r="H18" s="71"/>
      <c r="I18" s="71"/>
      <c r="J18" s="71"/>
    </row>
    <row r="19" spans="1:13">
      <c r="A19" s="65">
        <f t="shared" si="0"/>
        <v>8</v>
      </c>
      <c r="C19" s="62" t="s">
        <v>387</v>
      </c>
      <c r="F19" s="74">
        <f>F17+F18</f>
        <v>21922680.833798781</v>
      </c>
      <c r="G19" s="71"/>
      <c r="H19" s="76"/>
      <c r="I19" s="76"/>
      <c r="J19" s="76"/>
    </row>
    <row r="20" spans="1:13">
      <c r="A20" s="65">
        <f t="shared" si="0"/>
        <v>9</v>
      </c>
      <c r="C20" s="77" t="s">
        <v>409</v>
      </c>
      <c r="F20" s="71"/>
      <c r="G20" s="71"/>
      <c r="H20" s="76"/>
      <c r="I20" s="76"/>
      <c r="J20" s="99"/>
    </row>
    <row r="21" spans="1:13">
      <c r="A21" s="65">
        <f t="shared" si="0"/>
        <v>10</v>
      </c>
      <c r="B21" s="78"/>
      <c r="C21" s="73" t="s">
        <v>410</v>
      </c>
      <c r="F21" s="71"/>
      <c r="G21" s="71"/>
      <c r="H21" s="76"/>
      <c r="I21" s="76"/>
      <c r="J21" s="76"/>
    </row>
    <row r="22" spans="1:13">
      <c r="A22" s="65">
        <f t="shared" si="0"/>
        <v>11</v>
      </c>
      <c r="C22" s="79" t="s">
        <v>411</v>
      </c>
      <c r="E22" s="71" t="s">
        <v>404</v>
      </c>
      <c r="F22" s="98">
        <f>'DEF - 2 - Page 5 Storm, Notes'!$K$26</f>
        <v>368844.85383767809</v>
      </c>
      <c r="H22" s="76"/>
      <c r="I22" s="76"/>
      <c r="J22" s="76"/>
    </row>
    <row r="23" spans="1:13">
      <c r="A23" s="65">
        <f t="shared" si="0"/>
        <v>12</v>
      </c>
      <c r="C23" s="79" t="s">
        <v>412</v>
      </c>
      <c r="E23" s="71" t="s">
        <v>413</v>
      </c>
      <c r="F23" s="74">
        <f>F22*5</f>
        <v>1844224.2691883906</v>
      </c>
      <c r="H23" s="76"/>
      <c r="I23" s="76"/>
      <c r="J23" s="76"/>
    </row>
    <row r="24" spans="1:13">
      <c r="A24" s="65">
        <f t="shared" si="0"/>
        <v>13</v>
      </c>
      <c r="E24" s="70"/>
      <c r="F24" s="96"/>
      <c r="G24" s="96"/>
      <c r="H24" s="99"/>
      <c r="I24" s="99"/>
      <c r="J24" s="99"/>
      <c r="K24" s="70"/>
      <c r="L24" s="70"/>
      <c r="M24" s="70"/>
    </row>
    <row r="25" spans="1:13">
      <c r="A25" s="65">
        <f t="shared" si="0"/>
        <v>14</v>
      </c>
      <c r="C25" s="77" t="s">
        <v>414</v>
      </c>
      <c r="E25" s="96" t="s">
        <v>415</v>
      </c>
      <c r="F25" s="98">
        <f>F19-F23</f>
        <v>20078456.564610392</v>
      </c>
      <c r="G25" s="70"/>
      <c r="H25" s="99"/>
      <c r="I25" s="99"/>
      <c r="J25" s="99"/>
      <c r="K25" s="70"/>
      <c r="L25" s="70"/>
      <c r="M25" s="70"/>
    </row>
    <row r="26" spans="1:13">
      <c r="A26" s="65">
        <f t="shared" si="0"/>
        <v>15</v>
      </c>
      <c r="E26" s="70"/>
      <c r="F26" s="96"/>
      <c r="G26" s="96"/>
      <c r="H26" s="99"/>
      <c r="I26" s="99"/>
      <c r="J26" s="99"/>
      <c r="K26" s="70"/>
      <c r="L26" s="70"/>
      <c r="M26" s="70"/>
    </row>
    <row r="27" spans="1:13">
      <c r="A27" s="65">
        <f t="shared" si="0"/>
        <v>16</v>
      </c>
      <c r="C27" s="80" t="s">
        <v>416</v>
      </c>
      <c r="E27" s="70"/>
      <c r="F27" s="193">
        <v>2008</v>
      </c>
      <c r="G27" s="193">
        <v>2009</v>
      </c>
      <c r="H27" s="193">
        <v>2010</v>
      </c>
      <c r="I27" s="193">
        <v>2011</v>
      </c>
      <c r="J27" s="193">
        <v>2012</v>
      </c>
      <c r="K27" s="193" t="s">
        <v>22</v>
      </c>
      <c r="L27" s="70"/>
      <c r="M27" s="70"/>
    </row>
    <row r="28" spans="1:13">
      <c r="A28" s="65">
        <f t="shared" si="0"/>
        <v>17</v>
      </c>
      <c r="E28" s="70"/>
      <c r="F28" s="96"/>
      <c r="G28" s="70"/>
      <c r="H28" s="70"/>
      <c r="I28" s="70"/>
      <c r="J28" s="70"/>
      <c r="K28" s="70"/>
      <c r="L28" s="70"/>
      <c r="M28" s="70"/>
    </row>
    <row r="29" spans="1:13">
      <c r="A29" s="65">
        <f t="shared" si="0"/>
        <v>18</v>
      </c>
      <c r="C29" s="62" t="s">
        <v>417</v>
      </c>
      <c r="E29" s="70"/>
      <c r="F29" s="96"/>
      <c r="G29" s="96"/>
      <c r="H29" s="96"/>
      <c r="I29" s="96"/>
      <c r="J29" s="96"/>
      <c r="K29" s="70"/>
      <c r="L29" s="70"/>
      <c r="M29" s="70"/>
    </row>
    <row r="30" spans="1:13">
      <c r="A30" s="65">
        <f t="shared" si="0"/>
        <v>19</v>
      </c>
      <c r="C30" s="73" t="s">
        <v>393</v>
      </c>
      <c r="E30" s="328" t="s">
        <v>418</v>
      </c>
      <c r="F30" s="96">
        <v>6593.3859762747506</v>
      </c>
      <c r="G30" s="96">
        <v>13904.176834689111</v>
      </c>
      <c r="H30" s="96">
        <v>30194.461167706668</v>
      </c>
      <c r="I30" s="96">
        <v>37330.800746542569</v>
      </c>
      <c r="J30" s="96">
        <v>39888.800701937114</v>
      </c>
      <c r="K30" s="96">
        <f>SUM(F30:J30)</f>
        <v>127911.62542715023</v>
      </c>
      <c r="L30" s="70"/>
      <c r="M30" s="70"/>
    </row>
    <row r="31" spans="1:13">
      <c r="A31" s="65">
        <f t="shared" si="0"/>
        <v>20</v>
      </c>
      <c r="C31" s="73" t="s">
        <v>388</v>
      </c>
      <c r="E31" s="328" t="s">
        <v>418</v>
      </c>
      <c r="F31" s="97">
        <v>3000</v>
      </c>
      <c r="G31" s="97">
        <v>3000</v>
      </c>
      <c r="H31" s="97">
        <v>3000</v>
      </c>
      <c r="I31" s="97">
        <v>3000</v>
      </c>
      <c r="J31" s="97">
        <v>3000</v>
      </c>
      <c r="K31" s="97">
        <f>SUM(F31:J31)</f>
        <v>15000</v>
      </c>
      <c r="L31" s="70"/>
      <c r="M31" s="70"/>
    </row>
    <row r="32" spans="1:13">
      <c r="A32" s="65">
        <f t="shared" si="0"/>
        <v>21</v>
      </c>
      <c r="C32" s="62" t="s">
        <v>419</v>
      </c>
      <c r="E32" s="70"/>
      <c r="F32" s="96">
        <f t="shared" ref="F32:K32" si="1">SUM(F30:F31)</f>
        <v>9593.3859762747506</v>
      </c>
      <c r="G32" s="96">
        <f t="shared" si="1"/>
        <v>16904.176834689111</v>
      </c>
      <c r="H32" s="96">
        <f t="shared" si="1"/>
        <v>33194.461167706671</v>
      </c>
      <c r="I32" s="96">
        <f t="shared" si="1"/>
        <v>40330.800746542569</v>
      </c>
      <c r="J32" s="96">
        <f t="shared" si="1"/>
        <v>42888.800701937114</v>
      </c>
      <c r="K32" s="96">
        <f t="shared" si="1"/>
        <v>142911.62542715023</v>
      </c>
      <c r="L32" s="70"/>
      <c r="M32" s="70"/>
    </row>
    <row r="33" spans="1:13">
      <c r="A33" s="65">
        <f t="shared" si="0"/>
        <v>22</v>
      </c>
      <c r="E33" s="70"/>
      <c r="F33" s="96"/>
      <c r="G33" s="70"/>
      <c r="H33" s="70"/>
      <c r="I33" s="70"/>
      <c r="J33" s="70"/>
      <c r="K33" s="70"/>
      <c r="L33" s="70"/>
      <c r="M33" s="70"/>
    </row>
    <row r="34" spans="1:13">
      <c r="A34" s="65">
        <f t="shared" si="0"/>
        <v>23</v>
      </c>
      <c r="C34" s="62" t="s">
        <v>420</v>
      </c>
      <c r="E34" s="92" t="s">
        <v>442</v>
      </c>
      <c r="F34" s="82">
        <f>F32/$K$32</f>
        <v>6.7128100653819925E-2</v>
      </c>
      <c r="G34" s="82">
        <f>G32/$K$32</f>
        <v>0.11828412688025917</v>
      </c>
      <c r="H34" s="82">
        <f>H32/$K$32</f>
        <v>0.23227264449964347</v>
      </c>
      <c r="I34" s="82">
        <f>I32/$K$32</f>
        <v>0.28220797731463321</v>
      </c>
      <c r="J34" s="82">
        <f>J32/$K$32</f>
        <v>0.30010715065164417</v>
      </c>
      <c r="K34" s="83">
        <f>SUM(F34:J34)</f>
        <v>1</v>
      </c>
    </row>
    <row r="35" spans="1:13" ht="12" customHeight="1">
      <c r="A35" s="65">
        <f t="shared" si="0"/>
        <v>24</v>
      </c>
      <c r="F35" s="71"/>
    </row>
    <row r="36" spans="1:13" ht="12" customHeight="1">
      <c r="A36" s="65">
        <f t="shared" si="0"/>
        <v>25</v>
      </c>
      <c r="C36" s="62" t="s">
        <v>416</v>
      </c>
      <c r="F36" s="71"/>
    </row>
    <row r="37" spans="1:13">
      <c r="A37" s="65">
        <f t="shared" si="0"/>
        <v>26</v>
      </c>
      <c r="C37" s="73" t="s">
        <v>292</v>
      </c>
      <c r="E37" s="62" t="s">
        <v>421</v>
      </c>
      <c r="F37" s="74">
        <f>F$34*$F$25*($F$17/$F$19)</f>
        <v>818183.62197674019</v>
      </c>
      <c r="G37" s="74">
        <f>G$34*$F$25*($F$17/$F$19)</f>
        <v>1441693.3357362852</v>
      </c>
      <c r="H37" s="74">
        <f>H$34*$F$25*($F$17/$F$19)</f>
        <v>2831030.1008348246</v>
      </c>
      <c r="I37" s="74">
        <f>I$34*$F$25*($F$17/$F$19)</f>
        <v>3439661.5244748043</v>
      </c>
      <c r="J37" s="74">
        <f>J$34*$F$25*($F$17/$F$19)</f>
        <v>3657823.6701131635</v>
      </c>
      <c r="K37" s="74">
        <f>SUM(F37:J37)</f>
        <v>12188392.253135817</v>
      </c>
    </row>
    <row r="38" spans="1:13">
      <c r="A38" s="65">
        <f t="shared" si="0"/>
        <v>27</v>
      </c>
      <c r="C38" s="73" t="s">
        <v>293</v>
      </c>
      <c r="E38" s="62" t="s">
        <v>422</v>
      </c>
      <c r="F38" s="75">
        <f>F$34*$F$25*($F$18/$F$19)</f>
        <v>529645.03126577765</v>
      </c>
      <c r="G38" s="75">
        <f>G$34*$F$25*($F$18/$F$19)</f>
        <v>933269.36811186338</v>
      </c>
      <c r="H38" s="75">
        <f>H$34*$F$25*($F$18/$F$19)</f>
        <v>1832646.1028984583</v>
      </c>
      <c r="I38" s="75">
        <f>I$34*$F$25*($F$18/$F$19)</f>
        <v>2226639.0902236141</v>
      </c>
      <c r="J38" s="75">
        <f>J$34*$F$25*($F$18/$F$19)</f>
        <v>2367864.7189748613</v>
      </c>
      <c r="K38" s="81">
        <f>SUM(F38:J38)</f>
        <v>7890064.3114745747</v>
      </c>
    </row>
    <row r="39" spans="1:13">
      <c r="A39" s="65">
        <f t="shared" si="0"/>
        <v>28</v>
      </c>
      <c r="C39" s="62" t="s">
        <v>294</v>
      </c>
      <c r="F39" s="74">
        <f t="shared" ref="F39:K39" si="2">SUM(F37:F38)</f>
        <v>1347828.6532425177</v>
      </c>
      <c r="G39" s="74">
        <f t="shared" si="2"/>
        <v>2374962.7038481487</v>
      </c>
      <c r="H39" s="74">
        <f t="shared" si="2"/>
        <v>4663676.2037332831</v>
      </c>
      <c r="I39" s="74">
        <f t="shared" si="2"/>
        <v>5666300.6146984184</v>
      </c>
      <c r="J39" s="74">
        <f t="shared" si="2"/>
        <v>6025688.3890880253</v>
      </c>
      <c r="K39" s="74">
        <f t="shared" si="2"/>
        <v>20078456.564610392</v>
      </c>
    </row>
    <row r="40" spans="1:13">
      <c r="A40" s="65">
        <f t="shared" si="0"/>
        <v>29</v>
      </c>
      <c r="F40" s="71"/>
    </row>
    <row r="41" spans="1:13" ht="13.5" thickBot="1">
      <c r="A41" s="65">
        <f t="shared" si="0"/>
        <v>30</v>
      </c>
      <c r="C41" s="78" t="s">
        <v>423</v>
      </c>
      <c r="D41" s="78"/>
      <c r="E41" s="78"/>
    </row>
    <row r="42" spans="1:13" ht="13.5" thickBot="1">
      <c r="A42" s="65">
        <f t="shared" si="0"/>
        <v>31</v>
      </c>
      <c r="C42" s="84" t="s">
        <v>424</v>
      </c>
      <c r="E42" s="71" t="s">
        <v>425</v>
      </c>
      <c r="F42" s="85">
        <f t="shared" ref="F42:K42" si="3">F39/F32</f>
        <v>140.49561401738774</v>
      </c>
      <c r="G42" s="85">
        <f t="shared" si="3"/>
        <v>140.49561401738774</v>
      </c>
      <c r="H42" s="85">
        <f t="shared" si="3"/>
        <v>140.49561401738777</v>
      </c>
      <c r="I42" s="85">
        <f t="shared" si="3"/>
        <v>140.49561401738774</v>
      </c>
      <c r="J42" s="85">
        <f t="shared" si="3"/>
        <v>140.49561401738774</v>
      </c>
      <c r="K42" s="85">
        <f t="shared" si="3"/>
        <v>140.49561401738774</v>
      </c>
    </row>
    <row r="43" spans="1:13" ht="13.5" thickBot="1">
      <c r="A43" s="65">
        <f t="shared" si="0"/>
        <v>32</v>
      </c>
    </row>
    <row r="44" spans="1:13" ht="13.5" thickBot="1">
      <c r="A44" s="65">
        <f t="shared" si="0"/>
        <v>33</v>
      </c>
      <c r="B44" s="86" t="s">
        <v>426</v>
      </c>
      <c r="C44" s="86"/>
      <c r="D44" s="86"/>
      <c r="E44" s="86"/>
      <c r="F44" s="86"/>
    </row>
    <row r="45" spans="1:13">
      <c r="A45" s="65">
        <f t="shared" ref="A45:A72" si="4">A44+1</f>
        <v>34</v>
      </c>
    </row>
    <row r="46" spans="1:13">
      <c r="A46" s="65">
        <f t="shared" si="4"/>
        <v>35</v>
      </c>
      <c r="C46" s="93" t="s">
        <v>443</v>
      </c>
      <c r="F46" s="71"/>
      <c r="G46" s="71"/>
      <c r="H46" s="71"/>
      <c r="I46" s="71"/>
      <c r="J46" s="71"/>
    </row>
    <row r="47" spans="1:13">
      <c r="A47" s="65">
        <f t="shared" si="4"/>
        <v>36</v>
      </c>
      <c r="C47" s="73" t="s">
        <v>393</v>
      </c>
      <c r="E47" s="73" t="s">
        <v>427</v>
      </c>
      <c r="F47" s="71">
        <f t="shared" ref="F47:J48" si="5">F30*1.05</f>
        <v>6923.0552750884881</v>
      </c>
      <c r="G47" s="71">
        <f t="shared" si="5"/>
        <v>14599.385676423568</v>
      </c>
      <c r="H47" s="71">
        <f t="shared" si="5"/>
        <v>31704.184226092002</v>
      </c>
      <c r="I47" s="71">
        <f t="shared" si="5"/>
        <v>39197.340783869702</v>
      </c>
      <c r="J47" s="71">
        <f t="shared" si="5"/>
        <v>41883.240737033972</v>
      </c>
      <c r="K47" s="71">
        <f>SUM(F47:J47)</f>
        <v>134307.20669850774</v>
      </c>
    </row>
    <row r="48" spans="1:13">
      <c r="A48" s="65">
        <f t="shared" si="4"/>
        <v>37</v>
      </c>
      <c r="C48" s="73" t="s">
        <v>388</v>
      </c>
      <c r="E48" s="73" t="s">
        <v>428</v>
      </c>
      <c r="F48" s="81">
        <f t="shared" si="5"/>
        <v>3150</v>
      </c>
      <c r="G48" s="81">
        <f t="shared" si="5"/>
        <v>3150</v>
      </c>
      <c r="H48" s="81">
        <f t="shared" si="5"/>
        <v>3150</v>
      </c>
      <c r="I48" s="81">
        <f t="shared" si="5"/>
        <v>3150</v>
      </c>
      <c r="J48" s="81">
        <f t="shared" si="5"/>
        <v>3150</v>
      </c>
      <c r="K48" s="81">
        <f>SUM(F48:J48)</f>
        <v>15750</v>
      </c>
    </row>
    <row r="49" spans="1:12">
      <c r="A49" s="65">
        <f t="shared" si="4"/>
        <v>38</v>
      </c>
      <c r="C49" s="62" t="s">
        <v>429</v>
      </c>
      <c r="E49" s="73" t="s">
        <v>430</v>
      </c>
      <c r="F49" s="71">
        <f t="shared" ref="F49:K49" si="6">SUM(F47:F48)</f>
        <v>10073.055275088489</v>
      </c>
      <c r="G49" s="71">
        <f t="shared" si="6"/>
        <v>17749.385676423568</v>
      </c>
      <c r="H49" s="71">
        <f t="shared" si="6"/>
        <v>34854.184226092002</v>
      </c>
      <c r="I49" s="71">
        <f t="shared" si="6"/>
        <v>42347.340783869702</v>
      </c>
      <c r="J49" s="71">
        <f t="shared" si="6"/>
        <v>45033.240737033972</v>
      </c>
      <c r="K49" s="71">
        <f t="shared" si="6"/>
        <v>150057.20669850774</v>
      </c>
    </row>
    <row r="50" spans="1:12">
      <c r="A50" s="65">
        <f t="shared" si="4"/>
        <v>39</v>
      </c>
    </row>
    <row r="51" spans="1:12">
      <c r="A51" s="65">
        <f t="shared" si="4"/>
        <v>40</v>
      </c>
      <c r="C51" s="62" t="s">
        <v>431</v>
      </c>
    </row>
    <row r="52" spans="1:12">
      <c r="A52" s="65">
        <f t="shared" si="4"/>
        <v>41</v>
      </c>
      <c r="C52" s="73" t="s">
        <v>393</v>
      </c>
      <c r="E52" s="73" t="s">
        <v>432</v>
      </c>
      <c r="F52" s="74">
        <f t="shared" ref="F52:J53" si="7">F$42*F47</f>
        <v>972658.90174987225</v>
      </c>
      <c r="G52" s="74">
        <f t="shared" si="7"/>
        <v>2051149.6548857847</v>
      </c>
      <c r="H52" s="74">
        <f t="shared" si="7"/>
        <v>4454298.8297651755</v>
      </c>
      <c r="I52" s="74">
        <f t="shared" si="7"/>
        <v>5507054.461278568</v>
      </c>
      <c r="J52" s="74">
        <f t="shared" si="7"/>
        <v>5884411.6243876554</v>
      </c>
      <c r="K52" s="74">
        <f>SUM(F52:J52)</f>
        <v>18869573.472067054</v>
      </c>
    </row>
    <row r="53" spans="1:12">
      <c r="A53" s="65">
        <f t="shared" si="4"/>
        <v>42</v>
      </c>
      <c r="C53" s="73" t="s">
        <v>388</v>
      </c>
      <c r="E53" s="73" t="s">
        <v>433</v>
      </c>
      <c r="F53" s="75">
        <f t="shared" si="7"/>
        <v>442561.18415477138</v>
      </c>
      <c r="G53" s="75">
        <f t="shared" si="7"/>
        <v>442561.18415477138</v>
      </c>
      <c r="H53" s="75">
        <f t="shared" si="7"/>
        <v>442561.18415477144</v>
      </c>
      <c r="I53" s="75">
        <f t="shared" si="7"/>
        <v>442561.18415477138</v>
      </c>
      <c r="J53" s="75">
        <f t="shared" si="7"/>
        <v>442561.18415477138</v>
      </c>
      <c r="K53" s="81">
        <f>SUM(F53:J53)</f>
        <v>2212805.9207738568</v>
      </c>
    </row>
    <row r="54" spans="1:12">
      <c r="A54" s="65">
        <f t="shared" si="4"/>
        <v>43</v>
      </c>
      <c r="C54" s="47" t="s">
        <v>434</v>
      </c>
      <c r="D54" s="46"/>
      <c r="E54" s="73" t="s">
        <v>435</v>
      </c>
      <c r="F54" s="74">
        <f t="shared" ref="F54:K54" si="8">SUM(F52:F53)</f>
        <v>1415220.0859046436</v>
      </c>
      <c r="G54" s="74">
        <f t="shared" si="8"/>
        <v>2493710.839040556</v>
      </c>
      <c r="H54" s="74">
        <f t="shared" si="8"/>
        <v>4896860.0139199467</v>
      </c>
      <c r="I54" s="74">
        <f t="shared" si="8"/>
        <v>5949615.6454333393</v>
      </c>
      <c r="J54" s="74">
        <f t="shared" si="8"/>
        <v>6326972.8085424267</v>
      </c>
      <c r="K54" s="74">
        <f t="shared" si="8"/>
        <v>21082379.392840911</v>
      </c>
    </row>
    <row r="55" spans="1:12">
      <c r="A55" s="65">
        <f t="shared" si="4"/>
        <v>44</v>
      </c>
    </row>
    <row r="56" spans="1:12" ht="13.5" thickBot="1">
      <c r="A56" s="65">
        <f t="shared" si="4"/>
        <v>45</v>
      </c>
      <c r="C56" s="78" t="s">
        <v>436</v>
      </c>
      <c r="D56" s="78"/>
      <c r="E56" s="78"/>
    </row>
    <row r="57" spans="1:12" ht="13.5" thickBot="1">
      <c r="A57" s="65">
        <f t="shared" si="4"/>
        <v>46</v>
      </c>
      <c r="C57" s="84" t="s">
        <v>437</v>
      </c>
      <c r="E57" s="73" t="s">
        <v>438</v>
      </c>
      <c r="F57" s="87">
        <f>F54-F39</f>
        <v>67391.43266212591</v>
      </c>
      <c r="G57" s="88">
        <f>G54-G39</f>
        <v>118748.1351924073</v>
      </c>
      <c r="H57" s="88">
        <f>H54-H39</f>
        <v>233183.81018666364</v>
      </c>
      <c r="I57" s="88">
        <f>I54-I39</f>
        <v>283315.03073492087</v>
      </c>
      <c r="J57" s="88">
        <f>J54-J39</f>
        <v>301284.41945440136</v>
      </c>
      <c r="K57" s="89">
        <f>SUM(F57:J57)</f>
        <v>1003922.8282305191</v>
      </c>
    </row>
    <row r="58" spans="1:12">
      <c r="A58" s="65">
        <f t="shared" si="4"/>
        <v>47</v>
      </c>
    </row>
    <row r="59" spans="1:12" ht="3" customHeight="1">
      <c r="A59" s="65">
        <f t="shared" si="4"/>
        <v>48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1:12">
      <c r="A60" s="65">
        <f t="shared" si="4"/>
        <v>49</v>
      </c>
      <c r="H60" s="70"/>
      <c r="I60" s="70"/>
      <c r="J60" s="70"/>
    </row>
    <row r="61" spans="1:12">
      <c r="A61" s="65">
        <f t="shared" si="4"/>
        <v>50</v>
      </c>
      <c r="B61" s="78" t="s">
        <v>389</v>
      </c>
      <c r="E61" s="70"/>
      <c r="F61" s="70"/>
      <c r="G61" s="70"/>
      <c r="H61" s="70"/>
      <c r="I61" s="70"/>
      <c r="K61" s="78" t="s">
        <v>391</v>
      </c>
    </row>
    <row r="62" spans="1:12">
      <c r="A62" s="65">
        <f t="shared" si="4"/>
        <v>51</v>
      </c>
      <c r="E62" s="70"/>
      <c r="F62" s="70"/>
      <c r="G62" s="70"/>
      <c r="H62" s="70"/>
      <c r="I62" s="70"/>
      <c r="K62" s="78"/>
    </row>
    <row r="63" spans="1:12">
      <c r="A63" s="65">
        <f t="shared" si="4"/>
        <v>52</v>
      </c>
      <c r="C63" s="62" t="s">
        <v>248</v>
      </c>
      <c r="E63" s="70"/>
      <c r="F63" s="96">
        <v>-13307907</v>
      </c>
      <c r="G63" s="96">
        <f>F68</f>
        <v>-11591233.492919805</v>
      </c>
      <c r="H63" s="96">
        <f>G68</f>
        <v>-8847425.9352339786</v>
      </c>
      <c r="I63" s="96">
        <f>H68</f>
        <v>-3814904.8776630173</v>
      </c>
      <c r="J63" s="71">
        <f>I68</f>
        <v>2220240.5908730794</v>
      </c>
      <c r="K63" s="91">
        <f>J68</f>
        <v>8614773.8337987829</v>
      </c>
    </row>
    <row r="64" spans="1:12">
      <c r="A64" s="65">
        <f t="shared" si="4"/>
        <v>53</v>
      </c>
      <c r="E64" s="70"/>
      <c r="F64" s="96"/>
      <c r="G64" s="70"/>
      <c r="H64" s="70"/>
      <c r="I64" s="70"/>
      <c r="K64" s="78"/>
    </row>
    <row r="65" spans="1:11">
      <c r="A65" s="65">
        <f t="shared" si="4"/>
        <v>54</v>
      </c>
      <c r="C65" s="62" t="s">
        <v>439</v>
      </c>
      <c r="E65" s="70" t="s">
        <v>440</v>
      </c>
      <c r="F65" s="96">
        <f>F39</f>
        <v>1347828.6532425177</v>
      </c>
      <c r="G65" s="96">
        <f>G39</f>
        <v>2374962.7038481487</v>
      </c>
      <c r="H65" s="96">
        <f>H39</f>
        <v>4663676.2037332831</v>
      </c>
      <c r="I65" s="96">
        <f>I39</f>
        <v>5666300.6146984184</v>
      </c>
      <c r="J65" s="71">
        <f>J39</f>
        <v>6025688.3890880253</v>
      </c>
      <c r="K65" s="91"/>
    </row>
    <row r="66" spans="1:11">
      <c r="A66" s="65">
        <f t="shared" si="4"/>
        <v>55</v>
      </c>
      <c r="C66" s="62" t="s">
        <v>405</v>
      </c>
      <c r="E66" s="70" t="s">
        <v>441</v>
      </c>
      <c r="F66" s="96">
        <f>$F$22</f>
        <v>368844.85383767809</v>
      </c>
      <c r="G66" s="96">
        <f>$F$22</f>
        <v>368844.85383767809</v>
      </c>
      <c r="H66" s="96">
        <f>$F$22</f>
        <v>368844.85383767809</v>
      </c>
      <c r="I66" s="96">
        <f>$F$22</f>
        <v>368844.85383767809</v>
      </c>
      <c r="J66" s="71">
        <f>$F$22</f>
        <v>368844.85383767809</v>
      </c>
      <c r="K66" s="91"/>
    </row>
    <row r="67" spans="1:11">
      <c r="A67" s="65">
        <f t="shared" si="4"/>
        <v>56</v>
      </c>
      <c r="E67" s="70"/>
      <c r="F67" s="70"/>
      <c r="G67" s="70"/>
      <c r="H67" s="70"/>
      <c r="I67" s="70"/>
    </row>
    <row r="68" spans="1:11">
      <c r="A68" s="65">
        <f t="shared" si="4"/>
        <v>57</v>
      </c>
      <c r="C68" s="62" t="s">
        <v>249</v>
      </c>
      <c r="E68" s="70"/>
      <c r="F68" s="96">
        <f>SUM(F63:F66)</f>
        <v>-11591233.492919805</v>
      </c>
      <c r="G68" s="96">
        <f>SUM(G63:G66)</f>
        <v>-8847425.9352339786</v>
      </c>
      <c r="H68" s="96">
        <f>SUM(H63:H66)</f>
        <v>-3814904.8776630173</v>
      </c>
      <c r="I68" s="96">
        <f>SUM(I63:I66)</f>
        <v>2220240.5908730794</v>
      </c>
      <c r="J68" s="71">
        <f>SUM(J63:J66)</f>
        <v>8614773.8337987829</v>
      </c>
      <c r="K68" s="91">
        <f>J68</f>
        <v>8614773.8337987829</v>
      </c>
    </row>
    <row r="69" spans="1:11">
      <c r="A69" s="65">
        <f t="shared" si="4"/>
        <v>58</v>
      </c>
      <c r="E69" s="70"/>
      <c r="F69" s="70"/>
      <c r="G69" s="70"/>
      <c r="H69" s="70"/>
      <c r="I69" s="70"/>
    </row>
    <row r="70" spans="1:11">
      <c r="A70" s="65">
        <f t="shared" si="4"/>
        <v>59</v>
      </c>
      <c r="C70" s="62" t="s">
        <v>392</v>
      </c>
      <c r="F70" s="71">
        <f t="shared" ref="F70:K70" si="9">$F$18</f>
        <v>8614773.8050481882</v>
      </c>
      <c r="G70" s="71">
        <f t="shared" si="9"/>
        <v>8614773.8050481882</v>
      </c>
      <c r="H70" s="71">
        <f t="shared" si="9"/>
        <v>8614773.8050481882</v>
      </c>
      <c r="I70" s="71">
        <f t="shared" si="9"/>
        <v>8614773.8050481882</v>
      </c>
      <c r="J70" s="71">
        <f t="shared" si="9"/>
        <v>8614773.8050481882</v>
      </c>
      <c r="K70" s="71">
        <f t="shared" si="9"/>
        <v>8614773.8050481882</v>
      </c>
    </row>
    <row r="71" spans="1:11">
      <c r="A71" s="65">
        <f t="shared" si="4"/>
        <v>60</v>
      </c>
    </row>
    <row r="72" spans="1:11">
      <c r="A72" s="65">
        <f t="shared" si="4"/>
        <v>61</v>
      </c>
      <c r="C72" s="62" t="s">
        <v>390</v>
      </c>
      <c r="F72" s="71">
        <f t="shared" ref="F72:K72" si="10">MIN(F70-F68,0)</f>
        <v>0</v>
      </c>
      <c r="G72" s="71">
        <f t="shared" si="10"/>
        <v>0</v>
      </c>
      <c r="H72" s="71">
        <f t="shared" si="10"/>
        <v>0</v>
      </c>
      <c r="I72" s="71">
        <f t="shared" si="10"/>
        <v>0</v>
      </c>
      <c r="J72" s="71">
        <f t="shared" si="10"/>
        <v>-2.8750594705343246E-2</v>
      </c>
      <c r="K72" s="71">
        <f t="shared" si="10"/>
        <v>-2.8750594705343246E-2</v>
      </c>
    </row>
  </sheetData>
  <mergeCells count="3">
    <mergeCell ref="K3:L3"/>
    <mergeCell ref="A5:K5"/>
    <mergeCell ref="A7:K7"/>
  </mergeCells>
  <phoneticPr fontId="20" type="noConversion"/>
  <printOptions horizontalCentered="1"/>
  <pageMargins left="0.5" right="0.5" top="0.5" bottom="0.5" header="0.5" footer="0.5"/>
  <pageSetup scale="6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workbookViewId="0"/>
  </sheetViews>
  <sheetFormatPr defaultRowHeight="12.75"/>
  <cols>
    <col min="1" max="1" width="34.85546875" customWidth="1"/>
    <col min="2" max="2" width="11.85546875" bestFit="1" customWidth="1"/>
    <col min="3" max="4" width="14" bestFit="1" customWidth="1"/>
    <col min="5" max="5" width="13.5703125" customWidth="1"/>
    <col min="6" max="6" width="36.85546875" customWidth="1"/>
    <col min="7" max="7" width="15.42578125" customWidth="1"/>
    <col min="8" max="8" width="17.42578125" customWidth="1"/>
    <col min="9" max="9" width="15.5703125" customWidth="1"/>
  </cols>
  <sheetData>
    <row r="1" spans="1:9" ht="15">
      <c r="I1" s="2" t="s">
        <v>922</v>
      </c>
    </row>
    <row r="2" spans="1:9" ht="14.25" customHeight="1">
      <c r="I2" s="2" t="s">
        <v>374</v>
      </c>
    </row>
    <row r="3" spans="1:9" ht="9" customHeight="1"/>
    <row r="4" spans="1:9">
      <c r="A4" s="1" t="s">
        <v>925</v>
      </c>
    </row>
    <row r="5" spans="1:9">
      <c r="A5" t="s">
        <v>299</v>
      </c>
    </row>
    <row r="6" spans="1:9" ht="5.25" customHeight="1"/>
    <row r="7" spans="1:9" ht="6" customHeight="1"/>
    <row r="8" spans="1:9">
      <c r="A8" s="45" t="s">
        <v>300</v>
      </c>
    </row>
    <row r="9" spans="1:9">
      <c r="A9" s="48" t="s">
        <v>301</v>
      </c>
    </row>
    <row r="10" spans="1:9">
      <c r="A10" t="s">
        <v>302</v>
      </c>
    </row>
    <row r="11" spans="1:9">
      <c r="A11" t="s">
        <v>303</v>
      </c>
    </row>
    <row r="12" spans="1:9">
      <c r="A12" t="s">
        <v>304</v>
      </c>
    </row>
    <row r="13" spans="1:9">
      <c r="A13" t="s">
        <v>305</v>
      </c>
    </row>
    <row r="14" spans="1:9" ht="8.25" customHeight="1">
      <c r="A14" s="3"/>
      <c r="B14" s="3"/>
      <c r="C14" s="3"/>
      <c r="D14" s="3"/>
      <c r="E14" s="3"/>
    </row>
    <row r="15" spans="1:9">
      <c r="A15" s="8" t="s">
        <v>306</v>
      </c>
      <c r="B15" s="3"/>
      <c r="C15" s="3"/>
      <c r="D15" s="3"/>
      <c r="E15" s="3"/>
    </row>
    <row r="16" spans="1:9" ht="8.25" customHeight="1">
      <c r="A16" s="3"/>
      <c r="B16" s="3"/>
      <c r="C16" s="3"/>
      <c r="D16" s="3"/>
      <c r="E16" s="3"/>
    </row>
    <row r="17" spans="1:9">
      <c r="A17" s="3" t="s">
        <v>307</v>
      </c>
      <c r="B17" s="3"/>
      <c r="C17" s="182">
        <v>1000000</v>
      </c>
      <c r="D17" s="3"/>
      <c r="E17" s="3"/>
    </row>
    <row r="18" spans="1:9">
      <c r="A18" s="3" t="s">
        <v>308</v>
      </c>
      <c r="B18" s="3"/>
      <c r="C18" s="329" t="s">
        <v>309</v>
      </c>
      <c r="D18" s="3"/>
      <c r="E18" s="3"/>
    </row>
    <row r="19" spans="1:9">
      <c r="A19" s="3" t="s">
        <v>310</v>
      </c>
      <c r="B19" s="231" t="s">
        <v>311</v>
      </c>
      <c r="C19" s="330">
        <v>0.06</v>
      </c>
      <c r="D19" s="3"/>
      <c r="E19" s="3"/>
    </row>
    <row r="20" spans="1:9">
      <c r="A20" s="3" t="s">
        <v>312</v>
      </c>
      <c r="B20" s="231" t="s">
        <v>311</v>
      </c>
      <c r="C20" s="182">
        <f>+C17/5</f>
        <v>200000</v>
      </c>
      <c r="D20" s="3"/>
      <c r="E20" s="330"/>
    </row>
    <row r="21" spans="1:9" ht="6" customHeight="1">
      <c r="A21" s="3"/>
      <c r="B21" s="3"/>
      <c r="C21" s="3"/>
      <c r="D21" s="3"/>
      <c r="E21" s="330"/>
    </row>
    <row r="22" spans="1:9">
      <c r="A22" s="50" t="s">
        <v>313</v>
      </c>
      <c r="B22" s="51"/>
      <c r="C22" s="51"/>
      <c r="D22" s="51"/>
      <c r="E22" s="49"/>
      <c r="F22" s="50" t="s">
        <v>314</v>
      </c>
      <c r="G22" s="51"/>
      <c r="H22" s="51"/>
      <c r="I22" s="51"/>
    </row>
    <row r="23" spans="1:9">
      <c r="F23" s="52" t="s">
        <v>315</v>
      </c>
      <c r="G23" s="3"/>
      <c r="H23" s="3"/>
      <c r="I23" s="3"/>
    </row>
    <row r="24" spans="1:9">
      <c r="A24" s="1" t="s">
        <v>316</v>
      </c>
      <c r="F24" s="52" t="s">
        <v>317</v>
      </c>
      <c r="G24" s="3"/>
      <c r="H24" s="3"/>
      <c r="I24" s="3"/>
    </row>
    <row r="25" spans="1:9">
      <c r="A25" s="53" t="s">
        <v>318</v>
      </c>
      <c r="B25" s="53" t="s">
        <v>319</v>
      </c>
      <c r="C25" s="53" t="s">
        <v>320</v>
      </c>
      <c r="D25" s="53" t="s">
        <v>321</v>
      </c>
      <c r="F25" s="52" t="s">
        <v>322</v>
      </c>
      <c r="G25" s="3"/>
      <c r="H25" s="3"/>
      <c r="I25" s="3"/>
    </row>
    <row r="26" spans="1:9">
      <c r="A26" t="s">
        <v>323</v>
      </c>
      <c r="B26" s="180">
        <v>101</v>
      </c>
      <c r="C26" s="182">
        <f>+C17</f>
        <v>1000000</v>
      </c>
      <c r="F26" s="52" t="s">
        <v>324</v>
      </c>
      <c r="G26" s="3"/>
      <c r="H26" s="3"/>
      <c r="I26" s="3"/>
    </row>
    <row r="27" spans="1:9">
      <c r="A27" t="s">
        <v>325</v>
      </c>
      <c r="B27" s="180">
        <v>252</v>
      </c>
      <c r="C27" s="3"/>
      <c r="D27" s="46">
        <f>+C17</f>
        <v>1000000</v>
      </c>
      <c r="F27" s="3"/>
      <c r="G27" s="3"/>
      <c r="H27" s="3"/>
      <c r="I27" s="3"/>
    </row>
    <row r="28" spans="1:9">
      <c r="B28" s="3"/>
      <c r="C28" s="3"/>
      <c r="F28" s="1" t="s">
        <v>316</v>
      </c>
    </row>
    <row r="29" spans="1:9">
      <c r="F29" s="53" t="s">
        <v>318</v>
      </c>
      <c r="G29" s="53" t="s">
        <v>319</v>
      </c>
      <c r="H29" s="53" t="s">
        <v>320</v>
      </c>
      <c r="I29" s="53" t="s">
        <v>321</v>
      </c>
    </row>
    <row r="30" spans="1:9">
      <c r="F30" t="s">
        <v>323</v>
      </c>
      <c r="G30" s="180">
        <v>101</v>
      </c>
      <c r="H30" s="46">
        <f>-+G50</f>
        <v>1000000</v>
      </c>
    </row>
    <row r="31" spans="1:9">
      <c r="A31" s="1" t="s">
        <v>326</v>
      </c>
      <c r="F31" t="s">
        <v>325</v>
      </c>
      <c r="G31" s="180">
        <v>252</v>
      </c>
      <c r="I31" s="46">
        <f>+H30</f>
        <v>1000000</v>
      </c>
    </row>
    <row r="32" spans="1:9">
      <c r="A32" s="53" t="s">
        <v>318</v>
      </c>
      <c r="B32" s="53" t="s">
        <v>319</v>
      </c>
      <c r="C32" s="53" t="s">
        <v>320</v>
      </c>
      <c r="D32" s="53" t="s">
        <v>321</v>
      </c>
    </row>
    <row r="33" spans="1:9">
      <c r="A33" t="s">
        <v>327</v>
      </c>
      <c r="B33" s="180">
        <v>130</v>
      </c>
      <c r="C33" s="182"/>
      <c r="D33" s="57">
        <f>+C34+C35</f>
        <v>260000</v>
      </c>
      <c r="F33" s="1" t="s">
        <v>328</v>
      </c>
    </row>
    <row r="34" spans="1:9">
      <c r="A34" t="s">
        <v>325</v>
      </c>
      <c r="B34" s="180">
        <v>252</v>
      </c>
      <c r="C34" s="57">
        <f>+C20</f>
        <v>200000</v>
      </c>
      <c r="D34" s="182"/>
      <c r="F34" s="53" t="s">
        <v>318</v>
      </c>
      <c r="G34" s="53" t="s">
        <v>319</v>
      </c>
      <c r="H34" s="53" t="s">
        <v>320</v>
      </c>
      <c r="I34" s="53" t="s">
        <v>321</v>
      </c>
    </row>
    <row r="35" spans="1:9">
      <c r="A35" t="s">
        <v>329</v>
      </c>
      <c r="B35" s="180">
        <v>431</v>
      </c>
      <c r="C35" s="182">
        <f>+C26*C19</f>
        <v>60000</v>
      </c>
      <c r="D35" s="3"/>
      <c r="F35" t="s">
        <v>325</v>
      </c>
      <c r="G35" s="180">
        <v>252</v>
      </c>
      <c r="H35" s="54"/>
      <c r="I35" s="46">
        <f>+H36</f>
        <v>60000</v>
      </c>
    </row>
    <row r="36" spans="1:9">
      <c r="B36" s="3"/>
      <c r="C36" s="3"/>
      <c r="D36" s="57"/>
      <c r="F36" t="s">
        <v>330</v>
      </c>
      <c r="G36" s="180">
        <v>431</v>
      </c>
      <c r="H36" s="182">
        <f>+H30*C19</f>
        <v>60000</v>
      </c>
    </row>
    <row r="37" spans="1:9">
      <c r="B37" s="3"/>
      <c r="C37" s="3"/>
      <c r="D37" s="3"/>
      <c r="F37" t="s">
        <v>331</v>
      </c>
      <c r="G37" s="180">
        <v>182.3</v>
      </c>
      <c r="H37" s="54">
        <f>+H36</f>
        <v>60000</v>
      </c>
    </row>
    <row r="38" spans="1:9" ht="13.5" thickBot="1">
      <c r="A38" s="55"/>
      <c r="B38" s="184" t="s">
        <v>332</v>
      </c>
      <c r="C38" s="184"/>
      <c r="D38" s="184" t="s">
        <v>333</v>
      </c>
      <c r="F38" s="3" t="s">
        <v>334</v>
      </c>
      <c r="G38" s="180">
        <v>407.4</v>
      </c>
      <c r="H38" s="3"/>
      <c r="I38" s="57">
        <f>+H37</f>
        <v>60000</v>
      </c>
    </row>
    <row r="39" spans="1:9">
      <c r="B39" s="185"/>
      <c r="C39" s="185"/>
      <c r="D39" s="185"/>
      <c r="F39" s="3"/>
      <c r="G39" s="3"/>
      <c r="H39" s="3"/>
      <c r="I39" s="3"/>
    </row>
    <row r="40" spans="1:9">
      <c r="A40" s="58"/>
      <c r="B40" s="185"/>
      <c r="C40" s="185"/>
      <c r="D40" s="185"/>
      <c r="F40" s="1" t="s">
        <v>335</v>
      </c>
    </row>
    <row r="41" spans="1:9" ht="14.25">
      <c r="A41" s="1" t="s">
        <v>336</v>
      </c>
      <c r="B41" s="186">
        <f>+C26</f>
        <v>1000000</v>
      </c>
      <c r="C41" s="185"/>
      <c r="D41" s="185"/>
      <c r="F41" s="53" t="s">
        <v>318</v>
      </c>
      <c r="G41" s="53" t="s">
        <v>319</v>
      </c>
      <c r="H41" s="53" t="s">
        <v>320</v>
      </c>
      <c r="I41" s="53" t="s">
        <v>321</v>
      </c>
    </row>
    <row r="42" spans="1:9">
      <c r="A42" s="58"/>
      <c r="B42" s="185"/>
      <c r="C42" s="185"/>
      <c r="D42" s="185"/>
      <c r="F42" t="s">
        <v>325</v>
      </c>
      <c r="G42" s="180">
        <v>252</v>
      </c>
      <c r="H42" s="54">
        <f>+G65+I65</f>
        <v>1338225.5776</v>
      </c>
      <c r="I42" s="46"/>
    </row>
    <row r="43" spans="1:9">
      <c r="A43" t="s">
        <v>337</v>
      </c>
      <c r="B43" s="57">
        <f>-D27</f>
        <v>-1000000</v>
      </c>
      <c r="C43" s="3"/>
      <c r="D43" s="3"/>
      <c r="F43" t="s">
        <v>327</v>
      </c>
      <c r="G43" s="180">
        <v>131</v>
      </c>
      <c r="H43" s="46"/>
      <c r="I43" s="54">
        <f>+H42</f>
        <v>1338225.5776</v>
      </c>
    </row>
    <row r="44" spans="1:9" ht="15.75">
      <c r="A44" t="s">
        <v>346</v>
      </c>
      <c r="B44" s="57">
        <f>-C35</f>
        <v>-60000</v>
      </c>
      <c r="C44" s="3"/>
      <c r="D44" s="57">
        <f>-B44</f>
        <v>60000</v>
      </c>
      <c r="F44" t="s">
        <v>331</v>
      </c>
      <c r="G44" s="180">
        <v>182.3</v>
      </c>
      <c r="H44" s="54"/>
      <c r="I44" s="54">
        <f>+I65</f>
        <v>338225.57759999996</v>
      </c>
    </row>
    <row r="45" spans="1:9" ht="15.75">
      <c r="A45" t="s">
        <v>347</v>
      </c>
      <c r="B45" s="57">
        <f>+D33</f>
        <v>260000</v>
      </c>
      <c r="C45" s="3"/>
      <c r="D45" s="3"/>
      <c r="F45" s="3" t="s">
        <v>334</v>
      </c>
      <c r="G45" s="180">
        <v>407.3</v>
      </c>
      <c r="H45" s="57">
        <f>+I44</f>
        <v>338225.57759999996</v>
      </c>
      <c r="I45" s="57"/>
    </row>
    <row r="46" spans="1:9" ht="15" thickBot="1">
      <c r="A46" s="1" t="s">
        <v>338</v>
      </c>
      <c r="B46" s="183">
        <f>SUM(B43:B45)</f>
        <v>-800000</v>
      </c>
      <c r="C46" s="8"/>
      <c r="D46" s="183">
        <f>+-B44</f>
        <v>60000</v>
      </c>
      <c r="F46" s="3"/>
      <c r="G46" s="7"/>
      <c r="H46" s="57"/>
      <c r="I46" s="57"/>
    </row>
    <row r="47" spans="1:9" ht="14.25" thickTop="1" thickBot="1">
      <c r="B47" s="3"/>
      <c r="C47" s="3"/>
      <c r="D47" s="3"/>
      <c r="F47" s="55"/>
      <c r="G47" s="56" t="s">
        <v>332</v>
      </c>
      <c r="H47" s="56"/>
      <c r="I47" s="56" t="s">
        <v>333</v>
      </c>
    </row>
    <row r="48" spans="1:9" ht="14.25">
      <c r="A48" s="1" t="s">
        <v>339</v>
      </c>
      <c r="B48" s="186">
        <f>+B41</f>
        <v>1000000</v>
      </c>
      <c r="C48" s="3"/>
      <c r="D48" s="3"/>
    </row>
    <row r="49" spans="1:9" ht="15" thickBot="1">
      <c r="A49" s="1" t="s">
        <v>340</v>
      </c>
      <c r="B49" s="187">
        <f>+-B48/40</f>
        <v>-25000</v>
      </c>
      <c r="C49" s="3"/>
      <c r="D49" s="3"/>
      <c r="F49" s="60" t="s">
        <v>341</v>
      </c>
      <c r="G49" s="181"/>
    </row>
    <row r="50" spans="1:9">
      <c r="B50" s="3"/>
      <c r="C50" s="3"/>
      <c r="D50" s="3"/>
      <c r="F50" t="str">
        <f>+A51</f>
        <v>BEGINNING BAL.</v>
      </c>
      <c r="G50" s="57">
        <f>+B43</f>
        <v>-1000000</v>
      </c>
    </row>
    <row r="51" spans="1:9" ht="15.75">
      <c r="A51" t="s">
        <v>337</v>
      </c>
      <c r="B51" s="57">
        <f>+B46</f>
        <v>-800000</v>
      </c>
      <c r="C51" s="3"/>
      <c r="D51" s="3"/>
      <c r="F51" t="s">
        <v>348</v>
      </c>
      <c r="G51" s="182">
        <f>+G50*C19</f>
        <v>-60000</v>
      </c>
      <c r="I51" s="54">
        <f>+G51</f>
        <v>-60000</v>
      </c>
    </row>
    <row r="52" spans="1:9" ht="15.75">
      <c r="A52" t="s">
        <v>349</v>
      </c>
      <c r="B52" s="57">
        <f>+B51*C19</f>
        <v>-48000</v>
      </c>
      <c r="C52" s="3"/>
      <c r="D52" s="57">
        <f>-B52</f>
        <v>48000</v>
      </c>
      <c r="F52" t="s">
        <v>350</v>
      </c>
      <c r="G52" s="182">
        <f>-G51</f>
        <v>60000</v>
      </c>
      <c r="I52" s="54">
        <f>+G52</f>
        <v>60000</v>
      </c>
    </row>
    <row r="53" spans="1:9" ht="16.5" thickBot="1">
      <c r="A53" t="s">
        <v>351</v>
      </c>
      <c r="B53" s="331" t="s">
        <v>246</v>
      </c>
      <c r="F53" s="1" t="s">
        <v>338</v>
      </c>
      <c r="G53" s="183">
        <f>SUM(G50:G52)</f>
        <v>-1000000</v>
      </c>
      <c r="H53" s="1"/>
      <c r="I53" s="59">
        <f>SUM(I51:I52)</f>
        <v>0</v>
      </c>
    </row>
    <row r="54" spans="1:9" ht="17.25" thickTop="1" thickBot="1">
      <c r="A54" s="1" t="s">
        <v>342</v>
      </c>
      <c r="B54" s="59">
        <f>SUM(B51:B53)</f>
        <v>-848000</v>
      </c>
      <c r="C54" s="1"/>
      <c r="D54" s="59">
        <f>+-B52</f>
        <v>48000</v>
      </c>
      <c r="F54" t="s">
        <v>352</v>
      </c>
      <c r="G54" s="182">
        <f>(+G53+G51)*C19</f>
        <v>-63600</v>
      </c>
      <c r="I54" s="54">
        <f>+G54</f>
        <v>-63600</v>
      </c>
    </row>
    <row r="55" spans="1:9" ht="16.5" thickTop="1">
      <c r="A55" s="51"/>
      <c r="B55" s="51"/>
      <c r="C55" s="51"/>
      <c r="D55" s="51"/>
      <c r="F55" t="s">
        <v>353</v>
      </c>
      <c r="G55" s="182">
        <f>-G54</f>
        <v>63600</v>
      </c>
      <c r="I55" s="54">
        <f>+G55</f>
        <v>63600</v>
      </c>
    </row>
    <row r="56" spans="1:9" s="3" customFormat="1" ht="15" thickBot="1">
      <c r="F56" s="1" t="s">
        <v>342</v>
      </c>
      <c r="G56" s="183">
        <f>SUM(G53:G55)</f>
        <v>-1000000</v>
      </c>
      <c r="H56" s="1"/>
      <c r="I56" s="59">
        <f>SUM(I54:I55)</f>
        <v>0</v>
      </c>
    </row>
    <row r="57" spans="1:9" s="3" customFormat="1" ht="16.5" thickTop="1">
      <c r="F57" t="s">
        <v>354</v>
      </c>
      <c r="G57" s="182">
        <f>(+G56+G54+G51)*C19</f>
        <v>-67416</v>
      </c>
      <c r="H57"/>
      <c r="I57" s="54">
        <f>+G57</f>
        <v>-67416</v>
      </c>
    </row>
    <row r="58" spans="1:9" s="3" customFormat="1" ht="15.75">
      <c r="F58" t="s">
        <v>355</v>
      </c>
      <c r="G58" s="182">
        <f>-G57</f>
        <v>67416</v>
      </c>
      <c r="H58"/>
      <c r="I58" s="54">
        <f>+G58</f>
        <v>67416</v>
      </c>
    </row>
    <row r="59" spans="1:9" s="3" customFormat="1" ht="15" thickBot="1">
      <c r="F59" s="1" t="s">
        <v>343</v>
      </c>
      <c r="G59" s="183">
        <f>SUM(G56:G58)</f>
        <v>-1000000</v>
      </c>
      <c r="H59" s="1"/>
      <c r="I59" s="59">
        <f>SUM(I57:I58)</f>
        <v>0</v>
      </c>
    </row>
    <row r="60" spans="1:9" s="3" customFormat="1" ht="16.5" thickTop="1">
      <c r="F60" t="s">
        <v>356</v>
      </c>
      <c r="G60" s="182">
        <f>(+G59+G57+G54+G51)*C19</f>
        <v>-71460.959999999992</v>
      </c>
      <c r="H60"/>
      <c r="I60" s="54">
        <f>+G60</f>
        <v>-71460.959999999992</v>
      </c>
    </row>
    <row r="61" spans="1:9" ht="15.75">
      <c r="F61" t="s">
        <v>357</v>
      </c>
      <c r="G61" s="182">
        <f>-G60</f>
        <v>71460.959999999992</v>
      </c>
      <c r="I61" s="54">
        <f>+G61</f>
        <v>71460.959999999992</v>
      </c>
    </row>
    <row r="62" spans="1:9" ht="15" thickBot="1">
      <c r="F62" s="1" t="s">
        <v>344</v>
      </c>
      <c r="G62" s="183">
        <f>SUM(G59:G61)</f>
        <v>-1000000</v>
      </c>
      <c r="H62" s="1"/>
      <c r="I62" s="59">
        <f>SUM(I60:I61)</f>
        <v>0</v>
      </c>
    </row>
    <row r="63" spans="1:9" ht="16.5" thickTop="1">
      <c r="F63" t="s">
        <v>358</v>
      </c>
      <c r="G63" s="182">
        <f>(+G62+G60+G57+G54+G51)*C19</f>
        <v>-75748.617599999998</v>
      </c>
      <c r="I63" s="54">
        <f>+G63</f>
        <v>-75748.617599999998</v>
      </c>
    </row>
    <row r="64" spans="1:9" ht="15.75">
      <c r="F64" t="s">
        <v>359</v>
      </c>
      <c r="G64" s="182">
        <f>-G63</f>
        <v>75748.617599999998</v>
      </c>
      <c r="I64" s="54">
        <f>+G64</f>
        <v>75748.617599999998</v>
      </c>
    </row>
    <row r="65" spans="6:9" ht="15.75">
      <c r="F65" t="s">
        <v>360</v>
      </c>
      <c r="G65" s="182">
        <f>+-G62</f>
        <v>1000000</v>
      </c>
      <c r="I65" s="54">
        <f>+I52+I55+I58+I61+I64</f>
        <v>338225.57759999996</v>
      </c>
    </row>
    <row r="66" spans="6:9" ht="15" thickBot="1">
      <c r="F66" s="1" t="s">
        <v>345</v>
      </c>
      <c r="G66" s="59">
        <f>SUM(G62:G65)</f>
        <v>0</v>
      </c>
      <c r="H66" s="1"/>
      <c r="I66" s="59">
        <f>SUM(I63:I65)</f>
        <v>338225.57759999996</v>
      </c>
    </row>
    <row r="67" spans="6:9" ht="8.25" customHeight="1" thickTop="1">
      <c r="F67" s="51"/>
      <c r="G67" s="51"/>
      <c r="H67" s="51"/>
      <c r="I67" s="51"/>
    </row>
    <row r="71" spans="6:9" s="3" customFormat="1"/>
    <row r="72" spans="6:9" s="3" customFormat="1"/>
    <row r="78" spans="6:9" s="3" customFormat="1"/>
    <row r="79" spans="6:9" s="3" customFormat="1"/>
    <row r="80" spans="6:9" s="3" customFormat="1"/>
  </sheetData>
  <phoneticPr fontId="14" type="noConversion"/>
  <printOptions horizontalCentered="1"/>
  <pageMargins left="0.5" right="0.5" top="0.2" bottom="0.18" header="0.17" footer="0.17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5"/>
  <sheetViews>
    <sheetView zoomScale="110" zoomScaleNormal="110" workbookViewId="0"/>
  </sheetViews>
  <sheetFormatPr defaultRowHeight="12.75"/>
  <cols>
    <col min="1" max="1" width="5" style="106" bestFit="1" customWidth="1"/>
    <col min="2" max="2" width="2.7109375" style="106" customWidth="1"/>
    <col min="3" max="3" width="35.140625" style="106" customWidth="1"/>
    <col min="4" max="4" width="14.5703125" style="106" bestFit="1" customWidth="1"/>
    <col min="5" max="5" width="2.7109375" style="106" customWidth="1"/>
    <col min="6" max="6" width="18.5703125" style="106" bestFit="1" customWidth="1"/>
    <col min="7" max="7" width="2.7109375" style="106" customWidth="1"/>
    <col min="8" max="8" width="14.42578125" style="106" customWidth="1"/>
    <col min="9" max="9" width="2.7109375" style="106" customWidth="1"/>
    <col min="10" max="10" width="14.42578125" style="106" bestFit="1" customWidth="1"/>
    <col min="11" max="11" width="2.7109375" style="106" customWidth="1"/>
    <col min="12" max="12" width="12.5703125" style="106" bestFit="1" customWidth="1"/>
    <col min="13" max="13" width="8.7109375" style="106" bestFit="1" customWidth="1"/>
    <col min="14" max="14" width="2.7109375" style="106" customWidth="1"/>
    <col min="15" max="15" width="13.7109375" style="106" bestFit="1" customWidth="1"/>
    <col min="16" max="16" width="5" style="106" customWidth="1"/>
    <col min="17" max="17" width="17.5703125" style="145" bestFit="1" customWidth="1"/>
    <col min="18" max="18" width="18.5703125" style="106" bestFit="1" customWidth="1"/>
    <col min="19" max="19" width="11.28515625" style="106" bestFit="1" customWidth="1"/>
    <col min="20" max="16384" width="9.140625" style="106"/>
  </cols>
  <sheetData>
    <row r="1" spans="1:16" ht="15">
      <c r="N1" s="334" t="s">
        <v>907</v>
      </c>
      <c r="O1" s="334"/>
      <c r="P1" s="334"/>
    </row>
    <row r="2" spans="1:16" ht="15">
      <c r="N2" s="335" t="s">
        <v>220</v>
      </c>
      <c r="O2" s="335"/>
      <c r="P2" s="336"/>
    </row>
    <row r="3" spans="1:16">
      <c r="N3" s="337" t="str">
        <f>FF1_Year</f>
        <v>Year Ending 12/31/2012</v>
      </c>
      <c r="O3" s="337"/>
      <c r="P3" s="337"/>
    </row>
    <row r="5" spans="1:16">
      <c r="A5" s="338" t="s">
        <v>924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</row>
    <row r="6" spans="1:16">
      <c r="A6" s="338" t="s">
        <v>135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</row>
    <row r="7" spans="1:16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</row>
    <row r="8" spans="1:16">
      <c r="A8" s="338" t="s">
        <v>261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</row>
    <row r="10" spans="1:16">
      <c r="A10" s="20"/>
    </row>
    <row r="11" spans="1:16" ht="25.5">
      <c r="A11" s="229" t="s">
        <v>21</v>
      </c>
      <c r="B11" s="33" t="s">
        <v>25</v>
      </c>
      <c r="C11" s="120"/>
      <c r="D11" s="229" t="s">
        <v>4</v>
      </c>
      <c r="E11" s="229"/>
      <c r="F11" s="34" t="s">
        <v>248</v>
      </c>
      <c r="G11" s="229"/>
      <c r="H11" s="34" t="s">
        <v>249</v>
      </c>
      <c r="I11" s="229"/>
      <c r="J11" s="229" t="s">
        <v>254</v>
      </c>
      <c r="K11" s="229"/>
      <c r="L11" s="338" t="s">
        <v>23</v>
      </c>
      <c r="M11" s="338"/>
      <c r="N11" s="229"/>
      <c r="O11" s="34" t="s">
        <v>24</v>
      </c>
      <c r="P11" s="35"/>
    </row>
    <row r="12" spans="1:16">
      <c r="A12" s="20"/>
    </row>
    <row r="13" spans="1:16">
      <c r="A13" s="20"/>
      <c r="B13" s="8" t="s">
        <v>283</v>
      </c>
    </row>
    <row r="14" spans="1:16">
      <c r="A14" s="236">
        <v>1</v>
      </c>
      <c r="B14" s="8"/>
      <c r="C14" s="106" t="str">
        <f>'DEF - 6  p1, FF1 Inputs '!E22</f>
        <v xml:space="preserve">Production Plant </v>
      </c>
      <c r="D14" s="20" t="str">
        <f>'DEF - 6  p1, FF1 Inputs '!F22</f>
        <v>205.46.b&amp;g</v>
      </c>
      <c r="E14" s="20"/>
      <c r="F14" s="245">
        <f>'DEF - 6  p1, FF1 Inputs '!H22</f>
        <v>6570051050</v>
      </c>
      <c r="G14" s="245"/>
      <c r="H14" s="245">
        <f>'DEF - 6  p1, FF1 Inputs '!J22</f>
        <v>5730636186</v>
      </c>
      <c r="I14" s="20"/>
      <c r="J14" s="9">
        <f>(F14+H14)/2</f>
        <v>6150343618</v>
      </c>
      <c r="L14" s="20" t="s">
        <v>26</v>
      </c>
      <c r="O14" s="106" t="str">
        <f>IF(ISNUMBER(M14),J14*M14,"")</f>
        <v/>
      </c>
    </row>
    <row r="15" spans="1:16" ht="6" customHeight="1">
      <c r="A15" s="236"/>
      <c r="B15" s="8"/>
      <c r="D15" s="20"/>
      <c r="E15" s="20"/>
      <c r="F15" s="245"/>
      <c r="G15" s="245"/>
      <c r="H15" s="245"/>
      <c r="I15" s="20"/>
      <c r="J15" s="9"/>
      <c r="L15" s="20"/>
    </row>
    <row r="16" spans="1:16">
      <c r="A16" s="20">
        <f>A14+1</f>
        <v>2</v>
      </c>
      <c r="B16" s="8"/>
      <c r="C16" s="106" t="str">
        <f>'DEF - 6  p1, FF1 Inputs '!E23&amp;" (Note V)"</f>
        <v>Transmission Plant (Note V)</v>
      </c>
      <c r="D16" s="20" t="str">
        <f>'DEF - 6  p1, FF1 Inputs '!F23</f>
        <v>207.58.b&amp;g</v>
      </c>
      <c r="E16" s="20"/>
      <c r="F16" s="245">
        <f>'DEF - 6  p1, FF1 Inputs '!H23</f>
        <v>2029729761</v>
      </c>
      <c r="G16" s="245"/>
      <c r="H16" s="245">
        <f>'DEF - 6  p1, FF1 Inputs '!J23</f>
        <v>2163562301</v>
      </c>
      <c r="I16" s="20"/>
      <c r="J16" s="9">
        <f>(F16+H16)/2</f>
        <v>2096646031</v>
      </c>
      <c r="L16" s="20"/>
      <c r="M16" s="115"/>
      <c r="N16" s="115"/>
      <c r="O16" s="9"/>
    </row>
    <row r="17" spans="1:15">
      <c r="A17" s="20" t="s">
        <v>459</v>
      </c>
      <c r="B17" s="108"/>
      <c r="C17" s="106" t="s">
        <v>461</v>
      </c>
      <c r="D17" s="20" t="s">
        <v>462</v>
      </c>
      <c r="E17" s="15"/>
      <c r="F17" s="109">
        <f>'DEF - 7, Retail Radials'!H14</f>
        <v>13901608</v>
      </c>
      <c r="G17" s="109"/>
      <c r="H17" s="109">
        <f>'DEF - 7, Retail Radials'!H18</f>
        <v>14368139.619999999</v>
      </c>
      <c r="I17" s="15"/>
      <c r="J17" s="114">
        <f>(F17+H17)/2</f>
        <v>14134873.809999999</v>
      </c>
      <c r="K17" s="14"/>
      <c r="L17" s="15"/>
      <c r="M17" s="110"/>
      <c r="N17" s="110"/>
      <c r="O17" s="107"/>
    </row>
    <row r="18" spans="1:15">
      <c r="A18" s="20" t="s">
        <v>460</v>
      </c>
      <c r="B18" s="108"/>
      <c r="C18" s="106" t="s">
        <v>463</v>
      </c>
      <c r="D18" s="20"/>
      <c r="E18" s="15"/>
      <c r="F18" s="109"/>
      <c r="G18" s="109"/>
      <c r="H18" s="109"/>
      <c r="I18" s="15"/>
      <c r="J18" s="9">
        <f>J16-J17</f>
        <v>2082511157.1900001</v>
      </c>
      <c r="K18" s="14"/>
      <c r="L18" s="20" t="s">
        <v>51</v>
      </c>
      <c r="M18" s="115">
        <f>'DEF - 2 - Page 4 Support'!I$20</f>
        <v>0.93456203028036555</v>
      </c>
      <c r="N18" s="115"/>
      <c r="O18" s="9">
        <f>J18*M18</f>
        <v>1946235855.145</v>
      </c>
    </row>
    <row r="19" spans="1:15" ht="6" customHeight="1">
      <c r="A19" s="20"/>
      <c r="B19" s="8"/>
      <c r="D19" s="20"/>
      <c r="E19" s="20"/>
      <c r="F19" s="245"/>
      <c r="G19" s="245"/>
      <c r="H19" s="245"/>
      <c r="I19" s="20"/>
      <c r="J19" s="9"/>
      <c r="L19" s="20"/>
      <c r="M19" s="115"/>
      <c r="N19" s="115"/>
      <c r="O19" s="9"/>
    </row>
    <row r="20" spans="1:15">
      <c r="A20" s="20">
        <f>A16+1</f>
        <v>3</v>
      </c>
      <c r="B20" s="8"/>
      <c r="C20" s="106" t="str">
        <f>'DEF - 6  p1, FF1 Inputs '!E24</f>
        <v>Distribution Plant</v>
      </c>
      <c r="D20" s="20" t="str">
        <f>'DEF - 6  p1, FF1 Inputs '!F24</f>
        <v>207.75.b&amp;g</v>
      </c>
      <c r="E20" s="20"/>
      <c r="F20" s="245">
        <f>'DEF - 6  p1, FF1 Inputs '!H24</f>
        <v>4146253365</v>
      </c>
      <c r="G20" s="245"/>
      <c r="H20" s="245">
        <f>'DEF - 6  p1, FF1 Inputs '!J24</f>
        <v>4307614618</v>
      </c>
      <c r="I20" s="20"/>
      <c r="J20" s="9">
        <f>(F20+H20)/2</f>
        <v>4226933991.5</v>
      </c>
      <c r="L20" s="20" t="s">
        <v>26</v>
      </c>
      <c r="M20" s="115"/>
      <c r="N20" s="115"/>
      <c r="O20" s="9" t="str">
        <f>IF(ISNUMBER(M20),J20*M20,"")</f>
        <v/>
      </c>
    </row>
    <row r="21" spans="1:15">
      <c r="A21" s="20">
        <f>A20+1</f>
        <v>4</v>
      </c>
      <c r="B21" s="8"/>
      <c r="C21" s="106" t="str">
        <f>'DEF - 6  p1, FF1 Inputs '!E25</f>
        <v>General Plant</v>
      </c>
      <c r="D21" s="20" t="str">
        <f>'DEF - 6  p1, FF1 Inputs '!F25</f>
        <v>207.99.b&amp;g</v>
      </c>
      <c r="E21" s="20"/>
      <c r="F21" s="245">
        <f>'DEF - 6  p1, FF1 Inputs '!H25</f>
        <v>326862240</v>
      </c>
      <c r="G21" s="245"/>
      <c r="H21" s="245">
        <f>'DEF - 6  p1, FF1 Inputs '!J25</f>
        <v>330661239</v>
      </c>
      <c r="I21" s="20"/>
      <c r="J21" s="9">
        <f>(F21+H21)/2</f>
        <v>328761739.5</v>
      </c>
      <c r="L21" s="20" t="s">
        <v>190</v>
      </c>
      <c r="M21" s="115">
        <f>'DEF - 2 - Page 4 Support'!I$37</f>
        <v>6.5736053966476971E-2</v>
      </c>
      <c r="N21" s="115"/>
      <c r="O21" s="9">
        <f>IF(ISNUMBER(M21),J21*M21,"")</f>
        <v>21611499.449884843</v>
      </c>
    </row>
    <row r="22" spans="1:15" ht="13.5" thickBot="1">
      <c r="A22" s="20">
        <f>A21+1</f>
        <v>5</v>
      </c>
      <c r="B22" s="8"/>
      <c r="C22" s="106" t="str">
        <f>'DEF - 6  p1, FF1 Inputs '!E21</f>
        <v>Intangible Plant</v>
      </c>
      <c r="D22" s="20" t="str">
        <f>'DEF - 6  p1, FF1 Inputs '!F21</f>
        <v>205.5.b&amp;g</v>
      </c>
      <c r="E22" s="20"/>
      <c r="F22" s="245">
        <f>'DEF - 6  p1, FF1 Inputs '!H21</f>
        <v>153869341</v>
      </c>
      <c r="G22" s="245"/>
      <c r="H22" s="245">
        <f>'DEF - 6  p1, FF1 Inputs '!J21</f>
        <v>140095249</v>
      </c>
      <c r="I22" s="20"/>
      <c r="J22" s="9">
        <f>(F22+H22)/2</f>
        <v>146982295</v>
      </c>
      <c r="L22" s="20" t="s">
        <v>190</v>
      </c>
      <c r="M22" s="115">
        <f>M21</f>
        <v>6.5736053966476971E-2</v>
      </c>
      <c r="N22" s="115"/>
      <c r="O22" s="9">
        <f>IF(ISNUMBER(M22),J22*M22,"")</f>
        <v>9662036.0762366373</v>
      </c>
    </row>
    <row r="23" spans="1:15" ht="15" customHeight="1" thickTop="1">
      <c r="A23" s="20">
        <f>A22+1</f>
        <v>6</v>
      </c>
      <c r="B23" s="8" t="s">
        <v>28</v>
      </c>
      <c r="D23" s="20"/>
      <c r="E23" s="20"/>
      <c r="F23" s="245"/>
      <c r="G23" s="245"/>
      <c r="H23" s="245"/>
      <c r="I23" s="20"/>
      <c r="J23" s="237">
        <f>J14+J16+SUM(J20:J22)</f>
        <v>12949667675</v>
      </c>
      <c r="L23" s="20" t="s">
        <v>27</v>
      </c>
      <c r="M23" s="115">
        <f>IF(J23&lt;&gt;0,O23/J23,0)</f>
        <v>0.15270734665174499</v>
      </c>
      <c r="N23" s="115"/>
      <c r="O23" s="237">
        <f>SUM(O14:O22)</f>
        <v>1977509390.6711216</v>
      </c>
    </row>
    <row r="24" spans="1:15">
      <c r="A24" s="20"/>
      <c r="B24" s="8"/>
      <c r="D24" s="20"/>
      <c r="E24" s="20"/>
      <c r="F24" s="245"/>
      <c r="G24" s="245"/>
      <c r="H24" s="245"/>
      <c r="I24" s="20"/>
      <c r="L24" s="20"/>
    </row>
    <row r="25" spans="1:15">
      <c r="A25" s="20"/>
      <c r="B25" s="8" t="s">
        <v>284</v>
      </c>
      <c r="D25" s="20"/>
      <c r="E25" s="20"/>
      <c r="F25" s="245"/>
      <c r="G25" s="245"/>
      <c r="H25" s="245"/>
      <c r="I25" s="20"/>
      <c r="L25" s="20"/>
    </row>
    <row r="26" spans="1:15">
      <c r="A26" s="20">
        <f>A23+1</f>
        <v>7</v>
      </c>
      <c r="B26" s="8"/>
      <c r="C26" s="106" t="str">
        <f>'DEF - 6  p1, FF1 Inputs '!E27</f>
        <v>Production Depr. Reserve</v>
      </c>
      <c r="D26" s="20" t="str">
        <f>'DEF - 6  p1, FF1 Inputs '!F27</f>
        <v>219.20 thru 24.c</v>
      </c>
      <c r="E26" s="20"/>
      <c r="F26" s="245">
        <f>'DEF - 6  p1, FF1 Inputs '!J72</f>
        <v>2689553821</v>
      </c>
      <c r="G26" s="245"/>
      <c r="H26" s="9">
        <f>'DEF - 6  p1, FF1 Inputs '!J27</f>
        <v>2277766078</v>
      </c>
      <c r="I26" s="20"/>
      <c r="J26" s="9">
        <f>(F26+H26)/2</f>
        <v>2483659949.5</v>
      </c>
      <c r="L26" s="20" t="s">
        <v>26</v>
      </c>
      <c r="O26" s="106" t="str">
        <f>IF(ISNUMBER(M26),J26*M26,"")</f>
        <v/>
      </c>
    </row>
    <row r="27" spans="1:15" ht="6" customHeight="1">
      <c r="A27" s="20"/>
      <c r="B27" s="8"/>
      <c r="D27" s="20"/>
      <c r="E27" s="20"/>
      <c r="F27" s="245"/>
      <c r="G27" s="245"/>
      <c r="H27" s="9"/>
      <c r="I27" s="20"/>
      <c r="J27" s="9"/>
      <c r="L27" s="20"/>
    </row>
    <row r="28" spans="1:15">
      <c r="A28" s="20">
        <f>A26+1</f>
        <v>8</v>
      </c>
      <c r="B28" s="8"/>
      <c r="C28" s="106" t="str">
        <f>'DEF - 6  p1, FF1 Inputs '!E28&amp;" (Note V)"</f>
        <v>Transmission Depr. Reserve (Note V)</v>
      </c>
      <c r="D28" s="20" t="str">
        <f>'DEF - 6  p1, FF1 Inputs '!F28</f>
        <v>219.25.c</v>
      </c>
      <c r="E28" s="20"/>
      <c r="F28" s="245">
        <f>'DEF - 6  p1, FF1 Inputs '!J73</f>
        <v>525044666</v>
      </c>
      <c r="G28" s="245"/>
      <c r="H28" s="9">
        <f>'DEF - 6  p1, FF1 Inputs '!J28</f>
        <v>539345948.56508899</v>
      </c>
      <c r="I28" s="20"/>
      <c r="J28" s="9">
        <f>(F28+H28)/2</f>
        <v>532195307.28254449</v>
      </c>
      <c r="L28" s="20"/>
      <c r="M28" s="115"/>
      <c r="N28" s="115"/>
      <c r="O28" s="9"/>
    </row>
    <row r="29" spans="1:15">
      <c r="A29" s="20" t="s">
        <v>464</v>
      </c>
      <c r="B29" s="8"/>
      <c r="C29" s="106" t="s">
        <v>461</v>
      </c>
      <c r="D29" s="20" t="s">
        <v>466</v>
      </c>
      <c r="E29" s="15"/>
      <c r="F29" s="109">
        <f>'DEF - 7, Retail Radials'!H25</f>
        <v>175236</v>
      </c>
      <c r="G29" s="109"/>
      <c r="H29" s="107">
        <f>'DEF - 7, Retail Radials'!H28</f>
        <v>530621</v>
      </c>
      <c r="I29" s="15"/>
      <c r="J29" s="114">
        <f>(F29+H29)/2</f>
        <v>352928.5</v>
      </c>
      <c r="K29" s="14"/>
      <c r="L29" s="15"/>
      <c r="M29" s="110"/>
      <c r="N29" s="110"/>
      <c r="O29" s="107"/>
    </row>
    <row r="30" spans="1:15">
      <c r="A30" s="20" t="s">
        <v>465</v>
      </c>
      <c r="B30" s="8"/>
      <c r="C30" s="106" t="s">
        <v>470</v>
      </c>
      <c r="D30" s="20"/>
      <c r="E30" s="15"/>
      <c r="F30" s="109"/>
      <c r="G30" s="109"/>
      <c r="H30" s="107"/>
      <c r="I30" s="15"/>
      <c r="J30" s="9">
        <f>J28-J29</f>
        <v>531842378.78254449</v>
      </c>
      <c r="K30" s="14"/>
      <c r="L30" s="20" t="s">
        <v>51</v>
      </c>
      <c r="M30" s="115">
        <f>'DEF - 2 - Page 4 Support'!I$20</f>
        <v>0.93456203028036555</v>
      </c>
      <c r="N30" s="115"/>
      <c r="O30" s="9">
        <f>IF(ISNUMBER(M30),J30*M30,"")</f>
        <v>497039693.30415398</v>
      </c>
    </row>
    <row r="31" spans="1:15" ht="6" customHeight="1">
      <c r="A31" s="20"/>
      <c r="B31" s="8"/>
      <c r="D31" s="20"/>
      <c r="E31" s="20"/>
      <c r="F31" s="245"/>
      <c r="G31" s="245"/>
      <c r="H31" s="9"/>
      <c r="I31" s="20"/>
      <c r="J31" s="9"/>
      <c r="L31" s="20"/>
      <c r="M31" s="115"/>
      <c r="N31" s="115"/>
      <c r="O31" s="9"/>
    </row>
    <row r="32" spans="1:15">
      <c r="A32" s="20">
        <f>A28+1</f>
        <v>9</v>
      </c>
      <c r="B32" s="8"/>
      <c r="C32" s="106" t="str">
        <f>'DEF - 6  p1, FF1 Inputs '!E29</f>
        <v>Distribution Depr. Reserve</v>
      </c>
      <c r="D32" s="20" t="str">
        <f>'DEF - 6  p1, FF1 Inputs '!F29</f>
        <v>219.26.c</v>
      </c>
      <c r="E32" s="20"/>
      <c r="F32" s="245">
        <f>'DEF - 6  p1, FF1 Inputs '!J74</f>
        <v>1641233873</v>
      </c>
      <c r="G32" s="245"/>
      <c r="H32" s="9">
        <f>'DEF - 6  p1, FF1 Inputs '!J29</f>
        <v>1705437350</v>
      </c>
      <c r="I32" s="20"/>
      <c r="J32" s="9">
        <f>(F32+H32)/2</f>
        <v>1673335611.5</v>
      </c>
      <c r="L32" s="20" t="s">
        <v>26</v>
      </c>
      <c r="M32" s="115"/>
      <c r="N32" s="115"/>
      <c r="O32" s="9" t="str">
        <f>IF(ISNUMBER(M32),J32*M32,"")</f>
        <v/>
      </c>
    </row>
    <row r="33" spans="1:17">
      <c r="A33" s="20">
        <f>A32+1</f>
        <v>10</v>
      </c>
      <c r="B33" s="8"/>
      <c r="C33" s="106" t="str">
        <f>'DEF - 6  p1, FF1 Inputs '!E30</f>
        <v>General Depr. Reserve</v>
      </c>
      <c r="D33" s="20" t="str">
        <f>'DEF - 6  p1, FF1 Inputs '!F30</f>
        <v>219.28.c</v>
      </c>
      <c r="E33" s="20"/>
      <c r="F33" s="245">
        <f>'DEF - 6  p1, FF1 Inputs '!J75</f>
        <v>77173247</v>
      </c>
      <c r="G33" s="245"/>
      <c r="H33" s="9">
        <f>'DEF - 6  p1, FF1 Inputs '!J30</f>
        <v>89081929</v>
      </c>
      <c r="I33" s="20"/>
      <c r="J33" s="9">
        <f>(F33+H33)/2</f>
        <v>83127588</v>
      </c>
      <c r="L33" s="20" t="s">
        <v>190</v>
      </c>
      <c r="M33" s="115">
        <f>'DEF - 2 - Page 4 Support'!I$37</f>
        <v>6.5736053966476971E-2</v>
      </c>
      <c r="N33" s="115"/>
      <c r="O33" s="9">
        <f>IF(ISNUMBER(M33),J33*M33,"")</f>
        <v>5464479.6108710635</v>
      </c>
    </row>
    <row r="34" spans="1:17" ht="13.5" thickBot="1">
      <c r="A34" s="20">
        <f>A33+1</f>
        <v>11</v>
      </c>
      <c r="B34" s="8"/>
      <c r="C34" s="106" t="str">
        <f>'DEF - 6  p1, FF1 Inputs '!E20</f>
        <v>Intangible Amort. Reserve</v>
      </c>
      <c r="D34" s="20" t="str">
        <f>'DEF - 6  p1, FF1 Inputs '!F20</f>
        <v>200.21.c</v>
      </c>
      <c r="E34" s="20"/>
      <c r="F34" s="245">
        <f>'DEF - 6  p1, FF1 Inputs '!J70</f>
        <v>132760764</v>
      </c>
      <c r="G34" s="245"/>
      <c r="H34" s="9">
        <f>'DEF - 6  p1, FF1 Inputs '!J20</f>
        <v>138037065</v>
      </c>
      <c r="I34" s="20"/>
      <c r="J34" s="9">
        <f>(F34+H34)/2</f>
        <v>135398914.5</v>
      </c>
      <c r="L34" s="20" t="s">
        <v>190</v>
      </c>
      <c r="M34" s="115">
        <f>M33</f>
        <v>6.5736053966476971E-2</v>
      </c>
      <c r="N34" s="115"/>
      <c r="O34" s="9">
        <f>IF(ISNUMBER(M34),J34*M34,"")</f>
        <v>8900590.3505744003</v>
      </c>
    </row>
    <row r="35" spans="1:17" ht="13.5" thickTop="1">
      <c r="A35" s="20">
        <f>A34+1</f>
        <v>12</v>
      </c>
      <c r="B35" s="8" t="s">
        <v>29</v>
      </c>
      <c r="D35" s="20"/>
      <c r="E35" s="20"/>
      <c r="F35" s="245"/>
      <c r="G35" s="245"/>
      <c r="H35" s="245"/>
      <c r="I35" s="20"/>
      <c r="J35" s="237">
        <f>J26+J28+SUM(J32:J34)</f>
        <v>4907717370.7825451</v>
      </c>
      <c r="L35" s="20"/>
      <c r="M35" s="115"/>
      <c r="N35" s="115"/>
      <c r="O35" s="237">
        <f>SUM(O26:O34)</f>
        <v>511404763.26559943</v>
      </c>
    </row>
    <row r="36" spans="1:17">
      <c r="A36" s="20"/>
      <c r="B36" s="8"/>
      <c r="D36" s="20"/>
      <c r="E36" s="20"/>
      <c r="F36" s="245"/>
      <c r="G36" s="245"/>
      <c r="H36" s="245"/>
      <c r="I36" s="20"/>
      <c r="L36" s="20"/>
    </row>
    <row r="37" spans="1:17">
      <c r="A37" s="20"/>
      <c r="B37" s="8" t="s">
        <v>30</v>
      </c>
      <c r="D37" s="20"/>
      <c r="E37" s="20"/>
      <c r="F37" s="245"/>
      <c r="G37" s="245"/>
      <c r="H37" s="245"/>
      <c r="I37" s="20"/>
      <c r="L37" s="20"/>
      <c r="O37" s="9"/>
    </row>
    <row r="38" spans="1:17">
      <c r="A38" s="20">
        <f>A35+1</f>
        <v>13</v>
      </c>
      <c r="B38" s="8"/>
      <c r="C38" s="106" t="s">
        <v>184</v>
      </c>
      <c r="D38" s="20" t="s">
        <v>42</v>
      </c>
      <c r="E38" s="20"/>
      <c r="F38" s="245"/>
      <c r="G38" s="245"/>
      <c r="H38" s="245"/>
      <c r="I38" s="20"/>
      <c r="J38" s="9">
        <f>J14-J26</f>
        <v>3666683668.5</v>
      </c>
      <c r="L38" s="20"/>
      <c r="O38" s="9" t="str">
        <f>IF(ISNUMBER(O14),O14-O26,"")</f>
        <v/>
      </c>
    </row>
    <row r="39" spans="1:17">
      <c r="A39" s="20">
        <f>A38+1</f>
        <v>14</v>
      </c>
      <c r="B39" s="8"/>
      <c r="C39" s="106" t="s">
        <v>185</v>
      </c>
      <c r="D39" s="20" t="s">
        <v>485</v>
      </c>
      <c r="E39" s="20"/>
      <c r="F39" s="245"/>
      <c r="G39" s="245"/>
      <c r="H39" s="245"/>
      <c r="I39" s="20"/>
      <c r="J39" s="9">
        <f>J18-J30</f>
        <v>1550668778.4074554</v>
      </c>
      <c r="L39" s="20"/>
      <c r="O39" s="9">
        <f>IF(ISNUMBER(O18),O18-O30,"")</f>
        <v>1449196161.8408461</v>
      </c>
    </row>
    <row r="40" spans="1:17">
      <c r="A40" s="20">
        <f>A39+1</f>
        <v>15</v>
      </c>
      <c r="B40" s="8"/>
      <c r="C40" s="106" t="s">
        <v>186</v>
      </c>
      <c r="D40" s="20" t="s">
        <v>43</v>
      </c>
      <c r="E40" s="20"/>
      <c r="F40" s="245"/>
      <c r="G40" s="245"/>
      <c r="H40" s="245"/>
      <c r="I40" s="20"/>
      <c r="J40" s="9">
        <f>J20-J32</f>
        <v>2553598380</v>
      </c>
      <c r="L40" s="20"/>
      <c r="O40" s="9" t="str">
        <f>IF(ISNUMBER(O20),O20-O32,"")</f>
        <v/>
      </c>
    </row>
    <row r="41" spans="1:17">
      <c r="A41" s="20">
        <f>A40+1</f>
        <v>16</v>
      </c>
      <c r="B41" s="8"/>
      <c r="C41" s="106" t="s">
        <v>187</v>
      </c>
      <c r="D41" s="20" t="s">
        <v>44</v>
      </c>
      <c r="E41" s="20"/>
      <c r="F41" s="245"/>
      <c r="G41" s="245"/>
      <c r="H41" s="245"/>
      <c r="I41" s="20"/>
      <c r="J41" s="9">
        <f>J21-J33</f>
        <v>245634151.5</v>
      </c>
      <c r="L41" s="20"/>
      <c r="O41" s="9">
        <f>IF(ISNUMBER(O21),O21-O33,"")</f>
        <v>16147019.83901378</v>
      </c>
    </row>
    <row r="42" spans="1:17" ht="13.5" thickBot="1">
      <c r="A42" s="20">
        <f>A41+1</f>
        <v>17</v>
      </c>
      <c r="B42" s="8"/>
      <c r="C42" s="106" t="s">
        <v>188</v>
      </c>
      <c r="D42" s="20" t="s">
        <v>45</v>
      </c>
      <c r="E42" s="20"/>
      <c r="F42" s="245"/>
      <c r="G42" s="245"/>
      <c r="H42" s="245"/>
      <c r="I42" s="20"/>
      <c r="J42" s="9">
        <f>J22-J34</f>
        <v>11583380.5</v>
      </c>
      <c r="L42" s="20"/>
      <c r="O42" s="9">
        <f>IF(ISNUMBER(O22),O22-O34,"")</f>
        <v>761445.72566223703</v>
      </c>
    </row>
    <row r="43" spans="1:17" ht="13.5" thickTop="1">
      <c r="A43" s="20">
        <f>A42+1</f>
        <v>18</v>
      </c>
      <c r="B43" s="8" t="s">
        <v>31</v>
      </c>
      <c r="D43" s="20"/>
      <c r="E43" s="20"/>
      <c r="F43" s="245"/>
      <c r="G43" s="245"/>
      <c r="H43" s="245"/>
      <c r="I43" s="20"/>
      <c r="J43" s="237">
        <f>SUM(J38:J42)</f>
        <v>8028168358.9074554</v>
      </c>
      <c r="L43" s="20" t="s">
        <v>32</v>
      </c>
      <c r="M43" s="115">
        <f>IF(J43&lt;&gt;0,O43/J43,0)</f>
        <v>0.18262006498391903</v>
      </c>
      <c r="N43" s="115"/>
      <c r="O43" s="237">
        <f>SUM(O38:O42)</f>
        <v>1466104627.4055221</v>
      </c>
    </row>
    <row r="44" spans="1:17">
      <c r="A44" s="20"/>
      <c r="B44" s="8"/>
      <c r="D44" s="20"/>
      <c r="E44" s="20"/>
      <c r="F44" s="245"/>
      <c r="G44" s="245"/>
      <c r="H44" s="245"/>
      <c r="I44" s="20"/>
      <c r="L44" s="20"/>
    </row>
    <row r="45" spans="1:17">
      <c r="A45" s="20"/>
      <c r="B45" s="8" t="s">
        <v>266</v>
      </c>
      <c r="D45" s="20"/>
      <c r="E45" s="20"/>
      <c r="F45" s="245"/>
      <c r="G45" s="245"/>
      <c r="H45" s="245"/>
      <c r="I45" s="20"/>
      <c r="L45" s="20"/>
    </row>
    <row r="46" spans="1:17">
      <c r="A46" s="20">
        <f>A43+1</f>
        <v>19</v>
      </c>
      <c r="B46" s="8"/>
      <c r="C46" s="106" t="s">
        <v>18</v>
      </c>
      <c r="D46" s="140" t="str">
        <f>'DEF - 6  p1, FF1 Inputs '!F36</f>
        <v>234.8.b&amp;c</v>
      </c>
      <c r="E46" s="20"/>
      <c r="F46" s="245">
        <f>'DEF - 6  p1, FF1 Inputs '!H36</f>
        <v>899031253</v>
      </c>
      <c r="G46" s="245"/>
      <c r="H46" s="245">
        <f>'DEF - 6  p1, FF1 Inputs '!J36</f>
        <v>995528084</v>
      </c>
      <c r="I46" s="20"/>
      <c r="J46" s="9">
        <f>(F46+H46)/2</f>
        <v>947279668.5</v>
      </c>
      <c r="L46" s="341" t="s">
        <v>910</v>
      </c>
      <c r="M46" s="342"/>
      <c r="O46" s="145">
        <f>(SUMIF('DEF - 5 p1 PY ADIT 190'!$B:$B,"Balance in Account 190",'DEF - 5 p1 PY ADIT 190'!$I:$I)+SUMIF('DEF - 5 p3 CY ADIT 190'!$B:$B,"Balance in Account 190",'DEF - 5 p3 CY ADIT 190'!$I:$I))/2</f>
        <v>31979631.997328512</v>
      </c>
    </row>
    <row r="47" spans="1:17">
      <c r="A47" s="20">
        <f>A46+1</f>
        <v>20</v>
      </c>
      <c r="B47" s="8"/>
      <c r="C47" s="106" t="s">
        <v>19</v>
      </c>
      <c r="D47" s="140" t="str">
        <f>'DEF - 6  p1, FF1 Inputs '!F45</f>
        <v>273.8.b&amp;k</v>
      </c>
      <c r="E47" s="20"/>
      <c r="F47" s="245">
        <f>'DEF - 6  p1, FF1 Inputs '!H45</f>
        <v>-3757590</v>
      </c>
      <c r="G47" s="245"/>
      <c r="H47" s="245">
        <f>'DEF - 6  p1, FF1 Inputs '!J45</f>
        <v>-3757590</v>
      </c>
      <c r="I47" s="20"/>
      <c r="J47" s="9">
        <f>(F47+H47)/2</f>
        <v>-3757590</v>
      </c>
      <c r="L47" s="341" t="s">
        <v>910</v>
      </c>
      <c r="M47" s="342"/>
      <c r="O47" s="246">
        <f>(SUMIF('DEF - 5 p2 PY ADIT 28x'!$B:$B,"Balance in Account 281",'DEF - 5 p2 PY ADIT 28x'!$I:$I))+(SUMIF('DEF - 5 p4 CY ADIT 28x'!$B:$B,"Balance in Account 281",'DEF - 5 p4 CY ADIT 28x'!$I:$I))/2</f>
        <v>0</v>
      </c>
    </row>
    <row r="48" spans="1:17">
      <c r="A48" s="20">
        <f>A47+1</f>
        <v>21</v>
      </c>
      <c r="B48" s="8"/>
      <c r="C48" s="106" t="s">
        <v>20</v>
      </c>
      <c r="D48" s="140" t="str">
        <f>'DEF - 6  p1, FF1 Inputs '!F46</f>
        <v>275.2.b&amp;k</v>
      </c>
      <c r="E48" s="20"/>
      <c r="F48" s="245">
        <f>'DEF - 6  p1, FF1 Inputs '!H46</f>
        <v>-1347909058</v>
      </c>
      <c r="G48" s="245"/>
      <c r="H48" s="245">
        <f>'DEF - 6  p1, FF1 Inputs '!J46</f>
        <v>-975116243</v>
      </c>
      <c r="I48" s="20"/>
      <c r="J48" s="9">
        <f>(F48+H48)/2</f>
        <v>-1161512650.5</v>
      </c>
      <c r="L48" s="341" t="s">
        <v>910</v>
      </c>
      <c r="M48" s="342"/>
      <c r="O48" s="9">
        <f>(SUMIF('DEF - 5 p2 PY ADIT 28x'!$B:$B,"Balance in Account 282",'DEF - 5 p2 PY ADIT 28x'!$I:$I)+SUMIF('DEF - 5 p4 CY ADIT 28x'!$B:$B,"Balance in Account 282",'DEF - 5 p4 CY ADIT 28x'!$I:$I))/2</f>
        <v>-223217338.54897237</v>
      </c>
      <c r="Q48" s="246"/>
    </row>
    <row r="49" spans="1:20" ht="13.5" thickBot="1">
      <c r="A49" s="20">
        <f>A48+1</f>
        <v>22</v>
      </c>
      <c r="B49" s="8"/>
      <c r="C49" s="106" t="s">
        <v>382</v>
      </c>
      <c r="D49" s="140" t="str">
        <f>'DEF - 6  p1, FF1 Inputs '!F47</f>
        <v>277.9.b&amp;k</v>
      </c>
      <c r="E49" s="20"/>
      <c r="F49" s="245">
        <f>'DEF - 6  p1, FF1 Inputs '!H47</f>
        <v>-813661722</v>
      </c>
      <c r="G49" s="245"/>
      <c r="H49" s="245">
        <f>'DEF - 6  p1, FF1 Inputs '!J47</f>
        <v>-1425000944</v>
      </c>
      <c r="I49" s="20"/>
      <c r="J49" s="9">
        <f>(F49+H49)/2</f>
        <v>-1119331333</v>
      </c>
      <c r="L49" s="341" t="s">
        <v>910</v>
      </c>
      <c r="M49" s="342"/>
      <c r="O49" s="9">
        <f>(SUMIF('DEF - 5 p2 PY ADIT 28x'!$B:$B,"Balance in Account 283",'DEF - 5 p2 PY ADIT 28x'!$I:$I)+SUMIF('DEF - 5 p4 CY ADIT 28x'!$B:$B,"Balance in Account 283",'DEF - 5 p4 CY ADIT 28x'!$I:$I))/2</f>
        <v>-18648673.949908715</v>
      </c>
    </row>
    <row r="50" spans="1:20" ht="13.5" thickTop="1">
      <c r="A50" s="20">
        <f>A49+1</f>
        <v>23</v>
      </c>
      <c r="B50" s="8" t="s">
        <v>267</v>
      </c>
      <c r="D50" s="20"/>
      <c r="E50" s="20"/>
      <c r="F50" s="245"/>
      <c r="G50" s="245"/>
      <c r="H50" s="245"/>
      <c r="I50" s="20"/>
      <c r="J50" s="237">
        <f>SUM(J46:J49)</f>
        <v>-1337321905</v>
      </c>
      <c r="L50" s="20"/>
      <c r="M50" s="115"/>
      <c r="N50" s="115"/>
      <c r="O50" s="237">
        <f>IF(SUM(O46:O49)=('DEF - 5 p2 PY ADIT 28x'!I47+'DEF - 5 p4 CY ADIT 28x'!I48)/2,SUM(O46:O49),"error")</f>
        <v>-209886380.50155255</v>
      </c>
    </row>
    <row r="51" spans="1:20">
      <c r="A51" s="20"/>
      <c r="B51" s="8"/>
      <c r="D51" s="20"/>
      <c r="E51" s="20"/>
      <c r="F51" s="245"/>
      <c r="G51" s="245"/>
      <c r="H51" s="245"/>
      <c r="I51" s="20"/>
      <c r="L51" s="20"/>
    </row>
    <row r="52" spans="1:20" ht="25.5" customHeight="1">
      <c r="A52" s="143">
        <f>A50+1</f>
        <v>24</v>
      </c>
      <c r="B52" s="339" t="s">
        <v>496</v>
      </c>
      <c r="C52" s="340"/>
      <c r="D52" s="143" t="s">
        <v>495</v>
      </c>
      <c r="E52" s="143"/>
      <c r="F52" s="243">
        <f>-'DEF - 5A Unfunded Reserves'!E31</f>
        <v>-362501475.18000001</v>
      </c>
      <c r="G52" s="243"/>
      <c r="H52" s="243">
        <f>-'DEF - 5A Unfunded Reserves'!G31</f>
        <v>-444529948</v>
      </c>
      <c r="I52" s="143"/>
      <c r="J52" s="244">
        <f>(F52+H52)/2</f>
        <v>-403515711.59000003</v>
      </c>
      <c r="K52" s="120"/>
      <c r="L52" s="343" t="s">
        <v>911</v>
      </c>
      <c r="M52" s="343"/>
      <c r="N52" s="240"/>
      <c r="O52" s="244">
        <f>-'DEF - 5A Unfunded Reserves'!N31</f>
        <v>-26525530.5934016</v>
      </c>
    </row>
    <row r="53" spans="1:20">
      <c r="A53" s="20"/>
      <c r="B53" s="8"/>
      <c r="D53" s="20"/>
      <c r="E53" s="20"/>
      <c r="F53" s="245"/>
      <c r="G53" s="245"/>
      <c r="H53" s="245"/>
      <c r="I53" s="20"/>
      <c r="L53" s="20"/>
    </row>
    <row r="54" spans="1:20" ht="25.5" customHeight="1">
      <c r="A54" s="143">
        <f>A52+1</f>
        <v>25</v>
      </c>
      <c r="B54" s="339" t="s">
        <v>286</v>
      </c>
      <c r="C54" s="340"/>
      <c r="D54" s="143" t="str">
        <f>'DEF - 6  p1, FF1 Inputs '!F35</f>
        <v>230a.5.f</v>
      </c>
      <c r="E54" s="143"/>
      <c r="F54" s="243">
        <f>'DEF - 6  p1, FF1 Inputs '!J76</f>
        <v>-698028.7799999998</v>
      </c>
      <c r="G54" s="243"/>
      <c r="H54" s="243">
        <f>'DEF - 6  p1, FF1 Inputs '!J35</f>
        <v>-4618198</v>
      </c>
      <c r="I54" s="143"/>
      <c r="J54" s="121">
        <f>(F54+H54)/2</f>
        <v>-2658113.3899999997</v>
      </c>
      <c r="K54" s="120"/>
      <c r="L54" s="143" t="str">
        <f>"p. 5, l. "&amp;'DEF - 2 - Page 5 Storm, Notes'!B38</f>
        <v>p. 5, l. 16</v>
      </c>
      <c r="M54" s="240">
        <f>'DEF - 2 - Page 5 Storm, Notes'!K38</f>
        <v>2.8590626479106005</v>
      </c>
      <c r="N54" s="120"/>
      <c r="O54" s="121">
        <f>J54*M54</f>
        <v>-7599712.7072600219</v>
      </c>
      <c r="R54" s="247"/>
      <c r="S54" s="248"/>
    </row>
    <row r="55" spans="1:20">
      <c r="A55" s="20"/>
      <c r="B55" s="8"/>
      <c r="D55" s="20"/>
      <c r="E55" s="20"/>
      <c r="F55" s="245"/>
      <c r="G55" s="245"/>
      <c r="H55" s="245"/>
      <c r="I55" s="20"/>
      <c r="L55" s="20"/>
      <c r="R55" s="247"/>
      <c r="S55" s="248"/>
      <c r="T55" s="248"/>
    </row>
    <row r="56" spans="1:20">
      <c r="A56" s="143">
        <f>A54+1</f>
        <v>26</v>
      </c>
      <c r="B56" s="8" t="s">
        <v>38</v>
      </c>
      <c r="D56" s="20" t="str">
        <f>'DEF - 6  p1, FF1 Inputs '!F26</f>
        <v>214.47.d</v>
      </c>
      <c r="E56" s="20"/>
      <c r="F56" s="245">
        <f>'DEF - 6  p1, FF1 Inputs '!J71</f>
        <v>6192322</v>
      </c>
      <c r="G56" s="245"/>
      <c r="H56" s="245">
        <f>'DEF - 6  p1, FF1 Inputs '!J26</f>
        <v>6192322</v>
      </c>
      <c r="I56" s="20"/>
      <c r="J56" s="9">
        <f>(F56+H56)/2</f>
        <v>6192322</v>
      </c>
      <c r="L56" s="20" t="s">
        <v>287</v>
      </c>
      <c r="O56" s="9">
        <f>J56</f>
        <v>6192322</v>
      </c>
      <c r="R56" s="247"/>
      <c r="S56" s="248"/>
      <c r="T56" s="248"/>
    </row>
    <row r="57" spans="1:20">
      <c r="A57" s="20"/>
      <c r="B57" s="8"/>
      <c r="F57" s="9"/>
      <c r="G57" s="9"/>
      <c r="H57" s="9"/>
      <c r="L57" s="20"/>
      <c r="R57" s="247"/>
      <c r="S57" s="248"/>
      <c r="T57" s="248"/>
    </row>
    <row r="58" spans="1:20">
      <c r="A58" s="143">
        <f>A56+1</f>
        <v>27</v>
      </c>
      <c r="B58" s="8" t="s">
        <v>486</v>
      </c>
      <c r="F58" s="245">
        <v>104260365.33999997</v>
      </c>
      <c r="G58" s="9"/>
      <c r="H58" s="245">
        <v>127314381.72000001</v>
      </c>
      <c r="J58" s="9">
        <f>(F58+H58)/2</f>
        <v>115787373.53</v>
      </c>
      <c r="L58" s="20"/>
      <c r="M58" s="240">
        <v>0.5</v>
      </c>
      <c r="O58" s="9">
        <f>J58*M58</f>
        <v>57893686.765000001</v>
      </c>
    </row>
    <row r="59" spans="1:20" ht="12.75" customHeight="1">
      <c r="A59" s="20"/>
      <c r="C59" s="22"/>
      <c r="D59" s="143"/>
      <c r="E59" s="143"/>
      <c r="F59" s="249"/>
      <c r="G59" s="249"/>
      <c r="H59" s="249"/>
      <c r="I59" s="143"/>
      <c r="J59" s="121"/>
      <c r="K59" s="120"/>
      <c r="L59" s="143"/>
      <c r="M59" s="240"/>
      <c r="N59" s="120"/>
      <c r="O59" s="121"/>
    </row>
    <row r="60" spans="1:20" ht="12.75" customHeight="1">
      <c r="A60" s="20"/>
      <c r="B60" s="8" t="s">
        <v>385</v>
      </c>
      <c r="C60" s="22"/>
      <c r="D60" s="143"/>
      <c r="E60" s="143"/>
      <c r="F60" s="249"/>
      <c r="G60" s="249"/>
      <c r="H60" s="249"/>
      <c r="I60" s="143"/>
      <c r="J60" s="121"/>
      <c r="K60" s="120"/>
      <c r="L60" s="143"/>
      <c r="M60" s="240"/>
      <c r="N60" s="120"/>
      <c r="O60" s="121"/>
    </row>
    <row r="61" spans="1:20" ht="12.75" customHeight="1">
      <c r="A61" s="20">
        <f>A58+1</f>
        <v>28</v>
      </c>
      <c r="C61" s="22" t="s">
        <v>487</v>
      </c>
      <c r="D61" s="143"/>
      <c r="E61" s="143"/>
      <c r="F61" s="245">
        <v>0</v>
      </c>
      <c r="G61" s="245"/>
      <c r="H61" s="245">
        <v>0</v>
      </c>
      <c r="I61" s="20"/>
      <c r="J61" s="9">
        <f>(F61+H61)/2</f>
        <v>0</v>
      </c>
      <c r="K61" s="120"/>
      <c r="L61" s="143" t="s">
        <v>55</v>
      </c>
      <c r="M61" s="240">
        <v>-1</v>
      </c>
      <c r="N61" s="120"/>
      <c r="O61" s="121">
        <f>J61*M61</f>
        <v>0</v>
      </c>
    </row>
    <row r="62" spans="1:20" ht="12.75" customHeight="1" thickBot="1">
      <c r="A62" s="20">
        <f>A61+1</f>
        <v>29</v>
      </c>
      <c r="C62" s="22" t="s">
        <v>264</v>
      </c>
      <c r="D62" s="143"/>
      <c r="E62" s="143"/>
      <c r="F62" s="245">
        <v>0</v>
      </c>
      <c r="G62" s="245"/>
      <c r="H62" s="245">
        <v>0</v>
      </c>
      <c r="I62" s="20"/>
      <c r="J62" s="9">
        <f>(F62+H62)/2</f>
        <v>0</v>
      </c>
      <c r="K62" s="120"/>
      <c r="L62" s="143" t="s">
        <v>55</v>
      </c>
      <c r="M62" s="240">
        <v>1</v>
      </c>
      <c r="N62" s="120"/>
      <c r="O62" s="121">
        <f>J62*M62</f>
        <v>0</v>
      </c>
    </row>
    <row r="63" spans="1:20" ht="12.75" customHeight="1" thickTop="1">
      <c r="A63" s="20">
        <f>A62+1</f>
        <v>30</v>
      </c>
      <c r="B63" s="8" t="s">
        <v>268</v>
      </c>
      <c r="C63" s="22"/>
      <c r="D63" s="23"/>
      <c r="E63" s="23"/>
      <c r="F63" s="245"/>
      <c r="G63" s="245"/>
      <c r="H63" s="245"/>
      <c r="I63" s="20"/>
      <c r="J63" s="9"/>
      <c r="K63" s="120"/>
      <c r="L63" s="143"/>
      <c r="M63" s="240"/>
      <c r="N63" s="120"/>
      <c r="O63" s="237">
        <f>SUM(O61:O62)</f>
        <v>0</v>
      </c>
    </row>
    <row r="64" spans="1:20" ht="12.75" customHeight="1">
      <c r="A64" s="20"/>
      <c r="B64" s="21"/>
      <c r="C64" s="22"/>
      <c r="D64" s="23"/>
      <c r="E64" s="23"/>
      <c r="F64" s="245"/>
      <c r="G64" s="245"/>
      <c r="H64" s="245"/>
      <c r="I64" s="20"/>
      <c r="J64" s="9"/>
      <c r="K64" s="120"/>
      <c r="L64" s="143"/>
      <c r="M64" s="240"/>
      <c r="N64" s="120"/>
      <c r="O64" s="121"/>
    </row>
    <row r="65" spans="1:18">
      <c r="A65" s="20"/>
      <c r="B65" s="8" t="s">
        <v>39</v>
      </c>
      <c r="D65" s="20"/>
      <c r="E65" s="20"/>
      <c r="F65" s="140"/>
      <c r="G65" s="140"/>
      <c r="H65" s="140"/>
      <c r="I65" s="20"/>
      <c r="L65" s="20"/>
    </row>
    <row r="66" spans="1:18">
      <c r="A66" s="20">
        <f>A63+1</f>
        <v>31</v>
      </c>
      <c r="B66" s="8"/>
      <c r="C66" s="106" t="s">
        <v>64</v>
      </c>
      <c r="D66" s="20" t="str">
        <f>"Page 3, line "&amp;'DEF - 2 - Page 3 Rev Reqt'!A34</f>
        <v>Page 3, line 17</v>
      </c>
      <c r="E66" s="20"/>
      <c r="F66" s="140"/>
      <c r="G66" s="140"/>
      <c r="H66" s="140"/>
      <c r="I66" s="20"/>
      <c r="L66" s="20"/>
      <c r="O66" s="9">
        <f>'DEF - 2 - Page 3 Rev Reqt'!K34/8</f>
        <v>6543273.8734024372</v>
      </c>
      <c r="R66" s="250"/>
    </row>
    <row r="67" spans="1:18">
      <c r="A67" s="20">
        <f>A66+1</f>
        <v>32</v>
      </c>
      <c r="B67" s="8"/>
      <c r="C67" s="106" t="s">
        <v>65</v>
      </c>
      <c r="D67" s="20" t="str">
        <f>'DEF - 6  p1, FF1 Inputs '!F31</f>
        <v>227.8.b&amp;c</v>
      </c>
      <c r="E67" s="20"/>
      <c r="F67" s="245">
        <f>'DEF - 6  p1, FF1 Inputs '!H31</f>
        <v>12671423</v>
      </c>
      <c r="G67" s="140"/>
      <c r="H67" s="245">
        <f>'DEF - 6  p1, FF1 Inputs '!J31</f>
        <v>5482316</v>
      </c>
      <c r="I67" s="20"/>
      <c r="J67" s="9">
        <f>(F67+H67)/2</f>
        <v>9076869.5</v>
      </c>
      <c r="L67" s="20" t="s">
        <v>229</v>
      </c>
      <c r="M67" s="115">
        <f>'DEF - 2 - Page 4 Support'!I20</f>
        <v>0.93456203028036555</v>
      </c>
      <c r="N67" s="115"/>
      <c r="O67" s="9">
        <f>J67*M67</f>
        <v>8482897.5885099266</v>
      </c>
    </row>
    <row r="68" spans="1:18">
      <c r="A68" s="20">
        <f>A67+1</f>
        <v>33</v>
      </c>
      <c r="B68" s="8"/>
      <c r="C68" s="106" t="s">
        <v>66</v>
      </c>
      <c r="D68" s="20" t="str">
        <f>'DEF - 6  p1, FF1 Inputs '!F32</f>
        <v>227.16.b&amp;c</v>
      </c>
      <c r="E68" s="20"/>
      <c r="F68" s="245">
        <f>'DEF - 6  p1, FF1 Inputs '!H32</f>
        <v>8603207</v>
      </c>
      <c r="G68" s="140"/>
      <c r="H68" s="245">
        <f>'DEF - 6  p1, FF1 Inputs '!J32</f>
        <v>9773644</v>
      </c>
      <c r="I68" s="20"/>
      <c r="J68" s="9">
        <f>(F68+H68)/2</f>
        <v>9188425.5</v>
      </c>
      <c r="L68" s="20" t="s">
        <v>190</v>
      </c>
      <c r="M68" s="115">
        <f>'DEF - 2 - Page 4 Support'!I37</f>
        <v>6.5736053966476971E-2</v>
      </c>
      <c r="N68" s="115"/>
      <c r="O68" s="9">
        <f>J68*M68</f>
        <v>604010.83453495312</v>
      </c>
    </row>
    <row r="69" spans="1:18" ht="13.5" thickBot="1">
      <c r="A69" s="20">
        <f>A68+1</f>
        <v>34</v>
      </c>
      <c r="B69" s="8"/>
      <c r="C69" s="106" t="s">
        <v>223</v>
      </c>
      <c r="D69" s="20" t="str">
        <f>'DEF - 6  p1, FF1 Inputs '!F11</f>
        <v>111.57.c&amp;d</v>
      </c>
      <c r="E69" s="20"/>
      <c r="F69" s="245">
        <f>'DEF - 6  p1, FF1 Inputs '!H11</f>
        <v>25733736</v>
      </c>
      <c r="G69" s="140"/>
      <c r="H69" s="245">
        <f>'DEF - 6  p1, FF1 Inputs '!$J$11</f>
        <v>36642350</v>
      </c>
      <c r="I69" s="20"/>
      <c r="J69" s="9">
        <f>(F69+H69)/2</f>
        <v>31188043</v>
      </c>
      <c r="L69" s="20" t="s">
        <v>41</v>
      </c>
      <c r="M69" s="115">
        <f>M23</f>
        <v>0.15270734665174499</v>
      </c>
      <c r="N69" s="115"/>
      <c r="O69" s="9">
        <f>J69*M69</f>
        <v>4762643.2937905286</v>
      </c>
    </row>
    <row r="70" spans="1:18" ht="13.5" thickTop="1">
      <c r="A70" s="20">
        <f>A69+1</f>
        <v>35</v>
      </c>
      <c r="B70" s="8" t="s">
        <v>46</v>
      </c>
      <c r="D70" s="20"/>
      <c r="E70" s="20"/>
      <c r="F70" s="140"/>
      <c r="G70" s="140"/>
      <c r="H70" s="140"/>
      <c r="I70" s="20"/>
      <c r="O70" s="237">
        <f>SUM(O66:O69)</f>
        <v>20392825.590237845</v>
      </c>
      <c r="R70" s="145"/>
    </row>
    <row r="71" spans="1:18">
      <c r="A71" s="20"/>
      <c r="B71" s="8"/>
      <c r="D71" s="20"/>
      <c r="E71" s="20"/>
      <c r="F71" s="140"/>
      <c r="G71" s="140"/>
      <c r="H71" s="140"/>
      <c r="I71" s="20"/>
    </row>
    <row r="72" spans="1:18">
      <c r="A72" s="20">
        <f>A70+1</f>
        <v>36</v>
      </c>
      <c r="B72" s="8" t="str">
        <f>"Rate Base (Sum of Lines "&amp;A43&amp;", "&amp;A50&amp;" thru "&amp;A58&amp;", "&amp;A63&amp;", and "&amp;A70&amp;")"</f>
        <v>Rate Base (Sum of Lines 18, 23 thru 27, 30, and 35)</v>
      </c>
      <c r="D72" s="20"/>
      <c r="E72" s="20"/>
      <c r="F72" s="20"/>
      <c r="G72" s="20"/>
      <c r="H72" s="20"/>
      <c r="I72" s="20"/>
      <c r="O72" s="9">
        <f>O43+O50+O52+O54+O56+O58+O63+O70</f>
        <v>1306571837.9585457</v>
      </c>
    </row>
    <row r="73" spans="1:18">
      <c r="B73" s="8"/>
    </row>
    <row r="74" spans="1:18">
      <c r="B74" s="8" t="s">
        <v>260</v>
      </c>
    </row>
    <row r="75" spans="1:18">
      <c r="B75" s="8"/>
    </row>
    <row r="76" spans="1:18">
      <c r="A76" s="20">
        <f>A72+1</f>
        <v>37</v>
      </c>
      <c r="C76" s="106" t="str">
        <f>'DEF - 6  p1, FF1 Inputs '!E16</f>
        <v>Long Term Debt</v>
      </c>
      <c r="D76" s="20" t="str">
        <f>'DEF - 6  p1, FF1 Inputs '!F16</f>
        <v>112.24.c&amp;d</v>
      </c>
      <c r="F76" s="9">
        <f>'DEF - 6  p1, FF1 Inputs '!H16</f>
        <v>4481946907</v>
      </c>
      <c r="G76" s="9"/>
      <c r="H76" s="9">
        <f>'DEF - 6  p1, FF1 Inputs '!J16</f>
        <v>5131230111</v>
      </c>
      <c r="I76" s="9"/>
      <c r="J76" s="9">
        <f>(F76+H76)/2</f>
        <v>4806588509</v>
      </c>
    </row>
    <row r="77" spans="1:18">
      <c r="A77" s="20">
        <f>A76+1</f>
        <v>38</v>
      </c>
      <c r="C77" s="106" t="s">
        <v>73</v>
      </c>
      <c r="D77" s="20" t="str">
        <f>'DEF - 6  p1, FF1 Inputs '!F12</f>
        <v>111.81.c&amp;d</v>
      </c>
      <c r="F77" s="245">
        <f>'DEF - 6  p1, FF1 Inputs '!H12</f>
        <v>16880501</v>
      </c>
      <c r="G77" s="9"/>
      <c r="H77" s="245">
        <f>'DEF - 6  p1, FF1 Inputs '!J12</f>
        <v>10424293</v>
      </c>
      <c r="I77" s="9"/>
      <c r="J77" s="9">
        <f>(F77+H77)/2</f>
        <v>13652397</v>
      </c>
    </row>
    <row r="78" spans="1:18">
      <c r="A78" s="20">
        <f>A77+1</f>
        <v>39</v>
      </c>
      <c r="C78" s="106" t="s">
        <v>74</v>
      </c>
      <c r="D78" s="20" t="str">
        <f>'DEF - 6  p1, FF1 Inputs '!F17</f>
        <v>113.61.c&amp;d</v>
      </c>
      <c r="F78" s="245">
        <f>'DEF - 6  p1, FF1 Inputs '!H17</f>
        <v>0</v>
      </c>
      <c r="G78" s="9"/>
      <c r="H78" s="245">
        <f>'DEF - 6  p1, FF1 Inputs '!J17</f>
        <v>0</v>
      </c>
      <c r="I78" s="9"/>
      <c r="J78" s="9">
        <f>(F78+H78)/2</f>
        <v>0</v>
      </c>
    </row>
    <row r="79" spans="1:18" ht="13.5" thickBot="1">
      <c r="A79" s="20">
        <f>A78+1</f>
        <v>40</v>
      </c>
      <c r="C79" s="106" t="s">
        <v>77</v>
      </c>
      <c r="D79" s="20" t="s">
        <v>193</v>
      </c>
      <c r="F79" s="9">
        <v>0</v>
      </c>
      <c r="G79" s="9"/>
      <c r="H79" s="9">
        <v>0</v>
      </c>
      <c r="I79" s="9"/>
      <c r="J79" s="9">
        <f>(F79+H79)/2</f>
        <v>0</v>
      </c>
    </row>
    <row r="80" spans="1:18" ht="13.5" thickTop="1">
      <c r="A80" s="20">
        <f>A79+1</f>
        <v>41</v>
      </c>
      <c r="C80" s="106" t="s">
        <v>78</v>
      </c>
      <c r="F80" s="9"/>
      <c r="G80" s="9"/>
      <c r="H80" s="9"/>
      <c r="I80" s="9"/>
      <c r="J80" s="237">
        <f>J76-J77+J78-J79</f>
        <v>4792936112</v>
      </c>
    </row>
    <row r="81" spans="1:10" ht="6" customHeight="1">
      <c r="F81" s="9"/>
      <c r="G81" s="9"/>
      <c r="H81" s="9"/>
      <c r="I81" s="9"/>
      <c r="J81" s="9"/>
    </row>
    <row r="82" spans="1:10">
      <c r="A82" s="20">
        <f>A80+1</f>
        <v>42</v>
      </c>
      <c r="C82" s="106" t="s">
        <v>79</v>
      </c>
      <c r="D82" s="20" t="str">
        <f>'DEF - 6  p1, FF1 Inputs '!F13</f>
        <v>112.3.c&amp;d</v>
      </c>
      <c r="F82" s="245">
        <f>'DEF - 6  p1, FF1 Inputs '!H13</f>
        <v>33496700</v>
      </c>
      <c r="G82" s="9"/>
      <c r="H82" s="245">
        <f>'DEF - 6  p1, FF1 Inputs '!J13</f>
        <v>33496700</v>
      </c>
      <c r="I82" s="9"/>
      <c r="J82" s="9">
        <f>(F82+H82)/2</f>
        <v>33496700</v>
      </c>
    </row>
    <row r="83" spans="1:10" ht="6" customHeight="1">
      <c r="A83" s="20"/>
      <c r="F83" s="9"/>
      <c r="G83" s="9"/>
      <c r="H83" s="9"/>
      <c r="I83" s="9"/>
      <c r="J83" s="9"/>
    </row>
    <row r="84" spans="1:10">
      <c r="A84" s="20"/>
      <c r="C84" s="106" t="s">
        <v>83</v>
      </c>
      <c r="F84" s="9"/>
      <c r="G84" s="9"/>
      <c r="H84" s="9"/>
      <c r="I84" s="9"/>
      <c r="J84" s="9"/>
    </row>
    <row r="85" spans="1:10">
      <c r="A85" s="20">
        <f>A82+1</f>
        <v>43</v>
      </c>
      <c r="C85" s="106" t="s">
        <v>82</v>
      </c>
      <c r="D85" s="20" t="str">
        <f>'DEF - 6  p1, FF1 Inputs '!F15</f>
        <v>112.16.c&amp;d</v>
      </c>
      <c r="F85" s="245">
        <f>'DEF - 6  p1, FF1 Inputs '!H15</f>
        <v>4709257713</v>
      </c>
      <c r="G85" s="9"/>
      <c r="H85" s="245">
        <f>'DEF - 6  p1, FF1 Inputs '!J15</f>
        <v>4832441481</v>
      </c>
      <c r="I85" s="9"/>
      <c r="J85" s="9">
        <f>(F85+H85)/2</f>
        <v>4770849597</v>
      </c>
    </row>
    <row r="86" spans="1:10">
      <c r="A86" s="20">
        <f>A85+1</f>
        <v>44</v>
      </c>
      <c r="C86" s="106" t="s">
        <v>80</v>
      </c>
      <c r="D86" s="20" t="str">
        <f>D82</f>
        <v>112.3.c&amp;d</v>
      </c>
      <c r="F86" s="245">
        <f>F82</f>
        <v>33496700</v>
      </c>
      <c r="G86" s="9"/>
      <c r="H86" s="245">
        <f>H82</f>
        <v>33496700</v>
      </c>
      <c r="I86" s="9"/>
      <c r="J86" s="9">
        <f>(F86+H86)/2</f>
        <v>33496700</v>
      </c>
    </row>
    <row r="87" spans="1:10" ht="13.5" thickBot="1">
      <c r="A87" s="20">
        <f>A86+1</f>
        <v>45</v>
      </c>
      <c r="C87" s="106" t="s">
        <v>81</v>
      </c>
      <c r="D87" s="20" t="str">
        <f>'DEF - 6  p1, FF1 Inputs '!F14</f>
        <v>112.12.c&amp;d</v>
      </c>
      <c r="F87" s="245">
        <f>'DEF - 6  p1, FF1 Inputs '!H14</f>
        <v>0</v>
      </c>
      <c r="G87" s="9"/>
      <c r="H87" s="245">
        <f>'DEF - 6  p1, FF1 Inputs '!J14</f>
        <v>0</v>
      </c>
      <c r="I87" s="9"/>
      <c r="J87" s="9">
        <f>(F87+H87)/2</f>
        <v>0</v>
      </c>
    </row>
    <row r="88" spans="1:10" ht="13.5" thickTop="1">
      <c r="A88" s="20">
        <f>A87+1</f>
        <v>46</v>
      </c>
      <c r="C88" s="106" t="s">
        <v>84</v>
      </c>
      <c r="F88" s="9"/>
      <c r="G88" s="9"/>
      <c r="H88" s="9"/>
      <c r="I88" s="9"/>
      <c r="J88" s="237">
        <f>J85-J86-J87</f>
        <v>4737352897</v>
      </c>
    </row>
    <row r="89" spans="1:10">
      <c r="F89" s="9"/>
      <c r="G89" s="9"/>
      <c r="H89" s="9"/>
      <c r="I89" s="9"/>
      <c r="J89" s="9"/>
    </row>
    <row r="90" spans="1:10">
      <c r="A90" s="20">
        <f>A88+1</f>
        <v>47</v>
      </c>
      <c r="C90" s="106" t="str">
        <f>"Total Capitalization (Sum of Lines "&amp;A80&amp;", "&amp;A82&amp;", and "&amp;A88&amp;")"</f>
        <v>Total Capitalization (Sum of Lines 41, 42, and 46)</v>
      </c>
      <c r="F90" s="9"/>
      <c r="G90" s="9"/>
      <c r="H90" s="9"/>
      <c r="I90" s="9"/>
      <c r="J90" s="9">
        <f>J80+J82+J88</f>
        <v>9563785709</v>
      </c>
    </row>
    <row r="91" spans="1:10">
      <c r="B91" s="8"/>
      <c r="F91" s="9"/>
      <c r="G91" s="9"/>
      <c r="H91" s="9"/>
      <c r="I91" s="9"/>
      <c r="J91" s="9"/>
    </row>
    <row r="92" spans="1:10">
      <c r="B92" s="8"/>
      <c r="F92" s="9"/>
      <c r="G92" s="9"/>
      <c r="H92" s="9"/>
      <c r="I92" s="9"/>
      <c r="J92" s="9"/>
    </row>
    <row r="93" spans="1:10">
      <c r="B93" s="8"/>
      <c r="F93" s="9"/>
      <c r="G93" s="9"/>
      <c r="H93" s="9"/>
      <c r="I93" s="9"/>
      <c r="J93" s="9"/>
    </row>
    <row r="94" spans="1:10">
      <c r="B94" s="8"/>
      <c r="F94" s="9"/>
      <c r="G94" s="9"/>
      <c r="H94" s="9"/>
      <c r="I94" s="9"/>
      <c r="J94" s="9"/>
    </row>
    <row r="95" spans="1:10">
      <c r="F95" s="9"/>
      <c r="G95" s="9"/>
      <c r="H95" s="9"/>
      <c r="I95" s="9"/>
      <c r="J95" s="9"/>
    </row>
    <row r="96" spans="1:10">
      <c r="F96" s="9"/>
      <c r="G96" s="9"/>
      <c r="H96" s="9"/>
      <c r="I96" s="9"/>
      <c r="J96" s="9"/>
    </row>
    <row r="97" spans="6:10">
      <c r="F97" s="9"/>
      <c r="G97" s="9"/>
      <c r="H97" s="9"/>
      <c r="I97" s="9"/>
      <c r="J97" s="9"/>
    </row>
    <row r="98" spans="6:10">
      <c r="F98" s="9"/>
      <c r="G98" s="9"/>
      <c r="H98" s="9"/>
      <c r="I98" s="9"/>
      <c r="J98" s="9"/>
    </row>
    <row r="99" spans="6:10">
      <c r="F99" s="9"/>
      <c r="G99" s="9"/>
      <c r="H99" s="9"/>
      <c r="I99" s="9"/>
      <c r="J99" s="9"/>
    </row>
    <row r="100" spans="6:10">
      <c r="F100" s="9"/>
      <c r="G100" s="9"/>
      <c r="H100" s="9"/>
      <c r="I100" s="9"/>
      <c r="J100" s="9"/>
    </row>
    <row r="101" spans="6:10">
      <c r="F101" s="9"/>
      <c r="G101" s="9"/>
      <c r="H101" s="9"/>
      <c r="I101" s="9"/>
      <c r="J101" s="9"/>
    </row>
    <row r="102" spans="6:10">
      <c r="F102" s="9"/>
      <c r="G102" s="9"/>
      <c r="H102" s="9"/>
      <c r="I102" s="9"/>
      <c r="J102" s="9"/>
    </row>
    <row r="103" spans="6:10">
      <c r="F103" s="9"/>
      <c r="G103" s="9"/>
      <c r="H103" s="9"/>
      <c r="I103" s="9"/>
      <c r="J103" s="9"/>
    </row>
    <row r="104" spans="6:10">
      <c r="F104" s="9"/>
      <c r="G104" s="9"/>
      <c r="H104" s="9"/>
      <c r="I104" s="9"/>
      <c r="J104" s="9"/>
    </row>
    <row r="105" spans="6:10">
      <c r="F105" s="9"/>
      <c r="G105" s="9"/>
      <c r="H105" s="9"/>
      <c r="I105" s="9"/>
      <c r="J105" s="9"/>
    </row>
  </sheetData>
  <mergeCells count="14">
    <mergeCell ref="L48:M48"/>
    <mergeCell ref="L49:M49"/>
    <mergeCell ref="N1:P1"/>
    <mergeCell ref="L11:M11"/>
    <mergeCell ref="B54:C54"/>
    <mergeCell ref="N2:P2"/>
    <mergeCell ref="N3:P3"/>
    <mergeCell ref="A5:P5"/>
    <mergeCell ref="A6:P6"/>
    <mergeCell ref="A8:P8"/>
    <mergeCell ref="L46:M46"/>
    <mergeCell ref="L47:M47"/>
    <mergeCell ref="B52:C52"/>
    <mergeCell ref="L52:M52"/>
  </mergeCells>
  <phoneticPr fontId="0" type="noConversion"/>
  <printOptions horizontalCentered="1"/>
  <pageMargins left="0.5" right="0.5" top="0.5" bottom="0.5" header="0.5" footer="0.5"/>
  <pageSetup scale="6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Normal="100" workbookViewId="0"/>
  </sheetViews>
  <sheetFormatPr defaultRowHeight="12.75"/>
  <cols>
    <col min="1" max="1" width="9.140625" style="3"/>
    <col min="2" max="2" width="4.7109375" style="3" customWidth="1"/>
    <col min="3" max="3" width="25.85546875" style="3" customWidth="1"/>
    <col min="4" max="4" width="14.42578125" style="3" customWidth="1"/>
    <col min="5" max="5" width="13.5703125" style="3" customWidth="1"/>
    <col min="6" max="6" width="15.140625" style="3" customWidth="1"/>
    <col min="7" max="9" width="11.7109375" style="3" customWidth="1"/>
    <col min="10" max="10" width="9" style="3" customWidth="1"/>
    <col min="11" max="11" width="9.140625" style="3"/>
    <col min="12" max="12" width="14.85546875" style="3" customWidth="1"/>
    <col min="13" max="16384" width="9.140625" style="3"/>
  </cols>
  <sheetData>
    <row r="1" spans="1:10" ht="15">
      <c r="A1" s="106"/>
      <c r="B1" s="106"/>
      <c r="C1" s="106"/>
      <c r="D1" s="106"/>
      <c r="E1" s="106"/>
      <c r="F1" s="106"/>
      <c r="G1" s="106"/>
      <c r="H1" s="106"/>
      <c r="I1" s="320" t="s">
        <v>923</v>
      </c>
      <c r="J1" s="106"/>
    </row>
    <row r="2" spans="1:10" ht="15">
      <c r="A2" s="106"/>
      <c r="B2" s="106"/>
      <c r="C2" s="106"/>
      <c r="D2" s="106"/>
      <c r="E2" s="106"/>
      <c r="F2" s="106"/>
      <c r="G2" s="106"/>
      <c r="H2" s="106"/>
      <c r="I2" s="320" t="s">
        <v>450</v>
      </c>
      <c r="J2" s="106"/>
    </row>
    <row r="3" spans="1:10">
      <c r="A3" s="106"/>
      <c r="B3" s="106"/>
      <c r="C3" s="106"/>
      <c r="D3" s="106"/>
      <c r="E3" s="106"/>
      <c r="F3" s="106"/>
      <c r="G3" s="106"/>
      <c r="H3" s="106"/>
      <c r="I3" s="337" t="str">
        <f>"Year Ending 12/31/"&amp;YR</f>
        <v>Year Ending 12/31/2012</v>
      </c>
      <c r="J3" s="337"/>
    </row>
    <row r="4" spans="1:10" ht="31.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</row>
    <row r="5" spans="1:10">
      <c r="A5" s="106"/>
      <c r="B5" s="338" t="s">
        <v>924</v>
      </c>
      <c r="C5" s="338"/>
      <c r="D5" s="338"/>
      <c r="E5" s="338"/>
      <c r="F5" s="338"/>
      <c r="G5" s="338"/>
      <c r="H5" s="338"/>
      <c r="I5" s="338"/>
      <c r="J5" s="106"/>
    </row>
    <row r="6" spans="1:10">
      <c r="A6" s="106"/>
      <c r="B6" s="343" t="s">
        <v>477</v>
      </c>
      <c r="C6" s="343"/>
      <c r="D6" s="343"/>
      <c r="E6" s="343"/>
      <c r="F6" s="343"/>
      <c r="G6" s="343"/>
      <c r="H6" s="343"/>
      <c r="I6" s="343"/>
      <c r="J6" s="106"/>
    </row>
    <row r="7" spans="1:10">
      <c r="A7" s="106"/>
      <c r="B7" s="106"/>
      <c r="C7" s="106"/>
      <c r="D7" s="106"/>
      <c r="E7" s="106"/>
      <c r="F7" s="106"/>
      <c r="G7" s="106"/>
      <c r="H7" s="106"/>
      <c r="I7" s="106"/>
      <c r="J7" s="106"/>
    </row>
    <row r="8" spans="1:10">
      <c r="A8" s="106"/>
      <c r="B8" s="106"/>
      <c r="C8" s="106"/>
      <c r="D8" s="106"/>
      <c r="E8" s="106"/>
      <c r="F8" s="106"/>
      <c r="G8" s="106"/>
      <c r="H8" s="106"/>
      <c r="I8" s="106"/>
      <c r="J8" s="106"/>
    </row>
    <row r="9" spans="1:10">
      <c r="A9" s="106"/>
      <c r="B9" s="106"/>
      <c r="C9" s="106"/>
      <c r="D9" s="106"/>
      <c r="E9" s="106"/>
      <c r="F9" s="106"/>
      <c r="G9" s="106"/>
      <c r="H9" s="106"/>
      <c r="I9" s="106"/>
      <c r="J9" s="106"/>
    </row>
    <row r="10" spans="1:10" ht="36.75">
      <c r="A10" s="20" t="s">
        <v>21</v>
      </c>
      <c r="B10" s="106" t="s">
        <v>458</v>
      </c>
      <c r="C10" s="106"/>
      <c r="D10" s="162" t="s">
        <v>821</v>
      </c>
      <c r="E10" s="162" t="s">
        <v>820</v>
      </c>
      <c r="F10" s="192" t="s">
        <v>899</v>
      </c>
      <c r="G10" s="20"/>
      <c r="H10" s="20" t="s">
        <v>453</v>
      </c>
      <c r="I10" s="106"/>
      <c r="J10" s="106"/>
    </row>
    <row r="11" spans="1:10">
      <c r="A11" s="106"/>
      <c r="B11" s="106"/>
      <c r="C11" s="106"/>
      <c r="D11" s="106" t="s">
        <v>246</v>
      </c>
      <c r="E11" s="106"/>
      <c r="F11" s="106"/>
      <c r="G11" s="106"/>
      <c r="H11" s="106"/>
      <c r="I11" s="106"/>
      <c r="J11" s="106"/>
    </row>
    <row r="12" spans="1:10">
      <c r="A12" s="106"/>
      <c r="B12" s="106" t="s">
        <v>451</v>
      </c>
      <c r="C12" s="106"/>
      <c r="D12" s="106"/>
      <c r="E12" s="106"/>
      <c r="F12" s="106"/>
      <c r="G12" s="106"/>
      <c r="H12" s="106"/>
      <c r="I12" s="106"/>
      <c r="J12" s="106"/>
    </row>
    <row r="13" spans="1:10" ht="6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10">
      <c r="A14" s="20">
        <v>1</v>
      </c>
      <c r="B14" s="106"/>
      <c r="C14" s="106" t="s">
        <v>248</v>
      </c>
      <c r="D14" s="145">
        <v>4081655</v>
      </c>
      <c r="E14" s="145">
        <v>9819953</v>
      </c>
      <c r="F14" s="145">
        <v>0</v>
      </c>
      <c r="G14" s="106"/>
      <c r="H14" s="145">
        <f>SUM(D14:G14)</f>
        <v>13901608</v>
      </c>
      <c r="I14" s="106"/>
      <c r="J14" s="106"/>
    </row>
    <row r="15" spans="1:10">
      <c r="A15" s="20">
        <v>2</v>
      </c>
      <c r="B15" s="106"/>
      <c r="C15" s="106" t="s">
        <v>454</v>
      </c>
      <c r="D15" s="332">
        <v>199322</v>
      </c>
      <c r="E15" s="332">
        <v>99905</v>
      </c>
      <c r="F15" s="332">
        <v>167304.62</v>
      </c>
      <c r="G15" s="106"/>
      <c r="H15" s="145">
        <f>SUM(D15:G15)</f>
        <v>466531.62</v>
      </c>
      <c r="I15" s="106"/>
      <c r="J15" s="106"/>
    </row>
    <row r="16" spans="1:10">
      <c r="A16" s="20">
        <v>3</v>
      </c>
      <c r="B16" s="106"/>
      <c r="C16" s="106" t="s">
        <v>455</v>
      </c>
      <c r="D16" s="145">
        <v>0</v>
      </c>
      <c r="E16" s="145">
        <v>0</v>
      </c>
      <c r="F16" s="145">
        <v>0</v>
      </c>
      <c r="G16" s="106"/>
      <c r="H16" s="145">
        <f>SUM(D16:G16)</f>
        <v>0</v>
      </c>
      <c r="I16" s="106"/>
      <c r="J16" s="106"/>
    </row>
    <row r="17" spans="1:10">
      <c r="A17" s="20">
        <v>4</v>
      </c>
      <c r="B17" s="106"/>
      <c r="C17" s="106" t="s">
        <v>456</v>
      </c>
      <c r="D17" s="145">
        <v>0</v>
      </c>
      <c r="E17" s="145">
        <v>0</v>
      </c>
      <c r="F17" s="145">
        <v>0</v>
      </c>
      <c r="G17" s="106"/>
      <c r="H17" s="145">
        <f>SUM(D17:G17)</f>
        <v>0</v>
      </c>
      <c r="I17" s="106"/>
      <c r="J17" s="106"/>
    </row>
    <row r="18" spans="1:10">
      <c r="A18" s="20">
        <v>5</v>
      </c>
      <c r="B18" s="106"/>
      <c r="C18" s="106" t="s">
        <v>249</v>
      </c>
      <c r="D18" s="145">
        <v>4280977</v>
      </c>
      <c r="E18" s="145">
        <v>9919858</v>
      </c>
      <c r="F18" s="145">
        <v>167304.62</v>
      </c>
      <c r="G18" s="106"/>
      <c r="H18" s="145">
        <f>SUM(H14:H17)</f>
        <v>14368139.619999999</v>
      </c>
      <c r="I18" s="106"/>
      <c r="J18" s="106"/>
    </row>
    <row r="19" spans="1:10">
      <c r="A19" s="20"/>
      <c r="B19" s="106"/>
      <c r="C19" s="106"/>
      <c r="D19" s="145"/>
      <c r="E19" s="145"/>
      <c r="F19" s="145"/>
      <c r="G19" s="106"/>
      <c r="H19" s="145"/>
      <c r="I19" s="106"/>
      <c r="J19" s="106"/>
    </row>
    <row r="20" spans="1:10">
      <c r="A20" s="20">
        <v>6</v>
      </c>
      <c r="B20" s="106"/>
      <c r="C20" s="106" t="s">
        <v>254</v>
      </c>
      <c r="D20" s="145">
        <v>4181316</v>
      </c>
      <c r="E20" s="145">
        <v>9869905.5</v>
      </c>
      <c r="F20" s="145">
        <v>83652.31</v>
      </c>
      <c r="G20" s="106"/>
      <c r="H20" s="145">
        <f>(H14+H18)/2</f>
        <v>14134873.809999999</v>
      </c>
      <c r="I20" s="106"/>
      <c r="J20" s="106"/>
    </row>
    <row r="21" spans="1:10">
      <c r="A21" s="20"/>
      <c r="B21" s="106"/>
      <c r="C21" s="106"/>
      <c r="D21" s="145"/>
      <c r="E21" s="145"/>
      <c r="F21" s="145"/>
      <c r="G21" s="106"/>
      <c r="H21" s="145"/>
      <c r="I21" s="106"/>
      <c r="J21" s="106"/>
    </row>
    <row r="22" spans="1:10">
      <c r="A22" s="20"/>
      <c r="B22" s="106"/>
      <c r="C22" s="106"/>
      <c r="D22" s="145"/>
      <c r="E22" s="145"/>
      <c r="F22" s="145"/>
      <c r="G22" s="106"/>
      <c r="H22" s="145"/>
      <c r="I22" s="106"/>
      <c r="J22" s="106"/>
    </row>
    <row r="23" spans="1:10">
      <c r="A23" s="20"/>
      <c r="B23" s="106" t="s">
        <v>284</v>
      </c>
      <c r="C23" s="106"/>
      <c r="D23" s="145"/>
      <c r="E23" s="145"/>
      <c r="F23" s="145"/>
      <c r="G23" s="106"/>
      <c r="H23" s="145"/>
      <c r="I23" s="106"/>
      <c r="J23" s="106"/>
    </row>
    <row r="24" spans="1:10" ht="6" customHeight="1">
      <c r="A24" s="20"/>
      <c r="B24" s="106"/>
      <c r="C24" s="106"/>
      <c r="D24" s="145"/>
      <c r="E24" s="145"/>
      <c r="F24" s="145"/>
      <c r="G24" s="106"/>
      <c r="H24" s="145"/>
      <c r="I24" s="106"/>
      <c r="J24" s="106"/>
    </row>
    <row r="25" spans="1:10">
      <c r="A25" s="20">
        <v>7</v>
      </c>
      <c r="B25" s="106"/>
      <c r="C25" s="106" t="s">
        <v>248</v>
      </c>
      <c r="D25" s="145">
        <v>50088</v>
      </c>
      <c r="E25" s="145">
        <v>125148</v>
      </c>
      <c r="F25" s="145">
        <v>0</v>
      </c>
      <c r="G25" s="106"/>
      <c r="H25" s="145">
        <f>SUM(D25:G25)</f>
        <v>175236</v>
      </c>
      <c r="I25" s="106"/>
      <c r="J25" s="106"/>
    </row>
    <row r="26" spans="1:10">
      <c r="A26" s="20">
        <v>8</v>
      </c>
      <c r="B26" s="106"/>
      <c r="C26" s="106" t="s">
        <v>457</v>
      </c>
      <c r="D26" s="145">
        <v>103749</v>
      </c>
      <c r="E26" s="145">
        <v>249618</v>
      </c>
      <c r="F26" s="145">
        <v>2018</v>
      </c>
      <c r="G26" s="106"/>
      <c r="H26" s="145">
        <f>SUM(D26:G26)</f>
        <v>355385</v>
      </c>
      <c r="I26" s="106"/>
      <c r="J26" s="106"/>
    </row>
    <row r="27" spans="1:10">
      <c r="A27" s="20">
        <v>9</v>
      </c>
      <c r="B27" s="106"/>
      <c r="C27" s="106" t="s">
        <v>456</v>
      </c>
      <c r="D27" s="145">
        <v>0</v>
      </c>
      <c r="E27" s="145">
        <v>0</v>
      </c>
      <c r="F27" s="145">
        <v>0</v>
      </c>
      <c r="G27" s="106"/>
      <c r="H27" s="145">
        <f>SUM(D27:G27)</f>
        <v>0</v>
      </c>
      <c r="I27" s="106"/>
      <c r="J27" s="106"/>
    </row>
    <row r="28" spans="1:10">
      <c r="A28" s="20">
        <v>10</v>
      </c>
      <c r="B28" s="106"/>
      <c r="C28" s="106" t="s">
        <v>249</v>
      </c>
      <c r="D28" s="145">
        <v>153837</v>
      </c>
      <c r="E28" s="145">
        <v>374766</v>
      </c>
      <c r="F28" s="145">
        <v>2018</v>
      </c>
      <c r="G28" s="106"/>
      <c r="H28" s="145">
        <f>SUM(H25:H27)</f>
        <v>530621</v>
      </c>
      <c r="I28" s="106"/>
      <c r="J28" s="106"/>
    </row>
    <row r="29" spans="1:10">
      <c r="A29" s="20"/>
      <c r="B29" s="106"/>
      <c r="C29" s="106"/>
      <c r="D29" s="145"/>
      <c r="E29" s="145"/>
      <c r="F29" s="145"/>
      <c r="G29" s="106"/>
      <c r="H29" s="145"/>
      <c r="I29" s="106"/>
      <c r="J29" s="106"/>
    </row>
    <row r="30" spans="1:10">
      <c r="A30" s="20">
        <v>11</v>
      </c>
      <c r="B30" s="106"/>
      <c r="C30" s="106" t="s">
        <v>452</v>
      </c>
      <c r="D30" s="145">
        <v>101962.5</v>
      </c>
      <c r="E30" s="145">
        <v>249957</v>
      </c>
      <c r="F30" s="145">
        <v>1009</v>
      </c>
      <c r="G30" s="106"/>
      <c r="H30" s="145">
        <f>(H25+H28)/2</f>
        <v>352928.5</v>
      </c>
      <c r="I30" s="106"/>
      <c r="J30" s="106"/>
    </row>
    <row r="38" spans="3:6">
      <c r="C38" s="106" t="s">
        <v>819</v>
      </c>
      <c r="D38" s="157">
        <v>40855</v>
      </c>
      <c r="E38" s="157">
        <v>40696</v>
      </c>
      <c r="F38" s="333">
        <v>41214</v>
      </c>
    </row>
  </sheetData>
  <mergeCells count="3">
    <mergeCell ref="I3:J3"/>
    <mergeCell ref="B5:I5"/>
    <mergeCell ref="B6:I6"/>
  </mergeCells>
  <printOptions horizontalCentered="1"/>
  <pageMargins left="0.5" right="0.5" top="0.5" bottom="0.2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7"/>
  <sheetViews>
    <sheetView zoomScale="115" zoomScaleNormal="115" workbookViewId="0">
      <selection activeCell="C38" sqref="C38"/>
    </sheetView>
  </sheetViews>
  <sheetFormatPr defaultRowHeight="12.75"/>
  <cols>
    <col min="1" max="1" width="5" style="3" bestFit="1" customWidth="1"/>
    <col min="2" max="2" width="2.7109375" style="3" customWidth="1"/>
    <col min="3" max="3" width="40.42578125" style="3" customWidth="1"/>
    <col min="4" max="4" width="11.85546875" style="3" bestFit="1" customWidth="1"/>
    <col min="5" max="5" width="2.7109375" style="3" customWidth="1"/>
    <col min="6" max="6" width="11.7109375" style="3" bestFit="1" customWidth="1"/>
    <col min="7" max="7" width="2.7109375" style="3" customWidth="1"/>
    <col min="8" max="8" width="12.5703125" style="3" bestFit="1" customWidth="1"/>
    <col min="9" max="9" width="8.140625" style="3" bestFit="1" customWidth="1"/>
    <col min="10" max="10" width="3.7109375" style="3" customWidth="1"/>
    <col min="11" max="11" width="12.85546875" style="3" bestFit="1" customWidth="1"/>
    <col min="12" max="12" width="5.7109375" style="3" customWidth="1"/>
    <col min="13" max="14" width="9.140625" style="3"/>
    <col min="15" max="15" width="71.85546875" bestFit="1" customWidth="1"/>
    <col min="16" max="16" width="22.5703125" bestFit="1" customWidth="1"/>
    <col min="17" max="17" width="15" bestFit="1" customWidth="1"/>
    <col min="18" max="18" width="13.28515625" customWidth="1"/>
  </cols>
  <sheetData>
    <row r="1" spans="1:18" ht="15">
      <c r="J1" s="334" t="s">
        <v>907</v>
      </c>
      <c r="K1" s="334"/>
      <c r="L1" s="334"/>
    </row>
    <row r="2" spans="1:18" ht="15">
      <c r="J2" s="335" t="s">
        <v>218</v>
      </c>
      <c r="K2" s="335"/>
      <c r="L2" s="336"/>
    </row>
    <row r="3" spans="1:18">
      <c r="J3" s="344" t="str">
        <f>FF1_Year</f>
        <v>Year Ending 12/31/2012</v>
      </c>
      <c r="K3" s="345"/>
      <c r="L3" s="345"/>
    </row>
    <row r="5" spans="1:18">
      <c r="A5" s="338" t="s">
        <v>924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</row>
    <row r="6" spans="1:18">
      <c r="A6" s="338" t="s">
        <v>135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</row>
    <row r="7" spans="1:18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</row>
    <row r="8" spans="1:18">
      <c r="A8" s="338" t="s">
        <v>136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</row>
    <row r="10" spans="1:18">
      <c r="A10" s="231"/>
    </row>
    <row r="11" spans="1:18" ht="25.5">
      <c r="A11" s="229" t="s">
        <v>21</v>
      </c>
      <c r="B11" s="33" t="s">
        <v>96</v>
      </c>
      <c r="C11" s="19"/>
      <c r="D11" s="229" t="s">
        <v>4</v>
      </c>
      <c r="E11" s="229"/>
      <c r="F11" s="229" t="s">
        <v>22</v>
      </c>
      <c r="G11" s="229"/>
      <c r="H11" s="338" t="s">
        <v>23</v>
      </c>
      <c r="I11" s="338"/>
      <c r="J11" s="229"/>
      <c r="K11" s="34" t="s">
        <v>24</v>
      </c>
      <c r="L11" s="35"/>
    </row>
    <row r="12" spans="1:18">
      <c r="A12" s="231"/>
    </row>
    <row r="13" spans="1:18">
      <c r="A13" s="231"/>
      <c r="B13" s="8" t="s">
        <v>47</v>
      </c>
    </row>
    <row r="14" spans="1:18">
      <c r="A14" s="36">
        <v>1</v>
      </c>
      <c r="B14" s="8"/>
      <c r="C14" s="3" t="str">
        <f>'DEF - 6  p1, FF1 Inputs '!E50</f>
        <v>TOTAL Transmission Expenses</v>
      </c>
      <c r="D14" s="231" t="str">
        <f>'DEF - 6  p1, FF1 Inputs '!F50</f>
        <v>321.112.b</v>
      </c>
      <c r="E14" s="231"/>
      <c r="F14" s="11">
        <f>'DEF - 6  p1, FF1 Inputs '!J50</f>
        <v>39151014</v>
      </c>
      <c r="H14" s="231"/>
      <c r="K14" s="5"/>
    </row>
    <row r="15" spans="1:18">
      <c r="A15" s="231">
        <f>A14+1</f>
        <v>2</v>
      </c>
      <c r="B15" s="8"/>
      <c r="C15" s="3" t="s">
        <v>226</v>
      </c>
      <c r="D15" s="231" t="s">
        <v>228</v>
      </c>
      <c r="E15" s="231"/>
      <c r="F15" s="11">
        <f>'DEF - 6  p1, FF1 Inputs '!$J$48</f>
        <v>4772592</v>
      </c>
      <c r="H15" s="231"/>
      <c r="K15" s="5"/>
      <c r="O15" s="146"/>
      <c r="P15" s="145"/>
      <c r="Q15" s="106"/>
      <c r="R15" s="105"/>
    </row>
    <row r="16" spans="1:18" ht="13.5" thickBot="1">
      <c r="A16" s="231">
        <f>A15+1</f>
        <v>3</v>
      </c>
      <c r="B16" s="8"/>
      <c r="C16" s="3" t="s">
        <v>48</v>
      </c>
      <c r="D16" s="231" t="str">
        <f>'DEF - 6  p1, FF1 Inputs '!F49</f>
        <v>321.96.b</v>
      </c>
      <c r="E16" s="231"/>
      <c r="F16" s="11">
        <f>'DEF - 6  p1, FF1 Inputs '!J49</f>
        <v>0</v>
      </c>
      <c r="H16" s="231"/>
      <c r="I16" s="6"/>
      <c r="J16" s="6"/>
      <c r="K16" s="5"/>
      <c r="O16" s="146"/>
      <c r="P16" s="172"/>
      <c r="Q16" s="106"/>
      <c r="R16" s="105"/>
    </row>
    <row r="17" spans="1:19" ht="13.5" thickTop="1">
      <c r="A17" s="231">
        <f>A16+1</f>
        <v>4</v>
      </c>
      <c r="B17" s="8"/>
      <c r="C17" s="3" t="s">
        <v>49</v>
      </c>
      <c r="D17" s="231" t="s">
        <v>171</v>
      </c>
      <c r="E17" s="231"/>
      <c r="F17" s="12">
        <f>F14-F15-F16</f>
        <v>34378422</v>
      </c>
      <c r="H17" s="231" t="s">
        <v>229</v>
      </c>
      <c r="I17" s="6">
        <f>'DEF - 2 - Page 4 Support'!I25</f>
        <v>0.9463874229850866</v>
      </c>
      <c r="J17" s="6"/>
      <c r="K17" s="12">
        <f>F17*I17</f>
        <v>32535306.202873807</v>
      </c>
    </row>
    <row r="18" spans="1:19">
      <c r="A18" s="231"/>
      <c r="B18" s="8"/>
      <c r="D18" s="231"/>
      <c r="E18" s="231"/>
      <c r="F18" s="5"/>
      <c r="H18" s="231"/>
      <c r="I18" s="6"/>
      <c r="J18" s="6"/>
      <c r="K18" s="5"/>
    </row>
    <row r="19" spans="1:19">
      <c r="A19" s="231">
        <f>A17+1</f>
        <v>5</v>
      </c>
      <c r="B19" s="8"/>
      <c r="C19" s="3" t="str">
        <f>'DEF - 6  p1, FF1 Inputs '!E54&amp;" (Note S)"</f>
        <v>Total Admin &amp; General Expenses  (Note S)</v>
      </c>
      <c r="D19" s="231" t="str">
        <f>'DEF - 6  p1, FF1 Inputs '!F54</f>
        <v>323.197.b</v>
      </c>
      <c r="E19" s="231"/>
      <c r="F19" s="5">
        <f>'DEF - 6  p1, FF1 Inputs '!J54+R34</f>
        <v>302119696.72777593</v>
      </c>
      <c r="H19" s="231"/>
      <c r="I19" s="6"/>
      <c r="J19" s="6"/>
      <c r="K19" s="5" t="str">
        <f>IF(ISNUMBER(I19),F19*I19,"")</f>
        <v/>
      </c>
      <c r="O19" s="164" t="s">
        <v>810</v>
      </c>
      <c r="P19" s="165" t="s">
        <v>809</v>
      </c>
      <c r="Q19" s="165"/>
      <c r="R19" s="166" t="s">
        <v>785</v>
      </c>
    </row>
    <row r="20" spans="1:19">
      <c r="A20" s="231">
        <f>A19+1</f>
        <v>6</v>
      </c>
      <c r="B20" s="8"/>
      <c r="C20" s="3" t="str">
        <f>" Less "&amp;'DEF - 6  p1, FF1 Inputs '!E51</f>
        <v xml:space="preserve"> Less (924) Property Insurance</v>
      </c>
      <c r="D20" s="231" t="str">
        <f>'DEF - 6  p1, FF1 Inputs '!F51</f>
        <v>323.185.b</v>
      </c>
      <c r="E20" s="231"/>
      <c r="F20" s="5">
        <f>'DEF - 6  p1, FF1 Inputs '!J51</f>
        <v>12783247</v>
      </c>
      <c r="H20" s="231"/>
      <c r="I20" s="6"/>
      <c r="J20" s="6"/>
      <c r="K20" s="5"/>
      <c r="O20" s="167" t="s">
        <v>804</v>
      </c>
      <c r="P20" s="174" t="s">
        <v>801</v>
      </c>
      <c r="Q20" s="61"/>
      <c r="R20" s="168">
        <f>'DEF - 6  p1, FF1 Inputs '!J54</f>
        <v>369280521</v>
      </c>
    </row>
    <row r="21" spans="1:19">
      <c r="A21" s="231">
        <f>A20+1</f>
        <v>7</v>
      </c>
      <c r="B21" s="8"/>
      <c r="C21" s="3" t="str">
        <f>" Less "&amp;'DEF - 6  p1, FF1 Inputs '!E52</f>
        <v xml:space="preserve"> Less (928) Regulatory Commission Expenses</v>
      </c>
      <c r="D21" s="231" t="str">
        <f>'DEF - 6  p1, FF1 Inputs '!F52</f>
        <v>323.189.b</v>
      </c>
      <c r="E21" s="231"/>
      <c r="F21" s="5">
        <f>'DEF - 6  p1, FF1 Inputs '!J52</f>
        <v>266006</v>
      </c>
      <c r="H21" s="231"/>
      <c r="I21" s="6"/>
      <c r="J21" s="6"/>
      <c r="K21" s="5"/>
      <c r="O21" s="167"/>
      <c r="P21" s="174"/>
      <c r="Q21" s="61"/>
      <c r="R21" s="169"/>
    </row>
    <row r="22" spans="1:19">
      <c r="A22" s="231">
        <f>A21+1</f>
        <v>8</v>
      </c>
      <c r="B22" s="8"/>
      <c r="C22" s="3" t="str">
        <f>" Less "&amp;'DEF - 6  p1, FF1 Inputs '!E53</f>
        <v xml:space="preserve"> Less (930.1) General Advertising Expenses</v>
      </c>
      <c r="D22" s="231" t="str">
        <f>'DEF - 6  p1, FF1 Inputs '!F53</f>
        <v>323.191.b</v>
      </c>
      <c r="E22" s="231"/>
      <c r="F22" s="5">
        <f>'DEF - 6  p1, FF1 Inputs '!J53</f>
        <v>549163</v>
      </c>
      <c r="H22" s="231"/>
      <c r="I22" s="6"/>
      <c r="J22" s="6"/>
      <c r="K22" s="5"/>
      <c r="O22" s="170" t="s">
        <v>926</v>
      </c>
      <c r="P22" s="175" t="s">
        <v>806</v>
      </c>
      <c r="Q22" s="151"/>
      <c r="R22" s="168"/>
    </row>
    <row r="23" spans="1:19" ht="13.5" thickBot="1">
      <c r="A23" s="231">
        <f>A22+1</f>
        <v>9</v>
      </c>
      <c r="B23" s="8"/>
      <c r="C23" s="3" t="s">
        <v>225</v>
      </c>
      <c r="D23" s="36" t="s">
        <v>224</v>
      </c>
      <c r="E23" s="231"/>
      <c r="F23" s="5">
        <f>'DEF - 6  p1, FF1 Inputs '!J55</f>
        <v>4769109</v>
      </c>
      <c r="H23" s="231"/>
      <c r="I23" s="6"/>
      <c r="J23" s="6"/>
      <c r="K23" s="5"/>
      <c r="O23" s="171" t="s">
        <v>786</v>
      </c>
      <c r="P23" s="176"/>
      <c r="Q23" s="172">
        <v>-418085.14000000025</v>
      </c>
      <c r="R23" s="168"/>
      <c r="S23" s="3"/>
    </row>
    <row r="24" spans="1:19" ht="13.5" thickTop="1">
      <c r="A24" s="231">
        <f>A23+1</f>
        <v>10</v>
      </c>
      <c r="B24" s="8"/>
      <c r="C24" s="3" t="s">
        <v>53</v>
      </c>
      <c r="D24" s="231"/>
      <c r="E24" s="231"/>
      <c r="F24" s="12">
        <f>F19-SUM(F20:F23)</f>
        <v>283752171.72777593</v>
      </c>
      <c r="H24" s="231" t="s">
        <v>190</v>
      </c>
      <c r="I24" s="6">
        <f>'DEF - 2 - Page 4 Support'!I37</f>
        <v>6.5736053966476971E-2</v>
      </c>
      <c r="J24" s="6"/>
      <c r="K24" s="5">
        <f>F24*I24</f>
        <v>18652748.073802121</v>
      </c>
      <c r="O24" s="171" t="s">
        <v>787</v>
      </c>
      <c r="P24" s="176"/>
      <c r="Q24" s="172">
        <v>-7374.2000000000044</v>
      </c>
      <c r="R24" s="168"/>
      <c r="S24" s="3"/>
    </row>
    <row r="25" spans="1:19">
      <c r="A25" s="231"/>
      <c r="B25" s="8"/>
      <c r="D25" s="231"/>
      <c r="E25" s="231"/>
      <c r="F25" s="37"/>
      <c r="H25" s="231"/>
      <c r="I25" s="6"/>
      <c r="J25" s="6"/>
      <c r="K25" s="5"/>
      <c r="O25" s="171" t="s">
        <v>788</v>
      </c>
      <c r="P25" s="176"/>
      <c r="Q25" s="172">
        <v>-950993.60000000056</v>
      </c>
      <c r="R25" s="168"/>
      <c r="S25" s="3"/>
    </row>
    <row r="26" spans="1:19">
      <c r="A26" s="231">
        <f>A24+1</f>
        <v>11</v>
      </c>
      <c r="B26" s="8"/>
      <c r="C26" s="3" t="str">
        <f>'DEF - 6  p1, FF1 Inputs '!E51</f>
        <v>(924) Property Insurance</v>
      </c>
      <c r="D26" s="231" t="str">
        <f>'DEF - 6  p1, FF1 Inputs '!F51</f>
        <v>323.185.b</v>
      </c>
      <c r="E26" s="231"/>
      <c r="F26" s="5">
        <f>'DEF - 6  p1, FF1 Inputs '!J51</f>
        <v>12783247</v>
      </c>
      <c r="H26" s="231"/>
      <c r="I26" s="6"/>
      <c r="J26" s="6"/>
      <c r="K26" s="5"/>
      <c r="O26" s="171" t="s">
        <v>789</v>
      </c>
      <c r="P26" s="176"/>
      <c r="Q26" s="172">
        <v>-155523.35000000009</v>
      </c>
      <c r="R26" s="168"/>
      <c r="S26" s="3"/>
    </row>
    <row r="27" spans="1:19" ht="13.5" thickBot="1">
      <c r="A27" s="231">
        <f>A26+1</f>
        <v>12</v>
      </c>
      <c r="B27" s="8"/>
      <c r="C27" s="4" t="s">
        <v>241</v>
      </c>
      <c r="D27" s="231"/>
      <c r="E27" s="231"/>
      <c r="F27" s="9">
        <v>-173.2700000000001</v>
      </c>
      <c r="H27" s="231"/>
      <c r="I27" s="6"/>
      <c r="J27" s="6"/>
      <c r="K27" s="5"/>
      <c r="O27" s="171" t="s">
        <v>811</v>
      </c>
      <c r="P27" s="176"/>
      <c r="Q27" s="172">
        <v>0</v>
      </c>
      <c r="R27" s="168"/>
      <c r="S27" s="3"/>
    </row>
    <row r="28" spans="1:19" ht="13.5" thickTop="1">
      <c r="A28" s="231">
        <f>A27+1</f>
        <v>13</v>
      </c>
      <c r="B28" s="8"/>
      <c r="C28" s="4" t="s">
        <v>367</v>
      </c>
      <c r="D28" s="231"/>
      <c r="E28" s="231"/>
      <c r="F28" s="12">
        <f>F26+F27</f>
        <v>12783073.73</v>
      </c>
      <c r="H28" s="231" t="s">
        <v>41</v>
      </c>
      <c r="I28" s="6">
        <f>'DEF - 2 Page 2 Rate Base'!M23</f>
        <v>0.15270734665174499</v>
      </c>
      <c r="J28" s="6"/>
      <c r="K28" s="5">
        <f>F28*I28</f>
        <v>1952069.2713619249</v>
      </c>
      <c r="O28" s="171" t="s">
        <v>790</v>
      </c>
      <c r="P28" s="176"/>
      <c r="Q28" s="252">
        <v>0</v>
      </c>
      <c r="R28" s="168"/>
      <c r="S28" s="3"/>
    </row>
    <row r="29" spans="1:19">
      <c r="A29" s="231"/>
      <c r="B29" s="8"/>
      <c r="D29" s="231"/>
      <c r="E29" s="231"/>
      <c r="F29" s="5"/>
      <c r="H29" s="231"/>
      <c r="I29" s="6"/>
      <c r="J29" s="6"/>
      <c r="K29" s="5"/>
      <c r="O29" s="173"/>
      <c r="P29" s="251"/>
      <c r="Q29" s="146"/>
      <c r="R29" s="168">
        <f>SUM(Q23:Q28)</f>
        <v>-1531976.290000001</v>
      </c>
      <c r="S29" s="3"/>
    </row>
    <row r="30" spans="1:19">
      <c r="A30" s="231">
        <f>A28+1</f>
        <v>14</v>
      </c>
      <c r="B30" s="8"/>
      <c r="C30" s="3" t="s">
        <v>54</v>
      </c>
      <c r="D30" s="231" t="s">
        <v>297</v>
      </c>
      <c r="E30" s="231"/>
      <c r="F30" s="5"/>
      <c r="H30" s="231" t="s">
        <v>55</v>
      </c>
      <c r="I30" s="6">
        <v>1</v>
      </c>
      <c r="J30" s="6"/>
      <c r="K30" s="5">
        <f>F30*I30</f>
        <v>0</v>
      </c>
      <c r="O30" s="173" t="s">
        <v>927</v>
      </c>
      <c r="P30" s="176" t="s">
        <v>808</v>
      </c>
      <c r="Q30" s="146"/>
      <c r="R30" s="253">
        <v>-52334129.090000004</v>
      </c>
      <c r="S30" s="3"/>
    </row>
    <row r="31" spans="1:19">
      <c r="A31" s="231">
        <f>A30+1</f>
        <v>15</v>
      </c>
      <c r="B31" s="8"/>
      <c r="C31" s="3" t="s">
        <v>56</v>
      </c>
      <c r="D31" s="231" t="s">
        <v>297</v>
      </c>
      <c r="E31" s="231"/>
      <c r="F31" s="5"/>
      <c r="H31" s="231" t="s">
        <v>55</v>
      </c>
      <c r="I31" s="6">
        <v>1</v>
      </c>
      <c r="J31" s="6"/>
      <c r="K31" s="5">
        <f>F31*I31</f>
        <v>0</v>
      </c>
      <c r="O31" s="173" t="s">
        <v>842</v>
      </c>
      <c r="P31" s="176" t="s">
        <v>805</v>
      </c>
      <c r="Q31" s="146"/>
      <c r="R31" s="253">
        <v>-11424107.51</v>
      </c>
      <c r="S31" s="3"/>
    </row>
    <row r="32" spans="1:19">
      <c r="A32" s="231">
        <f>A31+1</f>
        <v>16</v>
      </c>
      <c r="B32" s="8"/>
      <c r="C32" s="3" t="s">
        <v>212</v>
      </c>
      <c r="D32" s="231" t="s">
        <v>211</v>
      </c>
      <c r="E32" s="231"/>
      <c r="F32" s="5">
        <f>'DEF - 2 - Page 6, PBOPs'!G50</f>
        <v>-12077581.675700001</v>
      </c>
      <c r="H32" s="231" t="s">
        <v>190</v>
      </c>
      <c r="I32" s="6">
        <f>'DEF - 2 - Page 4 Support'!I37</f>
        <v>6.5736053966476971E-2</v>
      </c>
      <c r="J32" s="6"/>
      <c r="K32" s="5">
        <f>F32*I32</f>
        <v>-793932.56081834866</v>
      </c>
      <c r="O32" s="173" t="s">
        <v>928</v>
      </c>
      <c r="P32" s="251"/>
      <c r="Q32" s="158"/>
      <c r="R32" s="168">
        <v>-833512</v>
      </c>
      <c r="S32" s="3"/>
    </row>
    <row r="33" spans="1:19" ht="13.5" thickBot="1">
      <c r="A33" s="231"/>
      <c r="B33" s="8"/>
      <c r="D33" s="231"/>
      <c r="E33" s="231"/>
      <c r="F33" s="5"/>
      <c r="H33" s="231"/>
      <c r="I33" s="6"/>
      <c r="J33" s="6"/>
      <c r="K33" s="5"/>
      <c r="O33" s="173" t="s">
        <v>843</v>
      </c>
      <c r="P33" s="176" t="s">
        <v>807</v>
      </c>
      <c r="Q33" s="158"/>
      <c r="R33" s="168">
        <v>-1037099.3822240506</v>
      </c>
      <c r="S33" s="3"/>
    </row>
    <row r="34" spans="1:19" ht="13.5" thickTop="1">
      <c r="A34" s="231">
        <f>A32+1</f>
        <v>17</v>
      </c>
      <c r="B34" s="8" t="str">
        <f>"Total O&amp;M (Sum of Lines "&amp;A17&amp;", "&amp;A24&amp;", and "&amp;A28&amp;" thru "&amp;A32&amp;")"</f>
        <v>Total O&amp;M (Sum of Lines 4, 10, and 13 thru 16)</v>
      </c>
      <c r="D34" s="231"/>
      <c r="E34" s="231"/>
      <c r="F34" s="5"/>
      <c r="H34" s="231"/>
      <c r="I34" s="6"/>
      <c r="J34" s="6"/>
      <c r="K34" s="40">
        <f>K17+K24+SUM(K26:K32)</f>
        <v>52346190.987219498</v>
      </c>
      <c r="O34" s="254" t="s">
        <v>802</v>
      </c>
      <c r="P34" s="158"/>
      <c r="Q34" s="158"/>
      <c r="R34" s="255">
        <f>SUM(R22:R33)</f>
        <v>-67160824.272224054</v>
      </c>
      <c r="S34" s="3"/>
    </row>
    <row r="35" spans="1:19">
      <c r="A35" s="231"/>
      <c r="B35" s="8"/>
      <c r="D35" s="231"/>
      <c r="E35" s="231"/>
      <c r="F35" s="5"/>
      <c r="H35" s="231"/>
      <c r="I35" s="6"/>
      <c r="J35" s="6"/>
      <c r="K35" s="5"/>
      <c r="O35" s="217"/>
      <c r="P35" s="158"/>
      <c r="Q35" s="158"/>
      <c r="R35" s="204"/>
      <c r="S35" s="3"/>
    </row>
    <row r="36" spans="1:19" ht="13.5" thickBot="1">
      <c r="A36" s="231"/>
      <c r="B36" s="8" t="s">
        <v>57</v>
      </c>
      <c r="D36" s="231"/>
      <c r="E36" s="231"/>
      <c r="F36" s="5"/>
      <c r="H36" s="231"/>
      <c r="I36" s="6"/>
      <c r="J36" s="6"/>
      <c r="K36" s="5"/>
      <c r="O36" s="217" t="s">
        <v>803</v>
      </c>
      <c r="P36" s="158"/>
      <c r="Q36" s="158"/>
      <c r="R36" s="256">
        <f>+R20+R34</f>
        <v>302119696.72777593</v>
      </c>
      <c r="S36" s="3"/>
    </row>
    <row r="37" spans="1:19" ht="13.5" thickTop="1">
      <c r="A37" s="231">
        <f>A34+1</f>
        <v>18</v>
      </c>
      <c r="B37" s="8"/>
      <c r="C37" s="228" t="str">
        <f>'DEF - 6  p1, FF1 Inputs '!E57&amp;" (Note V)"</f>
        <v>Transmission Depr. Expense (Note V)</v>
      </c>
      <c r="D37" s="231" t="str">
        <f>'DEF - 6  p1, FF1 Inputs '!F57</f>
        <v>336.7.f</v>
      </c>
      <c r="E37" s="231"/>
      <c r="F37" s="5">
        <f>'DEF - 6  p1, FF1 Inputs '!J57</f>
        <v>44813318.475874446</v>
      </c>
      <c r="H37" s="111"/>
      <c r="I37" s="112"/>
      <c r="J37" s="112"/>
      <c r="K37" s="113"/>
      <c r="O37" s="195"/>
      <c r="P37" s="213"/>
      <c r="Q37" s="213"/>
      <c r="R37" s="214"/>
      <c r="S37" s="3"/>
    </row>
    <row r="38" spans="1:19">
      <c r="A38" s="20" t="s">
        <v>467</v>
      </c>
      <c r="B38" s="8"/>
      <c r="C38" s="116" t="s">
        <v>469</v>
      </c>
      <c r="D38" s="20" t="s">
        <v>471</v>
      </c>
      <c r="E38" s="15"/>
      <c r="F38" s="114">
        <f>'DEF - 7, Retail Radials'!H26</f>
        <v>355385</v>
      </c>
      <c r="G38" s="14"/>
      <c r="H38" s="15"/>
      <c r="I38" s="110"/>
      <c r="J38" s="110"/>
      <c r="K38" s="107"/>
      <c r="O38" s="3"/>
      <c r="P38" s="3"/>
      <c r="Q38" s="3"/>
      <c r="R38" s="3"/>
      <c r="S38" s="3"/>
    </row>
    <row r="39" spans="1:19">
      <c r="A39" s="20" t="s">
        <v>468</v>
      </c>
      <c r="B39" s="8"/>
      <c r="C39" s="116" t="s">
        <v>472</v>
      </c>
      <c r="D39" s="20"/>
      <c r="E39" s="15"/>
      <c r="F39" s="9">
        <f>F37-F38</f>
        <v>44457933.475874446</v>
      </c>
      <c r="G39" s="14"/>
      <c r="H39" s="20" t="s">
        <v>51</v>
      </c>
      <c r="I39" s="115">
        <f>'DEF - 2 - Page 4 Support'!I20</f>
        <v>0.93456203028036555</v>
      </c>
      <c r="J39" s="115"/>
      <c r="K39" s="9">
        <f>F39*I39</f>
        <v>41548696.571282655</v>
      </c>
      <c r="O39" s="3"/>
      <c r="P39" s="3"/>
      <c r="Q39" s="3"/>
      <c r="R39" s="3"/>
      <c r="S39" s="3"/>
    </row>
    <row r="40" spans="1:19">
      <c r="A40" s="231"/>
      <c r="B40" s="8"/>
      <c r="C40" s="228"/>
      <c r="D40" s="231"/>
      <c r="E40" s="231"/>
      <c r="F40" s="5"/>
      <c r="H40" s="231"/>
      <c r="I40" s="6"/>
      <c r="J40" s="6"/>
      <c r="K40" s="5"/>
      <c r="O40" s="3"/>
      <c r="P40" s="3"/>
      <c r="Q40" s="3"/>
      <c r="R40" s="3"/>
      <c r="S40" s="3"/>
    </row>
    <row r="41" spans="1:19">
      <c r="A41" s="231">
        <f>A37+1</f>
        <v>19</v>
      </c>
      <c r="B41" s="8"/>
      <c r="C41" s="228" t="str">
        <f>'DEF - 6  p1, FF1 Inputs '!E58</f>
        <v>General Depr. Expense</v>
      </c>
      <c r="D41" s="231" t="str">
        <f>'DEF - 6  p1, FF1 Inputs '!F58</f>
        <v>336.10.f</v>
      </c>
      <c r="E41" s="231"/>
      <c r="F41" s="5">
        <f>'DEF - 6  p1, FF1 Inputs '!J58</f>
        <v>15968250</v>
      </c>
      <c r="H41" s="231" t="s">
        <v>190</v>
      </c>
      <c r="I41" s="6">
        <f>'DEF - 2 - Page 4 Support'!I37</f>
        <v>6.5736053966476971E-2</v>
      </c>
      <c r="J41" s="6"/>
      <c r="K41" s="5">
        <f>F41*I41</f>
        <v>1049689.743750196</v>
      </c>
      <c r="O41" s="3"/>
      <c r="P41" s="3"/>
      <c r="Q41" s="3"/>
      <c r="R41" s="3"/>
      <c r="S41" s="3"/>
    </row>
    <row r="42" spans="1:19" ht="13.5" thickBot="1">
      <c r="A42" s="231">
        <f>A41+1</f>
        <v>20</v>
      </c>
      <c r="B42" s="8"/>
      <c r="C42" s="228" t="str">
        <f>'DEF - 6  p1, FF1 Inputs '!E56&amp;" (Note E)"</f>
        <v>Intangible Amortization (Note E)</v>
      </c>
      <c r="D42" s="231" t="str">
        <f>'DEF - 6  p1, FF1 Inputs '!F56</f>
        <v>336.1.f</v>
      </c>
      <c r="E42" s="231"/>
      <c r="F42" s="5">
        <f>'DEF - 6  p1, FF1 Inputs '!J56</f>
        <v>4883794</v>
      </c>
      <c r="H42" s="231" t="s">
        <v>190</v>
      </c>
      <c r="I42" s="6">
        <f>'DEF - 2 - Page 4 Support'!I37</f>
        <v>6.5736053966476971E-2</v>
      </c>
      <c r="J42" s="6"/>
      <c r="K42" s="5">
        <f>F42*I42</f>
        <v>321041.34594515641</v>
      </c>
      <c r="O42" s="3"/>
      <c r="P42" s="3"/>
      <c r="Q42" s="3"/>
      <c r="R42" s="3"/>
      <c r="S42" s="3"/>
    </row>
    <row r="43" spans="1:19" ht="13.5" thickTop="1">
      <c r="A43" s="231">
        <f>A42+1</f>
        <v>21</v>
      </c>
      <c r="B43" s="8" t="s">
        <v>60</v>
      </c>
      <c r="D43" s="231"/>
      <c r="E43" s="231"/>
      <c r="F43" s="12">
        <f>SUM(F39:F42)</f>
        <v>65309977.475874446</v>
      </c>
      <c r="H43" s="231"/>
      <c r="I43" s="6"/>
      <c r="J43" s="6"/>
      <c r="K43" s="40">
        <f>SUM(K39:K42)</f>
        <v>42919427.660978012</v>
      </c>
      <c r="O43" s="3"/>
      <c r="P43" s="3"/>
      <c r="Q43" s="3"/>
      <c r="R43" s="3"/>
      <c r="S43" s="3"/>
    </row>
    <row r="44" spans="1:19">
      <c r="A44" s="231"/>
      <c r="B44" s="8"/>
      <c r="D44" s="231"/>
      <c r="E44" s="231"/>
      <c r="H44" s="231"/>
    </row>
    <row r="45" spans="1:19">
      <c r="A45" s="231"/>
      <c r="B45" s="8" t="s">
        <v>131</v>
      </c>
      <c r="D45" s="231"/>
      <c r="E45" s="231"/>
      <c r="H45" s="231"/>
    </row>
    <row r="46" spans="1:19">
      <c r="A46" s="231">
        <f>A43+1</f>
        <v>22</v>
      </c>
      <c r="B46" s="8"/>
      <c r="C46" s="3" t="s">
        <v>130</v>
      </c>
      <c r="D46" s="36" t="s">
        <v>63</v>
      </c>
      <c r="E46" s="36"/>
      <c r="F46" s="5">
        <f>'DEF - 6  p1, FF1 Inputs '!J37+'DEF - 6  p1, FF1 Inputs '!J38+'DEF - 6  p1, FF1 Inputs '!J40</f>
        <v>20878200.98</v>
      </c>
      <c r="H46" s="231" t="s">
        <v>190</v>
      </c>
      <c r="I46" s="6">
        <f>'DEF - 2 - Page 4 Support'!I37</f>
        <v>6.5736053966476971E-2</v>
      </c>
      <c r="J46" s="6"/>
      <c r="K46" s="5">
        <f>F46*I46</f>
        <v>1372450.5463442325</v>
      </c>
      <c r="S46" s="149"/>
    </row>
    <row r="47" spans="1:19" ht="13.5" thickBot="1">
      <c r="A47" s="231">
        <f>A46+1</f>
        <v>23</v>
      </c>
      <c r="B47" s="8"/>
      <c r="C47" s="3" t="s">
        <v>61</v>
      </c>
      <c r="D47" s="231" t="s">
        <v>63</v>
      </c>
      <c r="E47" s="231"/>
      <c r="F47" s="5">
        <f>'DEF - 6  p1, FF1 Inputs '!J39+'DEF - 6  p1, FF1 Inputs '!J41+'DEF - 6  p1, FF1 Inputs '!J42</f>
        <v>113390866</v>
      </c>
      <c r="H47" s="231" t="s">
        <v>41</v>
      </c>
      <c r="I47" s="6">
        <f>'DEF - 2 Page 2 Rate Base'!M23</f>
        <v>0.15270734665174499</v>
      </c>
      <c r="J47" s="6"/>
      <c r="K47" s="5">
        <f>F47*I47</f>
        <v>17315618.281403564</v>
      </c>
    </row>
    <row r="48" spans="1:19" ht="13.5" thickTop="1">
      <c r="A48" s="231">
        <f>A47+1</f>
        <v>24</v>
      </c>
      <c r="B48" s="8" t="s">
        <v>62</v>
      </c>
      <c r="D48" s="231"/>
      <c r="E48" s="231"/>
      <c r="F48" s="12">
        <f>SUM(F45:F47)</f>
        <v>134269066.97999999</v>
      </c>
      <c r="H48" s="231"/>
      <c r="I48" s="6"/>
      <c r="J48" s="6"/>
      <c r="K48" s="40">
        <f>SUM(K45:K47)</f>
        <v>18688068.827747796</v>
      </c>
    </row>
    <row r="49" spans="1:14">
      <c r="A49" s="231"/>
      <c r="B49" s="8"/>
      <c r="D49" s="231"/>
      <c r="E49" s="231"/>
      <c r="F49" s="37"/>
      <c r="H49" s="231"/>
      <c r="I49" s="6"/>
      <c r="J49" s="6"/>
      <c r="K49" s="37"/>
    </row>
    <row r="50" spans="1:14">
      <c r="A50" s="231"/>
      <c r="B50" s="8" t="s">
        <v>67</v>
      </c>
      <c r="D50" s="231"/>
      <c r="E50" s="231"/>
      <c r="F50" s="5"/>
      <c r="H50" s="231"/>
      <c r="I50" s="6"/>
      <c r="J50" s="6"/>
      <c r="K50" s="5"/>
    </row>
    <row r="51" spans="1:14">
      <c r="A51" s="231">
        <f>A48+1</f>
        <v>25</v>
      </c>
      <c r="B51" s="8"/>
      <c r="C51" s="3" t="str">
        <f>"Rate Base (Page 2, Line "&amp;'DEF - 2 Page 2 Rate Base'!A72&amp;") * Rate of Return (Page 4, Line "&amp;'DEF - 2 - Page 4 Support'!C56&amp;")"</f>
        <v>Rate Base (Page 2, Line 36) * Rate of Return (Page 4, Line 27)</v>
      </c>
      <c r="K51" s="41">
        <f>'DEF - 2 Page 2 Rate Base'!O72*'DEF - 2 - Page 4 Support'!I56</f>
        <v>105375923.04921627</v>
      </c>
      <c r="N51" s="5"/>
    </row>
    <row r="52" spans="1:14">
      <c r="B52" s="8"/>
    </row>
    <row r="53" spans="1:14">
      <c r="B53" s="8" t="s">
        <v>90</v>
      </c>
    </row>
    <row r="54" spans="1:14" ht="6" customHeight="1">
      <c r="B54" s="8"/>
    </row>
    <row r="55" spans="1:14">
      <c r="A55" s="231">
        <f>A51+1</f>
        <v>26</v>
      </c>
      <c r="B55" s="8"/>
      <c r="C55" s="3" t="s">
        <v>91</v>
      </c>
      <c r="D55" s="231" t="s">
        <v>375</v>
      </c>
      <c r="F55" s="16">
        <v>5.5E-2</v>
      </c>
    </row>
    <row r="56" spans="1:14">
      <c r="A56" s="231">
        <f>A55+1</f>
        <v>27</v>
      </c>
      <c r="B56" s="8"/>
      <c r="C56" s="3" t="s">
        <v>92</v>
      </c>
      <c r="D56" s="231" t="s">
        <v>375</v>
      </c>
      <c r="F56" s="257">
        <v>0.35</v>
      </c>
    </row>
    <row r="57" spans="1:14">
      <c r="A57" s="231">
        <f>A56+1</f>
        <v>28</v>
      </c>
      <c r="B57" s="8"/>
      <c r="C57" s="3" t="s">
        <v>93</v>
      </c>
      <c r="F57" s="16">
        <f>F55+(1-F55)*F56</f>
        <v>0.38574999999999998</v>
      </c>
    </row>
    <row r="58" spans="1:14" ht="6" customHeight="1">
      <c r="A58" s="231"/>
    </row>
    <row r="59" spans="1:14" ht="15.75">
      <c r="A59" s="231">
        <f>A57+1</f>
        <v>29</v>
      </c>
      <c r="C59" s="3" t="s">
        <v>273</v>
      </c>
      <c r="F59" s="16">
        <f>IF('DEF - 2 - Page 4 Support'!I56&lt;&gt;0,F57/(1-F57)*(1-'DEF - 2 - Page 4 Support'!I53/'DEF - 2 - Page 4 Support'!I56),0)</f>
        <v>0.41779550121038089</v>
      </c>
    </row>
    <row r="60" spans="1:14">
      <c r="A60" s="231">
        <f>A59+1</f>
        <v>30</v>
      </c>
      <c r="C60" s="3" t="s">
        <v>94</v>
      </c>
      <c r="F60" s="42">
        <f>IF(F57&lt;&gt;0,1/(1-F57),0)</f>
        <v>1.6280016280016281</v>
      </c>
    </row>
    <row r="61" spans="1:14">
      <c r="A61" s="231">
        <f>A60+1</f>
        <v>31</v>
      </c>
      <c r="C61" s="3" t="str">
        <f>'DEF - 6  p1, FF1 Inputs '!E43</f>
        <v>Amortized ITC (Negative)</v>
      </c>
      <c r="D61" s="231" t="str">
        <f>'DEF - 6  p1, FF1 Inputs '!F43</f>
        <v>266.8.f</v>
      </c>
      <c r="E61" s="231"/>
      <c r="F61" s="5">
        <f>'DEF - 6  p1, FF1 Inputs '!J43</f>
        <v>-1052000</v>
      </c>
    </row>
    <row r="62" spans="1:14" ht="6" customHeight="1">
      <c r="A62" s="231"/>
      <c r="H62" s="231"/>
      <c r="I62" s="6"/>
      <c r="J62" s="6"/>
      <c r="K62" s="5"/>
    </row>
    <row r="63" spans="1:14">
      <c r="A63" s="231">
        <f>A61+1</f>
        <v>32</v>
      </c>
      <c r="C63" s="3" t="str">
        <f>"Income Taxes Calculated (Line "&amp;A51&amp;" * Line "&amp;A59&amp;")"</f>
        <v>Income Taxes Calculated (Line 25 * Line 29)</v>
      </c>
      <c r="H63" s="231"/>
      <c r="I63" s="6"/>
      <c r="J63" s="6"/>
      <c r="K63" s="5">
        <f>F59*K51</f>
        <v>44025586.585853837</v>
      </c>
    </row>
    <row r="64" spans="1:14" ht="13.5" thickBot="1">
      <c r="A64" s="231">
        <f>A63+1</f>
        <v>33</v>
      </c>
      <c r="C64" s="3" t="str">
        <f>"ITC Adjustment (Line "&amp;A60&amp;" * Line "&amp;A61&amp;")"</f>
        <v>ITC Adjustment (Line 30 * Line 31)</v>
      </c>
      <c r="F64" s="5">
        <f>F61*F60</f>
        <v>-1712657.7126577126</v>
      </c>
      <c r="H64" s="231" t="s">
        <v>37</v>
      </c>
      <c r="I64" s="6">
        <f>'DEF - 2 Page 2 Rate Base'!M43</f>
        <v>0.18262006498391903</v>
      </c>
      <c r="J64" s="6"/>
      <c r="K64" s="5">
        <f>F64*I64</f>
        <v>-312765.6627807616</v>
      </c>
    </row>
    <row r="65" spans="1:11" ht="13.5" thickTop="1">
      <c r="A65" s="231">
        <f>A64+1</f>
        <v>34</v>
      </c>
      <c r="B65" s="8" t="s">
        <v>95</v>
      </c>
      <c r="K65" s="40">
        <f>K63+K64</f>
        <v>43712820.923073076</v>
      </c>
    </row>
    <row r="66" spans="1:11">
      <c r="A66" s="231"/>
    </row>
    <row r="67" spans="1:11">
      <c r="A67" s="231">
        <f>A65+1</f>
        <v>35</v>
      </c>
      <c r="B67" s="8" t="str">
        <f>"TOTAL REVENUE REQUIREMENT (Sum of Lines "&amp;A34&amp;", "&amp;A43&amp;", "&amp;A48&amp;", "&amp;A51&amp;", and "&amp;A65&amp;")"</f>
        <v>TOTAL REVENUE REQUIREMENT (Sum of Lines 17, 21, 24, 25, and 34)</v>
      </c>
      <c r="K67" s="41">
        <f>K34+K43+K48+K51+K65</f>
        <v>263042431.44823465</v>
      </c>
    </row>
  </sheetData>
  <mergeCells count="7">
    <mergeCell ref="J1:L1"/>
    <mergeCell ref="H11:I11"/>
    <mergeCell ref="J2:L2"/>
    <mergeCell ref="J3:L3"/>
    <mergeCell ref="A5:L5"/>
    <mergeCell ref="A6:L6"/>
    <mergeCell ref="A8:L8"/>
  </mergeCells>
  <phoneticPr fontId="0" type="noConversion"/>
  <printOptions horizontalCentered="1"/>
  <pageMargins left="0.5" right="0.5" top="0.5" bottom="0.5" header="0.5" footer="0.5"/>
  <pageSetup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zoomScaleNormal="100" workbookViewId="0"/>
  </sheetViews>
  <sheetFormatPr defaultRowHeight="12.75"/>
  <cols>
    <col min="1" max="2" width="2.7109375" style="3" customWidth="1"/>
    <col min="3" max="3" width="5" style="3" bestFit="1" customWidth="1"/>
    <col min="4" max="4" width="3.7109375" style="3" customWidth="1"/>
    <col min="5" max="5" width="36.85546875" style="3" customWidth="1"/>
    <col min="6" max="6" width="7.85546875" style="3" customWidth="1"/>
    <col min="7" max="7" width="14.5703125" style="3" bestFit="1" customWidth="1"/>
    <col min="8" max="8" width="2.7109375" style="3" customWidth="1"/>
    <col min="9" max="9" width="13.85546875" style="3" bestFit="1" customWidth="1"/>
    <col min="10" max="10" width="9.140625" style="3"/>
    <col min="11" max="11" width="11.5703125" style="3" customWidth="1"/>
    <col min="12" max="12" width="9.140625" style="3"/>
    <col min="13" max="13" width="9.28515625" style="3" bestFit="1" customWidth="1"/>
    <col min="14" max="14" width="11.85546875" style="3" customWidth="1"/>
    <col min="15" max="16384" width="9.140625" style="3"/>
  </cols>
  <sheetData>
    <row r="1" spans="1:18" ht="15">
      <c r="J1" s="334" t="s">
        <v>907</v>
      </c>
      <c r="K1" s="334"/>
    </row>
    <row r="2" spans="1:18" ht="15">
      <c r="J2" s="335" t="s">
        <v>221</v>
      </c>
      <c r="K2" s="336"/>
    </row>
    <row r="3" spans="1:18">
      <c r="J3" s="344" t="str">
        <f>FF1_Year</f>
        <v>Year Ending 12/31/2012</v>
      </c>
      <c r="K3" s="345"/>
    </row>
    <row r="5" spans="1:18">
      <c r="A5" s="338" t="s">
        <v>924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P5" s="8" t="s">
        <v>794</v>
      </c>
      <c r="Q5" s="8"/>
      <c r="R5" s="8"/>
    </row>
    <row r="6" spans="1:18">
      <c r="A6" s="338" t="s">
        <v>135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P6" s="106"/>
      <c r="Q6" s="106"/>
      <c r="R6" s="106"/>
    </row>
    <row r="7" spans="1:18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P7" s="106"/>
      <c r="Q7" s="106" t="s">
        <v>237</v>
      </c>
      <c r="R7" s="115">
        <v>0</v>
      </c>
    </row>
    <row r="8" spans="1:18">
      <c r="A8" s="338" t="s">
        <v>137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P8" s="106"/>
      <c r="Q8" s="106" t="s">
        <v>41</v>
      </c>
      <c r="R8" s="115">
        <f>'DEF - 2 Page 2 Rate Base'!M23</f>
        <v>0.15270734665174499</v>
      </c>
    </row>
    <row r="9" spans="1:18">
      <c r="P9" s="106"/>
      <c r="Q9" s="106" t="s">
        <v>235</v>
      </c>
      <c r="R9" s="115">
        <f>LABOR_ALLOC</f>
        <v>6.5736053966476971E-2</v>
      </c>
    </row>
    <row r="10" spans="1:18">
      <c r="P10" s="106"/>
      <c r="Q10" s="106" t="s">
        <v>37</v>
      </c>
      <c r="R10" s="115">
        <f>'DEF - 2 Page 2 Rate Base'!M43</f>
        <v>0.18262006498391903</v>
      </c>
    </row>
    <row r="11" spans="1:18">
      <c r="C11" s="229" t="s">
        <v>21</v>
      </c>
      <c r="D11" s="33"/>
      <c r="E11" s="19"/>
      <c r="F11" s="19"/>
      <c r="G11" s="229" t="s">
        <v>4</v>
      </c>
      <c r="H11" s="229"/>
      <c r="I11" s="229" t="s">
        <v>22</v>
      </c>
      <c r="J11" s="229"/>
      <c r="K11" s="34"/>
      <c r="P11" s="106"/>
      <c r="Q11" s="106" t="s">
        <v>774</v>
      </c>
      <c r="R11" s="115">
        <v>1</v>
      </c>
    </row>
    <row r="12" spans="1:18">
      <c r="P12" s="106"/>
      <c r="Q12" s="106" t="s">
        <v>238</v>
      </c>
      <c r="R12" s="115">
        <v>0</v>
      </c>
    </row>
    <row r="13" spans="1:18">
      <c r="D13" s="8" t="s">
        <v>276</v>
      </c>
      <c r="G13" s="231"/>
      <c r="H13" s="231"/>
      <c r="P13" s="106"/>
      <c r="Q13" s="106" t="s">
        <v>236</v>
      </c>
      <c r="R13" s="115">
        <v>0</v>
      </c>
    </row>
    <row r="14" spans="1:18">
      <c r="C14" s="231">
        <v>1</v>
      </c>
      <c r="E14" s="106" t="s">
        <v>497</v>
      </c>
      <c r="G14" s="20" t="s">
        <v>498</v>
      </c>
      <c r="H14" s="231"/>
      <c r="I14" s="5">
        <f>'DEF - 2 Page 2 Rate Base'!J18</f>
        <v>2082511157.1900001</v>
      </c>
      <c r="P14" s="106"/>
      <c r="Q14" s="106" t="s">
        <v>234</v>
      </c>
      <c r="R14" s="115">
        <v>0</v>
      </c>
    </row>
    <row r="15" spans="1:18">
      <c r="C15" s="231">
        <v>2</v>
      </c>
      <c r="E15" s="3" t="s">
        <v>68</v>
      </c>
      <c r="G15" s="231" t="s">
        <v>912</v>
      </c>
      <c r="H15" s="231"/>
      <c r="I15" s="5">
        <f>'DEF - 4, p2 Step Ups '!G79</f>
        <v>90704809.999999985</v>
      </c>
      <c r="M15" s="106" t="s">
        <v>791</v>
      </c>
      <c r="N15" s="106"/>
      <c r="P15" s="106"/>
      <c r="Q15" s="106" t="s">
        <v>795</v>
      </c>
      <c r="R15" s="115">
        <f>'DEF - 2 - Page 5 Storm, Notes'!I26</f>
        <v>0.8498729351098574</v>
      </c>
    </row>
    <row r="16" spans="1:18">
      <c r="C16" s="231">
        <v>3</v>
      </c>
      <c r="E16" s="3" t="s">
        <v>227</v>
      </c>
      <c r="G16" s="231" t="s">
        <v>912</v>
      </c>
      <c r="H16" s="231"/>
      <c r="I16" s="5">
        <f>'DEF - 4, Order 2003 '!J85</f>
        <v>7566913</v>
      </c>
      <c r="M16" s="106" t="s">
        <v>792</v>
      </c>
      <c r="N16" s="106"/>
      <c r="P16" s="106"/>
      <c r="Q16" s="106" t="s">
        <v>51</v>
      </c>
      <c r="R16" s="115">
        <f>TP_ALLOC</f>
        <v>0.93456203028036555</v>
      </c>
    </row>
    <row r="17" spans="3:18" ht="13.5" thickBot="1">
      <c r="C17" s="231">
        <v>4</v>
      </c>
      <c r="E17" s="3" t="s">
        <v>277</v>
      </c>
      <c r="G17" s="231" t="s">
        <v>133</v>
      </c>
      <c r="H17" s="231"/>
      <c r="I17" s="5">
        <f>N20</f>
        <v>38003579.045000002</v>
      </c>
      <c r="M17" s="106">
        <f>YR</f>
        <v>2012</v>
      </c>
      <c r="N17" s="145">
        <v>38444066.789999999</v>
      </c>
      <c r="Q17" s="106" t="s">
        <v>229</v>
      </c>
      <c r="R17" s="3">
        <f>TExp_ALLOC</f>
        <v>0.9463874229850866</v>
      </c>
    </row>
    <row r="18" spans="3:18" ht="13.5" thickTop="1">
      <c r="C18" s="231">
        <v>5</v>
      </c>
      <c r="E18" s="3" t="s">
        <v>278</v>
      </c>
      <c r="G18" s="231"/>
      <c r="H18" s="231"/>
      <c r="I18" s="12">
        <f>I14-SUM(I15:I17)</f>
        <v>1946235855.145</v>
      </c>
      <c r="M18" s="106">
        <f>+M17-1</f>
        <v>2011</v>
      </c>
      <c r="N18" s="145">
        <v>37563091.299999997</v>
      </c>
    </row>
    <row r="19" spans="3:18" ht="6" customHeight="1">
      <c r="C19" s="231"/>
      <c r="G19" s="231"/>
      <c r="H19" s="231"/>
      <c r="M19" s="106"/>
      <c r="N19" s="106"/>
    </row>
    <row r="20" spans="3:18">
      <c r="C20" s="231">
        <v>6</v>
      </c>
      <c r="D20" s="8" t="s">
        <v>279</v>
      </c>
      <c r="G20" s="231" t="s">
        <v>171</v>
      </c>
      <c r="H20" s="231"/>
      <c r="I20" s="13">
        <f>IF(I14&lt;&gt;0,I18/I14,0)</f>
        <v>0.93456203028036555</v>
      </c>
      <c r="M20" s="106" t="s">
        <v>793</v>
      </c>
      <c r="N20" s="145">
        <f>(N18+N17)/2</f>
        <v>38003579.045000002</v>
      </c>
    </row>
    <row r="21" spans="3:18">
      <c r="C21" s="231"/>
      <c r="G21" s="231"/>
      <c r="H21" s="231"/>
    </row>
    <row r="22" spans="3:18">
      <c r="C22" s="231">
        <v>7</v>
      </c>
      <c r="E22" s="106" t="s">
        <v>499</v>
      </c>
      <c r="G22" s="231"/>
      <c r="H22" s="231"/>
      <c r="I22" s="5">
        <f>I18+I17</f>
        <v>1984239434.1900001</v>
      </c>
    </row>
    <row r="23" spans="3:18">
      <c r="C23" s="20" t="s">
        <v>473</v>
      </c>
      <c r="D23" s="14"/>
      <c r="E23" s="106" t="s">
        <v>474</v>
      </c>
      <c r="F23" s="14"/>
      <c r="G23" s="15"/>
      <c r="H23" s="15"/>
      <c r="I23" s="9">
        <f>I14+'DEF - 2 Page 2 Rate Base'!J17</f>
        <v>2096646031</v>
      </c>
    </row>
    <row r="24" spans="3:18" ht="6" customHeight="1">
      <c r="C24" s="94"/>
      <c r="E24" s="43"/>
      <c r="G24" s="231"/>
      <c r="H24" s="231"/>
      <c r="I24" s="5"/>
    </row>
    <row r="25" spans="3:18">
      <c r="C25" s="231">
        <v>8</v>
      </c>
      <c r="D25" s="8" t="s">
        <v>500</v>
      </c>
      <c r="G25" s="231"/>
      <c r="H25" s="231"/>
      <c r="I25" s="13">
        <f>IF(I23&lt;&gt;0,I22/I23,0)</f>
        <v>0.9463874229850866</v>
      </c>
    </row>
    <row r="26" spans="3:18">
      <c r="C26" s="231"/>
      <c r="G26" s="231"/>
      <c r="H26" s="231"/>
    </row>
    <row r="27" spans="3:18">
      <c r="D27" s="8" t="s">
        <v>69</v>
      </c>
      <c r="G27" s="231"/>
      <c r="H27" s="231"/>
    </row>
    <row r="28" spans="3:18">
      <c r="C28" s="231">
        <v>9</v>
      </c>
      <c r="E28" s="3" t="str">
        <f>'DEF - 6  p1, FF1 Inputs '!E61</f>
        <v>Total Direct Payroll - O&amp;M Labor</v>
      </c>
      <c r="G28" s="231" t="str">
        <f>'DEF - 6  p1, FF1 Inputs '!F61</f>
        <v>354.28.b</v>
      </c>
      <c r="H28" s="231"/>
      <c r="I28" s="5">
        <f>'DEF - 6  p1, FF1 Inputs '!J61</f>
        <v>304848853</v>
      </c>
    </row>
    <row r="29" spans="3:18">
      <c r="C29" s="231">
        <v>10</v>
      </c>
      <c r="E29" s="3" t="str">
        <f>'DEF - 6  p1, FF1 Inputs '!E60</f>
        <v>A&amp;G Labor</v>
      </c>
      <c r="G29" s="231" t="str">
        <f>'DEF - 6  p1, FF1 Inputs '!F60</f>
        <v>354.27.b</v>
      </c>
      <c r="H29" s="231"/>
      <c r="I29" s="5">
        <f>'DEF - 6  p1, FF1 Inputs '!J60</f>
        <v>60266827</v>
      </c>
    </row>
    <row r="30" spans="3:18" ht="13.5" thickBot="1">
      <c r="C30" s="231">
        <v>11</v>
      </c>
      <c r="E30" s="3" t="s">
        <v>242</v>
      </c>
      <c r="G30" s="231"/>
      <c r="H30" s="231"/>
      <c r="I30" s="9">
        <v>796215.7</v>
      </c>
    </row>
    <row r="31" spans="3:18" ht="13.5" thickTop="1">
      <c r="C31" s="231">
        <v>12</v>
      </c>
      <c r="E31" s="3" t="s">
        <v>274</v>
      </c>
      <c r="G31" s="231"/>
      <c r="H31" s="231"/>
      <c r="I31" s="12">
        <f>I28-I29+I30</f>
        <v>245378241.69999999</v>
      </c>
    </row>
    <row r="32" spans="3:18" ht="6" customHeight="1">
      <c r="C32" s="231"/>
      <c r="G32" s="231"/>
      <c r="H32" s="231"/>
      <c r="I32" s="5"/>
    </row>
    <row r="33" spans="3:9">
      <c r="C33" s="231">
        <v>13</v>
      </c>
      <c r="E33" s="3" t="str">
        <f>'DEF - 6  p1, FF1 Inputs '!E59</f>
        <v>Transmission O&amp;M Labor</v>
      </c>
      <c r="G33" s="231" t="str">
        <f>'DEF - 6  p1, FF1 Inputs '!F59</f>
        <v>354.21.b</v>
      </c>
      <c r="H33" s="231"/>
      <c r="I33" s="5">
        <f>'DEF - 6  p1, FF1 Inputs '!J59</f>
        <v>17376781</v>
      </c>
    </row>
    <row r="34" spans="3:9" ht="6" customHeight="1">
      <c r="C34" s="231"/>
      <c r="G34" s="231"/>
      <c r="H34" s="231"/>
      <c r="I34" s="5"/>
    </row>
    <row r="35" spans="3:9" ht="12.75" customHeight="1">
      <c r="C35" s="231">
        <v>14</v>
      </c>
      <c r="D35" s="8" t="s">
        <v>275</v>
      </c>
      <c r="G35" s="231"/>
      <c r="H35" s="231"/>
      <c r="I35" s="13">
        <f>IF(I31&lt;&gt;0,I33/I31,0)</f>
        <v>7.0816307426495029E-2</v>
      </c>
    </row>
    <row r="36" spans="3:9" ht="6" customHeight="1">
      <c r="C36" s="231"/>
      <c r="G36" s="231"/>
      <c r="H36" s="231"/>
      <c r="I36" s="5"/>
    </row>
    <row r="37" spans="3:9">
      <c r="C37" s="231">
        <v>15</v>
      </c>
      <c r="D37" s="8" t="s">
        <v>501</v>
      </c>
      <c r="G37" s="231" t="s">
        <v>171</v>
      </c>
      <c r="H37" s="231"/>
      <c r="I37" s="13">
        <f>IF(I23&lt;&gt;0,I18/I23*I35,0)</f>
        <v>6.5736053966476971E-2</v>
      </c>
    </row>
    <row r="38" spans="3:9">
      <c r="C38" s="231"/>
      <c r="G38" s="231"/>
      <c r="H38" s="231"/>
    </row>
    <row r="39" spans="3:9">
      <c r="C39" s="231"/>
      <c r="D39" s="8" t="s">
        <v>255</v>
      </c>
      <c r="G39" s="231"/>
      <c r="H39" s="231"/>
    </row>
    <row r="40" spans="3:9" ht="6" customHeight="1">
      <c r="C40" s="231"/>
      <c r="G40" s="231"/>
      <c r="H40" s="231"/>
    </row>
    <row r="41" spans="3:9">
      <c r="C41" s="231">
        <v>16</v>
      </c>
      <c r="E41" s="3" t="s">
        <v>70</v>
      </c>
      <c r="G41" s="231" t="str">
        <f>'DEF - 6  p1, FF1 Inputs '!F18</f>
        <v>117.62 thru 67.c</v>
      </c>
      <c r="H41" s="231"/>
      <c r="I41" s="5">
        <f>'DEF - 6  p1, FF1 Inputs '!J18</f>
        <v>258179963.94</v>
      </c>
    </row>
    <row r="42" spans="3:9" ht="13.5" thickBot="1">
      <c r="C42" s="231">
        <v>17</v>
      </c>
      <c r="E42" s="3" t="s">
        <v>75</v>
      </c>
      <c r="G42" s="231" t="s">
        <v>193</v>
      </c>
      <c r="H42" s="231"/>
      <c r="I42" s="5">
        <v>0</v>
      </c>
    </row>
    <row r="43" spans="3:9" ht="13.5" thickTop="1">
      <c r="C43" s="231">
        <v>18</v>
      </c>
      <c r="E43" s="3" t="s">
        <v>76</v>
      </c>
      <c r="G43" s="231"/>
      <c r="H43" s="231"/>
      <c r="I43" s="12">
        <f>I41-I42</f>
        <v>258179963.94</v>
      </c>
    </row>
    <row r="44" spans="3:9" ht="11.25" customHeight="1">
      <c r="C44" s="231"/>
      <c r="G44" s="231"/>
      <c r="H44" s="231"/>
      <c r="I44" s="5"/>
    </row>
    <row r="45" spans="3:9">
      <c r="C45" s="231">
        <v>19</v>
      </c>
      <c r="E45" s="3" t="s">
        <v>71</v>
      </c>
      <c r="G45" s="231" t="str">
        <f>'DEF - 6  p1, FF1 Inputs '!F19</f>
        <v>118.29.c</v>
      </c>
      <c r="H45" s="231"/>
      <c r="I45" s="5">
        <f>'DEF - 6  p1, FF1 Inputs '!J19</f>
        <v>1511860</v>
      </c>
    </row>
    <row r="46" spans="3:9" ht="12" customHeight="1">
      <c r="C46" s="231"/>
      <c r="G46" s="231"/>
      <c r="H46" s="231"/>
    </row>
    <row r="47" spans="3:9">
      <c r="C47" s="231">
        <v>20</v>
      </c>
      <c r="E47" s="3" t="s">
        <v>72</v>
      </c>
      <c r="G47" s="231" t="str">
        <f>"p.2, line "&amp;'DEF - 2 Page 2 Rate Base'!A80</f>
        <v>p.2, line 41</v>
      </c>
      <c r="H47" s="231"/>
      <c r="I47" s="37">
        <f>'DEF - 2 Page 2 Rate Base'!J80</f>
        <v>4792936112</v>
      </c>
    </row>
    <row r="48" spans="3:9">
      <c r="C48" s="231">
        <v>21</v>
      </c>
      <c r="E48" s="3" t="str">
        <f>'DEF - 2 Page 2 Rate Base'!C82</f>
        <v>Preferred Stock</v>
      </c>
      <c r="G48" s="231" t="str">
        <f>"p.2, line "&amp;'DEF - 2 Page 2 Rate Base'!A82</f>
        <v>p.2, line 42</v>
      </c>
      <c r="H48" s="231"/>
      <c r="I48" s="5">
        <f>'DEF - 2 Page 2 Rate Base'!J82</f>
        <v>33496700</v>
      </c>
    </row>
    <row r="49" spans="3:9" ht="13.5" thickBot="1">
      <c r="C49" s="231">
        <v>22</v>
      </c>
      <c r="E49" s="3" t="s">
        <v>84</v>
      </c>
      <c r="G49" s="231" t="str">
        <f>"p.2, line "&amp;'DEF - 2 Page 2 Rate Base'!A88</f>
        <v>p.2, line 46</v>
      </c>
      <c r="I49" s="38">
        <f>'DEF - 2 Page 2 Rate Base'!J88</f>
        <v>4737352897</v>
      </c>
    </row>
    <row r="50" spans="3:9" ht="13.5" thickTop="1">
      <c r="C50" s="231">
        <v>23</v>
      </c>
      <c r="E50" s="3" t="s">
        <v>383</v>
      </c>
      <c r="I50" s="12">
        <f>I47+I48+I49</f>
        <v>9563785709</v>
      </c>
    </row>
    <row r="52" spans="3:9">
      <c r="D52" s="14" t="s">
        <v>384</v>
      </c>
      <c r="E52" s="14"/>
      <c r="F52" s="15" t="s">
        <v>86</v>
      </c>
      <c r="G52" s="15" t="s">
        <v>87</v>
      </c>
      <c r="H52" s="15"/>
      <c r="I52" s="15" t="s">
        <v>88</v>
      </c>
    </row>
    <row r="53" spans="3:9">
      <c r="C53" s="231">
        <v>24</v>
      </c>
      <c r="E53" s="3" t="s">
        <v>85</v>
      </c>
      <c r="F53" s="16">
        <f>IF(I$50&lt;&gt;0,I47/I$50,0)</f>
        <v>0.50115469520501776</v>
      </c>
      <c r="G53" s="16">
        <f>IF(I47&lt;&gt;0,I43/I47,0)</f>
        <v>5.3866765153326127E-2</v>
      </c>
      <c r="H53" s="16"/>
      <c r="I53" s="16">
        <f>F53*G53</f>
        <v>2.6995582272095427E-2</v>
      </c>
    </row>
    <row r="54" spans="3:9">
      <c r="C54" s="231">
        <v>25</v>
      </c>
      <c r="E54" s="3" t="s">
        <v>79</v>
      </c>
      <c r="F54" s="16">
        <f t="shared" ref="F54:F55" si="0">IF(I$50&lt;&gt;0,I48/I$50,0)</f>
        <v>3.5024519598424223E-3</v>
      </c>
      <c r="G54" s="16">
        <f>IF(I48&lt;&gt;0,I45/I48,0)</f>
        <v>4.5134595348198477E-2</v>
      </c>
      <c r="H54" s="16"/>
      <c r="I54" s="16">
        <f>F54*G54</f>
        <v>1.5808175193399244E-4</v>
      </c>
    </row>
    <row r="55" spans="3:9" ht="13.5" thickBot="1">
      <c r="C55" s="231">
        <v>26</v>
      </c>
      <c r="E55" s="3" t="s">
        <v>89</v>
      </c>
      <c r="F55" s="16">
        <f t="shared" si="0"/>
        <v>0.49534285283513979</v>
      </c>
      <c r="G55" s="17">
        <v>0.108</v>
      </c>
      <c r="H55" s="17"/>
      <c r="I55" s="16">
        <f>F55*G55</f>
        <v>5.3497028106195096E-2</v>
      </c>
    </row>
    <row r="56" spans="3:9" ht="15" thickTop="1">
      <c r="C56" s="231">
        <v>27</v>
      </c>
      <c r="E56" s="8" t="s">
        <v>138</v>
      </c>
      <c r="I56" s="150">
        <f>SUM(I53:I55)</f>
        <v>8.0650692130224522E-2</v>
      </c>
    </row>
  </sheetData>
  <mergeCells count="6">
    <mergeCell ref="A8:K8"/>
    <mergeCell ref="J1:K1"/>
    <mergeCell ref="J2:K2"/>
    <mergeCell ref="J3:K3"/>
    <mergeCell ref="A5:K5"/>
    <mergeCell ref="A6:K6"/>
  </mergeCells>
  <phoneticPr fontId="0" type="noConversion"/>
  <printOptions horizontalCentered="1"/>
  <pageMargins left="0.5" right="0.5" top="0.5" bottom="0.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1"/>
  <sheetViews>
    <sheetView topLeftCell="A13" workbookViewId="0">
      <selection activeCell="K28" sqref="K28"/>
    </sheetView>
  </sheetViews>
  <sheetFormatPr defaultRowHeight="12.75"/>
  <cols>
    <col min="1" max="1" width="2.7109375" style="3" customWidth="1"/>
    <col min="2" max="2" width="8.42578125" style="3" bestFit="1" customWidth="1"/>
    <col min="3" max="3" width="2.7109375" style="3" customWidth="1"/>
    <col min="4" max="4" width="34.7109375" style="3" customWidth="1"/>
    <col min="5" max="5" width="12.42578125" style="3" customWidth="1"/>
    <col min="6" max="6" width="11.7109375" style="3" bestFit="1" customWidth="1"/>
    <col min="7" max="7" width="2.7109375" style="3" customWidth="1"/>
    <col min="8" max="8" width="8" style="3" bestFit="1" customWidth="1"/>
    <col min="9" max="9" width="8.140625" style="3" bestFit="1" customWidth="1"/>
    <col min="10" max="10" width="6.7109375" style="3" customWidth="1"/>
    <col min="11" max="11" width="13.7109375" style="3" customWidth="1"/>
    <col min="12" max="12" width="27.140625" style="3" customWidth="1"/>
    <col min="13" max="16384" width="9.140625" style="3"/>
  </cols>
  <sheetData>
    <row r="1" spans="1:13" ht="15">
      <c r="K1" s="233"/>
      <c r="L1" s="233" t="s">
        <v>907</v>
      </c>
    </row>
    <row r="2" spans="1:13" ht="15">
      <c r="F2" s="3" t="s">
        <v>246</v>
      </c>
      <c r="K2" s="233"/>
      <c r="L2" s="233" t="s">
        <v>213</v>
      </c>
    </row>
    <row r="3" spans="1:13">
      <c r="K3" s="232"/>
      <c r="L3" s="258" t="str">
        <f>FF1_Year</f>
        <v>Year Ending 12/31/2012</v>
      </c>
    </row>
    <row r="5" spans="1:13">
      <c r="A5" s="338" t="s">
        <v>924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</row>
    <row r="6" spans="1:13">
      <c r="A6" s="338" t="s">
        <v>135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</row>
    <row r="7" spans="1:13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</row>
    <row r="8" spans="1:13">
      <c r="A8" s="338" t="s">
        <v>139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</row>
    <row r="10" spans="1:13">
      <c r="B10" s="231"/>
    </row>
    <row r="11" spans="1:13" ht="25.5">
      <c r="B11" s="229" t="s">
        <v>21</v>
      </c>
      <c r="C11" s="33"/>
      <c r="D11" s="19"/>
      <c r="E11" s="229" t="s">
        <v>4</v>
      </c>
      <c r="F11" s="229" t="s">
        <v>22</v>
      </c>
      <c r="G11" s="229"/>
      <c r="H11" s="338" t="s">
        <v>23</v>
      </c>
      <c r="I11" s="338"/>
      <c r="J11" s="229"/>
      <c r="K11" s="34" t="s">
        <v>24</v>
      </c>
      <c r="L11" s="35"/>
    </row>
    <row r="12" spans="1:13">
      <c r="B12" s="231"/>
      <c r="C12" s="8"/>
    </row>
    <row r="13" spans="1:13">
      <c r="B13" s="36">
        <v>1</v>
      </c>
      <c r="C13" s="8" t="s">
        <v>178</v>
      </c>
      <c r="E13" s="231" t="str">
        <f>'DEF - 6  p1, FF1 Inputs '!F33</f>
        <v>230a.5.b</v>
      </c>
      <c r="F13" s="5">
        <f>'DEF - 6  p1, FF1 Inputs '!J33</f>
        <v>2090175</v>
      </c>
      <c r="H13" s="231"/>
      <c r="I13" s="6"/>
      <c r="J13" s="6"/>
      <c r="K13" s="37"/>
      <c r="M13" s="5"/>
    </row>
    <row r="14" spans="1:13" ht="13.5" thickBot="1">
      <c r="B14" s="36">
        <v>2</v>
      </c>
      <c r="C14" s="8"/>
      <c r="D14" s="3" t="s">
        <v>175</v>
      </c>
      <c r="E14" s="231" t="s">
        <v>204</v>
      </c>
      <c r="F14" s="259">
        <f>14534920/15796861</f>
        <v>0.92011444552180333</v>
      </c>
      <c r="H14" s="231" t="s">
        <v>180</v>
      </c>
      <c r="I14" s="6"/>
      <c r="J14" s="6"/>
      <c r="K14" s="37"/>
      <c r="M14" s="43"/>
    </row>
    <row r="15" spans="1:13" ht="13.5" thickTop="1">
      <c r="B15" s="36">
        <v>3</v>
      </c>
      <c r="C15" s="8" t="s">
        <v>179</v>
      </c>
      <c r="E15" s="231"/>
      <c r="F15" s="12">
        <f>F13*F14</f>
        <v>1923200.2111685353</v>
      </c>
      <c r="H15" s="94" t="s">
        <v>448</v>
      </c>
      <c r="I15" s="6">
        <f>1055859696/1143125894</f>
        <v>0.92366002864772823</v>
      </c>
      <c r="J15" s="6"/>
      <c r="K15" s="37">
        <f>F15*I15</f>
        <v>1776383.1621432463</v>
      </c>
    </row>
    <row r="16" spans="1:13">
      <c r="B16" s="36"/>
      <c r="C16" s="8"/>
      <c r="E16" s="231"/>
      <c r="F16" s="11"/>
      <c r="H16" s="231"/>
      <c r="I16" s="6"/>
      <c r="J16" s="6"/>
      <c r="K16" s="37"/>
    </row>
    <row r="17" spans="2:11">
      <c r="B17" s="36"/>
      <c r="C17" s="8" t="s">
        <v>394</v>
      </c>
      <c r="E17" s="231"/>
      <c r="F17" s="11"/>
      <c r="H17" s="231"/>
      <c r="I17" s="6"/>
      <c r="J17" s="6"/>
      <c r="K17" s="37"/>
    </row>
    <row r="18" spans="2:11" ht="6" customHeight="1">
      <c r="B18" s="36"/>
      <c r="C18" s="8"/>
      <c r="E18" s="231"/>
      <c r="F18" s="11"/>
      <c r="H18" s="231"/>
      <c r="I18" s="6"/>
      <c r="J18" s="6"/>
      <c r="K18" s="37"/>
    </row>
    <row r="19" spans="2:11" ht="12.75" customHeight="1">
      <c r="B19" s="260">
        <v>4</v>
      </c>
      <c r="C19" s="8"/>
      <c r="D19" s="230" t="s">
        <v>290</v>
      </c>
      <c r="E19" s="18" t="str">
        <f>'DEF - 6  p1, FF1 Inputs '!F35</f>
        <v>230a.5.f</v>
      </c>
      <c r="F19" s="102">
        <v>15658702</v>
      </c>
      <c r="G19" s="230"/>
      <c r="H19" s="44" t="s">
        <v>379</v>
      </c>
      <c r="I19" s="6">
        <f>F14*I15</f>
        <v>0.8498729351098574</v>
      </c>
      <c r="J19" s="261"/>
      <c r="K19" s="102">
        <f>F19*I19</f>
        <v>13307907.028750595</v>
      </c>
    </row>
    <row r="20" spans="2:11" ht="6" customHeight="1">
      <c r="B20" s="36"/>
      <c r="C20" s="8"/>
      <c r="E20" s="231"/>
      <c r="F20" s="11"/>
      <c r="H20" s="231"/>
      <c r="I20" s="6"/>
      <c r="J20" s="6"/>
      <c r="K20" s="37"/>
    </row>
    <row r="21" spans="2:11" ht="12.75" customHeight="1">
      <c r="B21" s="36"/>
      <c r="C21" s="8"/>
      <c r="D21" s="3" t="s">
        <v>181</v>
      </c>
      <c r="E21" s="231"/>
      <c r="F21" s="11"/>
      <c r="H21" s="231"/>
      <c r="I21" s="6"/>
      <c r="J21" s="6"/>
      <c r="K21" s="37"/>
    </row>
    <row r="22" spans="2:11" ht="12.75" customHeight="1">
      <c r="B22" s="36">
        <v>5</v>
      </c>
      <c r="C22" s="8"/>
      <c r="D22" s="3" t="s">
        <v>182</v>
      </c>
      <c r="E22" s="231" t="s">
        <v>263</v>
      </c>
      <c r="F22" s="11">
        <v>434000</v>
      </c>
      <c r="H22" s="231" t="s">
        <v>379</v>
      </c>
      <c r="I22" s="6">
        <f>F22/6000000</f>
        <v>7.2333333333333333E-2</v>
      </c>
      <c r="J22" s="6"/>
      <c r="K22" s="37"/>
    </row>
    <row r="23" spans="2:11" ht="12.75" customHeight="1">
      <c r="B23" s="36">
        <v>6</v>
      </c>
      <c r="C23" s="8"/>
      <c r="D23" s="3" t="s">
        <v>183</v>
      </c>
      <c r="E23" s="231"/>
      <c r="F23" s="11">
        <f>130000000/(1-I22)</f>
        <v>140136543.29859865</v>
      </c>
      <c r="H23" s="231"/>
      <c r="I23" s="6"/>
      <c r="J23" s="6"/>
      <c r="K23" s="37"/>
    </row>
    <row r="24" spans="2:11" ht="12.75" customHeight="1">
      <c r="B24" s="36">
        <v>7</v>
      </c>
      <c r="C24" s="8"/>
      <c r="D24" s="43" t="s">
        <v>289</v>
      </c>
      <c r="E24" s="231"/>
      <c r="F24" s="11">
        <f>F23-130000000</f>
        <v>10136543.298598647</v>
      </c>
      <c r="H24" s="44" t="s">
        <v>379</v>
      </c>
      <c r="I24" s="6">
        <f>I19</f>
        <v>0.8498729351098574</v>
      </c>
      <c r="J24" s="261"/>
      <c r="K24" s="102">
        <f>F24*I24</f>
        <v>8614773.8050481882</v>
      </c>
    </row>
    <row r="25" spans="2:11" ht="12.75" customHeight="1">
      <c r="B25" s="36"/>
      <c r="C25" s="8"/>
      <c r="E25" s="231"/>
      <c r="F25" s="11"/>
      <c r="H25" s="231"/>
      <c r="I25" s="6"/>
      <c r="J25" s="6"/>
      <c r="K25" s="37"/>
    </row>
    <row r="26" spans="2:11" ht="12.75" customHeight="1">
      <c r="B26" s="36">
        <f>B24+1</f>
        <v>8</v>
      </c>
      <c r="C26" s="8" t="s">
        <v>395</v>
      </c>
      <c r="E26" s="231" t="s">
        <v>263</v>
      </c>
      <c r="F26" s="11">
        <f>F22</f>
        <v>434000</v>
      </c>
      <c r="G26" s="230"/>
      <c r="H26" s="44" t="s">
        <v>379</v>
      </c>
      <c r="I26" s="6">
        <f>I19</f>
        <v>0.8498729351098574</v>
      </c>
      <c r="J26" s="261"/>
      <c r="K26" s="11">
        <f>F26*I26</f>
        <v>368844.85383767809</v>
      </c>
    </row>
    <row r="27" spans="2:11" ht="12.75" customHeight="1">
      <c r="B27" s="36"/>
      <c r="C27" s="8"/>
      <c r="E27" s="231"/>
      <c r="F27" s="11"/>
      <c r="G27" s="230"/>
      <c r="H27" s="44"/>
      <c r="I27" s="261"/>
      <c r="J27" s="261"/>
      <c r="K27" s="11"/>
    </row>
    <row r="28" spans="2:11" ht="12.75" customHeight="1">
      <c r="B28" s="36">
        <f>B26+1</f>
        <v>9</v>
      </c>
      <c r="C28" s="8" t="s">
        <v>396</v>
      </c>
      <c r="E28" s="231"/>
      <c r="F28" s="11"/>
      <c r="G28" s="230"/>
      <c r="H28" s="44"/>
      <c r="I28" s="261"/>
      <c r="J28" s="261"/>
      <c r="K28" s="262">
        <f>'DEF - 6 p2, Levelized Storm'!F42</f>
        <v>140.49561401738774</v>
      </c>
    </row>
    <row r="29" spans="2:11" ht="12.75" customHeight="1">
      <c r="B29" s="36"/>
      <c r="C29" s="8"/>
      <c r="E29" s="231"/>
      <c r="F29" s="11"/>
      <c r="G29" s="230"/>
      <c r="H29" s="44"/>
      <c r="I29" s="261"/>
      <c r="J29" s="261"/>
      <c r="K29" s="11"/>
    </row>
    <row r="30" spans="2:11">
      <c r="B30" s="231"/>
      <c r="C30" s="8" t="s">
        <v>97</v>
      </c>
      <c r="E30" s="231"/>
      <c r="F30" s="11"/>
      <c r="H30" s="231"/>
      <c r="I30" s="6"/>
      <c r="J30" s="6"/>
      <c r="K30" s="5"/>
    </row>
    <row r="31" spans="2:11">
      <c r="B31" s="231">
        <f>B28+1</f>
        <v>10</v>
      </c>
      <c r="C31" s="8"/>
      <c r="D31" s="228" t="str">
        <f>'DEF - 6  p1, FF1 Inputs '!E62</f>
        <v>Firm Network Service for Self</v>
      </c>
      <c r="E31" s="231" t="str">
        <f>'DEF - 6  p1, FF1 Inputs '!F62</f>
        <v>400.17.e</v>
      </c>
      <c r="F31" s="5">
        <f>'DEF - 6  p1, FF1 Inputs '!$J$62</f>
        <v>85396</v>
      </c>
      <c r="H31" s="231"/>
      <c r="I31" s="6">
        <v>0</v>
      </c>
      <c r="J31" s="6"/>
      <c r="K31" s="5">
        <f>IF(ISNUMBER(I31),F31*I31,"")</f>
        <v>0</v>
      </c>
    </row>
    <row r="32" spans="2:11">
      <c r="B32" s="231">
        <f>B31+1</f>
        <v>11</v>
      </c>
      <c r="C32" s="8"/>
      <c r="D32" s="228" t="str">
        <f>'DEF - 6  p1, FF1 Inputs '!E63&amp;" (Note K)"</f>
        <v>Firm Network Service for Others (Note K)</v>
      </c>
      <c r="E32" s="231" t="str">
        <f>'DEF - 6  p1, FF1 Inputs '!F63</f>
        <v>400.17.f</v>
      </c>
      <c r="F32" s="5">
        <f>'DEF - 6  p1, FF1 Inputs '!$J$63</f>
        <v>31749</v>
      </c>
      <c r="H32" s="231"/>
      <c r="I32" s="6">
        <v>1</v>
      </c>
      <c r="J32" s="6"/>
      <c r="K32" s="5">
        <f>IF(ISNUMBER(I32),F32*I32,"")</f>
        <v>31749</v>
      </c>
    </row>
    <row r="33" spans="2:12">
      <c r="B33" s="231">
        <f>B32+1</f>
        <v>12</v>
      </c>
      <c r="C33" s="8"/>
      <c r="D33" s="228" t="str">
        <f>'DEF - 6  p1, FF1 Inputs '!E64</f>
        <v>Long-Term Firm P-t-P Reservations</v>
      </c>
      <c r="E33" s="231" t="str">
        <f>'DEF - 6  p1, FF1 Inputs '!F64</f>
        <v>400.17.g</v>
      </c>
      <c r="F33" s="5">
        <f>'DEF - 6  p1, FF1 Inputs '!$J$64</f>
        <v>3884</v>
      </c>
      <c r="H33" s="231"/>
      <c r="I33" s="6">
        <v>1</v>
      </c>
      <c r="J33" s="6"/>
      <c r="K33" s="5">
        <f>IF(ISNUMBER(I33),F33*I33,"")</f>
        <v>3884</v>
      </c>
    </row>
    <row r="34" spans="2:12">
      <c r="B34" s="231">
        <f>B33+1</f>
        <v>13</v>
      </c>
      <c r="C34" s="8"/>
      <c r="D34" s="228" t="str">
        <f>'DEF - 6  p1, FF1 Inputs '!E65</f>
        <v>Other Long-Term Firm Service</v>
      </c>
      <c r="E34" s="231" t="str">
        <f>'DEF - 6  p1, FF1 Inputs '!F65</f>
        <v>400.17.h</v>
      </c>
      <c r="F34" s="5">
        <f>'DEF - 6  p1, FF1 Inputs '!$J$65</f>
        <v>488.89964155908513</v>
      </c>
      <c r="H34" s="231"/>
      <c r="I34" s="6">
        <v>1</v>
      </c>
      <c r="J34" s="6"/>
      <c r="K34" s="5">
        <f>IF(ISNUMBER(I34),F34*I34,"")</f>
        <v>488.89964155908513</v>
      </c>
    </row>
    <row r="35" spans="2:12" ht="13.5" thickBot="1">
      <c r="B35" s="231">
        <f>B34+1</f>
        <v>14</v>
      </c>
      <c r="C35" s="8"/>
      <c r="D35" s="43" t="s">
        <v>244</v>
      </c>
      <c r="E35" s="231"/>
      <c r="F35" s="9">
        <v>0</v>
      </c>
      <c r="H35" s="231"/>
      <c r="I35" s="6">
        <v>1</v>
      </c>
      <c r="J35" s="6"/>
      <c r="K35" s="5">
        <f>F35*I35</f>
        <v>0</v>
      </c>
    </row>
    <row r="36" spans="2:12" ht="13.5" thickTop="1">
      <c r="B36" s="231">
        <f>B35+1</f>
        <v>15</v>
      </c>
      <c r="C36" s="8"/>
      <c r="D36" s="3" t="s">
        <v>285</v>
      </c>
      <c r="E36" s="231"/>
      <c r="F36" s="12">
        <f>SUM(F31:F35)</f>
        <v>121517.89964155908</v>
      </c>
      <c r="H36" s="231"/>
      <c r="I36" s="6"/>
      <c r="J36" s="6"/>
      <c r="K36" s="12">
        <f>SUM(K31:K35)</f>
        <v>36121.899641559088</v>
      </c>
    </row>
    <row r="37" spans="2:12">
      <c r="B37" s="231"/>
      <c r="C37" s="8"/>
      <c r="E37" s="231"/>
      <c r="F37" s="37"/>
      <c r="H37" s="231"/>
      <c r="I37" s="6"/>
      <c r="J37" s="6"/>
      <c r="K37" s="5"/>
    </row>
    <row r="38" spans="2:12">
      <c r="B38" s="231">
        <f>B36+1</f>
        <v>16</v>
      </c>
      <c r="C38" s="8" t="s">
        <v>406</v>
      </c>
      <c r="E38" s="231"/>
      <c r="F38" s="5"/>
      <c r="H38" s="231"/>
      <c r="I38" s="6"/>
      <c r="J38" s="6"/>
      <c r="K38" s="263">
        <f>F36/K36*I15*F14</f>
        <v>2.8590626479106005</v>
      </c>
      <c r="L38" s="191"/>
    </row>
    <row r="40" spans="2:12" ht="3" customHeight="1"/>
    <row r="41" spans="2:12" ht="6" customHeight="1"/>
    <row r="42" spans="2:12">
      <c r="B42" s="18" t="s">
        <v>103</v>
      </c>
      <c r="C42" s="3" t="s">
        <v>282</v>
      </c>
    </row>
    <row r="43" spans="2:12">
      <c r="B43" s="18" t="s">
        <v>104</v>
      </c>
      <c r="C43" s="3" t="s">
        <v>851</v>
      </c>
    </row>
    <row r="44" spans="2:12">
      <c r="B44" s="18"/>
      <c r="C44" s="3" t="s">
        <v>852</v>
      </c>
    </row>
    <row r="45" spans="2:12">
      <c r="B45" s="18" t="s">
        <v>105</v>
      </c>
      <c r="C45" s="3" t="s">
        <v>128</v>
      </c>
    </row>
    <row r="46" spans="2:12">
      <c r="B46" s="18" t="s">
        <v>106</v>
      </c>
      <c r="C46" s="3" t="s">
        <v>298</v>
      </c>
    </row>
    <row r="47" spans="2:12">
      <c r="B47" s="18" t="s">
        <v>107</v>
      </c>
      <c r="C47" s="3" t="s">
        <v>288</v>
      </c>
    </row>
    <row r="48" spans="2:12">
      <c r="B48" s="18" t="s">
        <v>129</v>
      </c>
      <c r="C48" s="3" t="s">
        <v>853</v>
      </c>
    </row>
    <row r="49" spans="2:3">
      <c r="B49" s="18"/>
      <c r="C49" s="3" t="s">
        <v>854</v>
      </c>
    </row>
    <row r="50" spans="2:3">
      <c r="B50" s="18" t="s">
        <v>132</v>
      </c>
      <c r="C50" s="3" t="s">
        <v>173</v>
      </c>
    </row>
    <row r="51" spans="2:3" ht="12.75" customHeight="1">
      <c r="B51" s="18" t="s">
        <v>172</v>
      </c>
      <c r="C51" s="106" t="s">
        <v>855</v>
      </c>
    </row>
    <row r="52" spans="2:3" ht="12.75" customHeight="1">
      <c r="B52" s="18"/>
      <c r="C52" s="106" t="s">
        <v>856</v>
      </c>
    </row>
    <row r="53" spans="2:3">
      <c r="B53" s="18" t="s">
        <v>194</v>
      </c>
      <c r="C53" s="3" t="s">
        <v>913</v>
      </c>
    </row>
    <row r="54" spans="2:3">
      <c r="C54" s="3" t="s">
        <v>857</v>
      </c>
    </row>
    <row r="55" spans="2:3">
      <c r="B55" s="18" t="s">
        <v>205</v>
      </c>
      <c r="C55" s="3" t="s">
        <v>858</v>
      </c>
    </row>
    <row r="56" spans="2:3">
      <c r="C56" s="3" t="s">
        <v>859</v>
      </c>
    </row>
    <row r="57" spans="2:3">
      <c r="B57" s="18" t="s">
        <v>206</v>
      </c>
      <c r="C57" s="3" t="s">
        <v>208</v>
      </c>
    </row>
    <row r="58" spans="2:3">
      <c r="B58" s="18" t="s">
        <v>296</v>
      </c>
      <c r="C58" s="106" t="s">
        <v>484</v>
      </c>
    </row>
    <row r="59" spans="2:3">
      <c r="B59" s="18" t="s">
        <v>376</v>
      </c>
      <c r="C59" s="3" t="s">
        <v>860</v>
      </c>
    </row>
    <row r="60" spans="2:3">
      <c r="B60" s="18" t="s">
        <v>380</v>
      </c>
      <c r="C60" s="3" t="s">
        <v>861</v>
      </c>
    </row>
    <row r="61" spans="2:3">
      <c r="C61" s="3" t="s">
        <v>862</v>
      </c>
    </row>
    <row r="62" spans="2:3">
      <c r="B62" s="231" t="s">
        <v>386</v>
      </c>
      <c r="C62" s="3" t="s">
        <v>914</v>
      </c>
    </row>
    <row r="63" spans="2:3">
      <c r="C63" s="3" t="s">
        <v>863</v>
      </c>
    </row>
    <row r="64" spans="2:3">
      <c r="B64" s="264" t="s">
        <v>399</v>
      </c>
      <c r="C64" s="3" t="s">
        <v>864</v>
      </c>
    </row>
    <row r="65" spans="2:6">
      <c r="C65" s="3" t="s">
        <v>915</v>
      </c>
    </row>
    <row r="66" spans="2:6">
      <c r="B66" s="231" t="s">
        <v>400</v>
      </c>
      <c r="C66" s="3" t="s">
        <v>865</v>
      </c>
    </row>
    <row r="67" spans="2:6">
      <c r="C67" s="3" t="s">
        <v>866</v>
      </c>
    </row>
    <row r="68" spans="2:6">
      <c r="B68" s="264" t="s">
        <v>401</v>
      </c>
      <c r="C68" s="3" t="s">
        <v>867</v>
      </c>
    </row>
    <row r="69" spans="2:6">
      <c r="C69" s="3" t="s">
        <v>868</v>
      </c>
    </row>
    <row r="70" spans="2:6">
      <c r="B70" s="20" t="s">
        <v>476</v>
      </c>
      <c r="C70" s="106" t="s">
        <v>869</v>
      </c>
    </row>
    <row r="71" spans="2:6">
      <c r="B71" s="20"/>
      <c r="C71" s="106" t="s">
        <v>916</v>
      </c>
    </row>
    <row r="72" spans="2:6">
      <c r="B72" s="20"/>
      <c r="C72" s="106" t="s">
        <v>870</v>
      </c>
    </row>
    <row r="73" spans="2:6">
      <c r="B73" s="106"/>
      <c r="C73" s="106" t="s">
        <v>871</v>
      </c>
    </row>
    <row r="74" spans="2:6">
      <c r="B74" s="20" t="s">
        <v>475</v>
      </c>
      <c r="C74" s="106" t="s">
        <v>480</v>
      </c>
    </row>
    <row r="75" spans="2:6">
      <c r="B75" s="20" t="s">
        <v>481</v>
      </c>
      <c r="C75" s="106" t="s">
        <v>872</v>
      </c>
    </row>
    <row r="76" spans="2:6">
      <c r="B76" s="20"/>
      <c r="C76" s="106" t="s">
        <v>873</v>
      </c>
    </row>
    <row r="77" spans="2:6">
      <c r="B77" s="20"/>
      <c r="C77" s="106" t="s">
        <v>874</v>
      </c>
    </row>
    <row r="78" spans="2:6">
      <c r="B78" s="20"/>
      <c r="C78" s="106" t="s">
        <v>875</v>
      </c>
    </row>
    <row r="79" spans="2:6">
      <c r="B79" s="20" t="s">
        <v>482</v>
      </c>
      <c r="C79" s="106" t="s">
        <v>876</v>
      </c>
    </row>
    <row r="80" spans="2:6">
      <c r="B80" s="15"/>
      <c r="C80" s="106" t="s">
        <v>877</v>
      </c>
      <c r="D80" s="106"/>
      <c r="E80" s="14"/>
      <c r="F80" s="14"/>
    </row>
    <row r="81" spans="2:11">
      <c r="B81" s="20" t="s">
        <v>483</v>
      </c>
      <c r="C81" s="106" t="s">
        <v>917</v>
      </c>
      <c r="D81" s="106"/>
      <c r="E81" s="14"/>
      <c r="F81" s="14"/>
      <c r="G81" s="14"/>
      <c r="H81" s="14"/>
      <c r="I81" s="14"/>
      <c r="J81" s="14"/>
      <c r="K81" s="14"/>
    </row>
    <row r="82" spans="2:11">
      <c r="B82" s="106"/>
      <c r="C82" s="106" t="s">
        <v>878</v>
      </c>
      <c r="D82" s="106"/>
    </row>
    <row r="83" spans="2:11">
      <c r="B83" s="106"/>
      <c r="C83" s="106" t="s">
        <v>918</v>
      </c>
      <c r="D83" s="106"/>
    </row>
    <row r="84" spans="2:11">
      <c r="B84" s="106"/>
      <c r="C84" s="106" t="s">
        <v>879</v>
      </c>
      <c r="D84" s="106"/>
    </row>
    <row r="85" spans="2:11">
      <c r="B85" s="106"/>
      <c r="C85" s="106" t="s">
        <v>880</v>
      </c>
      <c r="D85" s="106"/>
    </row>
    <row r="86" spans="2:11">
      <c r="B86" s="106"/>
      <c r="C86" s="106" t="s">
        <v>919</v>
      </c>
      <c r="D86" s="106"/>
    </row>
    <row r="87" spans="2:11">
      <c r="B87" s="106"/>
      <c r="C87" s="106" t="s">
        <v>920</v>
      </c>
      <c r="D87" s="106"/>
    </row>
    <row r="88" spans="2:11">
      <c r="B88" s="106"/>
      <c r="C88" s="106" t="s">
        <v>881</v>
      </c>
      <c r="D88" s="106"/>
    </row>
    <row r="89" spans="2:11">
      <c r="B89" s="106"/>
      <c r="C89" s="106" t="s">
        <v>882</v>
      </c>
      <c r="D89" s="106"/>
    </row>
    <row r="90" spans="2:11">
      <c r="B90" s="106"/>
      <c r="C90" s="106" t="s">
        <v>883</v>
      </c>
      <c r="D90" s="106"/>
    </row>
    <row r="91" spans="2:11">
      <c r="B91" s="106"/>
      <c r="C91" s="106"/>
      <c r="D91" s="106"/>
    </row>
  </sheetData>
  <mergeCells count="4">
    <mergeCell ref="H11:I11"/>
    <mergeCell ref="A5:L5"/>
    <mergeCell ref="A6:L6"/>
    <mergeCell ref="A8:L8"/>
  </mergeCells>
  <phoneticPr fontId="0" type="noConversion"/>
  <printOptions horizontalCentered="1"/>
  <pageMargins left="0.5" right="0.5" top="0.5" bottom="0.5" header="0.5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workbookViewId="0"/>
  </sheetViews>
  <sheetFormatPr defaultRowHeight="12.75"/>
  <cols>
    <col min="1" max="2" width="3.7109375" style="3" customWidth="1"/>
    <col min="3" max="3" width="9.140625" style="3"/>
    <col min="4" max="4" width="6.85546875" style="3" customWidth="1"/>
    <col min="5" max="5" width="9.140625" style="3"/>
    <col min="6" max="6" width="5.7109375" style="3" customWidth="1"/>
    <col min="7" max="7" width="11.7109375" style="3" customWidth="1"/>
    <col min="8" max="9" width="9.140625" style="3"/>
    <col min="10" max="10" width="5.85546875" style="3" customWidth="1"/>
    <col min="11" max="16384" width="9.140625" style="3"/>
  </cols>
  <sheetData>
    <row r="1" spans="1:13" ht="15">
      <c r="K1" s="334" t="s">
        <v>907</v>
      </c>
      <c r="L1" s="334"/>
      <c r="M1" s="334"/>
    </row>
    <row r="2" spans="1:13" ht="15">
      <c r="K2" s="335" t="s">
        <v>214</v>
      </c>
      <c r="L2" s="335"/>
      <c r="M2" s="336"/>
    </row>
    <row r="3" spans="1:13">
      <c r="K3" s="344" t="str">
        <f>FF1_Year</f>
        <v>Year Ending 12/31/2012</v>
      </c>
      <c r="L3" s="345"/>
      <c r="M3" s="345"/>
    </row>
    <row r="6" spans="1:13">
      <c r="A6" s="338" t="s">
        <v>924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46"/>
    </row>
    <row r="7" spans="1:13">
      <c r="A7" s="338" t="s">
        <v>135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46"/>
    </row>
    <row r="8" spans="1:13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</row>
    <row r="9" spans="1:13">
      <c r="A9" s="347" t="s">
        <v>215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8"/>
    </row>
    <row r="13" spans="1:13">
      <c r="A13" s="8" t="s">
        <v>217</v>
      </c>
    </row>
    <row r="46" spans="1:7">
      <c r="A46" s="8" t="str">
        <f>YR&amp;" Per Book Amount:"</f>
        <v>2012 Per Book Amount:</v>
      </c>
      <c r="G46" s="5">
        <v>34268581.675700001</v>
      </c>
    </row>
    <row r="47" spans="1:7">
      <c r="G47" s="5"/>
    </row>
    <row r="48" spans="1:7">
      <c r="C48" s="3" t="s">
        <v>216</v>
      </c>
      <c r="G48" s="5">
        <v>22191000</v>
      </c>
    </row>
    <row r="49" spans="1:7">
      <c r="G49" s="5"/>
    </row>
    <row r="50" spans="1:7">
      <c r="A50" s="265" t="s">
        <v>222</v>
      </c>
      <c r="G50" s="5">
        <f>G48-G46</f>
        <v>-12077581.675700001</v>
      </c>
    </row>
  </sheetData>
  <mergeCells count="6">
    <mergeCell ref="A6:M6"/>
    <mergeCell ref="A7:M7"/>
    <mergeCell ref="A9:M9"/>
    <mergeCell ref="K1:M1"/>
    <mergeCell ref="K2:M2"/>
    <mergeCell ref="K3:M3"/>
  </mergeCells>
  <phoneticPr fontId="14" type="noConversion"/>
  <printOptions horizontalCentered="1"/>
  <pageMargins left="0.5" right="0.5" top="0.5" bottom="0.5" header="0.5" footer="0.5"/>
  <pageSetup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zoomScaleNormal="100" workbookViewId="0"/>
  </sheetViews>
  <sheetFormatPr defaultRowHeight="12.75"/>
  <cols>
    <col min="1" max="1" width="5.7109375" style="3" customWidth="1"/>
    <col min="2" max="2" width="43.85546875" style="3" customWidth="1"/>
    <col min="3" max="3" width="4.7109375" style="3" customWidth="1"/>
    <col min="4" max="4" width="12.28515625" style="3" bestFit="1" customWidth="1"/>
    <col min="5" max="5" width="4.7109375" style="3" customWidth="1"/>
    <col min="6" max="6" width="12.140625" style="3" bestFit="1" customWidth="1"/>
    <col min="7" max="7" width="18.42578125" style="3" customWidth="1"/>
    <col min="8" max="8" width="11.42578125" style="3" customWidth="1"/>
    <col min="9" max="16384" width="9.140625" style="3"/>
  </cols>
  <sheetData>
    <row r="1" spans="1:9" ht="15">
      <c r="G1" s="335" t="s">
        <v>909</v>
      </c>
      <c r="H1" s="335"/>
    </row>
    <row r="2" spans="1:9" ht="15">
      <c r="G2" s="234" t="s">
        <v>191</v>
      </c>
      <c r="H2" s="234"/>
    </row>
    <row r="3" spans="1:9">
      <c r="G3" s="344" t="str">
        <f>FF1_Year</f>
        <v>Year Ending 12/31/2012</v>
      </c>
      <c r="H3" s="345"/>
    </row>
    <row r="4" spans="1:9">
      <c r="G4" s="228"/>
      <c r="H4" s="228"/>
    </row>
    <row r="6" spans="1:9">
      <c r="A6" s="338" t="s">
        <v>924</v>
      </c>
      <c r="B6" s="338"/>
      <c r="C6" s="338"/>
      <c r="D6" s="338"/>
      <c r="E6" s="338"/>
      <c r="F6" s="338"/>
      <c r="G6" s="338"/>
      <c r="H6" s="338"/>
      <c r="I6" s="266"/>
    </row>
    <row r="7" spans="1:9">
      <c r="A7" s="347" t="s">
        <v>369</v>
      </c>
      <c r="B7" s="347"/>
      <c r="C7" s="347"/>
      <c r="D7" s="347"/>
      <c r="E7" s="347"/>
      <c r="F7" s="347"/>
      <c r="G7" s="347"/>
      <c r="H7" s="347"/>
    </row>
    <row r="8" spans="1:9">
      <c r="A8" s="347" t="s">
        <v>370</v>
      </c>
      <c r="B8" s="347"/>
      <c r="C8" s="347"/>
      <c r="D8" s="347"/>
      <c r="E8" s="347"/>
      <c r="F8" s="347"/>
      <c r="G8" s="347"/>
      <c r="H8" s="347"/>
    </row>
    <row r="9" spans="1:9">
      <c r="B9" s="266"/>
      <c r="D9" s="5"/>
      <c r="E9" s="5"/>
      <c r="F9" s="5"/>
      <c r="G9" s="5"/>
      <c r="H9" s="5"/>
    </row>
    <row r="10" spans="1:9">
      <c r="A10" s="106"/>
      <c r="B10" s="106"/>
      <c r="C10" s="106"/>
      <c r="D10" s="117" t="s">
        <v>370</v>
      </c>
      <c r="E10" s="8"/>
      <c r="F10" s="118" t="s">
        <v>269</v>
      </c>
      <c r="G10" s="119" t="s">
        <v>506</v>
      </c>
      <c r="H10" s="5"/>
    </row>
    <row r="11" spans="1:9">
      <c r="A11" s="106"/>
      <c r="B11" s="120" t="s">
        <v>507</v>
      </c>
      <c r="C11" s="120"/>
      <c r="D11" s="121">
        <v>9441110.5999999996</v>
      </c>
      <c r="E11" s="120"/>
      <c r="F11" s="121"/>
      <c r="G11" s="120"/>
      <c r="H11" s="5"/>
    </row>
    <row r="12" spans="1:9">
      <c r="A12" s="106"/>
      <c r="B12" s="120" t="s">
        <v>508</v>
      </c>
      <c r="C12" s="120"/>
      <c r="D12" s="121">
        <v>261196</v>
      </c>
      <c r="E12" s="120"/>
      <c r="F12" s="121">
        <f>D12</f>
        <v>261196</v>
      </c>
      <c r="G12" s="120"/>
      <c r="H12" s="5"/>
    </row>
    <row r="13" spans="1:9">
      <c r="A13" s="106"/>
      <c r="B13" s="120" t="s">
        <v>509</v>
      </c>
      <c r="C13" s="120"/>
      <c r="D13" s="121">
        <v>1959622</v>
      </c>
      <c r="E13" s="120"/>
      <c r="F13" s="121">
        <f>D13</f>
        <v>1959622</v>
      </c>
      <c r="G13" s="120"/>
      <c r="H13" s="5"/>
    </row>
    <row r="14" spans="1:9">
      <c r="A14" s="106"/>
      <c r="B14" s="120" t="s">
        <v>510</v>
      </c>
      <c r="C14" s="120"/>
      <c r="D14" s="121">
        <v>66037016.719999999</v>
      </c>
      <c r="E14" s="120"/>
      <c r="F14" s="121"/>
      <c r="G14" s="120"/>
      <c r="H14" s="5"/>
    </row>
    <row r="15" spans="1:9">
      <c r="A15" s="106"/>
      <c r="B15" s="120" t="s">
        <v>511</v>
      </c>
      <c r="C15" s="120"/>
      <c r="D15" s="121">
        <v>617.88</v>
      </c>
      <c r="E15" s="120"/>
      <c r="F15" s="121">
        <f>D15</f>
        <v>617.88</v>
      </c>
      <c r="G15" s="120"/>
      <c r="H15" s="5"/>
    </row>
    <row r="16" spans="1:9">
      <c r="A16" s="106"/>
      <c r="B16" s="120" t="s">
        <v>512</v>
      </c>
      <c r="C16" s="120"/>
      <c r="D16" s="121">
        <v>640846.67999999993</v>
      </c>
      <c r="E16" s="120"/>
      <c r="F16" s="121">
        <f>D16</f>
        <v>640846.67999999993</v>
      </c>
      <c r="G16" s="120"/>
      <c r="H16" s="5"/>
    </row>
    <row r="17" spans="1:8">
      <c r="A17" s="106"/>
      <c r="B17" s="120" t="s">
        <v>513</v>
      </c>
      <c r="C17" s="120"/>
      <c r="D17" s="121">
        <v>42000</v>
      </c>
      <c r="E17" s="120"/>
      <c r="F17" s="121">
        <f>D17</f>
        <v>42000</v>
      </c>
      <c r="G17" s="120"/>
      <c r="H17" s="5"/>
    </row>
    <row r="18" spans="1:8">
      <c r="A18" s="106"/>
      <c r="B18" s="120" t="s">
        <v>514</v>
      </c>
      <c r="C18" s="120"/>
      <c r="D18" s="121">
        <v>6956683.0899999999</v>
      </c>
      <c r="E18" s="120"/>
      <c r="F18" s="121"/>
      <c r="G18" s="120"/>
      <c r="H18" s="5"/>
    </row>
    <row r="19" spans="1:8">
      <c r="A19" s="106"/>
      <c r="B19" s="120" t="s">
        <v>515</v>
      </c>
      <c r="C19" s="120"/>
      <c r="D19" s="121">
        <v>409133.37</v>
      </c>
      <c r="E19" s="120"/>
      <c r="F19" s="121"/>
      <c r="G19" s="120"/>
      <c r="H19" s="5"/>
    </row>
    <row r="20" spans="1:8">
      <c r="A20" s="106"/>
      <c r="B20" s="120" t="s">
        <v>516</v>
      </c>
      <c r="C20" s="120"/>
      <c r="D20" s="121">
        <v>281125.58999999997</v>
      </c>
      <c r="E20" s="120"/>
      <c r="F20" s="121"/>
      <c r="G20" s="120"/>
      <c r="H20" s="5"/>
    </row>
    <row r="21" spans="1:8">
      <c r="A21" s="106"/>
      <c r="B21" s="122" t="s">
        <v>517</v>
      </c>
      <c r="C21" s="120"/>
      <c r="D21" s="121">
        <v>211457.87999999998</v>
      </c>
      <c r="E21" s="120"/>
      <c r="F21" s="121"/>
      <c r="G21" s="120"/>
      <c r="H21" s="5"/>
    </row>
    <row r="22" spans="1:8">
      <c r="A22" s="106"/>
      <c r="B22" s="120" t="s">
        <v>518</v>
      </c>
      <c r="C22" s="120"/>
      <c r="D22" s="121">
        <v>1020653.04</v>
      </c>
      <c r="E22" s="120"/>
      <c r="F22" s="121"/>
      <c r="G22" s="120"/>
      <c r="H22" s="5"/>
    </row>
    <row r="23" spans="1:8">
      <c r="A23" s="106"/>
      <c r="B23" s="120" t="s">
        <v>519</v>
      </c>
      <c r="C23" s="120"/>
      <c r="D23" s="121">
        <v>3105.46</v>
      </c>
      <c r="E23" s="120"/>
      <c r="F23" s="121"/>
      <c r="G23" s="120"/>
      <c r="H23" s="5"/>
    </row>
    <row r="24" spans="1:8">
      <c r="A24" s="106"/>
      <c r="B24" s="120" t="s">
        <v>520</v>
      </c>
      <c r="C24" s="120"/>
      <c r="D24" s="121">
        <v>1755583.5699999998</v>
      </c>
      <c r="E24" s="120"/>
      <c r="F24" s="121">
        <f>D24</f>
        <v>1755583.5699999998</v>
      </c>
      <c r="G24" s="120"/>
      <c r="H24" s="9"/>
    </row>
    <row r="25" spans="1:8">
      <c r="A25" s="106"/>
      <c r="B25" s="120" t="s">
        <v>521</v>
      </c>
      <c r="C25" s="120"/>
      <c r="D25" s="121">
        <v>96136.22</v>
      </c>
      <c r="E25" s="120"/>
      <c r="F25" s="121">
        <f>D25*VLOOKUP("LABOR",ALLOCATORS,2,FALSE)</f>
        <v>6319.6157460531031</v>
      </c>
      <c r="G25" s="120" t="s">
        <v>522</v>
      </c>
      <c r="H25" s="5"/>
    </row>
    <row r="26" spans="1:8">
      <c r="A26" s="106"/>
      <c r="B26" s="120" t="s">
        <v>523</v>
      </c>
      <c r="C26" s="120"/>
      <c r="D26" s="121">
        <v>7106.9</v>
      </c>
      <c r="E26" s="120"/>
      <c r="F26" s="121">
        <f>D26*VLOOKUP("LABOR",ALLOCATORS,2,FALSE)</f>
        <v>467.17956193435515</v>
      </c>
      <c r="G26" s="120" t="s">
        <v>522</v>
      </c>
      <c r="H26" s="5"/>
    </row>
    <row r="27" spans="1:8">
      <c r="A27" s="106"/>
      <c r="B27" s="120" t="s">
        <v>524</v>
      </c>
      <c r="C27" s="120"/>
      <c r="D27" s="121">
        <v>308339.02000000019</v>
      </c>
      <c r="E27" s="120"/>
      <c r="F27" s="121">
        <f>D27*VLOOKUP("LABOR",ALLOCATORS,2,FALSE)</f>
        <v>20268.990458690634</v>
      </c>
      <c r="G27" s="120" t="s">
        <v>522</v>
      </c>
      <c r="H27" s="5"/>
    </row>
    <row r="28" spans="1:8" ht="3.75" customHeight="1">
      <c r="A28" s="106"/>
      <c r="B28" s="120"/>
      <c r="C28" s="120"/>
      <c r="D28" s="121"/>
      <c r="E28" s="120"/>
      <c r="F28" s="121"/>
      <c r="G28" s="120"/>
      <c r="H28" s="9"/>
    </row>
    <row r="29" spans="1:8" ht="4.5" customHeight="1">
      <c r="B29" s="266"/>
      <c r="D29" s="9"/>
      <c r="E29" s="9"/>
      <c r="F29" s="140"/>
      <c r="G29" s="5"/>
      <c r="H29" s="5"/>
    </row>
    <row r="30" spans="1:8" ht="13.5" thickBot="1">
      <c r="B30" s="267" t="s">
        <v>270</v>
      </c>
      <c r="C30" s="267"/>
      <c r="D30" s="268">
        <f>SUM(D11:D28)</f>
        <v>89431734.019999996</v>
      </c>
      <c r="E30" s="41"/>
      <c r="F30" s="268">
        <f>SUM(F11:F28)</f>
        <v>4686921.9157666769</v>
      </c>
      <c r="G30" s="5"/>
      <c r="H30" s="5"/>
    </row>
    <row r="31" spans="1:8" ht="13.5" thickTop="1"/>
    <row r="34" spans="1:7">
      <c r="A34" s="158"/>
      <c r="B34" s="158"/>
      <c r="C34" s="158"/>
      <c r="D34" s="158"/>
      <c r="E34" s="158"/>
      <c r="F34" s="158"/>
    </row>
    <row r="35" spans="1:7">
      <c r="A35" s="269"/>
      <c r="B35" s="270"/>
      <c r="C35" s="270"/>
      <c r="D35" s="271"/>
      <c r="E35" s="272"/>
      <c r="F35" s="271"/>
      <c r="G35" s="273"/>
    </row>
    <row r="36" spans="1:7">
      <c r="A36" s="158"/>
      <c r="B36" s="274"/>
      <c r="C36" s="270"/>
      <c r="D36" s="271"/>
      <c r="E36" s="271"/>
      <c r="F36" s="271"/>
      <c r="G36" s="273"/>
    </row>
    <row r="37" spans="1:7" ht="15">
      <c r="A37" s="275"/>
      <c r="B37" s="274"/>
      <c r="C37" s="158"/>
      <c r="D37" s="158"/>
      <c r="E37" s="158"/>
      <c r="F37" s="158"/>
    </row>
    <row r="38" spans="1:7">
      <c r="A38" s="158"/>
      <c r="B38" s="158"/>
      <c r="C38" s="158"/>
      <c r="D38" s="158"/>
      <c r="E38" s="158"/>
      <c r="F38" s="158"/>
    </row>
    <row r="39" spans="1:7">
      <c r="A39" s="158"/>
      <c r="B39" s="274"/>
      <c r="C39" s="158"/>
      <c r="D39" s="158"/>
      <c r="E39" s="158"/>
      <c r="F39" s="158"/>
    </row>
    <row r="40" spans="1:7">
      <c r="A40" s="158"/>
      <c r="B40" s="274"/>
      <c r="C40" s="158"/>
      <c r="D40" s="158"/>
      <c r="E40" s="158"/>
      <c r="F40" s="276"/>
    </row>
    <row r="41" spans="1:7">
      <c r="A41" s="158"/>
      <c r="B41" s="158"/>
      <c r="C41" s="158"/>
      <c r="D41" s="158"/>
      <c r="E41" s="158"/>
      <c r="F41" s="158"/>
    </row>
    <row r="42" spans="1:7">
      <c r="A42" s="146"/>
      <c r="B42" s="277"/>
      <c r="C42" s="158"/>
      <c r="D42" s="158"/>
      <c r="E42" s="158"/>
      <c r="F42" s="158"/>
    </row>
    <row r="43" spans="1:7">
      <c r="A43" s="158"/>
      <c r="B43" s="274"/>
      <c r="C43" s="278"/>
      <c r="D43" s="278"/>
      <c r="E43" s="278"/>
      <c r="F43" s="276"/>
      <c r="G43" s="152"/>
    </row>
    <row r="44" spans="1:7">
      <c r="A44" s="278"/>
      <c r="B44" s="274"/>
      <c r="C44" s="278"/>
      <c r="D44" s="278"/>
      <c r="E44" s="278"/>
      <c r="F44" s="276"/>
      <c r="G44" s="152"/>
    </row>
    <row r="45" spans="1:7">
      <c r="A45" s="278"/>
      <c r="B45" s="278"/>
      <c r="C45" s="278"/>
      <c r="D45" s="278"/>
      <c r="E45" s="278"/>
      <c r="F45" s="279"/>
      <c r="G45" s="152"/>
    </row>
  </sheetData>
  <mergeCells count="5">
    <mergeCell ref="A8:H8"/>
    <mergeCell ref="G1:H1"/>
    <mergeCell ref="G3:H3"/>
    <mergeCell ref="A6:H6"/>
    <mergeCell ref="A7:H7"/>
  </mergeCells>
  <phoneticPr fontId="14" type="noConversion"/>
  <pageMargins left="0.5" right="0.5" top="0.5" bottom="0.5" header="0.5" footer="0.5"/>
  <pageSetup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3"/>
  <sheetViews>
    <sheetView zoomScale="160" zoomScaleNormal="160" workbookViewId="0"/>
  </sheetViews>
  <sheetFormatPr defaultColWidth="9.140625" defaultRowHeight="12.75"/>
  <cols>
    <col min="1" max="1" width="1.7109375" style="106" customWidth="1"/>
    <col min="2" max="2" width="17.42578125" style="106" bestFit="1" customWidth="1"/>
    <col min="3" max="3" width="1.7109375" style="106" customWidth="1"/>
    <col min="4" max="4" width="42.28515625" style="106" customWidth="1"/>
    <col min="5" max="5" width="13.140625" style="106" bestFit="1" customWidth="1"/>
    <col min="6" max="6" width="14.42578125" style="106" bestFit="1" customWidth="1"/>
    <col min="7" max="7" width="15.140625" style="106" bestFit="1" customWidth="1"/>
    <col min="8" max="8" width="5.85546875" style="106" customWidth="1"/>
    <col min="9" max="16384" width="9.140625" style="106"/>
  </cols>
  <sheetData>
    <row r="1" spans="1:9" ht="15">
      <c r="G1" s="335" t="s">
        <v>909</v>
      </c>
      <c r="H1" s="335"/>
    </row>
    <row r="2" spans="1:9" ht="15">
      <c r="G2" s="234" t="s">
        <v>192</v>
      </c>
      <c r="H2" s="234"/>
    </row>
    <row r="3" spans="1:9">
      <c r="G3" s="337" t="str">
        <f>FF1_Year</f>
        <v>Year Ending 12/31/2012</v>
      </c>
      <c r="H3" s="337"/>
    </row>
    <row r="5" spans="1:9">
      <c r="A5" s="338" t="s">
        <v>924</v>
      </c>
      <c r="B5" s="338"/>
      <c r="C5" s="338"/>
      <c r="D5" s="338"/>
      <c r="E5" s="338"/>
      <c r="F5" s="338"/>
      <c r="G5" s="338"/>
      <c r="H5" s="338"/>
    </row>
    <row r="6" spans="1:9">
      <c r="A6" s="343" t="s">
        <v>371</v>
      </c>
      <c r="B6" s="343"/>
      <c r="C6" s="343"/>
      <c r="D6" s="343"/>
      <c r="E6" s="343"/>
      <c r="F6" s="343"/>
      <c r="G6" s="343"/>
      <c r="H6" s="343"/>
    </row>
    <row r="7" spans="1:9">
      <c r="A7" s="343" t="s">
        <v>449</v>
      </c>
      <c r="B7" s="343"/>
      <c r="C7" s="343"/>
      <c r="D7" s="343"/>
      <c r="E7" s="343"/>
      <c r="F7" s="343"/>
      <c r="G7" s="343"/>
      <c r="H7" s="343"/>
    </row>
    <row r="10" spans="1:9">
      <c r="B10" s="349" t="s">
        <v>118</v>
      </c>
      <c r="C10" s="34"/>
      <c r="D10" s="35" t="s">
        <v>119</v>
      </c>
      <c r="E10" s="35" t="s">
        <v>120</v>
      </c>
      <c r="F10" s="35" t="s">
        <v>121</v>
      </c>
      <c r="G10" s="35" t="s">
        <v>125</v>
      </c>
    </row>
    <row r="11" spans="1:9">
      <c r="B11" s="349"/>
      <c r="C11" s="34"/>
      <c r="D11" s="35" t="s">
        <v>122</v>
      </c>
      <c r="E11" s="35" t="s">
        <v>123</v>
      </c>
      <c r="F11" s="35" t="s">
        <v>124</v>
      </c>
      <c r="G11" s="35" t="s">
        <v>126</v>
      </c>
    </row>
    <row r="12" spans="1:9" ht="6.75" customHeight="1">
      <c r="B12" s="34"/>
      <c r="C12" s="34"/>
      <c r="D12" s="35"/>
      <c r="E12" s="35"/>
      <c r="F12" s="35"/>
      <c r="G12" s="35"/>
    </row>
    <row r="13" spans="1:9" ht="15.75">
      <c r="B13" s="146" t="s">
        <v>525</v>
      </c>
      <c r="C13" s="147"/>
      <c r="D13" s="154" t="s">
        <v>526</v>
      </c>
      <c r="E13" s="155" t="s">
        <v>527</v>
      </c>
      <c r="F13" s="155" t="s">
        <v>528</v>
      </c>
      <c r="G13" s="280">
        <v>19238</v>
      </c>
      <c r="I13" s="148"/>
    </row>
    <row r="14" spans="1:9" ht="15.75">
      <c r="B14" s="146" t="s">
        <v>529</v>
      </c>
      <c r="C14" s="147"/>
      <c r="D14" s="154" t="s">
        <v>530</v>
      </c>
      <c r="E14" s="155" t="s">
        <v>531</v>
      </c>
      <c r="F14" s="155" t="s">
        <v>532</v>
      </c>
      <c r="G14" s="280">
        <v>1117140</v>
      </c>
      <c r="I14" s="148"/>
    </row>
    <row r="15" spans="1:9" ht="15.75">
      <c r="B15" s="146" t="s">
        <v>533</v>
      </c>
      <c r="C15" s="147"/>
      <c r="D15" s="154" t="s">
        <v>534</v>
      </c>
      <c r="E15" s="155" t="s">
        <v>535</v>
      </c>
      <c r="F15" s="155" t="s">
        <v>536</v>
      </c>
      <c r="G15" s="280">
        <v>8843</v>
      </c>
      <c r="I15" s="148"/>
    </row>
    <row r="16" spans="1:9" ht="15.75">
      <c r="B16" s="146" t="s">
        <v>537</v>
      </c>
      <c r="C16" s="147"/>
      <c r="D16" s="154" t="s">
        <v>538</v>
      </c>
      <c r="E16" s="155" t="s">
        <v>535</v>
      </c>
      <c r="F16" s="155" t="s">
        <v>539</v>
      </c>
      <c r="G16" s="280">
        <v>643</v>
      </c>
      <c r="I16" s="148"/>
    </row>
    <row r="17" spans="2:9" ht="15.75">
      <c r="B17" s="146" t="s">
        <v>540</v>
      </c>
      <c r="C17" s="147"/>
      <c r="D17" s="154" t="s">
        <v>541</v>
      </c>
      <c r="E17" s="155" t="s">
        <v>535</v>
      </c>
      <c r="F17" s="155" t="s">
        <v>542</v>
      </c>
      <c r="G17" s="280">
        <v>0</v>
      </c>
      <c r="I17" s="148"/>
    </row>
    <row r="18" spans="2:9" ht="15.75">
      <c r="B18" s="146" t="s">
        <v>543</v>
      </c>
      <c r="C18" s="147"/>
      <c r="D18" s="154" t="s">
        <v>544</v>
      </c>
      <c r="E18" s="155" t="s">
        <v>535</v>
      </c>
      <c r="F18" s="155" t="s">
        <v>545</v>
      </c>
      <c r="G18" s="280">
        <v>0</v>
      </c>
      <c r="I18" s="148"/>
    </row>
    <row r="19" spans="2:9" ht="15.75">
      <c r="B19" s="146" t="s">
        <v>546</v>
      </c>
      <c r="C19" s="147"/>
      <c r="D19" s="154" t="s">
        <v>547</v>
      </c>
      <c r="E19" s="155" t="s">
        <v>535</v>
      </c>
      <c r="F19" s="155" t="s">
        <v>548</v>
      </c>
      <c r="G19" s="280">
        <v>0</v>
      </c>
      <c r="I19" s="148"/>
    </row>
    <row r="20" spans="2:9" ht="15.75">
      <c r="B20" s="146" t="s">
        <v>549</v>
      </c>
      <c r="C20" s="147"/>
      <c r="D20" s="154" t="s">
        <v>550</v>
      </c>
      <c r="E20" s="155" t="s">
        <v>535</v>
      </c>
      <c r="F20" s="155" t="s">
        <v>551</v>
      </c>
      <c r="G20" s="280">
        <v>2886</v>
      </c>
      <c r="I20" s="148"/>
    </row>
    <row r="21" spans="2:9" ht="15.75">
      <c r="B21" s="146" t="s">
        <v>552</v>
      </c>
      <c r="C21" s="147"/>
      <c r="D21" s="154" t="s">
        <v>553</v>
      </c>
      <c r="E21" s="155" t="s">
        <v>535</v>
      </c>
      <c r="F21" s="155" t="s">
        <v>554</v>
      </c>
      <c r="G21" s="280">
        <v>877</v>
      </c>
      <c r="I21" s="148"/>
    </row>
    <row r="22" spans="2:9" ht="15.75">
      <c r="B22" s="146" t="s">
        <v>555</v>
      </c>
      <c r="C22" s="147"/>
      <c r="D22" s="154" t="s">
        <v>556</v>
      </c>
      <c r="E22" s="155" t="s">
        <v>535</v>
      </c>
      <c r="F22" s="155" t="s">
        <v>557</v>
      </c>
      <c r="G22" s="280">
        <v>79</v>
      </c>
      <c r="I22" s="148"/>
    </row>
    <row r="23" spans="2:9" ht="15.75">
      <c r="B23" s="146" t="s">
        <v>558</v>
      </c>
      <c r="C23" s="147"/>
      <c r="D23" s="154" t="s">
        <v>556</v>
      </c>
      <c r="E23" s="156" t="s">
        <v>531</v>
      </c>
      <c r="F23" s="156" t="s">
        <v>817</v>
      </c>
      <c r="G23" s="280">
        <v>10456808</v>
      </c>
      <c r="I23" s="148"/>
    </row>
    <row r="24" spans="2:9" ht="15.75">
      <c r="B24" s="146" t="s">
        <v>561</v>
      </c>
      <c r="C24" s="147"/>
      <c r="D24" s="154" t="s">
        <v>812</v>
      </c>
      <c r="E24" s="156" t="s">
        <v>531</v>
      </c>
      <c r="F24" s="156" t="s">
        <v>610</v>
      </c>
      <c r="G24" s="280">
        <v>352661</v>
      </c>
      <c r="I24" s="148"/>
    </row>
    <row r="25" spans="2:9" ht="15.75">
      <c r="B25" s="146" t="s">
        <v>564</v>
      </c>
      <c r="C25" s="147"/>
      <c r="D25" s="154" t="s">
        <v>559</v>
      </c>
      <c r="E25" s="156" t="s">
        <v>535</v>
      </c>
      <c r="F25" s="156" t="s">
        <v>560</v>
      </c>
      <c r="G25" s="280">
        <v>10925</v>
      </c>
      <c r="I25" s="148"/>
    </row>
    <row r="26" spans="2:9" ht="15.75">
      <c r="B26" s="146" t="s">
        <v>567</v>
      </c>
      <c r="C26" s="147"/>
      <c r="D26" s="154" t="s">
        <v>562</v>
      </c>
      <c r="E26" s="156" t="s">
        <v>535</v>
      </c>
      <c r="F26" s="156" t="s">
        <v>563</v>
      </c>
      <c r="G26" s="280">
        <v>0</v>
      </c>
      <c r="I26" s="148"/>
    </row>
    <row r="27" spans="2:9" ht="15.75">
      <c r="B27" s="146" t="s">
        <v>571</v>
      </c>
      <c r="C27" s="147"/>
      <c r="D27" s="154" t="s">
        <v>565</v>
      </c>
      <c r="E27" s="155" t="s">
        <v>527</v>
      </c>
      <c r="F27" s="156" t="s">
        <v>566</v>
      </c>
      <c r="G27" s="280">
        <v>347781</v>
      </c>
      <c r="I27" s="148"/>
    </row>
    <row r="28" spans="2:9" ht="15.75">
      <c r="B28" s="146" t="s">
        <v>574</v>
      </c>
      <c r="C28" s="147"/>
      <c r="D28" s="154" t="s">
        <v>568</v>
      </c>
      <c r="E28" s="156" t="s">
        <v>569</v>
      </c>
      <c r="F28" s="156" t="s">
        <v>570</v>
      </c>
      <c r="G28" s="280">
        <v>1440938</v>
      </c>
      <c r="I28" s="148"/>
    </row>
    <row r="29" spans="2:9" ht="15.75">
      <c r="B29" s="146" t="s">
        <v>576</v>
      </c>
      <c r="C29" s="147"/>
      <c r="D29" s="154" t="s">
        <v>572</v>
      </c>
      <c r="E29" s="156" t="s">
        <v>527</v>
      </c>
      <c r="F29" s="156" t="s">
        <v>573</v>
      </c>
      <c r="G29" s="280">
        <v>1060200</v>
      </c>
      <c r="I29" s="148"/>
    </row>
    <row r="30" spans="2:9" ht="15.75">
      <c r="B30" s="146" t="s">
        <v>579</v>
      </c>
      <c r="C30" s="147"/>
      <c r="D30" s="154" t="s">
        <v>572</v>
      </c>
      <c r="E30" s="156" t="s">
        <v>535</v>
      </c>
      <c r="F30" s="156" t="s">
        <v>575</v>
      </c>
      <c r="G30" s="280">
        <v>364</v>
      </c>
      <c r="I30" s="148"/>
    </row>
    <row r="31" spans="2:9" ht="15.75">
      <c r="B31" s="146" t="s">
        <v>582</v>
      </c>
      <c r="C31" s="147"/>
      <c r="D31" s="154" t="s">
        <v>572</v>
      </c>
      <c r="E31" s="156" t="s">
        <v>577</v>
      </c>
      <c r="F31" s="156" t="s">
        <v>578</v>
      </c>
      <c r="G31" s="280">
        <v>0</v>
      </c>
      <c r="I31" s="148"/>
    </row>
    <row r="32" spans="2:9" ht="15.75">
      <c r="B32" s="146" t="s">
        <v>585</v>
      </c>
      <c r="C32" s="147"/>
      <c r="D32" s="154" t="s">
        <v>580</v>
      </c>
      <c r="E32" s="156" t="s">
        <v>527</v>
      </c>
      <c r="F32" s="156" t="s">
        <v>581</v>
      </c>
      <c r="G32" s="280">
        <v>166835</v>
      </c>
      <c r="I32" s="148"/>
    </row>
    <row r="33" spans="2:9" ht="15.75">
      <c r="B33" s="146" t="s">
        <v>588</v>
      </c>
      <c r="C33" s="147"/>
      <c r="D33" s="154" t="s">
        <v>583</v>
      </c>
      <c r="E33" s="155" t="s">
        <v>535</v>
      </c>
      <c r="F33" s="156" t="s">
        <v>584</v>
      </c>
      <c r="G33" s="280">
        <v>9724</v>
      </c>
      <c r="I33" s="148"/>
    </row>
    <row r="34" spans="2:9" ht="15.75">
      <c r="B34" s="146" t="s">
        <v>591</v>
      </c>
      <c r="C34" s="147"/>
      <c r="D34" s="154" t="s">
        <v>586</v>
      </c>
      <c r="E34" s="156" t="s">
        <v>531</v>
      </c>
      <c r="F34" s="156" t="s">
        <v>587</v>
      </c>
      <c r="G34" s="280">
        <v>578153</v>
      </c>
      <c r="I34" s="148"/>
    </row>
    <row r="35" spans="2:9" ht="15.75">
      <c r="B35" s="146" t="s">
        <v>594</v>
      </c>
      <c r="C35" s="147"/>
      <c r="D35" s="154" t="s">
        <v>589</v>
      </c>
      <c r="E35" s="156" t="s">
        <v>535</v>
      </c>
      <c r="F35" s="156" t="s">
        <v>590</v>
      </c>
      <c r="G35" s="280">
        <v>0</v>
      </c>
      <c r="I35" s="148"/>
    </row>
    <row r="36" spans="2:9" ht="15.75">
      <c r="B36" s="146" t="s">
        <v>596</v>
      </c>
      <c r="C36" s="147"/>
      <c r="D36" s="154" t="s">
        <v>592</v>
      </c>
      <c r="E36" s="156" t="s">
        <v>527</v>
      </c>
      <c r="F36" s="156" t="s">
        <v>593</v>
      </c>
      <c r="G36" s="280">
        <v>117265</v>
      </c>
      <c r="I36" s="148"/>
    </row>
    <row r="37" spans="2:9" ht="15.75">
      <c r="B37" s="146" t="s">
        <v>598</v>
      </c>
      <c r="C37" s="147"/>
      <c r="D37" s="154" t="s">
        <v>592</v>
      </c>
      <c r="E37" s="156" t="s">
        <v>527</v>
      </c>
      <c r="F37" s="156" t="s">
        <v>595</v>
      </c>
      <c r="G37" s="280">
        <v>778842</v>
      </c>
      <c r="I37" s="148"/>
    </row>
    <row r="38" spans="2:9" ht="15.75">
      <c r="B38" s="146" t="s">
        <v>601</v>
      </c>
      <c r="C38" s="147"/>
      <c r="D38" s="154" t="s">
        <v>592</v>
      </c>
      <c r="E38" s="156" t="s">
        <v>535</v>
      </c>
      <c r="F38" s="156" t="s">
        <v>597</v>
      </c>
      <c r="G38" s="280">
        <v>526</v>
      </c>
      <c r="I38" s="148"/>
    </row>
    <row r="39" spans="2:9" ht="15.75">
      <c r="B39" s="146" t="s">
        <v>604</v>
      </c>
      <c r="C39" s="147"/>
      <c r="D39" s="154" t="s">
        <v>599</v>
      </c>
      <c r="E39" s="156" t="s">
        <v>535</v>
      </c>
      <c r="F39" s="156" t="s">
        <v>600</v>
      </c>
      <c r="G39" s="280">
        <v>64</v>
      </c>
      <c r="I39" s="148"/>
    </row>
    <row r="40" spans="2:9" ht="15.75">
      <c r="B40" s="146" t="s">
        <v>607</v>
      </c>
      <c r="C40" s="147"/>
      <c r="D40" s="154" t="s">
        <v>602</v>
      </c>
      <c r="E40" s="156" t="s">
        <v>527</v>
      </c>
      <c r="F40" s="156" t="s">
        <v>603</v>
      </c>
      <c r="G40" s="280">
        <v>669062</v>
      </c>
      <c r="I40" s="148"/>
    </row>
    <row r="41" spans="2:9" ht="15.75">
      <c r="B41" s="146" t="s">
        <v>609</v>
      </c>
      <c r="C41" s="147"/>
      <c r="D41" s="154" t="s">
        <v>605</v>
      </c>
      <c r="E41" s="156" t="s">
        <v>527</v>
      </c>
      <c r="F41" s="156" t="s">
        <v>606</v>
      </c>
      <c r="G41" s="280">
        <v>335816</v>
      </c>
      <c r="I41" s="148"/>
    </row>
    <row r="42" spans="2:9" ht="15.75">
      <c r="B42" s="146" t="s">
        <v>611</v>
      </c>
      <c r="C42" s="147"/>
      <c r="D42" s="154" t="s">
        <v>605</v>
      </c>
      <c r="E42" s="155" t="s">
        <v>535</v>
      </c>
      <c r="F42" s="156" t="s">
        <v>608</v>
      </c>
      <c r="G42" s="280">
        <v>82859</v>
      </c>
      <c r="I42" s="148"/>
    </row>
    <row r="43" spans="2:9" ht="15.75">
      <c r="B43" s="146" t="s">
        <v>614</v>
      </c>
      <c r="C43" s="147"/>
      <c r="D43" s="154" t="s">
        <v>605</v>
      </c>
      <c r="E43" s="155" t="s">
        <v>577</v>
      </c>
      <c r="F43" s="156" t="s">
        <v>545</v>
      </c>
      <c r="G43" s="280">
        <v>4547</v>
      </c>
      <c r="I43" s="148"/>
    </row>
    <row r="44" spans="2:9" ht="15.75">
      <c r="B44" s="146" t="s">
        <v>617</v>
      </c>
      <c r="C44" s="147"/>
      <c r="D44" s="154" t="s">
        <v>612</v>
      </c>
      <c r="E44" s="155" t="s">
        <v>535</v>
      </c>
      <c r="F44" s="156" t="s">
        <v>613</v>
      </c>
      <c r="G44" s="280">
        <v>13500</v>
      </c>
      <c r="I44" s="148"/>
    </row>
    <row r="45" spans="2:9" ht="15.75">
      <c r="B45" s="146" t="s">
        <v>620</v>
      </c>
      <c r="C45" s="147"/>
      <c r="D45" s="154" t="s">
        <v>615</v>
      </c>
      <c r="E45" s="156" t="s">
        <v>535</v>
      </c>
      <c r="F45" s="156" t="s">
        <v>616</v>
      </c>
      <c r="G45" s="280">
        <v>1354</v>
      </c>
      <c r="I45" s="148"/>
    </row>
    <row r="46" spans="2:9" ht="15.75">
      <c r="B46" s="146" t="s">
        <v>622</v>
      </c>
      <c r="C46" s="147"/>
      <c r="D46" s="154" t="s">
        <v>615</v>
      </c>
      <c r="E46" s="156" t="s">
        <v>531</v>
      </c>
      <c r="F46" s="156" t="s">
        <v>816</v>
      </c>
      <c r="G46" s="280">
        <v>5240296</v>
      </c>
      <c r="I46" s="148"/>
    </row>
    <row r="47" spans="2:9" ht="15.75">
      <c r="B47" s="146" t="s">
        <v>625</v>
      </c>
      <c r="C47" s="147"/>
      <c r="D47" s="154" t="s">
        <v>618</v>
      </c>
      <c r="E47" s="156" t="s">
        <v>527</v>
      </c>
      <c r="F47" s="156" t="s">
        <v>619</v>
      </c>
      <c r="G47" s="280">
        <v>0</v>
      </c>
      <c r="I47" s="148"/>
    </row>
    <row r="48" spans="2:9" ht="15.75">
      <c r="B48" s="146" t="s">
        <v>627</v>
      </c>
      <c r="C48" s="147"/>
      <c r="D48" s="154" t="s">
        <v>618</v>
      </c>
      <c r="E48" s="155" t="s">
        <v>535</v>
      </c>
      <c r="F48" s="156" t="s">
        <v>621</v>
      </c>
      <c r="G48" s="280">
        <v>0</v>
      </c>
      <c r="I48" s="148"/>
    </row>
    <row r="49" spans="2:9" ht="15.75">
      <c r="B49" s="146" t="s">
        <v>629</v>
      </c>
      <c r="C49" s="147"/>
      <c r="D49" s="154" t="s">
        <v>623</v>
      </c>
      <c r="E49" s="156" t="s">
        <v>577</v>
      </c>
      <c r="F49" s="156" t="s">
        <v>624</v>
      </c>
      <c r="G49" s="280">
        <v>265540</v>
      </c>
      <c r="I49" s="148"/>
    </row>
    <row r="50" spans="2:9" ht="15.75">
      <c r="B50" s="146" t="s">
        <v>632</v>
      </c>
      <c r="C50" s="147"/>
      <c r="D50" s="154" t="s">
        <v>623</v>
      </c>
      <c r="E50" s="155" t="s">
        <v>535</v>
      </c>
      <c r="F50" s="156" t="s">
        <v>626</v>
      </c>
      <c r="G50" s="280">
        <v>1823</v>
      </c>
      <c r="I50" s="148"/>
    </row>
    <row r="51" spans="2:9" ht="15.75">
      <c r="B51" s="146" t="s">
        <v>635</v>
      </c>
      <c r="C51" s="147"/>
      <c r="D51" s="154" t="s">
        <v>623</v>
      </c>
      <c r="E51" s="156" t="s">
        <v>531</v>
      </c>
      <c r="F51" s="156" t="s">
        <v>628</v>
      </c>
      <c r="G51" s="280">
        <v>61138830</v>
      </c>
      <c r="I51" s="148"/>
    </row>
    <row r="52" spans="2:9" ht="15.75">
      <c r="B52" s="146" t="s">
        <v>637</v>
      </c>
      <c r="C52" s="147"/>
      <c r="D52" s="154" t="s">
        <v>630</v>
      </c>
      <c r="E52" s="156" t="s">
        <v>535</v>
      </c>
      <c r="F52" s="156" t="s">
        <v>631</v>
      </c>
      <c r="G52" s="280">
        <v>0</v>
      </c>
      <c r="I52" s="148"/>
    </row>
    <row r="53" spans="2:9" ht="15.75">
      <c r="B53" s="146" t="s">
        <v>639</v>
      </c>
      <c r="C53" s="147"/>
      <c r="D53" s="154" t="s">
        <v>633</v>
      </c>
      <c r="E53" s="156" t="s">
        <v>527</v>
      </c>
      <c r="F53" s="156" t="s">
        <v>634</v>
      </c>
      <c r="G53" s="280">
        <v>392764</v>
      </c>
      <c r="I53" s="148"/>
    </row>
    <row r="54" spans="2:9" ht="15.75">
      <c r="B54" s="146" t="s">
        <v>642</v>
      </c>
      <c r="C54" s="147"/>
      <c r="D54" s="154" t="s">
        <v>633</v>
      </c>
      <c r="E54" s="156" t="s">
        <v>527</v>
      </c>
      <c r="F54" s="156" t="s">
        <v>636</v>
      </c>
      <c r="G54" s="280">
        <v>280871</v>
      </c>
      <c r="I54" s="148"/>
    </row>
    <row r="55" spans="2:9" ht="15.75">
      <c r="B55" s="146" t="s">
        <v>644</v>
      </c>
      <c r="C55" s="147"/>
      <c r="D55" s="154" t="s">
        <v>633</v>
      </c>
      <c r="E55" s="156" t="s">
        <v>535</v>
      </c>
      <c r="F55" s="156" t="s">
        <v>638</v>
      </c>
      <c r="G55" s="280">
        <v>271</v>
      </c>
      <c r="I55" s="148"/>
    </row>
    <row r="56" spans="2:9" ht="15.75">
      <c r="B56" s="146" t="s">
        <v>645</v>
      </c>
      <c r="C56" s="147"/>
      <c r="D56" s="154" t="s">
        <v>640</v>
      </c>
      <c r="E56" s="156" t="s">
        <v>527</v>
      </c>
      <c r="F56" s="156" t="s">
        <v>641</v>
      </c>
      <c r="G56" s="280">
        <v>2313112</v>
      </c>
      <c r="I56" s="148"/>
    </row>
    <row r="57" spans="2:9" ht="15.75">
      <c r="B57" s="146" t="s">
        <v>647</v>
      </c>
      <c r="C57" s="147"/>
      <c r="D57" s="154" t="s">
        <v>640</v>
      </c>
      <c r="E57" s="156" t="s">
        <v>535</v>
      </c>
      <c r="F57" s="156" t="s">
        <v>643</v>
      </c>
      <c r="G57" s="280">
        <v>26474</v>
      </c>
      <c r="I57" s="148"/>
    </row>
    <row r="58" spans="2:9" ht="15.75">
      <c r="B58" s="146" t="s">
        <v>650</v>
      </c>
      <c r="C58" s="147"/>
      <c r="D58" s="154" t="s">
        <v>640</v>
      </c>
      <c r="E58" s="156" t="s">
        <v>577</v>
      </c>
      <c r="F58" s="156" t="s">
        <v>646</v>
      </c>
      <c r="G58" s="280">
        <v>0</v>
      </c>
      <c r="I58" s="148"/>
    </row>
    <row r="59" spans="2:9" ht="15.75">
      <c r="B59" s="146" t="s">
        <v>653</v>
      </c>
      <c r="C59" s="147"/>
      <c r="D59" s="154" t="s">
        <v>648</v>
      </c>
      <c r="E59" s="156" t="s">
        <v>535</v>
      </c>
      <c r="F59" s="156" t="s">
        <v>649</v>
      </c>
      <c r="G59" s="280">
        <v>0</v>
      </c>
      <c r="I59" s="148"/>
    </row>
    <row r="60" spans="2:9" ht="15.75">
      <c r="B60" s="146" t="s">
        <v>655</v>
      </c>
      <c r="C60" s="147"/>
      <c r="D60" s="154" t="s">
        <v>651</v>
      </c>
      <c r="E60" s="156" t="s">
        <v>527</v>
      </c>
      <c r="F60" s="156" t="s">
        <v>652</v>
      </c>
      <c r="G60" s="280">
        <v>176668</v>
      </c>
      <c r="I60" s="148"/>
    </row>
    <row r="61" spans="2:9" ht="15.75">
      <c r="B61" s="146" t="s">
        <v>656</v>
      </c>
      <c r="C61" s="147"/>
      <c r="D61" s="154" t="s">
        <v>651</v>
      </c>
      <c r="E61" s="156" t="s">
        <v>527</v>
      </c>
      <c r="F61" s="156" t="s">
        <v>654</v>
      </c>
      <c r="G61" s="280">
        <v>1517492</v>
      </c>
      <c r="I61" s="148"/>
    </row>
    <row r="62" spans="2:9" ht="15.75">
      <c r="B62" s="146" t="s">
        <v>658</v>
      </c>
      <c r="C62" s="147"/>
      <c r="D62" s="154" t="s">
        <v>651</v>
      </c>
      <c r="E62" s="156" t="s">
        <v>577</v>
      </c>
      <c r="F62" s="156" t="s">
        <v>657</v>
      </c>
      <c r="G62" s="280">
        <v>0</v>
      </c>
      <c r="I62" s="148"/>
    </row>
    <row r="63" spans="2:9" ht="15.75">
      <c r="B63" s="146" t="s">
        <v>660</v>
      </c>
      <c r="C63" s="147"/>
      <c r="D63" s="154" t="s">
        <v>651</v>
      </c>
      <c r="E63" s="156" t="s">
        <v>535</v>
      </c>
      <c r="F63" s="156" t="s">
        <v>659</v>
      </c>
      <c r="G63" s="280">
        <v>18649</v>
      </c>
      <c r="I63" s="148"/>
    </row>
    <row r="64" spans="2:9" ht="15.75">
      <c r="B64" s="146" t="s">
        <v>663</v>
      </c>
      <c r="C64" s="147"/>
      <c r="D64" s="154" t="s">
        <v>815</v>
      </c>
      <c r="E64" s="155" t="s">
        <v>531</v>
      </c>
      <c r="F64" s="156" t="s">
        <v>818</v>
      </c>
      <c r="G64" s="280">
        <v>154385</v>
      </c>
      <c r="I64" s="148"/>
    </row>
    <row r="65" spans="2:9" ht="15.75">
      <c r="B65" s="146" t="s">
        <v>666</v>
      </c>
      <c r="C65" s="147"/>
      <c r="D65" s="154" t="s">
        <v>661</v>
      </c>
      <c r="E65" s="156" t="s">
        <v>531</v>
      </c>
      <c r="F65" s="156" t="s">
        <v>662</v>
      </c>
      <c r="G65" s="280">
        <v>205503</v>
      </c>
      <c r="I65" s="148"/>
    </row>
    <row r="66" spans="2:9" ht="15.75">
      <c r="B66" s="146" t="s">
        <v>669</v>
      </c>
      <c r="C66" s="147"/>
      <c r="D66" s="154" t="s">
        <v>664</v>
      </c>
      <c r="E66" s="156" t="s">
        <v>531</v>
      </c>
      <c r="F66" s="156" t="s">
        <v>665</v>
      </c>
      <c r="G66" s="280">
        <v>2394367</v>
      </c>
      <c r="I66" s="148"/>
    </row>
    <row r="67" spans="2:9" ht="15.75">
      <c r="B67" s="146" t="s">
        <v>672</v>
      </c>
      <c r="C67" s="147"/>
      <c r="D67" s="154" t="s">
        <v>667</v>
      </c>
      <c r="E67" s="156" t="s">
        <v>535</v>
      </c>
      <c r="F67" s="156" t="s">
        <v>668</v>
      </c>
      <c r="G67" s="280">
        <v>-238944</v>
      </c>
      <c r="I67" s="148"/>
    </row>
    <row r="68" spans="2:9" ht="15.75">
      <c r="B68" s="146" t="s">
        <v>675</v>
      </c>
      <c r="C68" s="147"/>
      <c r="D68" s="154" t="s">
        <v>670</v>
      </c>
      <c r="E68" s="155" t="s">
        <v>671</v>
      </c>
      <c r="F68" s="156" t="s">
        <v>557</v>
      </c>
      <c r="G68" s="280">
        <v>0</v>
      </c>
      <c r="I68" s="148"/>
    </row>
    <row r="69" spans="2:9" ht="15.75">
      <c r="B69" s="146" t="s">
        <v>677</v>
      </c>
      <c r="C69" s="147"/>
      <c r="D69" s="154" t="s">
        <v>673</v>
      </c>
      <c r="E69" s="155" t="s">
        <v>671</v>
      </c>
      <c r="F69" s="155" t="s">
        <v>674</v>
      </c>
      <c r="G69" s="280">
        <v>0</v>
      </c>
      <c r="I69" s="148"/>
    </row>
    <row r="70" spans="2:9" ht="15.75">
      <c r="B70" s="146" t="s">
        <v>679</v>
      </c>
      <c r="C70" s="147"/>
      <c r="D70" s="154" t="s">
        <v>676</v>
      </c>
      <c r="E70" s="156" t="s">
        <v>671</v>
      </c>
      <c r="F70" s="155" t="s">
        <v>681</v>
      </c>
      <c r="G70" s="280">
        <v>86494</v>
      </c>
      <c r="I70" s="148"/>
    </row>
    <row r="71" spans="2:9" ht="15.75">
      <c r="B71" s="146" t="s">
        <v>682</v>
      </c>
      <c r="C71" s="147"/>
      <c r="D71" s="154" t="s">
        <v>678</v>
      </c>
      <c r="E71" s="155" t="s">
        <v>671</v>
      </c>
      <c r="F71" s="155" t="s">
        <v>674</v>
      </c>
      <c r="G71" s="280">
        <v>249868</v>
      </c>
      <c r="I71" s="148"/>
    </row>
    <row r="72" spans="2:9" ht="15.75">
      <c r="B72" s="146" t="s">
        <v>684</v>
      </c>
      <c r="C72" s="147"/>
      <c r="D72" s="154" t="s">
        <v>680</v>
      </c>
      <c r="E72" s="155" t="s">
        <v>535</v>
      </c>
      <c r="F72" s="155" t="s">
        <v>674</v>
      </c>
      <c r="G72" s="280">
        <v>0</v>
      </c>
      <c r="I72" s="148"/>
    </row>
    <row r="73" spans="2:9" ht="15.75">
      <c r="B73" s="146" t="s">
        <v>686</v>
      </c>
      <c r="C73" s="147"/>
      <c r="D73" s="154" t="s">
        <v>683</v>
      </c>
      <c r="E73" s="156" t="s">
        <v>671</v>
      </c>
      <c r="F73" s="155" t="s">
        <v>674</v>
      </c>
      <c r="G73" s="280">
        <v>0</v>
      </c>
      <c r="I73" s="148"/>
    </row>
    <row r="74" spans="2:9" ht="15.75">
      <c r="B74" s="146" t="s">
        <v>688</v>
      </c>
      <c r="C74" s="147"/>
      <c r="D74" s="154" t="s">
        <v>685</v>
      </c>
      <c r="E74" s="155" t="s">
        <v>535</v>
      </c>
      <c r="F74" s="156" t="s">
        <v>674</v>
      </c>
      <c r="G74" s="280">
        <v>0</v>
      </c>
      <c r="I74" s="148"/>
    </row>
    <row r="75" spans="2:9" ht="15.75">
      <c r="B75" s="146" t="s">
        <v>691</v>
      </c>
      <c r="C75" s="147"/>
      <c r="D75" s="154" t="s">
        <v>687</v>
      </c>
      <c r="E75" s="155" t="s">
        <v>535</v>
      </c>
      <c r="F75" s="156" t="s">
        <v>674</v>
      </c>
      <c r="G75" s="280">
        <v>0</v>
      </c>
      <c r="I75" s="148"/>
    </row>
    <row r="76" spans="2:9" ht="15.75">
      <c r="B76" s="146" t="s">
        <v>694</v>
      </c>
      <c r="C76" s="147"/>
      <c r="D76" s="154" t="s">
        <v>689</v>
      </c>
      <c r="E76" s="156" t="s">
        <v>535</v>
      </c>
      <c r="F76" s="156" t="s">
        <v>690</v>
      </c>
      <c r="G76" s="280">
        <v>0</v>
      </c>
      <c r="I76" s="148"/>
    </row>
    <row r="77" spans="2:9" ht="15" customHeight="1">
      <c r="B77" s="146" t="s">
        <v>813</v>
      </c>
      <c r="C77" s="34"/>
      <c r="D77" s="154" t="s">
        <v>692</v>
      </c>
      <c r="E77" s="156" t="s">
        <v>535</v>
      </c>
      <c r="F77" s="156" t="s">
        <v>693</v>
      </c>
      <c r="G77" s="280">
        <v>0</v>
      </c>
    </row>
    <row r="78" spans="2:9" ht="15" customHeight="1">
      <c r="B78" s="146" t="s">
        <v>814</v>
      </c>
      <c r="D78" s="154" t="s">
        <v>695</v>
      </c>
      <c r="E78" s="156" t="s">
        <v>535</v>
      </c>
      <c r="F78" s="156" t="s">
        <v>674</v>
      </c>
      <c r="G78" s="280">
        <v>0</v>
      </c>
    </row>
    <row r="79" spans="2:9" ht="15">
      <c r="B79" s="146" t="s">
        <v>900</v>
      </c>
      <c r="D79" s="226" t="s">
        <v>903</v>
      </c>
      <c r="E79" s="156" t="s">
        <v>535</v>
      </c>
      <c r="F79" s="156" t="s">
        <v>674</v>
      </c>
      <c r="G79" s="280">
        <v>150</v>
      </c>
    </row>
    <row r="80" spans="2:9" ht="15">
      <c r="B80" s="146" t="s">
        <v>901</v>
      </c>
      <c r="D80" s="226" t="s">
        <v>904</v>
      </c>
      <c r="E80" s="156" t="s">
        <v>535</v>
      </c>
      <c r="F80" s="156" t="s">
        <v>674</v>
      </c>
      <c r="G80" s="280">
        <v>1116</v>
      </c>
    </row>
    <row r="81" spans="2:9" ht="15">
      <c r="B81" s="146" t="s">
        <v>902</v>
      </c>
      <c r="D81" s="226" t="s">
        <v>905</v>
      </c>
      <c r="E81" s="156" t="s">
        <v>535</v>
      </c>
      <c r="F81" s="156" t="s">
        <v>674</v>
      </c>
      <c r="G81" s="280">
        <v>1242</v>
      </c>
    </row>
    <row r="82" spans="2:9" ht="12.75" customHeight="1" thickBot="1">
      <c r="D82" s="35"/>
      <c r="E82" s="35"/>
      <c r="F82" s="35"/>
      <c r="G82" s="35"/>
      <c r="I82" s="106" t="s">
        <v>246</v>
      </c>
    </row>
    <row r="83" spans="2:9" ht="13.5" thickTop="1">
      <c r="D83" s="8" t="s">
        <v>127</v>
      </c>
      <c r="E83" s="8"/>
      <c r="F83" s="8"/>
      <c r="G83" s="40">
        <f>SUM(G13:G81)</f>
        <v>91804901</v>
      </c>
      <c r="I83" s="106" t="s">
        <v>246</v>
      </c>
    </row>
    <row r="84" spans="2:9" ht="3.75" customHeight="1"/>
    <row r="85" spans="2:9">
      <c r="D85" s="8" t="s">
        <v>207</v>
      </c>
      <c r="E85" s="8"/>
      <c r="F85" s="8"/>
      <c r="G85" s="101">
        <f>SUMIF($E$13:$E$81,"NF",$G$13:$G$81)</f>
        <v>-56575</v>
      </c>
    </row>
    <row r="86" spans="2:9">
      <c r="D86" s="8" t="s">
        <v>281</v>
      </c>
      <c r="G86" s="101">
        <f>SUMIF($E$13:$E$81,"SFP",$G$13:$G$81)</f>
        <v>270087</v>
      </c>
    </row>
    <row r="88" spans="2:9">
      <c r="D88" s="8" t="s">
        <v>243</v>
      </c>
      <c r="G88" s="41">
        <f>G85+G86</f>
        <v>213512</v>
      </c>
    </row>
    <row r="89" spans="2:9">
      <c r="D89" s="8"/>
      <c r="G89" s="41"/>
    </row>
    <row r="90" spans="2:9">
      <c r="D90" s="8" t="s">
        <v>280</v>
      </c>
      <c r="G90" s="41">
        <v>31659.674621237267</v>
      </c>
    </row>
    <row r="91" spans="2:9" ht="13.5" thickBot="1">
      <c r="D91" s="8" t="s">
        <v>696</v>
      </c>
      <c r="G91" s="281">
        <v>14362.980846243334</v>
      </c>
    </row>
    <row r="93" spans="2:9">
      <c r="D93" s="8" t="s">
        <v>245</v>
      </c>
      <c r="G93" s="41">
        <f>G88+G90+G91</f>
        <v>259534.6554674806</v>
      </c>
    </row>
  </sheetData>
  <mergeCells count="6">
    <mergeCell ref="B10:B11"/>
    <mergeCell ref="G1:H1"/>
    <mergeCell ref="G3:H3"/>
    <mergeCell ref="A5:H5"/>
    <mergeCell ref="A6:H6"/>
    <mergeCell ref="A7:H7"/>
  </mergeCells>
  <phoneticPr fontId="0" type="noConversion"/>
  <printOptions horizontalCentered="1"/>
  <pageMargins left="0.5" right="0.5" top="0.5" bottom="0.25" header="0.5" footer="0.5"/>
  <pageSetup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workbookViewId="0"/>
  </sheetViews>
  <sheetFormatPr defaultColWidth="9.140625" defaultRowHeight="12.75"/>
  <cols>
    <col min="1" max="1" width="5.7109375" style="106" customWidth="1"/>
    <col min="2" max="2" width="18.7109375" style="106" customWidth="1"/>
    <col min="3" max="3" width="9.140625" style="106"/>
    <col min="4" max="4" width="5.7109375" style="106" customWidth="1"/>
    <col min="5" max="5" width="11" style="106" bestFit="1" customWidth="1"/>
    <col min="6" max="6" width="5.7109375" style="106" customWidth="1"/>
    <col min="7" max="7" width="13.7109375" style="106" customWidth="1"/>
    <col min="8" max="8" width="5.7109375" style="106" customWidth="1"/>
    <col min="9" max="9" width="14.85546875" style="106" customWidth="1"/>
    <col min="10" max="10" width="5.7109375" style="106" customWidth="1"/>
    <col min="11" max="16384" width="9.140625" style="106"/>
  </cols>
  <sheetData>
    <row r="1" spans="1:10" ht="15">
      <c r="I1" s="335" t="s">
        <v>912</v>
      </c>
      <c r="J1" s="335"/>
    </row>
    <row r="2" spans="1:10" ht="15">
      <c r="I2" s="234" t="s">
        <v>372</v>
      </c>
      <c r="J2" s="234"/>
    </row>
    <row r="3" spans="1:10">
      <c r="I3" s="337" t="str">
        <f>FF1_Year</f>
        <v>Year Ending 12/31/2012</v>
      </c>
      <c r="J3" s="337"/>
    </row>
    <row r="5" spans="1:10">
      <c r="A5" s="338" t="s">
        <v>924</v>
      </c>
      <c r="B5" s="338"/>
      <c r="C5" s="338"/>
      <c r="D5" s="338"/>
      <c r="E5" s="338"/>
      <c r="F5" s="338"/>
      <c r="G5" s="338"/>
      <c r="H5" s="338"/>
      <c r="I5" s="338"/>
      <c r="J5" s="338"/>
    </row>
    <row r="6" spans="1:10">
      <c r="A6" s="343" t="s">
        <v>153</v>
      </c>
      <c r="B6" s="343"/>
      <c r="C6" s="343"/>
      <c r="D6" s="343"/>
      <c r="E6" s="343"/>
      <c r="F6" s="343"/>
      <c r="G6" s="343"/>
      <c r="H6" s="343"/>
      <c r="I6" s="343"/>
      <c r="J6" s="343"/>
    </row>
    <row r="8" spans="1:10">
      <c r="B8" s="147"/>
      <c r="C8" s="147"/>
      <c r="D8" s="147"/>
      <c r="E8" s="147"/>
      <c r="F8" s="147"/>
      <c r="G8" s="147"/>
      <c r="H8" s="147"/>
      <c r="I8" s="147"/>
      <c r="J8" s="147"/>
    </row>
    <row r="9" spans="1:10">
      <c r="B9" s="147"/>
      <c r="C9" s="147"/>
      <c r="D9" s="147"/>
      <c r="E9" s="282" t="s">
        <v>140</v>
      </c>
      <c r="F9" s="282"/>
      <c r="G9" s="282"/>
      <c r="H9" s="282"/>
      <c r="I9" s="147"/>
      <c r="J9" s="147"/>
    </row>
    <row r="10" spans="1:10">
      <c r="B10" s="283" t="s">
        <v>141</v>
      </c>
      <c r="C10" s="284" t="s">
        <v>210</v>
      </c>
      <c r="D10" s="147"/>
      <c r="E10" s="285" t="s">
        <v>209</v>
      </c>
      <c r="F10" s="156"/>
      <c r="G10" s="286" t="s">
        <v>142</v>
      </c>
      <c r="H10" s="286"/>
      <c r="I10" s="286" t="s">
        <v>152</v>
      </c>
    </row>
    <row r="11" spans="1:10">
      <c r="B11" s="123" t="s">
        <v>143</v>
      </c>
      <c r="C11" s="123" t="s">
        <v>697</v>
      </c>
      <c r="D11" s="123"/>
      <c r="E11" s="123" t="s">
        <v>698</v>
      </c>
      <c r="F11" s="123"/>
      <c r="G11" s="124">
        <v>26556</v>
      </c>
      <c r="H11" s="124"/>
      <c r="I11" s="125">
        <v>1994</v>
      </c>
    </row>
    <row r="12" spans="1:10">
      <c r="B12" s="123"/>
      <c r="C12" s="123" t="s">
        <v>699</v>
      </c>
      <c r="D12" s="123"/>
      <c r="E12" s="123" t="s">
        <v>700</v>
      </c>
      <c r="F12" s="123"/>
      <c r="G12" s="126">
        <v>616305</v>
      </c>
      <c r="H12" s="126"/>
      <c r="I12" s="125">
        <v>1994</v>
      </c>
    </row>
    <row r="13" spans="1:10">
      <c r="B13" s="123"/>
      <c r="C13" s="123"/>
      <c r="D13" s="123"/>
      <c r="E13" s="123"/>
      <c r="F13" s="123"/>
      <c r="G13" s="126">
        <v>91063</v>
      </c>
      <c r="H13" s="126"/>
      <c r="I13" s="125">
        <v>1994</v>
      </c>
    </row>
    <row r="14" spans="1:10">
      <c r="B14" s="123"/>
      <c r="C14" s="123"/>
      <c r="D14" s="123"/>
      <c r="E14" s="123"/>
      <c r="F14" s="123"/>
      <c r="G14" s="127">
        <f>SUM(G11:G13)</f>
        <v>733924</v>
      </c>
      <c r="H14" s="128"/>
      <c r="I14" s="125"/>
    </row>
    <row r="15" spans="1:10">
      <c r="B15" s="123"/>
      <c r="C15" s="123"/>
      <c r="D15" s="123"/>
      <c r="E15" s="123"/>
      <c r="F15" s="123"/>
      <c r="G15" s="126"/>
      <c r="H15" s="126"/>
      <c r="I15" s="125"/>
    </row>
    <row r="16" spans="1:10">
      <c r="B16" s="123" t="s">
        <v>144</v>
      </c>
      <c r="C16" s="123" t="s">
        <v>697</v>
      </c>
      <c r="D16" s="123"/>
      <c r="E16" s="129" t="s">
        <v>701</v>
      </c>
      <c r="F16" s="129"/>
      <c r="G16" s="126">
        <v>624845</v>
      </c>
      <c r="H16" s="126"/>
      <c r="I16" s="125">
        <v>1980</v>
      </c>
    </row>
    <row r="17" spans="2:9">
      <c r="B17" s="123"/>
      <c r="C17" s="123" t="s">
        <v>699</v>
      </c>
      <c r="D17" s="123"/>
      <c r="E17" s="129" t="s">
        <v>702</v>
      </c>
      <c r="F17" s="129"/>
      <c r="G17" s="126">
        <v>624845</v>
      </c>
      <c r="H17" s="126"/>
      <c r="I17" s="125">
        <v>1980</v>
      </c>
    </row>
    <row r="18" spans="2:9">
      <c r="B18" s="123"/>
      <c r="C18" s="123"/>
      <c r="D18" s="123"/>
      <c r="E18" s="123"/>
      <c r="F18" s="123"/>
      <c r="G18" s="127">
        <f>SUM(G16:G17)</f>
        <v>1249690</v>
      </c>
      <c r="H18" s="128"/>
      <c r="I18" s="125"/>
    </row>
    <row r="19" spans="2:9">
      <c r="B19" s="123"/>
      <c r="C19" s="123"/>
      <c r="D19" s="123"/>
      <c r="E19" s="123"/>
      <c r="F19" s="123"/>
      <c r="G19" s="126"/>
      <c r="H19" s="126"/>
      <c r="I19" s="125"/>
    </row>
    <row r="20" spans="2:9">
      <c r="B20" s="123" t="s">
        <v>145</v>
      </c>
      <c r="C20" s="123" t="s">
        <v>703</v>
      </c>
      <c r="D20" s="123"/>
      <c r="E20" s="123" t="s">
        <v>704</v>
      </c>
      <c r="F20" s="123"/>
      <c r="G20" s="126">
        <v>7570268.0357142864</v>
      </c>
      <c r="H20" s="126"/>
      <c r="I20" s="125">
        <v>2009</v>
      </c>
    </row>
    <row r="21" spans="2:9">
      <c r="B21" s="123"/>
      <c r="C21" s="123" t="s">
        <v>703</v>
      </c>
      <c r="D21" s="123"/>
      <c r="E21" s="123" t="s">
        <v>705</v>
      </c>
      <c r="F21" s="123"/>
      <c r="G21" s="126">
        <v>2523422.6785714286</v>
      </c>
      <c r="H21" s="126"/>
      <c r="I21" s="125">
        <v>2009</v>
      </c>
    </row>
    <row r="22" spans="2:9">
      <c r="B22" s="123"/>
      <c r="C22" s="123" t="s">
        <v>703</v>
      </c>
      <c r="D22" s="123"/>
      <c r="E22" s="123" t="s">
        <v>706</v>
      </c>
      <c r="F22" s="123"/>
      <c r="G22" s="126">
        <v>2523422.6785714286</v>
      </c>
      <c r="H22" s="126"/>
      <c r="I22" s="125">
        <v>2009</v>
      </c>
    </row>
    <row r="23" spans="2:9">
      <c r="B23" s="123"/>
      <c r="C23" s="123" t="s">
        <v>703</v>
      </c>
      <c r="D23" s="123"/>
      <c r="E23" s="130" t="s">
        <v>707</v>
      </c>
      <c r="F23" s="129"/>
      <c r="G23" s="126">
        <v>2523422.6785714286</v>
      </c>
      <c r="H23" s="126"/>
      <c r="I23" s="125">
        <v>2009</v>
      </c>
    </row>
    <row r="24" spans="2:9">
      <c r="B24" s="123"/>
      <c r="C24" s="123" t="s">
        <v>703</v>
      </c>
      <c r="D24" s="123"/>
      <c r="E24" s="130" t="s">
        <v>708</v>
      </c>
      <c r="F24" s="129"/>
      <c r="G24" s="126">
        <v>2523422.6785714286</v>
      </c>
      <c r="H24" s="126"/>
      <c r="I24" s="125">
        <v>2009</v>
      </c>
    </row>
    <row r="25" spans="2:9">
      <c r="B25" s="123"/>
      <c r="C25" s="123"/>
      <c r="D25" s="123"/>
      <c r="E25" s="123"/>
      <c r="F25" s="123"/>
      <c r="G25" s="126"/>
      <c r="H25" s="126"/>
      <c r="I25" s="125"/>
    </row>
    <row r="26" spans="2:9">
      <c r="B26" s="123"/>
      <c r="C26" s="123" t="s">
        <v>709</v>
      </c>
      <c r="D26" s="123"/>
      <c r="E26" s="129" t="s">
        <v>701</v>
      </c>
      <c r="F26" s="129"/>
      <c r="G26" s="126">
        <v>185875</v>
      </c>
      <c r="H26" s="126"/>
      <c r="I26" s="125">
        <v>1972</v>
      </c>
    </row>
    <row r="27" spans="2:9">
      <c r="B27" s="123"/>
      <c r="C27" s="123" t="s">
        <v>697</v>
      </c>
      <c r="D27" s="123"/>
      <c r="E27" s="129" t="s">
        <v>710</v>
      </c>
      <c r="F27" s="129"/>
      <c r="G27" s="126">
        <v>185875</v>
      </c>
      <c r="H27" s="126"/>
      <c r="I27" s="125">
        <v>1972</v>
      </c>
    </row>
    <row r="28" spans="2:9">
      <c r="B28" s="123"/>
      <c r="C28" s="123"/>
      <c r="D28" s="123"/>
      <c r="E28" s="123"/>
      <c r="F28" s="123"/>
      <c r="G28" s="127">
        <f>SUM(G20:G27)</f>
        <v>18035708.75</v>
      </c>
      <c r="H28" s="128"/>
      <c r="I28" s="125"/>
    </row>
    <row r="29" spans="2:9">
      <c r="B29" s="123"/>
      <c r="C29" s="123"/>
      <c r="D29" s="123"/>
      <c r="E29" s="123"/>
      <c r="F29" s="123"/>
      <c r="G29" s="126"/>
      <c r="H29" s="126"/>
      <c r="I29" s="125"/>
    </row>
    <row r="30" spans="2:9">
      <c r="B30" s="123" t="s">
        <v>146</v>
      </c>
      <c r="C30" s="123" t="s">
        <v>711</v>
      </c>
      <c r="D30" s="123"/>
      <c r="E30" s="129" t="s">
        <v>701</v>
      </c>
      <c r="F30" s="129"/>
      <c r="G30" s="126">
        <v>192812.03</v>
      </c>
      <c r="H30" s="126"/>
      <c r="I30" s="125">
        <v>1969</v>
      </c>
    </row>
    <row r="31" spans="2:9">
      <c r="B31" s="123"/>
      <c r="C31" s="123"/>
      <c r="D31" s="123"/>
      <c r="E31" s="123"/>
      <c r="F31" s="123"/>
      <c r="G31" s="126">
        <v>4188</v>
      </c>
      <c r="H31" s="126"/>
      <c r="I31" s="125">
        <v>1983</v>
      </c>
    </row>
    <row r="32" spans="2:9">
      <c r="B32" s="123"/>
      <c r="C32" s="123" t="s">
        <v>712</v>
      </c>
      <c r="D32" s="123"/>
      <c r="E32" s="129" t="s">
        <v>710</v>
      </c>
      <c r="F32" s="129"/>
      <c r="G32" s="126">
        <v>186947</v>
      </c>
      <c r="H32" s="126"/>
      <c r="I32" s="125">
        <v>1973</v>
      </c>
    </row>
    <row r="33" spans="2:9">
      <c r="B33" s="123"/>
      <c r="C33" s="123"/>
      <c r="D33" s="123"/>
      <c r="E33" s="123"/>
      <c r="F33" s="123"/>
      <c r="G33" s="126">
        <v>13993</v>
      </c>
      <c r="H33" s="126"/>
      <c r="I33" s="125">
        <v>1984</v>
      </c>
    </row>
    <row r="34" spans="2:9">
      <c r="B34" s="123"/>
      <c r="C34" s="123"/>
      <c r="D34" s="123"/>
      <c r="E34" s="123" t="s">
        <v>713</v>
      </c>
      <c r="F34" s="123"/>
      <c r="G34" s="126">
        <v>186947</v>
      </c>
      <c r="H34" s="126"/>
      <c r="I34" s="125">
        <v>1973</v>
      </c>
    </row>
    <row r="35" spans="2:9">
      <c r="B35" s="123"/>
      <c r="C35" s="123"/>
      <c r="D35" s="123"/>
      <c r="E35" s="123"/>
      <c r="F35" s="123"/>
      <c r="G35" s="127">
        <f>SUM(G30:G34)</f>
        <v>584887.03</v>
      </c>
      <c r="H35" s="128"/>
      <c r="I35" s="125"/>
    </row>
    <row r="36" spans="2:9">
      <c r="B36" s="123"/>
      <c r="C36" s="123"/>
      <c r="D36" s="123"/>
      <c r="E36" s="123"/>
      <c r="F36" s="123"/>
      <c r="G36" s="126"/>
      <c r="H36" s="126"/>
      <c r="I36" s="125"/>
    </row>
    <row r="37" spans="2:9">
      <c r="B37" s="123" t="s">
        <v>147</v>
      </c>
      <c r="C37" s="123" t="s">
        <v>714</v>
      </c>
      <c r="D37" s="123"/>
      <c r="E37" s="129" t="s">
        <v>715</v>
      </c>
      <c r="F37" s="129"/>
      <c r="G37" s="126">
        <v>182984</v>
      </c>
      <c r="H37" s="126"/>
      <c r="I37" s="125">
        <v>1953</v>
      </c>
    </row>
    <row r="38" spans="2:9">
      <c r="B38" s="123"/>
      <c r="C38" s="123" t="s">
        <v>716</v>
      </c>
      <c r="D38" s="123"/>
      <c r="E38" s="129" t="s">
        <v>717</v>
      </c>
      <c r="F38" s="129"/>
      <c r="G38" s="126">
        <v>139629</v>
      </c>
      <c r="H38" s="126"/>
      <c r="I38" s="125">
        <v>1954</v>
      </c>
    </row>
    <row r="39" spans="2:9">
      <c r="B39" s="123"/>
      <c r="C39" s="123" t="s">
        <v>718</v>
      </c>
      <c r="D39" s="123"/>
      <c r="E39" s="129" t="s">
        <v>719</v>
      </c>
      <c r="F39" s="129"/>
      <c r="G39" s="126">
        <v>225390</v>
      </c>
      <c r="H39" s="126"/>
      <c r="I39" s="125">
        <v>1956</v>
      </c>
    </row>
    <row r="40" spans="2:9">
      <c r="B40" s="123"/>
      <c r="C40" s="123"/>
      <c r="D40" s="123"/>
      <c r="E40" s="123"/>
      <c r="F40" s="123"/>
      <c r="G40" s="127">
        <f>SUM(G37:G39)</f>
        <v>548003</v>
      </c>
      <c r="H40" s="128"/>
      <c r="I40" s="125"/>
    </row>
    <row r="41" spans="2:9">
      <c r="B41" s="123"/>
      <c r="C41" s="123"/>
      <c r="D41" s="123"/>
      <c r="E41" s="123"/>
      <c r="F41" s="123"/>
      <c r="G41" s="126"/>
      <c r="H41" s="126"/>
      <c r="I41" s="125"/>
    </row>
    <row r="42" spans="2:9">
      <c r="B42" s="123"/>
      <c r="C42" s="123"/>
      <c r="D42" s="123"/>
      <c r="E42" s="123"/>
      <c r="F42" s="123"/>
      <c r="G42" s="126"/>
      <c r="H42" s="126"/>
      <c r="I42" s="125"/>
    </row>
    <row r="43" spans="2:9">
      <c r="B43" s="123" t="s">
        <v>148</v>
      </c>
      <c r="C43" s="123" t="s">
        <v>718</v>
      </c>
      <c r="D43" s="123"/>
      <c r="E43" s="123" t="s">
        <v>720</v>
      </c>
      <c r="F43" s="123"/>
      <c r="G43" s="126">
        <v>67645.22</v>
      </c>
      <c r="H43" s="126"/>
      <c r="I43" s="125">
        <v>1970</v>
      </c>
    </row>
    <row r="44" spans="2:9">
      <c r="B44" s="123"/>
      <c r="C44" s="123"/>
      <c r="D44" s="123"/>
      <c r="E44" s="123"/>
      <c r="F44" s="123"/>
      <c r="G44" s="127">
        <f>SUM(G43:G43)</f>
        <v>67645.22</v>
      </c>
      <c r="H44" s="128"/>
      <c r="I44" s="125"/>
    </row>
    <row r="45" spans="2:9">
      <c r="B45" s="123"/>
      <c r="C45" s="123"/>
      <c r="D45" s="123"/>
      <c r="E45" s="123"/>
      <c r="F45" s="123"/>
      <c r="G45" s="126"/>
      <c r="H45" s="126"/>
      <c r="I45" s="125"/>
    </row>
    <row r="46" spans="2:9">
      <c r="B46" s="123" t="s">
        <v>149</v>
      </c>
      <c r="C46" s="123" t="s">
        <v>697</v>
      </c>
      <c r="D46" s="123"/>
      <c r="E46" s="129" t="s">
        <v>701</v>
      </c>
      <c r="F46" s="129"/>
      <c r="G46" s="126">
        <v>228101</v>
      </c>
      <c r="H46" s="126"/>
      <c r="I46" s="125">
        <v>1974</v>
      </c>
    </row>
    <row r="47" spans="2:9">
      <c r="B47" s="123"/>
      <c r="C47" s="123"/>
      <c r="D47" s="123"/>
      <c r="E47" s="123"/>
      <c r="F47" s="123"/>
      <c r="G47" s="126">
        <v>15981</v>
      </c>
      <c r="H47" s="126"/>
      <c r="I47" s="125">
        <v>1986</v>
      </c>
    </row>
    <row r="48" spans="2:9">
      <c r="B48" s="123"/>
      <c r="C48" s="123" t="s">
        <v>699</v>
      </c>
      <c r="D48" s="123"/>
      <c r="E48" s="129" t="s">
        <v>710</v>
      </c>
      <c r="F48" s="129"/>
      <c r="G48" s="126">
        <v>228101</v>
      </c>
      <c r="H48" s="126"/>
      <c r="I48" s="125">
        <v>1974</v>
      </c>
    </row>
    <row r="49" spans="2:9">
      <c r="B49" s="123"/>
      <c r="C49" s="123" t="s">
        <v>721</v>
      </c>
      <c r="D49" s="123"/>
      <c r="E49" s="129" t="s">
        <v>722</v>
      </c>
      <c r="F49" s="129"/>
      <c r="G49" s="126">
        <v>223625.74</v>
      </c>
      <c r="H49" s="126"/>
      <c r="I49" s="125">
        <v>1974</v>
      </c>
    </row>
    <row r="50" spans="2:9">
      <c r="B50" s="123"/>
      <c r="C50" s="123" t="s">
        <v>723</v>
      </c>
      <c r="D50" s="123"/>
      <c r="E50" s="129" t="s">
        <v>724</v>
      </c>
      <c r="F50" s="129"/>
      <c r="G50" s="126">
        <v>876976.55</v>
      </c>
      <c r="H50" s="126"/>
      <c r="I50" s="125">
        <v>1993</v>
      </c>
    </row>
    <row r="51" spans="2:9">
      <c r="B51" s="123"/>
      <c r="C51" s="123" t="s">
        <v>725</v>
      </c>
      <c r="D51" s="123"/>
      <c r="E51" s="129" t="s">
        <v>726</v>
      </c>
      <c r="F51" s="129"/>
      <c r="G51" s="126">
        <v>875860.1</v>
      </c>
      <c r="H51" s="126"/>
      <c r="I51" s="125">
        <v>1993</v>
      </c>
    </row>
    <row r="52" spans="2:9">
      <c r="B52" s="123"/>
      <c r="C52" s="123" t="s">
        <v>727</v>
      </c>
      <c r="D52" s="123"/>
      <c r="E52" s="129" t="s">
        <v>728</v>
      </c>
      <c r="F52" s="129"/>
      <c r="G52" s="126">
        <v>901511</v>
      </c>
      <c r="H52" s="126"/>
      <c r="I52" s="125">
        <v>1993</v>
      </c>
    </row>
    <row r="53" spans="2:9">
      <c r="B53" s="123"/>
      <c r="C53" s="123" t="s">
        <v>729</v>
      </c>
      <c r="D53" s="123"/>
      <c r="E53" s="129" t="s">
        <v>730</v>
      </c>
      <c r="F53" s="129"/>
      <c r="G53" s="126">
        <v>873814.51</v>
      </c>
      <c r="H53" s="126"/>
      <c r="I53" s="125">
        <v>1993</v>
      </c>
    </row>
    <row r="54" spans="2:9">
      <c r="B54" s="123"/>
      <c r="C54" s="123"/>
      <c r="D54" s="123"/>
      <c r="E54" s="130" t="s">
        <v>731</v>
      </c>
      <c r="F54" s="129"/>
      <c r="G54" s="126">
        <v>1720888.48</v>
      </c>
      <c r="H54" s="126"/>
      <c r="I54" s="125">
        <v>2000</v>
      </c>
    </row>
    <row r="55" spans="2:9">
      <c r="B55" s="123"/>
      <c r="C55" s="123"/>
      <c r="D55" s="123"/>
      <c r="E55" s="130" t="s">
        <v>713</v>
      </c>
      <c r="F55" s="129"/>
      <c r="G55" s="126">
        <v>3996480.23</v>
      </c>
      <c r="H55" s="126"/>
      <c r="I55" s="125">
        <v>2008</v>
      </c>
    </row>
    <row r="56" spans="2:9">
      <c r="B56" s="123"/>
      <c r="C56" s="123"/>
      <c r="D56" s="123"/>
      <c r="E56" s="123"/>
      <c r="F56" s="123"/>
      <c r="G56" s="127">
        <f>SUM(G46:G55)</f>
        <v>9941339.6100000013</v>
      </c>
      <c r="H56" s="128"/>
      <c r="I56" s="125"/>
    </row>
    <row r="57" spans="2:9">
      <c r="B57" s="123"/>
      <c r="C57" s="123"/>
      <c r="D57" s="123"/>
      <c r="E57" s="123"/>
      <c r="F57" s="123"/>
      <c r="G57" s="126"/>
      <c r="H57" s="126"/>
      <c r="I57" s="125"/>
    </row>
    <row r="58" spans="2:9">
      <c r="B58" s="123" t="s">
        <v>150</v>
      </c>
      <c r="C58" s="123" t="s">
        <v>732</v>
      </c>
      <c r="D58" s="123"/>
      <c r="E58" s="129" t="s">
        <v>733</v>
      </c>
      <c r="F58" s="129"/>
      <c r="G58" s="126">
        <v>901156</v>
      </c>
      <c r="H58" s="126"/>
      <c r="I58" s="125">
        <v>1997</v>
      </c>
    </row>
    <row r="59" spans="2:9">
      <c r="B59" s="123"/>
      <c r="C59" s="123"/>
      <c r="D59" s="123"/>
      <c r="E59" s="123"/>
      <c r="F59" s="123"/>
      <c r="G59" s="127">
        <f>SUM(G58:G58)</f>
        <v>901156</v>
      </c>
      <c r="H59" s="128"/>
      <c r="I59" s="125"/>
    </row>
    <row r="60" spans="2:9" ht="4.5" customHeight="1">
      <c r="B60" s="147"/>
      <c r="C60" s="147"/>
      <c r="D60" s="147"/>
      <c r="E60" s="147"/>
      <c r="F60" s="147"/>
      <c r="G60" s="287"/>
      <c r="H60" s="288"/>
    </row>
    <row r="61" spans="2:9">
      <c r="B61" s="147" t="s">
        <v>796</v>
      </c>
      <c r="C61" s="147"/>
      <c r="D61" s="147"/>
      <c r="E61" s="147"/>
      <c r="F61" s="147"/>
      <c r="G61" s="289">
        <f>SUM(G11:G60)/2</f>
        <v>32062353.609999996</v>
      </c>
      <c r="H61" s="290"/>
    </row>
  </sheetData>
  <mergeCells count="4">
    <mergeCell ref="I1:J1"/>
    <mergeCell ref="I3:J3"/>
    <mergeCell ref="A5:J5"/>
    <mergeCell ref="A6:J6"/>
  </mergeCells>
  <printOptions horizontalCentered="1"/>
  <pageMargins left="0.5" right="0.5" top="0.5" bottom="0.5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32</vt:i4>
      </vt:variant>
    </vt:vector>
  </HeadingPairs>
  <TitlesOfParts>
    <vt:vector size="52" baseType="lpstr">
      <vt:lpstr>DEF - 2 -Page 1 Summary</vt:lpstr>
      <vt:lpstr>DEF - 2 Page 2 Rate Base</vt:lpstr>
      <vt:lpstr>DEF - 2 - Page 3 Rev Reqt</vt:lpstr>
      <vt:lpstr>DEF - 2 - Page 4 Support</vt:lpstr>
      <vt:lpstr>DEF - 2 - Page 5 Storm, Notes</vt:lpstr>
      <vt:lpstr>DEF - 2 - Page 6, PBOPs</vt:lpstr>
      <vt:lpstr>DEF - 3, p1, 454 Rev Credits</vt:lpstr>
      <vt:lpstr>DEF - 3,  p2, 456 Rev Credits</vt:lpstr>
      <vt:lpstr>DEF - 4, p1 Step Ups</vt:lpstr>
      <vt:lpstr>DEF - 4, p2 Step Ups </vt:lpstr>
      <vt:lpstr>DEF - 4, Order 2003 </vt:lpstr>
      <vt:lpstr>DEF - 5 p1 PY ADIT 190</vt:lpstr>
      <vt:lpstr>DEF - 5 p2 PY ADIT 28x</vt:lpstr>
      <vt:lpstr>DEF - 5 p3 CY ADIT 190</vt:lpstr>
      <vt:lpstr>DEF - 5 p4 CY ADIT 28x</vt:lpstr>
      <vt:lpstr>DEF - 5A Unfunded Reserves</vt:lpstr>
      <vt:lpstr>DEF - 6  p1, FF1 Inputs </vt:lpstr>
      <vt:lpstr>DEF - 6 p2, Levelized Storm</vt:lpstr>
      <vt:lpstr>DEF - 6 p3, Prepay Accting</vt:lpstr>
      <vt:lpstr>DEF - 7, Retail Radials</vt:lpstr>
      <vt:lpstr>_YR</vt:lpstr>
      <vt:lpstr>ALLOCATORS</vt:lpstr>
      <vt:lpstr>FF1_Year</vt:lpstr>
      <vt:lpstr>L_YR</vt:lpstr>
      <vt:lpstr>L_YR_P</vt:lpstr>
      <vt:lpstr>LABOR_ALLOC</vt:lpstr>
      <vt:lpstr>'DEF - 2 - Page 3 Rev Reqt'!Print_Area</vt:lpstr>
      <vt:lpstr>'DEF - 2 - Page 4 Support'!Print_Area</vt:lpstr>
      <vt:lpstr>'DEF - 2 - Page 5 Storm, Notes'!Print_Area</vt:lpstr>
      <vt:lpstr>'DEF - 2 - Page 6, PBOPs'!Print_Area</vt:lpstr>
      <vt:lpstr>'DEF - 2 -Page 1 Summary'!Print_Area</vt:lpstr>
      <vt:lpstr>'DEF - 2 Page 2 Rate Base'!Print_Area</vt:lpstr>
      <vt:lpstr>'DEF - 3,  p2, 456 Rev Credits'!Print_Area</vt:lpstr>
      <vt:lpstr>'DEF - 3, p1, 454 Rev Credits'!Print_Area</vt:lpstr>
      <vt:lpstr>'DEF - 4, Order 2003 '!Print_Area</vt:lpstr>
      <vt:lpstr>'DEF - 4, p1 Step Ups'!Print_Area</vt:lpstr>
      <vt:lpstr>'DEF - 4, p2 Step Ups '!Print_Area</vt:lpstr>
      <vt:lpstr>'DEF - 5 p1 PY ADIT 190'!Print_Area</vt:lpstr>
      <vt:lpstr>'DEF - 5 p2 PY ADIT 28x'!Print_Area</vt:lpstr>
      <vt:lpstr>'DEF - 5 p3 CY ADIT 190'!Print_Area</vt:lpstr>
      <vt:lpstr>'DEF - 5 p4 CY ADIT 28x'!Print_Area</vt:lpstr>
      <vt:lpstr>'DEF - 5A Unfunded Reserves'!Print_Area</vt:lpstr>
      <vt:lpstr>'DEF - 6  p1, FF1 Inputs '!Print_Area</vt:lpstr>
      <vt:lpstr>'DEF - 6 p2, Levelized Storm'!Print_Area</vt:lpstr>
      <vt:lpstr>'DEF - 6 p3, Prepay Accting'!Print_Area</vt:lpstr>
      <vt:lpstr>'DEF - 7, Retail Radials'!Print_Area</vt:lpstr>
      <vt:lpstr>'DEF - 4, Order 2003 '!Print_Titles</vt:lpstr>
      <vt:lpstr>'DEF - 4, p1 Step Ups'!Print_Titles</vt:lpstr>
      <vt:lpstr>'DEF - 4, p2 Step Ups '!Print_Titles</vt:lpstr>
      <vt:lpstr>TExp_ALLOC</vt:lpstr>
      <vt:lpstr>TP_ALLOC</vt:lpstr>
      <vt:lpstr>YR</vt:lpstr>
    </vt:vector>
  </TitlesOfParts>
  <Company>Progress Energy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Pistole</dc:creator>
  <cp:lastModifiedBy>OT00395</cp:lastModifiedBy>
  <cp:lastPrinted>2013-05-01T18:06:22Z</cp:lastPrinted>
  <dcterms:created xsi:type="dcterms:W3CDTF">2007-01-29T20:10:20Z</dcterms:created>
  <dcterms:modified xsi:type="dcterms:W3CDTF">2013-07-31T15:10:20Z</dcterms:modified>
</cp:coreProperties>
</file>