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25" windowWidth="11115" windowHeight="7635"/>
  </bookViews>
  <sheets>
    <sheet name="PEF - 2 -Page 1 Summary" sheetId="8" r:id="rId1"/>
    <sheet name="PEF - 2 Page 2 Rate Base" sheetId="4" r:id="rId2"/>
    <sheet name="PEF - 2 - Page 3 Rev Reqt" sheetId="5" r:id="rId3"/>
    <sheet name="PEF - 2 - Page 4 Support" sheetId="3" r:id="rId4"/>
    <sheet name="PEF - 2 - Page 5 Storm, Notes" sheetId="23" r:id="rId5"/>
    <sheet name="PEF - 2 - Page 6, PBOPs" sheetId="14" r:id="rId6"/>
    <sheet name="PEF -3, p1, 454 Rev Credits" sheetId="22" r:id="rId7"/>
    <sheet name="PEF - 3,  p2, 456 Rev Credits" sheetId="2" r:id="rId8"/>
    <sheet name="PEF - 4 Step Ups " sheetId="11" r:id="rId9"/>
    <sheet name="PEF - 4, Order 2003 " sheetId="26" r:id="rId10"/>
    <sheet name="PEF -5 p1 Prior Year ADIT" sheetId="21" r:id="rId11"/>
    <sheet name="PEF - 5 p2 Current Year ADIT" sheetId="28" r:id="rId12"/>
    <sheet name="PEF - 5A" sheetId="34" r:id="rId13"/>
    <sheet name="PEF - 6  p1, FF1 Inputs " sheetId="12" r:id="rId14"/>
    <sheet name="PEF - 6 p2, Levelized Storm" sheetId="32" r:id="rId15"/>
    <sheet name="PEF - 6 p3, Prepay Accting" sheetId="25" r:id="rId16"/>
    <sheet name="PEF - 7, Retail Radials" sheetId="33" r:id="rId17"/>
  </sheets>
  <externalReferences>
    <externalReference r:id="rId18"/>
    <externalReference r:id="rId19"/>
  </externalReferences>
  <definedNames>
    <definedName name="__123Graph_A" localSheetId="12" hidden="1">[1]Provision!#REF!</definedName>
    <definedName name="__123Graph_A" hidden="1">[1]Provision!#REF!</definedName>
    <definedName name="__123Graph_B" localSheetId="12" hidden="1">[1]Provision!#REF!</definedName>
    <definedName name="__123Graph_B" hidden="1">[1]Provision!#REF!</definedName>
    <definedName name="__123Graph_C" localSheetId="12" hidden="1">[1]Provision!#REF!</definedName>
    <definedName name="__123Graph_C" hidden="1">[1]Provision!#REF!</definedName>
    <definedName name="__123Graph_D" localSheetId="12" hidden="1">[1]Provision!#REF!</definedName>
    <definedName name="__123Graph_D" hidden="1">[1]Provision!#REF!</definedName>
    <definedName name="__123Graph_E" localSheetId="12" hidden="1">[1]Provision!#REF!</definedName>
    <definedName name="__123Graph_E" hidden="1">[1]Provision!#REF!</definedName>
    <definedName name="__123Graph_X" hidden="1">[1]Provision!#REF!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9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12" hidden="1">#REF!</definedName>
    <definedName name="_Key1" hidden="1">#REF!</definedName>
    <definedName name="_Key2" localSheetId="12" hidden="1">#REF!</definedName>
    <definedName name="_Key2" hidden="1">#REF!</definedName>
    <definedName name="_Order1" hidden="1">0</definedName>
    <definedName name="_Order2" hidden="1">0</definedName>
    <definedName name="_Sort" localSheetId="12" hidden="1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lloc_Table">#REF!</definedName>
    <definedName name="AS2DocOpenMode" hidden="1">"AS2DocumentBrowse"</definedName>
    <definedName name="FF1_Year">'PEF - 6  p1, FF1 Inputs '!$K$3</definedName>
    <definedName name="frt" localSheetId="4" hidden="1">{#N/A,#N/A,FALSE,"Aging Summary";#N/A,#N/A,FALSE,"Ratio Analysis";#N/A,#N/A,FALSE,"Test 120 Day Accts";#N/A,#N/A,FALSE,"Tickmarks"}</definedName>
    <definedName name="frt" localSheetId="9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9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9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ku" localSheetId="4" hidden="1">{#N/A,#N/A,FALSE,"Aging Summary";#N/A,#N/A,FALSE,"Ratio Analysis";#N/A,#N/A,FALSE,"Test 120 Day Accts";#N/A,#N/A,FALSE,"Tickmarks"}</definedName>
    <definedName name="lku" localSheetId="9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9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9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9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9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9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9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'PEF - 2 - Page 3 Rev Reqt'!$A$1:$L$67</definedName>
    <definedName name="_xlnm.Print_Area" localSheetId="3">'PEF - 2 - Page 4 Support'!$A$1:$K$56</definedName>
    <definedName name="_xlnm.Print_Area" localSheetId="4">'PEF - 2 - Page 5 Storm, Notes'!$A$1:$L$94</definedName>
    <definedName name="_xlnm.Print_Area" localSheetId="5">'PEF - 2 - Page 6, PBOPs'!$A$1:$M$50</definedName>
    <definedName name="_xlnm.Print_Area" localSheetId="0">'PEF - 2 -Page 1 Summary'!$A$1:$L$46</definedName>
    <definedName name="_xlnm.Print_Area" localSheetId="1">'PEF - 2 Page 2 Rate Base'!$A$1:$P$90</definedName>
    <definedName name="_xlnm.Print_Area" localSheetId="7">'PEF - 3,  p2, 456 Rev Credits'!$A$1:$H$21</definedName>
    <definedName name="_xlnm.Print_Area" localSheetId="8">'PEF - 4 Step Ups '!$A$1:$J$14</definedName>
    <definedName name="_xlnm.Print_Area" localSheetId="9">'PEF - 4, Order 2003 '!$A$1:$K$78</definedName>
    <definedName name="_xlnm.Print_Area" localSheetId="11">'PEF - 5 p2 Current Year ADIT'!$A$1:$J$25</definedName>
    <definedName name="_xlnm.Print_Area" localSheetId="13">'PEF - 6  p1, FF1 Inputs '!$A$1:$L$76</definedName>
    <definedName name="_xlnm.Print_Area" localSheetId="14">'PEF - 6 p2, Levelized Storm'!$A$1:$L$72</definedName>
    <definedName name="_xlnm.Print_Area" localSheetId="15">'PEF - 6 p3, Prepay Accting'!$A$1:$I$67</definedName>
    <definedName name="_xlnm.Print_Area" localSheetId="16">'PEF - 7, Retail Radials'!$A$1:$N$31</definedName>
    <definedName name="_xlnm.Print_Area" localSheetId="6">'PEF -3, p1, 454 Rev Credits'!$A$1:$H$14</definedName>
    <definedName name="_xlnm.Print_Area" localSheetId="10">'PEF -5 p1 Prior Year ADIT'!$A$1:$J$25</definedName>
    <definedName name="_xlnm.Print_Titles" localSheetId="8">'PEF - 4 Step Ups '!$1:$10</definedName>
    <definedName name="_xlnm.Print_Titles" localSheetId="9">'PEF - 4, Order 2003 '!$1:$11</definedName>
    <definedName name="ret" localSheetId="4" hidden="1">{#N/A,#N/A,FALSE,"Aging Summary";#N/A,#N/A,FALSE,"Ratio Analysis";#N/A,#N/A,FALSE,"Test 120 Day Accts";#N/A,#N/A,FALSE,"Tickmarks"}</definedName>
    <definedName name="ret" localSheetId="9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9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9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re" localSheetId="4" hidden="1">{#N/A,#N/A,FALSE,"Aging Summary";#N/A,#N/A,FALSE,"Ratio Analysis";#N/A,#N/A,FALSE,"Test 120 Day Accts";#N/A,#N/A,FALSE,"Tickmarks"}</definedName>
    <definedName name="tre" localSheetId="9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9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hidden="1">#REF!</definedName>
    <definedName name="XRefColumnsCount" hidden="1">3</definedName>
    <definedName name="XRefCopy1Row" hidden="1">#REF!</definedName>
    <definedName name="XRefCopy2Row" hidden="1">#REF!</definedName>
    <definedName name="XRefCopy3Row" hidden="1">#REF!</definedName>
    <definedName name="XRefCopyRangeCount" hidden="1">3</definedName>
    <definedName name="XRefPaste1Row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9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</definedNames>
  <calcPr calcId="124519"/>
</workbook>
</file>

<file path=xl/calcChain.xml><?xml version="1.0" encoding="utf-8"?>
<calcChain xmlns="http://schemas.openxmlformats.org/spreadsheetml/2006/main">
  <c r="F46" i="4"/>
  <c r="C37" i="5"/>
  <c r="C19"/>
  <c r="C28" i="4"/>
  <c r="C16"/>
  <c r="F60" i="5"/>
  <c r="A54" i="4"/>
  <c r="A52"/>
  <c r="A50"/>
  <c r="O49"/>
  <c r="O48"/>
  <c r="O47"/>
  <c r="O46"/>
  <c r="K38" i="23"/>
  <c r="F12" i="22"/>
  <c r="D12"/>
  <c r="E25" i="34"/>
  <c r="G21"/>
  <c r="G25" s="1"/>
  <c r="I22" i="28"/>
  <c r="D22"/>
  <c r="I19"/>
  <c r="D19"/>
  <c r="I16"/>
  <c r="D16"/>
  <c r="I13"/>
  <c r="G3" i="2"/>
  <c r="G16"/>
  <c r="G15"/>
  <c r="G13"/>
  <c r="I25" i="28" l="1"/>
  <c r="L27" i="33"/>
  <c r="L26"/>
  <c r="F38" i="5" s="1"/>
  <c r="L25" i="33"/>
  <c r="L28" s="1"/>
  <c r="H29" i="4" s="1"/>
  <c r="L17" i="33"/>
  <c r="L16"/>
  <c r="L15"/>
  <c r="L14"/>
  <c r="J28"/>
  <c r="J30" s="1"/>
  <c r="J18"/>
  <c r="J20" s="1"/>
  <c r="E28"/>
  <c r="E30" s="1"/>
  <c r="E18"/>
  <c r="E20" s="1"/>
  <c r="D28"/>
  <c r="D30" s="1"/>
  <c r="D18"/>
  <c r="D20" s="1"/>
  <c r="J3" i="26"/>
  <c r="I3" i="11"/>
  <c r="G3" i="22"/>
  <c r="K3" i="14"/>
  <c r="J3" i="23"/>
  <c r="J3" i="3"/>
  <c r="J3" i="5"/>
  <c r="N3" i="4"/>
  <c r="J7" i="8"/>
  <c r="I15" i="23"/>
  <c r="D13" i="28"/>
  <c r="D25" s="1"/>
  <c r="F15" i="5"/>
  <c r="F48" i="12"/>
  <c r="F47"/>
  <c r="H69" i="4"/>
  <c r="J69" s="1"/>
  <c r="D22" i="21"/>
  <c r="D19"/>
  <c r="D16"/>
  <c r="I16"/>
  <c r="A13" i="3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K30"/>
  <c r="K32" s="1"/>
  <c r="K31"/>
  <c r="F32"/>
  <c r="G32"/>
  <c r="H32"/>
  <c r="I32"/>
  <c r="J32"/>
  <c r="J34" s="1"/>
  <c r="F47"/>
  <c r="K47" s="1"/>
  <c r="K49" s="1"/>
  <c r="G47"/>
  <c r="H47"/>
  <c r="H49" s="1"/>
  <c r="I47"/>
  <c r="J47"/>
  <c r="J49" s="1"/>
  <c r="F48"/>
  <c r="K48" s="1"/>
  <c r="G48"/>
  <c r="H48"/>
  <c r="I48"/>
  <c r="J48"/>
  <c r="G49"/>
  <c r="I49"/>
  <c r="F16" i="4"/>
  <c r="H16"/>
  <c r="F14" i="23"/>
  <c r="I19" s="1"/>
  <c r="I22"/>
  <c r="F23" s="1"/>
  <c r="F24" s="1"/>
  <c r="F26"/>
  <c r="B26"/>
  <c r="B28" s="1"/>
  <c r="O14" i="4"/>
  <c r="O38" s="1"/>
  <c r="F28"/>
  <c r="H28"/>
  <c r="O20"/>
  <c r="O40" s="1"/>
  <c r="I33" i="3"/>
  <c r="I28"/>
  <c r="I29"/>
  <c r="H21" i="4"/>
  <c r="F33"/>
  <c r="H33"/>
  <c r="F22"/>
  <c r="H22"/>
  <c r="F34"/>
  <c r="H34"/>
  <c r="F32"/>
  <c r="H32"/>
  <c r="J76" i="26"/>
  <c r="I16" i="3" s="1"/>
  <c r="F65" i="12"/>
  <c r="E34" i="23"/>
  <c r="F64" i="12"/>
  <c r="E33" i="23"/>
  <c r="F63" i="12"/>
  <c r="E32" i="23"/>
  <c r="E48" i="3"/>
  <c r="F11" i="12"/>
  <c r="D69" i="4" s="1"/>
  <c r="C22"/>
  <c r="C21"/>
  <c r="C20"/>
  <c r="C14"/>
  <c r="C34"/>
  <c r="C33"/>
  <c r="C32"/>
  <c r="C26"/>
  <c r="F35" i="12"/>
  <c r="E19" i="23"/>
  <c r="F13"/>
  <c r="F15" s="1"/>
  <c r="K15" s="1"/>
  <c r="F33" i="12"/>
  <c r="E13" i="23" s="1"/>
  <c r="F59" i="12"/>
  <c r="G33" i="3" s="1"/>
  <c r="E33"/>
  <c r="F60" i="12"/>
  <c r="G29" i="3"/>
  <c r="E29"/>
  <c r="F61" i="12"/>
  <c r="G28" i="3" s="1"/>
  <c r="E28"/>
  <c r="F61" i="5"/>
  <c r="C61"/>
  <c r="F43" i="12"/>
  <c r="D61" i="5"/>
  <c r="F47"/>
  <c r="F46"/>
  <c r="F41"/>
  <c r="F37"/>
  <c r="F56" i="12"/>
  <c r="D42" i="5" s="1"/>
  <c r="F58" i="12"/>
  <c r="D41" i="5" s="1"/>
  <c r="C42"/>
  <c r="C41"/>
  <c r="F57" i="12"/>
  <c r="D37" i="5"/>
  <c r="F26"/>
  <c r="F28" s="1"/>
  <c r="F51" i="12"/>
  <c r="D26" i="5" s="1"/>
  <c r="C26"/>
  <c r="F22"/>
  <c r="F21"/>
  <c r="F20"/>
  <c r="F53" i="12"/>
  <c r="D22" i="5" s="1"/>
  <c r="F52" i="12"/>
  <c r="D21" i="5" s="1"/>
  <c r="D20"/>
  <c r="F54" i="12"/>
  <c r="D19" i="5"/>
  <c r="F23"/>
  <c r="C22"/>
  <c r="C21"/>
  <c r="C20"/>
  <c r="F19"/>
  <c r="F16"/>
  <c r="F49" i="12"/>
  <c r="D16" i="5" s="1"/>
  <c r="F14"/>
  <c r="F17" s="1"/>
  <c r="F50" i="12"/>
  <c r="D14" i="5"/>
  <c r="C14"/>
  <c r="A26" i="8"/>
  <c r="A28" s="1"/>
  <c r="F34" i="23"/>
  <c r="K34" s="1"/>
  <c r="F33"/>
  <c r="K33" s="1"/>
  <c r="F32"/>
  <c r="K32" s="1"/>
  <c r="F31"/>
  <c r="K31" s="1"/>
  <c r="D32"/>
  <c r="D34"/>
  <c r="D33"/>
  <c r="D31"/>
  <c r="F62" i="12"/>
  <c r="E31" i="23"/>
  <c r="F49" i="4"/>
  <c r="H49"/>
  <c r="F21"/>
  <c r="J21" s="1"/>
  <c r="F14"/>
  <c r="H14"/>
  <c r="F26"/>
  <c r="H26"/>
  <c r="F20"/>
  <c r="H20"/>
  <c r="A16"/>
  <c r="A20" s="1"/>
  <c r="A21" s="1"/>
  <c r="A22" s="1"/>
  <c r="A23" s="1"/>
  <c r="A26" s="1"/>
  <c r="A28" s="1"/>
  <c r="A32" s="1"/>
  <c r="A33" s="1"/>
  <c r="A34" s="1"/>
  <c r="A35" s="1"/>
  <c r="A38" s="1"/>
  <c r="A39" s="1"/>
  <c r="A40" s="1"/>
  <c r="A41" s="1"/>
  <c r="A42" s="1"/>
  <c r="A43" s="1"/>
  <c r="F54"/>
  <c r="H54"/>
  <c r="K35" i="23"/>
  <c r="F56" i="4"/>
  <c r="H56"/>
  <c r="J61"/>
  <c r="O61"/>
  <c r="J62"/>
  <c r="O62"/>
  <c r="F32" i="5"/>
  <c r="K30"/>
  <c r="K31"/>
  <c r="F67" i="4"/>
  <c r="H67"/>
  <c r="F68"/>
  <c r="H68"/>
  <c r="F76"/>
  <c r="H76"/>
  <c r="F77"/>
  <c r="H77"/>
  <c r="F78"/>
  <c r="H78"/>
  <c r="J79"/>
  <c r="F82"/>
  <c r="F86" s="1"/>
  <c r="H82"/>
  <c r="H86" s="1"/>
  <c r="F85"/>
  <c r="H85"/>
  <c r="F87"/>
  <c r="H87"/>
  <c r="I41" i="3"/>
  <c r="I43" s="1"/>
  <c r="I45"/>
  <c r="F57" i="5"/>
  <c r="F64" s="1"/>
  <c r="G18" i="2"/>
  <c r="G21" s="1"/>
  <c r="F21" i="8" s="1"/>
  <c r="K21" s="1"/>
  <c r="K18"/>
  <c r="C20" i="25"/>
  <c r="C26"/>
  <c r="C35"/>
  <c r="D27"/>
  <c r="B43"/>
  <c r="G50" s="1"/>
  <c r="C34"/>
  <c r="F50"/>
  <c r="A15" i="5"/>
  <c r="A16" s="1"/>
  <c r="A17" s="1"/>
  <c r="F20" i="8"/>
  <c r="K20" s="1"/>
  <c r="C76" i="4"/>
  <c r="F19" i="12"/>
  <c r="G45" i="3"/>
  <c r="F18" i="12"/>
  <c r="G41" i="3" s="1"/>
  <c r="F32" i="12"/>
  <c r="D68" i="4" s="1"/>
  <c r="F31" i="12"/>
  <c r="D67" i="4" s="1"/>
  <c r="F55" i="12"/>
  <c r="F14"/>
  <c r="D87" i="4"/>
  <c r="F13" i="12"/>
  <c r="D82" i="4"/>
  <c r="D86" s="1"/>
  <c r="F15" i="12"/>
  <c r="D85" i="4" s="1"/>
  <c r="F17" i="12"/>
  <c r="D78" i="4" s="1"/>
  <c r="F12" i="12"/>
  <c r="D77" i="4" s="1"/>
  <c r="F16" i="12"/>
  <c r="D76" i="4" s="1"/>
  <c r="F48"/>
  <c r="H48"/>
  <c r="F47"/>
  <c r="H47"/>
  <c r="H46"/>
  <c r="F44" i="12"/>
  <c r="D49" i="4"/>
  <c r="F46" i="12"/>
  <c r="D48" i="4"/>
  <c r="F45" i="12"/>
  <c r="D47" i="4"/>
  <c r="F36" i="12"/>
  <c r="D46" i="4"/>
  <c r="F26" i="12"/>
  <c r="D56" i="4"/>
  <c r="D54"/>
  <c r="F76" i="12"/>
  <c r="F20"/>
  <c r="D34" i="4"/>
  <c r="F30" i="12"/>
  <c r="D33" i="4"/>
  <c r="F29" i="12"/>
  <c r="D32" i="4" s="1"/>
  <c r="F28" i="12"/>
  <c r="D28" i="4" s="1"/>
  <c r="F27" i="12"/>
  <c r="D26" i="4" s="1"/>
  <c r="F72" i="12"/>
  <c r="F75"/>
  <c r="F74"/>
  <c r="F73"/>
  <c r="F71"/>
  <c r="F21"/>
  <c r="D22" i="4"/>
  <c r="F25" i="12"/>
  <c r="D21" i="4"/>
  <c r="F24" i="12"/>
  <c r="D20" i="4" s="1"/>
  <c r="F23" i="12"/>
  <c r="D16" i="4" s="1"/>
  <c r="F22" i="12"/>
  <c r="D14" i="4" s="1"/>
  <c r="F70" i="12"/>
  <c r="F34"/>
  <c r="F66"/>
  <c r="F37"/>
  <c r="F38"/>
  <c r="F39"/>
  <c r="F40"/>
  <c r="F41"/>
  <c r="F42"/>
  <c r="O26" i="4"/>
  <c r="O32"/>
  <c r="K19" i="5"/>
  <c r="D13" i="21"/>
  <c r="D25" s="1"/>
  <c r="J33" i="4"/>
  <c r="J34"/>
  <c r="D33" i="25"/>
  <c r="B45"/>
  <c r="B44"/>
  <c r="B41"/>
  <c r="B48" s="1"/>
  <c r="B49" s="1"/>
  <c r="J20" i="4"/>
  <c r="G13" i="11"/>
  <c r="D44" i="25"/>
  <c r="B46"/>
  <c r="B51" s="1"/>
  <c r="D46"/>
  <c r="J54" i="4"/>
  <c r="J49"/>
  <c r="J16"/>
  <c r="J58"/>
  <c r="O58" s="1"/>
  <c r="J82"/>
  <c r="I48" i="3" s="1"/>
  <c r="G54" s="1"/>
  <c r="J48" i="4"/>
  <c r="F48" i="5"/>
  <c r="F24"/>
  <c r="J78" i="4"/>
  <c r="O63"/>
  <c r="J85"/>
  <c r="J14"/>
  <c r="J32"/>
  <c r="J28"/>
  <c r="F36" i="23"/>
  <c r="I31" i="3" l="1"/>
  <c r="I35" s="1"/>
  <c r="J22" i="4"/>
  <c r="J23" s="1"/>
  <c r="M23" s="1"/>
  <c r="B52" i="25"/>
  <c r="B54" s="1"/>
  <c r="H30"/>
  <c r="G51"/>
  <c r="A46" i="4"/>
  <c r="A47" s="1"/>
  <c r="A48" s="1"/>
  <c r="A49" s="1"/>
  <c r="A56" s="1"/>
  <c r="A58" s="1"/>
  <c r="A61" s="1"/>
  <c r="A62" s="1"/>
  <c r="A63" s="1"/>
  <c r="A66" s="1"/>
  <c r="A67" s="1"/>
  <c r="A68" s="1"/>
  <c r="A69" s="1"/>
  <c r="A70" s="1"/>
  <c r="A72" s="1"/>
  <c r="A30" i="8"/>
  <c r="A32" s="1"/>
  <c r="B31" i="23"/>
  <c r="B32" s="1"/>
  <c r="B33" s="1"/>
  <c r="B34" s="1"/>
  <c r="B35" s="1"/>
  <c r="B36" s="1"/>
  <c r="D33" i="8"/>
  <c r="F34" i="32"/>
  <c r="H34"/>
  <c r="I34"/>
  <c r="G34"/>
  <c r="A19" i="5"/>
  <c r="A20" s="1"/>
  <c r="A21" s="1"/>
  <c r="A22" s="1"/>
  <c r="A23" s="1"/>
  <c r="A24" s="1"/>
  <c r="A26" s="1"/>
  <c r="A27" s="1"/>
  <c r="A28" s="1"/>
  <c r="A30" s="1"/>
  <c r="A31" s="1"/>
  <c r="A32" s="1"/>
  <c r="A34" s="1"/>
  <c r="I26" i="23"/>
  <c r="K26" s="1"/>
  <c r="F22" i="32" s="1"/>
  <c r="I24" i="23"/>
  <c r="K24" s="1"/>
  <c r="F18" i="32" s="1"/>
  <c r="K19" i="23"/>
  <c r="F17" i="32" s="1"/>
  <c r="J68" i="4"/>
  <c r="F49" i="32"/>
  <c r="L18" i="33"/>
  <c r="H17" i="4" s="1"/>
  <c r="L30" i="33"/>
  <c r="F17" i="4"/>
  <c r="J17" s="1"/>
  <c r="J18" s="1"/>
  <c r="I14" i="3" s="1"/>
  <c r="I20" s="1"/>
  <c r="F29" i="4"/>
  <c r="J29" s="1"/>
  <c r="J30" s="1"/>
  <c r="J47"/>
  <c r="J26"/>
  <c r="F39" i="5"/>
  <c r="J77" i="4"/>
  <c r="J76"/>
  <c r="J40"/>
  <c r="K36" i="23"/>
  <c r="M54" i="4" s="1"/>
  <c r="O54" s="1"/>
  <c r="J46"/>
  <c r="J87"/>
  <c r="J86"/>
  <c r="J67"/>
  <c r="J56"/>
  <c r="O56" s="1"/>
  <c r="J41"/>
  <c r="J42"/>
  <c r="K22" i="8"/>
  <c r="F22"/>
  <c r="K30"/>
  <c r="K32" s="1"/>
  <c r="K34" s="1"/>
  <c r="F43" i="5"/>
  <c r="I37" l="1"/>
  <c r="K37" s="1"/>
  <c r="M16" i="4"/>
  <c r="O16" s="1"/>
  <c r="J80"/>
  <c r="I47" i="3" s="1"/>
  <c r="G53" s="1"/>
  <c r="J38" i="4"/>
  <c r="J35"/>
  <c r="B72"/>
  <c r="G70" i="32"/>
  <c r="F70"/>
  <c r="J70"/>
  <c r="K70"/>
  <c r="I70"/>
  <c r="H70"/>
  <c r="J39" i="4"/>
  <c r="J43" s="1"/>
  <c r="M43" s="1"/>
  <c r="J66" i="32"/>
  <c r="F23"/>
  <c r="H66"/>
  <c r="I66"/>
  <c r="F66"/>
  <c r="G66"/>
  <c r="A37" i="5"/>
  <c r="A41" s="1"/>
  <c r="A42" s="1"/>
  <c r="A43" s="1"/>
  <c r="A46" s="1"/>
  <c r="A47" s="1"/>
  <c r="A48" s="1"/>
  <c r="A51" s="1"/>
  <c r="D66" i="4"/>
  <c r="A33" i="8"/>
  <c r="A34" s="1"/>
  <c r="D34"/>
  <c r="I31" i="25"/>
  <c r="H36"/>
  <c r="F19" i="32"/>
  <c r="B38" i="23"/>
  <c r="L54" i="4" s="1"/>
  <c r="D30" i="8"/>
  <c r="C51" i="5"/>
  <c r="A76" i="4"/>
  <c r="A77" s="1"/>
  <c r="A78" s="1"/>
  <c r="A79" s="1"/>
  <c r="A80" s="1"/>
  <c r="I51" i="25"/>
  <c r="G52"/>
  <c r="D54"/>
  <c r="D52"/>
  <c r="J88" i="4"/>
  <c r="J90" s="1"/>
  <c r="J50"/>
  <c r="L20" i="33"/>
  <c r="B34" i="5"/>
  <c r="K34" i="32"/>
  <c r="D32" i="8"/>
  <c r="I18" i="3"/>
  <c r="I23"/>
  <c r="I49" l="1"/>
  <c r="I50" s="1"/>
  <c r="F55" s="1"/>
  <c r="I55" s="1"/>
  <c r="F25" i="32"/>
  <c r="F54" i="3"/>
  <c r="F53"/>
  <c r="I53" s="1"/>
  <c r="I37"/>
  <c r="I25"/>
  <c r="I35" i="25"/>
  <c r="H37"/>
  <c r="I38" s="1"/>
  <c r="A55" i="5"/>
  <c r="A56" s="1"/>
  <c r="A57" s="1"/>
  <c r="A59" s="1"/>
  <c r="A60" s="1"/>
  <c r="C63"/>
  <c r="I52" i="25"/>
  <c r="I53" s="1"/>
  <c r="G53"/>
  <c r="A82" i="4"/>
  <c r="G47" i="3"/>
  <c r="F37" i="32"/>
  <c r="I37"/>
  <c r="F38"/>
  <c r="J37"/>
  <c r="J39" s="1"/>
  <c r="G38"/>
  <c r="H38"/>
  <c r="J38"/>
  <c r="I38"/>
  <c r="G37"/>
  <c r="G39" s="1"/>
  <c r="H37"/>
  <c r="H39" s="1"/>
  <c r="H65" s="1"/>
  <c r="A36" i="8"/>
  <c r="D36"/>
  <c r="I22" i="3"/>
  <c r="I17" i="5" s="1"/>
  <c r="K17" s="1"/>
  <c r="G65" i="32"/>
  <c r="G42"/>
  <c r="I54" i="3"/>
  <c r="I56" l="1"/>
  <c r="F59" i="5" s="1"/>
  <c r="H42" i="32"/>
  <c r="A38" i="8"/>
  <c r="D38"/>
  <c r="K37" i="32"/>
  <c r="F39"/>
  <c r="G54" i="25"/>
  <c r="A61" i="5"/>
  <c r="A63" s="1"/>
  <c r="A64" s="1"/>
  <c r="A65" s="1"/>
  <c r="K38" i="32"/>
  <c r="K39" s="1"/>
  <c r="K42" s="1"/>
  <c r="J42"/>
  <c r="J65"/>
  <c r="A85" i="4"/>
  <c r="A86" s="1"/>
  <c r="A87" s="1"/>
  <c r="A88" s="1"/>
  <c r="G48" i="3"/>
  <c r="I39" i="32"/>
  <c r="I39" i="5"/>
  <c r="K39" s="1"/>
  <c r="M30" i="4"/>
  <c r="M18"/>
  <c r="O18" s="1"/>
  <c r="M67"/>
  <c r="O67" s="1"/>
  <c r="G53" i="32"/>
  <c r="G52"/>
  <c r="M33" i="4"/>
  <c r="I24" i="5"/>
  <c r="K24" s="1"/>
  <c r="I41"/>
  <c r="K41" s="1"/>
  <c r="M68" i="4"/>
  <c r="O68" s="1"/>
  <c r="I46" i="5"/>
  <c r="K46" s="1"/>
  <c r="I32"/>
  <c r="K32" s="1"/>
  <c r="I42"/>
  <c r="K42" s="1"/>
  <c r="M21" i="4"/>
  <c r="H52" i="32"/>
  <c r="H53"/>
  <c r="O30" i="4" l="1"/>
  <c r="M28"/>
  <c r="O28" s="1"/>
  <c r="G54" i="32"/>
  <c r="G57" s="1"/>
  <c r="G55" i="25"/>
  <c r="I54"/>
  <c r="D42" i="8"/>
  <c r="D41"/>
  <c r="A41"/>
  <c r="C64" i="5"/>
  <c r="I65" i="32"/>
  <c r="I42"/>
  <c r="A90" i="4"/>
  <c r="G49" i="3"/>
  <c r="C90" i="4"/>
  <c r="J53" i="32"/>
  <c r="J52"/>
  <c r="A67" i="5"/>
  <c r="D17" i="8" s="1"/>
  <c r="B67" i="5"/>
  <c r="F42" i="32"/>
  <c r="F65"/>
  <c r="F68" s="1"/>
  <c r="M22" i="4"/>
  <c r="O22" s="1"/>
  <c r="O23" s="1"/>
  <c r="O21"/>
  <c r="M34"/>
  <c r="O34" s="1"/>
  <c r="O35" s="1"/>
  <c r="O33"/>
  <c r="O39"/>
  <c r="H54" i="32"/>
  <c r="H57" s="1"/>
  <c r="K43" i="5"/>
  <c r="J54" i="32" l="1"/>
  <c r="J57" s="1"/>
  <c r="F72"/>
  <c r="G63"/>
  <c r="G68" s="1"/>
  <c r="A42" i="8"/>
  <c r="D45"/>
  <c r="I55" i="25"/>
  <c r="G56"/>
  <c r="K28" i="23"/>
  <c r="K33" i="8" s="1"/>
  <c r="F52" i="32"/>
  <c r="F53"/>
  <c r="I53"/>
  <c r="I52"/>
  <c r="I56" i="25"/>
  <c r="M69" i="4"/>
  <c r="O69" s="1"/>
  <c r="I28" i="5"/>
  <c r="K28" s="1"/>
  <c r="K34" s="1"/>
  <c r="I47"/>
  <c r="K47" s="1"/>
  <c r="K48" s="1"/>
  <c r="O41" i="4"/>
  <c r="O42"/>
  <c r="A45" i="8" l="1"/>
  <c r="A46" s="1"/>
  <c r="D46"/>
  <c r="I54" i="32"/>
  <c r="I57" s="1"/>
  <c r="K53"/>
  <c r="F54"/>
  <c r="F57" s="1"/>
  <c r="K57" s="1"/>
  <c r="K52"/>
  <c r="G57" i="25"/>
  <c r="G72" i="32"/>
  <c r="H63"/>
  <c r="H68" s="1"/>
  <c r="O43" i="4"/>
  <c r="O66"/>
  <c r="O70" s="1"/>
  <c r="I63" i="32" l="1"/>
  <c r="I68" s="1"/>
  <c r="H72"/>
  <c r="I57" i="25"/>
  <c r="G58"/>
  <c r="K54" i="32"/>
  <c r="I64" i="5"/>
  <c r="K64" s="1"/>
  <c r="I72" i="32" l="1"/>
  <c r="J63"/>
  <c r="J68" s="1"/>
  <c r="I58" i="25"/>
  <c r="I59" s="1"/>
  <c r="G59"/>
  <c r="I22" i="21"/>
  <c r="I19"/>
  <c r="I13"/>
  <c r="G60" i="25" l="1"/>
  <c r="J72" i="32"/>
  <c r="K63"/>
  <c r="K68"/>
  <c r="K72" s="1"/>
  <c r="I25" i="21"/>
  <c r="I60" i="25" l="1"/>
  <c r="G61"/>
  <c r="I61" s="1"/>
  <c r="G62"/>
  <c r="O50" i="4"/>
  <c r="O72" s="1"/>
  <c r="K51" i="5" s="1"/>
  <c r="G65" i="25" l="1"/>
  <c r="G63"/>
  <c r="I62"/>
  <c r="K63" i="5"/>
  <c r="K65" s="1"/>
  <c r="K67" s="1"/>
  <c r="K17" i="8" s="1"/>
  <c r="K28" s="1"/>
  <c r="K36" s="1"/>
  <c r="K38" s="1"/>
  <c r="G64" i="25" l="1"/>
  <c r="I63"/>
  <c r="K42" i="8"/>
  <c r="K46" s="1"/>
  <c r="K41"/>
  <c r="K45" s="1"/>
  <c r="I64" i="25" l="1"/>
  <c r="I65" s="1"/>
  <c r="G66"/>
  <c r="I66" l="1"/>
  <c r="I44"/>
  <c r="H45" s="1"/>
  <c r="H42"/>
  <c r="I43" s="1"/>
</calcChain>
</file>

<file path=xl/comments1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sharedStrings.xml><?xml version="1.0" encoding="utf-8"?>
<sst xmlns="http://schemas.openxmlformats.org/spreadsheetml/2006/main" count="827" uniqueCount="577">
  <si>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</si>
  <si>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</si>
  <si>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</si>
  <si>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</si>
  <si>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</si>
  <si>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</si>
  <si>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</si>
  <si>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</si>
  <si>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</si>
  <si>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</si>
  <si>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</si>
  <si>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</si>
  <si>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</si>
  <si>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</si>
  <si>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</si>
  <si>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</si>
  <si>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230a</t>
  </si>
  <si>
    <t>e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</si>
  <si>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</si>
  <si>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</si>
  <si>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</si>
  <si>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</si>
  <si>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</si>
  <si>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</si>
  <si>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</si>
  <si>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</si>
  <si>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</si>
  <si>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</si>
  <si>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</si>
  <si>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</si>
  <si>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</si>
  <si>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</si>
  <si>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</si>
  <si>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Accum Deferred ITC - 255 (Negative)</t>
  </si>
  <si>
    <t>h</t>
  </si>
  <si>
    <t>f</t>
  </si>
  <si>
    <t>Amortized ITC (Negative)</t>
  </si>
  <si>
    <t>NP</t>
  </si>
  <si>
    <t>Plant Held for Future Use</t>
  </si>
  <si>
    <t>Working Capital:</t>
  </si>
  <si>
    <t>Prepayments</t>
  </si>
  <si>
    <t>GP</t>
  </si>
  <si>
    <t>Line 1 - Line 7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</si>
  <si>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</si>
  <si>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</si>
  <si>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</si>
  <si>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</si>
  <si>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</si>
  <si>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</si>
  <si>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</si>
  <si>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</si>
  <si>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</si>
  <si>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</si>
  <si>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</si>
  <si>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</si>
  <si>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</si>
  <si>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</si>
  <si>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</si>
  <si>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</si>
  <si>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</si>
  <si>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</si>
  <si>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</si>
  <si>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</si>
  <si>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</si>
  <si>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</si>
  <si>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</si>
  <si>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</si>
  <si>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</si>
  <si>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</si>
  <si>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</si>
  <si>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Long Term Interest Expense</t>
  </si>
  <si>
    <t>Preferred Dividends (positive)</t>
  </si>
  <si>
    <t>Long Term Debt</t>
  </si>
  <si>
    <t xml:space="preserve">  Less Loss on Reacquired Debt</t>
  </si>
  <si>
    <t xml:space="preserve">  Plus Gain on Reacquired Debt</t>
  </si>
  <si>
    <t xml:space="preserve">  Less Interest on Securitization Bonds</t>
  </si>
  <si>
    <t>Net Long Term Interest Expense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</si>
  <si>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</si>
  <si>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</si>
  <si>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</si>
  <si>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</si>
  <si>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</si>
  <si>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</si>
  <si>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</si>
  <si>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</si>
  <si>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Long term Debt</t>
  </si>
  <si>
    <t>Weight</t>
  </si>
  <si>
    <t>Cost</t>
  </si>
  <si>
    <t>Weighted Cost</t>
  </si>
  <si>
    <t>Common Equity</t>
  </si>
  <si>
    <t>Income Taxes:</t>
  </si>
  <si>
    <t>State of Florida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</si>
  <si>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</si>
  <si>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</si>
  <si>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</si>
  <si>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</si>
  <si>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</si>
  <si>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</si>
  <si>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</si>
  <si>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</si>
  <si>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Short-Term Firm P-t-P Reservations</t>
  </si>
  <si>
    <t>Long-Term Firm P-t-P Reservations</t>
  </si>
  <si>
    <t>Firm Network Service for Self</t>
  </si>
  <si>
    <t>Note A:</t>
  </si>
  <si>
    <t>Note B:</t>
  </si>
  <si>
    <t>Note C:</t>
  </si>
  <si>
    <t>Note D:</t>
  </si>
  <si>
    <t>Note E:</t>
  </si>
  <si>
    <t>Total Revenue Credits</t>
  </si>
  <si>
    <t>Storm Reserve Adder</t>
  </si>
  <si>
    <t>On-Peak Days</t>
  </si>
  <si>
    <t>Off-Peak Days</t>
  </si>
  <si>
    <t>On-Peak Hours</t>
  </si>
  <si>
    <t>Off-Peak Hours</t>
  </si>
  <si>
    <t>Non-Firm Hourly P-t-P Rates ($/MWh):</t>
  </si>
  <si>
    <t>Revenue Credits:</t>
  </si>
  <si>
    <t>Annual Firm Trans $/MW-year</t>
  </si>
  <si>
    <t xml:space="preserve">Trans. Rev Req't Rate $/MW-Mon.     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</si>
  <si>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</si>
  <si>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</si>
  <si>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</si>
  <si>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</si>
  <si>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</si>
  <si>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</si>
  <si>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</si>
  <si>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>Total Revenues</t>
  </si>
  <si>
    <t>(Column (n))</t>
  </si>
  <si>
    <t>Total Transmission for Others</t>
  </si>
  <si>
    <t xml:space="preserve">FERC Form 1 page 214 excluding non-transmission related items </t>
  </si>
  <si>
    <t>Note F:</t>
  </si>
  <si>
    <t xml:space="preserve">Labor Related </t>
  </si>
  <si>
    <t>Taxes Other Than Income (Note F)</t>
  </si>
  <si>
    <t>related taxes include county and local property, highway use, and intangible taxes.</t>
  </si>
  <si>
    <t>Note G:</t>
  </si>
  <si>
    <t>Note G</t>
  </si>
  <si>
    <t>PROGRESS ENERGY FLORIDA, INC.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</si>
  <si>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</si>
  <si>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</si>
  <si>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</si>
  <si>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</si>
  <si>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r>
      <t xml:space="preserve">     Overall Return: 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</si>
  <si>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Wholesale Storm Reserve Funding and Explanatory Notes</t>
  </si>
  <si>
    <t>Peaker/</t>
  </si>
  <si>
    <t>Plant</t>
  </si>
  <si>
    <t>Book Cost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</si>
  <si>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</si>
  <si>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</si>
  <si>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</si>
  <si>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</si>
  <si>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</si>
  <si>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</si>
  <si>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</si>
  <si>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</si>
  <si>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</si>
  <si>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Vintage</t>
  </si>
  <si>
    <t>Transmission Rate Formula Support - Account 353 Generator Step-up Transformers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</si>
  <si>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</si>
  <si>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</si>
  <si>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</si>
  <si>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</si>
  <si>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</si>
  <si>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</si>
  <si>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</si>
  <si>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</si>
  <si>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</si>
  <si>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</si>
  <si>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</si>
  <si>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</si>
  <si>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</si>
  <si>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</si>
  <si>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</si>
  <si>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</si>
  <si>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</si>
  <si>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t>Note H</t>
  </si>
  <si>
    <t>Note H:</t>
  </si>
  <si>
    <t>Investment in Transmission Energy Control Center included in Schedule 1 Ancillary Service cost</t>
  </si>
  <si>
    <t>Intangible Amortization</t>
  </si>
  <si>
    <t>Excludes all income and gross receipts taxes.  Labor related other taxes include FICA and unemployment taxes.  Property</t>
  </si>
  <si>
    <t xml:space="preserve">Trans. Related Pct of Whlse Loss </t>
  </si>
  <si>
    <t>Total Extraordniary Property Loss - Wholesale</t>
  </si>
  <si>
    <t>Extraordinary Property Losses - Balance</t>
  </si>
  <si>
    <t xml:space="preserve">Whlse Extraordinary Property Loss </t>
  </si>
  <si>
    <t xml:space="preserve">Whlse Trans. Extraordinary Propery Loss </t>
  </si>
  <si>
    <t>WEPL-T</t>
  </si>
  <si>
    <t>Rebuild Reserve Equivalent to $130MM Retail:</t>
  </si>
  <si>
    <t xml:space="preserve">    Whlse Portion of $6MM Funding</t>
  </si>
  <si>
    <t xml:space="preserve">    System Total Reserve Req't = 130MM/(1 - Line 5 %)</t>
  </si>
  <si>
    <t>Exhibit PEF - 2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</si>
  <si>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</si>
  <si>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</si>
  <si>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</si>
  <si>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</si>
  <si>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</si>
  <si>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</si>
  <si>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Exhibit PEF - 3</t>
  </si>
  <si>
    <t>OATT LABOR</t>
  </si>
  <si>
    <t>Exhibit PEF - 5</t>
  </si>
  <si>
    <t>Page 1 of 2</t>
  </si>
  <si>
    <t>Page 2 of 2</t>
  </si>
  <si>
    <t>Note I</t>
  </si>
  <si>
    <t>Note I:</t>
  </si>
  <si>
    <t>Daily Firm/Non-Firm P-t-P Rates ($/MW):</t>
  </si>
  <si>
    <t>Weekly Firm/Non-Firm P-t-P Rate $/MW-Week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</si>
  <si>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</si>
  <si>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</si>
  <si>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</si>
  <si>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</si>
  <si>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</si>
  <si>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</si>
  <si>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Exhibit PEF - 6</t>
  </si>
  <si>
    <t>Transmission Rate Formula Support - List of Inputs from FERC Form-1</t>
  </si>
  <si>
    <t>Note J</t>
  </si>
  <si>
    <t>Note J:</t>
  </si>
  <si>
    <t>Functionalized Transmission part 182.1 Extraordinary Property Losses balance only, "WEPL-T."  Consistent with the process</t>
  </si>
  <si>
    <t>described in Note H above, the OATT-related amount of the transmission loss is then derived using the TP allocation factor</t>
  </si>
  <si>
    <t>Note K:</t>
  </si>
  <si>
    <t>to the OATT. See also Notes H and J.</t>
  </si>
  <si>
    <t>Because the Page 2 Rate Base amounts are total system numbers, the wholesale specific loss/reserve balance is grossed up</t>
  </si>
  <si>
    <t>using the relationship between system and wholesale only transmission demands times the percent of the balance applicable</t>
  </si>
  <si>
    <t>Total Classified as Non-Firm = Revenue Credit</t>
  </si>
  <si>
    <t>Includes Network Integration Service and Network Contract Demand Service</t>
  </si>
  <si>
    <t>Unit</t>
  </si>
  <si>
    <t>Bank</t>
  </si>
  <si>
    <t xml:space="preserve">Page 6 </t>
  </si>
  <si>
    <t>Adj. to Imputed Whlse PBOP Exp. - System</t>
  </si>
  <si>
    <t>Page 5 of 6</t>
  </si>
  <si>
    <t>Page 6 of 6</t>
  </si>
  <si>
    <t>Adjustment to Per Books PBOP Expenses</t>
  </si>
  <si>
    <t>vs. Imputed Amount</t>
  </si>
  <si>
    <t xml:space="preserve">Reference for System Amount Basis in Wholesale Rates: </t>
  </si>
  <si>
    <t>Page 3 of 6</t>
  </si>
  <si>
    <t>Page 1 of 6</t>
  </si>
  <si>
    <t>Page 2 of 6</t>
  </si>
  <si>
    <t>Page 4 of 6</t>
  </si>
  <si>
    <t xml:space="preserve"> ==&gt; PBOP Expense Adjustment</t>
  </si>
  <si>
    <t>Prepayments (Note L)</t>
  </si>
  <si>
    <t>335.1-3.b</t>
  </si>
  <si>
    <t xml:space="preserve"> Less Industry Dues and R&amp;D Expense</t>
  </si>
  <si>
    <t>Gross PEF Revenue Requirement</t>
  </si>
  <si>
    <t xml:space="preserve">  Less Account 561</t>
  </si>
  <si>
    <t>Less Interconnection Facilities (Order 2003)</t>
  </si>
  <si>
    <t>321.84-92.b</t>
  </si>
  <si>
    <t>TExp</t>
  </si>
  <si>
    <t>Accumulated Deferred</t>
  </si>
  <si>
    <t>Factor</t>
  </si>
  <si>
    <t>Result</t>
  </si>
  <si>
    <t>Account</t>
  </si>
  <si>
    <t>Retail</t>
  </si>
  <si>
    <t>LABOR</t>
  </si>
  <si>
    <t>PROD</t>
  </si>
  <si>
    <t>DIST</t>
  </si>
  <si>
    <t>Other</t>
  </si>
  <si>
    <t xml:space="preserve">  Balance in Account 190</t>
  </si>
  <si>
    <t xml:space="preserve">  Balance in Account 281</t>
  </si>
  <si>
    <t xml:space="preserve">  Balance in Account 282</t>
  </si>
  <si>
    <t xml:space="preserve">  Balance in Account 283</t>
  </si>
  <si>
    <t xml:space="preserve">  Total Accumulated Deferred Income Tax</t>
  </si>
  <si>
    <t>Divisor - Sum of Monthly MW Transmission System Peaks (Excludes STF)</t>
  </si>
  <si>
    <t>Less system storm reserve funding</t>
  </si>
  <si>
    <t>Adj. - RCO Labor in A&amp;G Labor</t>
  </si>
  <si>
    <t xml:space="preserve">  Total 456 NF + STF Revenue </t>
  </si>
  <si>
    <t>Contract Demand Adjustment</t>
  </si>
  <si>
    <t xml:space="preserve">  Net OATT Revenue Credit</t>
  </si>
  <si>
    <t xml:space="preserve"> </t>
  </si>
  <si>
    <t>b&amp;g</t>
  </si>
  <si>
    <t>Beginning Balance</t>
  </si>
  <si>
    <t>Ending Balance</t>
  </si>
  <si>
    <t>Ending Balance or Annual Value</t>
  </si>
  <si>
    <t>c&amp;d</t>
  </si>
  <si>
    <t>Rate Base Items from Prior Year Form 1 (Year End Value Where Not Available as Beginning Balance Above)</t>
  </si>
  <si>
    <t xml:space="preserve">Production Plant </t>
  </si>
  <si>
    <t>B/E Average</t>
  </si>
  <si>
    <t>Return and Average Capitalization:</t>
  </si>
  <si>
    <t>Plant Held for Future Use (Trans Only)</t>
  </si>
  <si>
    <t>b&amp;h</t>
  </si>
  <si>
    <t>b&amp;k</t>
  </si>
  <si>
    <t>b&amp;c</t>
  </si>
  <si>
    <t>AVERAGE CAPITALIZATION:</t>
  </si>
  <si>
    <t>Development of Rate Base and Capital Structure</t>
  </si>
  <si>
    <t>Industry Association Dues</t>
  </si>
  <si>
    <t>ER95-469</t>
  </si>
  <si>
    <t>Interest Accrued/Capitalized on Network Prepayments</t>
  </si>
  <si>
    <t>Interest Disbursed with Network Prepayment Refunds</t>
  </si>
  <si>
    <t>Adjustments to Rate Base - Deferred Taxes</t>
  </si>
  <si>
    <t>Total Deferred Tax Adjustments</t>
  </si>
  <si>
    <t>Total Network Upgrade Prepayment Adjustments</t>
  </si>
  <si>
    <t>Transmission</t>
  </si>
  <si>
    <t xml:space="preserve">   Total Account 454</t>
  </si>
  <si>
    <t>Acct 456 - NF + STF Service (x/ Ancillaries)</t>
  </si>
  <si>
    <t>Acct 454 - Transmission Related</t>
  </si>
  <si>
    <r>
      <t>Tax Rev.Req't Factor  = T / (1 -T) * (1 - Wtd.Debt.Cost/R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</si>
  <si>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Adjusted Labor w/o A&amp;G (Line 9 - Line 10 + Line 11)</t>
  </si>
  <si>
    <t>Trans Labor Factor (Line 13 / Line 12)</t>
  </si>
  <si>
    <t>B/E Avg. Transmission Plant Included in OATT Rate:</t>
  </si>
  <si>
    <t xml:space="preserve">Less Energy Control Center </t>
  </si>
  <si>
    <t xml:space="preserve">Avg.Trans Plant for OATT Rate </t>
  </si>
  <si>
    <t>TP Allocator (Line 5 / Line 1)</t>
  </si>
  <si>
    <t xml:space="preserve">  Less Associated Ancillaries</t>
  </si>
  <si>
    <t>Short Term Firm  -  Revenue Credit</t>
  </si>
  <si>
    <t>Excludes Asset Retirement Obligations from plant balances</t>
  </si>
  <si>
    <t>Gross Plant in Service (Note A):</t>
  </si>
  <si>
    <t>Accumulated Depreciation:</t>
  </si>
  <si>
    <r>
      <t xml:space="preserve">  Total System </t>
    </r>
    <r>
      <rPr>
        <sz val="10"/>
        <rFont val="Arial"/>
        <family val="2"/>
      </rPr>
      <t xml:space="preserve">Long Term </t>
    </r>
    <r>
      <rPr>
        <sz val="10"/>
        <rFont val="Arial"/>
        <family val="2"/>
      </rPr>
      <t>Firm Transmission Load</t>
    </r>
  </si>
  <si>
    <t>Net 182.1 (+) / Storm Reserve (-) - Wholesale Transmission (Note B)</t>
  </si>
  <si>
    <t>Note C</t>
  </si>
  <si>
    <t>Excludes Retail ECCR and Sebring amortizations from Form-1 reported value</t>
  </si>
  <si>
    <t>Whlse Reserve Needed = Line 6 - $130MM</t>
  </si>
  <si>
    <t xml:space="preserve">Balance 2004 Loss as of  Jan 1, 2008 </t>
  </si>
  <si>
    <t>Line No.</t>
  </si>
  <si>
    <t>Amortize Existing Loss</t>
  </si>
  <si>
    <t>Rebuild Reserve</t>
  </si>
  <si>
    <t xml:space="preserve">  Total</t>
  </si>
  <si>
    <t>Revenue Req't - Customer Owned Facilities</t>
  </si>
  <si>
    <t>Note L:</t>
  </si>
  <si>
    <t>Note D</t>
  </si>
  <si>
    <t xml:space="preserve">Analysis of Company books. Regulatory expense excludes charges by FERC pursuant to 18 CFR § 382.201  </t>
  </si>
  <si>
    <t>PROGRESS ENERGY FLORIDA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</si>
  <si>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</si>
  <si>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</si>
  <si>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</si>
  <si>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</si>
  <si>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</si>
  <si>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</si>
  <si>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</si>
  <si>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</si>
  <si>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</si>
  <si>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</si>
  <si>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</si>
  <si>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</si>
  <si>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</si>
  <si>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</si>
  <si>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</si>
  <si>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</si>
  <si>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</si>
  <si>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</si>
  <si>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</si>
  <si>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</si>
  <si>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</si>
  <si>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</si>
  <si>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</si>
  <si>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</si>
  <si>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</si>
  <si>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</si>
  <si>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</si>
  <si>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</si>
  <si>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</si>
  <si>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</si>
  <si>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</si>
  <si>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</si>
  <si>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</si>
  <si>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</si>
  <si>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</si>
  <si>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</si>
  <si>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</si>
  <si>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</si>
  <si>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</si>
  <si>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</si>
  <si>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</si>
  <si>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</si>
  <si>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</si>
  <si>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</si>
  <si>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</si>
  <si>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</si>
  <si>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</si>
  <si>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</si>
  <si>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</si>
  <si>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</si>
  <si>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</si>
  <si>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</si>
  <si>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</si>
  <si>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</si>
  <si>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</si>
  <si>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</si>
  <si>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</si>
  <si>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</si>
  <si>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</si>
  <si>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</si>
  <si>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</si>
  <si>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</si>
  <si>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t>Transmission Rate Formula Support - Interconnection Facilities</t>
  </si>
  <si>
    <t>Generation In-Service After March 15, 2000 per FERC Order 2003</t>
  </si>
  <si>
    <t>Unit(s)</t>
  </si>
  <si>
    <t>Beginning</t>
  </si>
  <si>
    <t>Balance</t>
  </si>
  <si>
    <t>Ending</t>
  </si>
  <si>
    <t>Net Allocated Property Insurance</t>
  </si>
  <si>
    <r>
      <t xml:space="preserve">Net Revenue Requirements </t>
    </r>
    <r>
      <rPr>
        <sz val="10"/>
        <rFont val="Arial"/>
        <family val="2"/>
      </rPr>
      <t>(Line 1 - Line 4 + Line 5 + Line 6)</t>
    </r>
  </si>
  <si>
    <t xml:space="preserve">Transmission Rate Formula Support -  Revenue Credits </t>
  </si>
  <si>
    <t>Account 454</t>
  </si>
  <si>
    <t>Transmission Rate Formula Support - Revenue Credits</t>
  </si>
  <si>
    <t>Exhibit PEF - 4</t>
  </si>
  <si>
    <t>Page 1 of 3</t>
  </si>
  <si>
    <t>Page 2 of 3</t>
  </si>
  <si>
    <t>Page 3 of 3</t>
  </si>
  <si>
    <t>Note M</t>
  </si>
  <si>
    <t>Note M:</t>
  </si>
  <si>
    <t>If income tax rates change during a calendar year, the income tax rates will be pro-rated based on the number of days each income</t>
  </si>
  <si>
    <t>tax rate was in effect.</t>
  </si>
  <si>
    <t>Accumulated Deferred Tax Detail - Prior Year</t>
  </si>
  <si>
    <t>Accumulated Deferred Tax Detail - Current Year</t>
  </si>
  <si>
    <t>Fixed</t>
  </si>
  <si>
    <t>Note N:</t>
  </si>
  <si>
    <t>Pursuant to the settlement agreement, annual amounts included in line 11 will be adjusted and reversed as necessary to ensure no</t>
  </si>
  <si>
    <t xml:space="preserve">overfunding of the wholesale reserve; i.e., the year-end reserve balance for OATT rates will not exceed the $8,614,774 shown on line 7 </t>
  </si>
  <si>
    <t xml:space="preserve">  Total Interconnection Facilities </t>
  </si>
  <si>
    <t>ADIT - 283  (Negative)</t>
  </si>
  <si>
    <t>Total Capitalization (sum Lines 20, 21, 22)</t>
  </si>
  <si>
    <t>SUMMARY CAP STRUCTURE</t>
  </si>
  <si>
    <t>Rate Base Adjustments -  Network Upgrade Prepayments (Note O):</t>
  </si>
  <si>
    <t>To the extent PEF is authorized by the Florida Public Service Commission and issues bonds for distribution facilities to securitize retail</t>
  </si>
  <si>
    <t xml:space="preserve">recovery of extraordinary property losses, associated principal and interest expense are excluded in capitalization and return basis.  </t>
  </si>
  <si>
    <t>Note O:</t>
  </si>
  <si>
    <t>Payments by PEF to an Affected System Operator pursuant to Orders 2003 or 2006 (including rehearing orders) are not to be included</t>
  </si>
  <si>
    <t>in the formula rate regardless of the accounting.</t>
  </si>
  <si>
    <t xml:space="preserve">  Total 2008-2012</t>
  </si>
  <si>
    <t>STF/Non-Firm on OATT</t>
  </si>
  <si>
    <t>Storm Reserve Balance Tracking:</t>
  </si>
  <si>
    <t>Adjustment:</t>
  </si>
  <si>
    <t>2013 'til  Extraordinary Loss</t>
  </si>
  <si>
    <t>Maximum Reserve per Settlement</t>
  </si>
  <si>
    <t xml:space="preserve">LTF on OATT </t>
  </si>
  <si>
    <t>Components of Storm Amortization/Reserve Funding Adder (2008-2012 Rate Years only - Note N):</t>
  </si>
  <si>
    <t>Whlse Portion of Existing Storm Accrual</t>
  </si>
  <si>
    <r>
      <t xml:space="preserve">Levelized Storm Reserve Funding Rate $/MW-Month </t>
    </r>
    <r>
      <rPr>
        <sz val="10"/>
        <rFont val="Arial"/>
        <family val="2"/>
      </rPr>
      <t>(PEF - 6, Page 2)</t>
    </r>
  </si>
  <si>
    <t>OATT Settlement - 2004 Storm Treatment</t>
  </si>
  <si>
    <t>LEVELIZED RATE, FUNDING ADJUSTED FOR RESERVE MAXIMUM per NOTE N</t>
  </si>
  <si>
    <t xml:space="preserve">Note P:  </t>
  </si>
  <si>
    <t xml:space="preserve">Target percentages are fixed for 2008 - 2012 and were derived from projected OATT LTF billing MW-months and the MW-month equivalent  </t>
  </si>
  <si>
    <t xml:space="preserve">billings for STF and non-firm transmission revenues in the September 2007 PEF financial forecast. </t>
  </si>
  <si>
    <t>Note Q:</t>
  </si>
  <si>
    <t xml:space="preserve">Actual LTF OATT MW-Months are the sum of Lines 11 and 12 above, as reported in Form-1 for Firm Network Service for Others and  </t>
  </si>
  <si>
    <t>Long Term Firm Point-to-Point Service</t>
  </si>
  <si>
    <t xml:space="preserve">Note R:  </t>
  </si>
  <si>
    <t>Actual STF/Non-Firm equivalent "MW-Months" are equal to monthly STF/Non-firm transmission service revenue divided by the same "Total</t>
  </si>
  <si>
    <t xml:space="preserve">Firm Monthly Trans. $/MW-Month" rate (Page 1, Line 11) from which the STF/Non-firm billing rates were derived  </t>
  </si>
  <si>
    <t xml:space="preserve"> (PEF-2, Page 5, Line 4)</t>
  </si>
  <si>
    <t xml:space="preserve"> (PEF-2, Page 5, Line 7)</t>
  </si>
  <si>
    <t xml:space="preserve"> (PEF-2, Page 5, Line 8)</t>
  </si>
  <si>
    <t>Existing Wholesale Accrual         (Line 9)</t>
  </si>
  <si>
    <r>
      <t>Gross-up Factor for OATT Wholesale Reserve - System Basis</t>
    </r>
    <r>
      <rPr>
        <sz val="10"/>
        <rFont val="Arial"/>
        <family val="2"/>
      </rPr>
      <t xml:space="preserve"> (Total Load/Whlse Load * 0.84987)</t>
    </r>
  </si>
  <si>
    <t>Determination of Levelized Storm Damage Recovery Adder</t>
  </si>
  <si>
    <t>Total Funding Requirements</t>
  </si>
  <si>
    <t>Less:</t>
  </si>
  <si>
    <t>Amount assumed to be collected from non-OATT service:</t>
  </si>
  <si>
    <t>Annual Amount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</si>
  <si>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</si>
  <si>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</si>
  <si>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</si>
  <si>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</si>
  <si>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</si>
  <si>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</si>
  <si>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>(Projected and Fixed)</t>
  </si>
  <si>
    <t xml:space="preserve">  Total Projected Billing Units</t>
  </si>
  <si>
    <t>Annual Percentages</t>
  </si>
  <si>
    <t>(Ln 23 * Ln 6 / Ln 8 * Ln 14)</t>
  </si>
  <si>
    <t>(Ln 23 * Ln 7 / Ln 8 * Ln 14)</t>
  </si>
  <si>
    <t>Levelized Storm Damage Recovery</t>
  </si>
  <si>
    <t>Adder ($/MW-mo)</t>
  </si>
  <si>
    <t>(Line 28 / Line 21)</t>
  </si>
  <si>
    <t>Example Application of Levelized Adder and Annual True-Up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</si>
  <si>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</si>
  <si>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</si>
  <si>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</si>
  <si>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</si>
  <si>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</si>
  <si>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</si>
  <si>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</si>
  <si>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</si>
  <si>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</si>
  <si>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</si>
  <si>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</si>
  <si>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</si>
  <si>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Funding From OATT Adder</t>
  </si>
  <si>
    <t>(Line 28)</t>
  </si>
  <si>
    <t>(Line 11)</t>
  </si>
  <si>
    <t>(Fixed - Note P)</t>
  </si>
  <si>
    <t>Actual Billing Units (MW-months) (Notes Q and R)</t>
  </si>
  <si>
    <t>62 thru 67</t>
  </si>
  <si>
    <t>20 thru 24</t>
  </si>
  <si>
    <t>84 thru 92</t>
  </si>
  <si>
    <t>(561) Transmission of Electricity by Others</t>
  </si>
  <si>
    <t>TP2006</t>
  </si>
  <si>
    <t>Account 456.1</t>
  </si>
  <si>
    <t>Exhibit PEF - 7</t>
  </si>
  <si>
    <t>Page 1 of 1</t>
  </si>
  <si>
    <t>Gross Plant in Service:</t>
  </si>
  <si>
    <t>B/E Balance</t>
  </si>
  <si>
    <t>Project 1</t>
  </si>
  <si>
    <t>Project 2</t>
  </si>
  <si>
    <t>…</t>
  </si>
  <si>
    <t>Project N</t>
  </si>
  <si>
    <t>Total Projects</t>
  </si>
  <si>
    <t xml:space="preserve">  Additions</t>
  </si>
  <si>
    <t xml:space="preserve">  Retirements</t>
  </si>
  <si>
    <t xml:space="preserve">  Adjustments</t>
  </si>
  <si>
    <t xml:space="preserve">  Annual Deprecation Expense</t>
  </si>
  <si>
    <t xml:space="preserve">   Project Description:</t>
  </si>
  <si>
    <r>
      <t>p 2, line 2</t>
    </r>
    <r>
      <rPr>
        <u/>
        <sz val="10"/>
        <rFont val="Arial"/>
        <family val="2"/>
      </rPr>
      <t>B</t>
    </r>
  </si>
  <si>
    <t>2A</t>
  </si>
  <si>
    <t>2B</t>
  </si>
  <si>
    <t xml:space="preserve">  Less Direct Assign Radials</t>
  </si>
  <si>
    <t>PEF - 7, ll 1&amp;5</t>
  </si>
  <si>
    <t>Trans. Plant w/o Direct Assign Radials</t>
  </si>
  <si>
    <t>8A</t>
  </si>
  <si>
    <t>8B</t>
  </si>
  <si>
    <t>PEF - 7, ll 7&amp;10</t>
  </si>
  <si>
    <t>18A</t>
  </si>
  <si>
    <t>18B</t>
  </si>
  <si>
    <t xml:space="preserve">  Less Direct Assign Radial Depr Exp</t>
  </si>
  <si>
    <t>Trans. Reserve w/o Direct Assign Radials</t>
  </si>
  <si>
    <t>PEF-7, line 8</t>
  </si>
  <si>
    <t>Trans Depr. w/o Direct Assign Radials</t>
  </si>
  <si>
    <r>
      <t xml:space="preserve">Total Transmission Plant </t>
    </r>
    <r>
      <rPr>
        <u/>
        <sz val="10"/>
        <rFont val="Arial"/>
        <family val="2"/>
      </rPr>
      <t>w/o D/A Radials</t>
    </r>
  </si>
  <si>
    <t>7A</t>
  </si>
  <si>
    <t>Add back D/A Radials to Total Trans Plt (line 1 + p2, l 2A)</t>
  </si>
  <si>
    <t>Note T:</t>
  </si>
  <si>
    <t>Should PEF construct and own radials directly assignable to wholesale customers, PEF shall make a Section 205 filing to amend its Formula</t>
  </si>
  <si>
    <t>Note S:</t>
  </si>
  <si>
    <t>attachment (e.g., Exhibit PEF-x) shall be added to the template that sets forth the direct assignment radials by customer and by facility,</t>
  </si>
  <si>
    <t xml:space="preserve">accumulated depreciation reserves be maintained separately by customer and by project to capture the associated costs by customer and to </t>
  </si>
  <si>
    <t>reflect the appropriate effect of the vintage of each project.  Such Exhibit PEF-x shall be structured to accommodate direct assignments to</t>
  </si>
  <si>
    <t>multiple wholesale customers. Exhibit PEF-2 shall be modified to remove the direct assignment wholesale radials from the base rate calculations</t>
  </si>
  <si>
    <t xml:space="preserve">wholesale customer's direct assignment radials in the aggregate in separate columns.  Such Section 205 filing shall be made sufficiently in </t>
  </si>
  <si>
    <t>advance of the first occurrence of a direct assignment wholesale transmission radial to permit the requisite modifications to the Formula Rate</t>
  </si>
  <si>
    <t>Template to become effective with the in-servie date of the associated facility.</t>
  </si>
  <si>
    <t xml:space="preserve">Rate Template to remove the costs associated with wholesale direct assignment radials from the calculation of the OATT base rates.  A new </t>
  </si>
  <si>
    <t>showing the associated monthly balances for gross plant and accumulated depreciation reserves separately by project.  The intent is that the</t>
  </si>
  <si>
    <r>
      <t xml:space="preserve">generator step-up transformer investment.  </t>
    </r>
    <r>
      <rPr>
        <strike/>
        <sz val="10"/>
        <rFont val="Arial"/>
        <family val="2"/>
      </rPr>
      <t>It also serves as the basis for deriving OATT-related transmission labor from the Form-1 reported value.</t>
    </r>
  </si>
  <si>
    <r>
      <t xml:space="preserve">The allocator "TP" is the percent of </t>
    </r>
    <r>
      <rPr>
        <u/>
        <sz val="10"/>
        <rFont val="Arial"/>
        <family val="2"/>
      </rPr>
      <t>allocated</t>
    </r>
    <r>
      <rPr>
        <sz val="10"/>
        <rFont val="Arial"/>
        <family val="2"/>
      </rPr>
      <t xml:space="preserve"> gross transmission plant that is OATT related, i.e., after removal of ECC, </t>
    </r>
    <r>
      <rPr>
        <sz val="10"/>
        <rFont val="Arial"/>
        <family val="2"/>
      </rPr>
      <t>interconnections</t>
    </r>
    <r>
      <rPr>
        <sz val="10"/>
        <rFont val="Arial"/>
        <family val="2"/>
      </rPr>
      <t xml:space="preserve"> and </t>
    </r>
  </si>
  <si>
    <t>in a manner consistent with retail radials, except that Exhibit PEF-2 shall be further modified to set forth separately the costs allocated to each</t>
  </si>
  <si>
    <t>Transmission Rate Formula Support - Direct Assignment Retail Radials in Accordance with OATT Attachment U</t>
  </si>
  <si>
    <t>Year Ending 12/31/yyyy</t>
  </si>
  <si>
    <t>Tax at 12/31/xxxx</t>
  </si>
  <si>
    <t>Page _ of _</t>
  </si>
  <si>
    <t>Tax at 12/31/yyyy</t>
  </si>
  <si>
    <t>Exhibit PEF - 5A</t>
  </si>
  <si>
    <t>Unfunded Medical Reserves</t>
  </si>
  <si>
    <t>2008 OATT Settlement - SECI Preliminary Challenge Issue 2</t>
  </si>
  <si>
    <t xml:space="preserve">  Description</t>
  </si>
  <si>
    <t>Ending
 Balance</t>
  </si>
  <si>
    <t>Medical/Life Res Postemp Retail</t>
  </si>
  <si>
    <t>Medical/Life Res Postemp Whlse</t>
  </si>
  <si>
    <t>Funded Med/Life Res Postemp -W</t>
  </si>
  <si>
    <t>Salary Continuation</t>
  </si>
  <si>
    <t>Medical/Dental/Life</t>
  </si>
  <si>
    <t>Salary Continuation Loading</t>
  </si>
  <si>
    <t>Medical/Dental/Life Loading</t>
  </si>
  <si>
    <t xml:space="preserve">  Total Reserve</t>
  </si>
  <si>
    <t>Less Externally Funded Amounts</t>
  </si>
  <si>
    <t>Net Unfunded Medical Reserve</t>
  </si>
  <si>
    <t>yyyy Per Book Amount:</t>
  </si>
  <si>
    <t>Section 2.12 of Schedule 10.3 states “The Formula Rate excludes all costs that are properly directly assigned or assignable to one or more</t>
  </si>
  <si>
    <t>particular customers, including costs directly assigned or assignable to PEF.”  Per Settlement of 2008 Annual Update, the amount specified</t>
  </si>
  <si>
    <t>excludes directly assignable retail costs/credits booked to Account 935 and retail sales tax portion of Florida sales tax audit expense booked</t>
  </si>
  <si>
    <t>to Account 930.2 from Form-1 reported value.</t>
  </si>
  <si>
    <t>Network prepayments include interest that has been accrued but not yet refunded.</t>
  </si>
  <si>
    <t>Note U:</t>
  </si>
  <si>
    <t>appropriately excluded from rate base in the Formula Rate calculations.  The specific treatment of the "Unfunded Self-Insurance Medical</t>
  </si>
  <si>
    <t>Reserves in no way precludes the Transmission Provider or interested parties from making any argument in any proceeding at the Commission</t>
  </si>
  <si>
    <t>or in any review or challenge proceeding under the Formula Rate as to the appropriate accounting or ratemaking treatment in the Formula</t>
  </si>
  <si>
    <t>Rate of any other unfunded reserve.</t>
  </si>
  <si>
    <t>Note V:</t>
  </si>
  <si>
    <t>Note W:</t>
  </si>
  <si>
    <r>
      <t xml:space="preserve">Beginning balance excludes $0 </t>
    </r>
    <r>
      <rPr>
        <sz val="10"/>
        <rFont val="Arial"/>
        <family val="2"/>
      </rPr>
      <t>and ending balance excludes $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for prepaid pensions from Form-1 A/C 165 balances.</t>
    </r>
  </si>
  <si>
    <t>Line 2 - Line 8</t>
  </si>
  <si>
    <t>Unfunded Self-Insurance Medical Reserves (Note U)</t>
  </si>
  <si>
    <t>Exhibit PEF-5A</t>
  </si>
  <si>
    <t>The inclusion of Line 24, "Unfunded Self-Insurance Medical Reserves," ensures that "Unfunded Self-insurance Medical Reserves" are</t>
  </si>
  <si>
    <r>
      <t xml:space="preserve">Adjusted to remove ADUFC accruals from CWIP projects that were included in rate base.  </t>
    </r>
    <r>
      <rPr>
        <u/>
        <sz val="10"/>
        <rFont val="Arial"/>
        <family val="2"/>
      </rPr>
      <t>Qualifying CWIP excludes CWIP associated with</t>
    </r>
  </si>
  <si>
    <t>direct assignment radials</t>
  </si>
  <si>
    <t>Transmission Related CWIP - Identified Projects (Note V):</t>
  </si>
  <si>
    <t>Outstanding Balance - Network Prepayments (Note T)</t>
  </si>
  <si>
    <r>
      <t xml:space="preserve">Add Back ECC </t>
    </r>
    <r>
      <rPr>
        <u/>
        <sz val="10"/>
        <rFont val="Arial"/>
        <family val="2"/>
      </rPr>
      <t>to OATT Plant</t>
    </r>
    <r>
      <rPr>
        <sz val="10"/>
        <rFont val="Arial"/>
        <family val="2"/>
      </rPr>
      <t xml:space="preserve"> (Line 4 + Line 5)</t>
    </r>
  </si>
  <si>
    <r>
      <rPr>
        <strike/>
        <sz val="10"/>
        <rFont val="Arial"/>
        <family val="2"/>
      </rPr>
      <t>TP</t>
    </r>
    <r>
      <rPr>
        <u/>
        <sz val="10"/>
        <rFont val="Arial"/>
        <family val="2"/>
      </rPr>
      <t>TExp</t>
    </r>
  </si>
  <si>
    <r>
      <t xml:space="preserve">TExp Allocator (Expenses excluding 561 and 565) (Line 7 / Line </t>
    </r>
    <r>
      <rPr>
        <b/>
        <strike/>
        <sz val="10"/>
        <rFont val="Arial"/>
        <family val="2"/>
      </rPr>
      <t>1</t>
    </r>
    <r>
      <rPr>
        <b/>
        <u/>
        <sz val="10"/>
        <rFont val="Arial"/>
        <family val="2"/>
      </rPr>
      <t>7A</t>
    </r>
    <r>
      <rPr>
        <b/>
        <sz val="10"/>
        <rFont val="Arial"/>
        <family val="2"/>
      </rPr>
      <t>)</t>
    </r>
  </si>
  <si>
    <r>
      <t xml:space="preserve">OATT LABOR Allocator (Line </t>
    </r>
    <r>
      <rPr>
        <b/>
        <strike/>
        <sz val="10"/>
        <rFont val="Arial"/>
        <family val="2"/>
      </rPr>
      <t>6</t>
    </r>
    <r>
      <rPr>
        <b/>
        <u/>
        <sz val="10"/>
        <rFont val="Arial"/>
        <family val="2"/>
      </rPr>
      <t>5 / Line 7A</t>
    </r>
    <r>
      <rPr>
        <b/>
        <sz val="10"/>
        <rFont val="Arial"/>
        <family val="2"/>
      </rPr>
      <t xml:space="preserve"> * Line 14)</t>
    </r>
  </si>
  <si>
    <t>Attachment B (OATT Attachment U.1)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</si>
</sst>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0%_);\(0%\)"/>
    <numFmt numFmtId="169" formatCode="_(&quot;$&quot;* #,##0_);_(&quot;$&quot;* \(#,##0\);_(&quot;$&quot;* &quot;-&quot;??_);_(@_)"/>
    <numFmt numFmtId="170" formatCode="_(* #,##0_);_(* \(#,##0\);_(* &quot;-&quot;??_);_(@_)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Arial"/>
      <family val="2"/>
    </font>
    <font>
      <b/>
      <strike/>
      <sz val="10"/>
      <name val="Arial"/>
      <family val="2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7" fillId="0" borderId="0" applyNumberFormat="0"/>
    <xf numFmtId="43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0" fontId="18" fillId="2" borderId="0">
      <alignment horizontal="right"/>
    </xf>
    <xf numFmtId="14" fontId="2" fillId="3" borderId="1">
      <alignment horizontal="center" vertical="center" wrapText="1"/>
    </xf>
    <xf numFmtId="0" fontId="3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1">
      <alignment horizontal="center"/>
    </xf>
    <xf numFmtId="3" fontId="21" fillId="0" borderId="0" applyFill="0" applyBorder="0" applyAlignment="0" applyProtection="0"/>
    <xf numFmtId="0" fontId="19" fillId="4" borderId="0" applyNumberFormat="0" applyFont="0" applyBorder="0" applyAlignment="0" applyProtection="0"/>
    <xf numFmtId="39" fontId="22" fillId="0" borderId="0"/>
    <xf numFmtId="0" fontId="1" fillId="0" borderId="0" applyNumberFormat="0" applyFill="0" applyBorder="0" applyAlignment="0" applyProtection="0"/>
    <xf numFmtId="0" fontId="23" fillId="0" borderId="0" applyFill="0" applyBorder="0" applyProtection="0">
      <alignment horizontal="left" vertical="top"/>
    </xf>
    <xf numFmtId="0" fontId="1" fillId="0" borderId="0"/>
  </cellStyleXfs>
  <cellXfs count="271">
    <xf numFmtId="0" fontId="0" fillId="0" borderId="0" xfId="0"/>
    <xf numFmtId="3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7" fontId="0" fillId="0" borderId="2" xfId="0" applyNumberFormat="1" applyBorder="1"/>
    <xf numFmtId="3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3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5" borderId="0" xfId="0" applyFill="1"/>
    <xf numFmtId="0" fontId="6" fillId="0" borderId="0" xfId="0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37" fontId="7" fillId="0" borderId="0" xfId="0" applyNumberFormat="1" applyFont="1" applyBorder="1"/>
    <xf numFmtId="37" fontId="9" fillId="6" borderId="0" xfId="0" applyNumberFormat="1" applyFont="1" applyFill="1" applyBorder="1"/>
    <xf numFmtId="5" fontId="7" fillId="0" borderId="5" xfId="0" applyNumberFormat="1" applyFont="1" applyBorder="1"/>
    <xf numFmtId="0" fontId="3" fillId="6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center"/>
    </xf>
    <xf numFmtId="5" fontId="7" fillId="0" borderId="0" xfId="0" applyNumberFormat="1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37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left"/>
    </xf>
    <xf numFmtId="37" fontId="1" fillId="0" borderId="0" xfId="0" applyNumberFormat="1" applyFont="1"/>
    <xf numFmtId="0" fontId="12" fillId="0" borderId="0" xfId="0" applyFont="1"/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quotePrefix="1" applyFont="1"/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7" fontId="0" fillId="0" borderId="0" xfId="0" applyNumberFormat="1" applyFill="1"/>
    <xf numFmtId="164" fontId="0" fillId="0" borderId="0" xfId="0" applyNumberFormat="1" applyFill="1"/>
    <xf numFmtId="0" fontId="15" fillId="0" borderId="0" xfId="0" applyFont="1"/>
    <xf numFmtId="165" fontId="6" fillId="0" borderId="0" xfId="0" applyNumberFormat="1" applyFo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37" fontId="1" fillId="0" borderId="0" xfId="0" applyNumberFormat="1" applyFont="1" applyFill="1"/>
    <xf numFmtId="44" fontId="0" fillId="0" borderId="0" xfId="0" applyNumberFormat="1" applyFill="1" applyAlignment="1">
      <alignment horizontal="center"/>
    </xf>
    <xf numFmtId="37" fontId="11" fillId="0" borderId="0" xfId="0" applyNumberFormat="1" applyFont="1" applyFill="1"/>
    <xf numFmtId="37" fontId="0" fillId="0" borderId="0" xfId="0" applyNumberFormat="1" applyAlignment="1">
      <alignment horizontal="center" vertical="center"/>
    </xf>
    <xf numFmtId="37" fontId="0" fillId="0" borderId="0" xfId="0" applyNumberFormat="1" applyFill="1" applyAlignment="1">
      <alignment horizontal="right"/>
    </xf>
    <xf numFmtId="37" fontId="0" fillId="0" borderId="2" xfId="0" applyNumberFormat="1" applyFill="1" applyBorder="1"/>
    <xf numFmtId="165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0" fontId="0" fillId="0" borderId="0" xfId="0" applyNumberFormat="1" applyFill="1"/>
    <xf numFmtId="10" fontId="2" fillId="0" borderId="0" xfId="0" applyNumberFormat="1" applyFont="1" applyFill="1"/>
    <xf numFmtId="10" fontId="2" fillId="0" borderId="2" xfId="0" applyNumberFormat="1" applyFont="1" applyFill="1" applyBorder="1"/>
    <xf numFmtId="0" fontId="0" fillId="0" borderId="0" xfId="0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/>
    </xf>
    <xf numFmtId="0" fontId="25" fillId="0" borderId="0" xfId="0" applyFont="1" applyFill="1"/>
    <xf numFmtId="0" fontId="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37" fontId="0" fillId="0" borderId="0" xfId="0" applyNumberFormat="1" applyFill="1" applyAlignment="1">
      <alignment horizontal="left"/>
    </xf>
    <xf numFmtId="37" fontId="16" fillId="0" borderId="0" xfId="0" applyNumberFormat="1" applyFont="1" applyFill="1"/>
    <xf numFmtId="37" fontId="24" fillId="0" borderId="0" xfId="0" applyNumberFormat="1" applyFont="1" applyFill="1"/>
    <xf numFmtId="37" fontId="15" fillId="0" borderId="0" xfId="0" applyNumberFormat="1" applyFont="1" applyFill="1"/>
    <xf numFmtId="37" fontId="2" fillId="0" borderId="0" xfId="0" applyNumberFormat="1" applyFont="1" applyFill="1" applyAlignment="1">
      <alignment horizontal="center" vertical="center"/>
    </xf>
    <xf numFmtId="37" fontId="16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16" fillId="0" borderId="6" xfId="0" applyNumberFormat="1" applyFont="1" applyFill="1" applyBorder="1"/>
    <xf numFmtId="37" fontId="16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 vertical="center"/>
    </xf>
    <xf numFmtId="39" fontId="0" fillId="0" borderId="0" xfId="0" applyNumberFormat="1" applyFill="1" applyAlignment="1">
      <alignment vertical="center"/>
    </xf>
    <xf numFmtId="37" fontId="0" fillId="0" borderId="0" xfId="0" applyNumberFormat="1" applyFill="1" applyBorder="1"/>
    <xf numFmtId="37" fontId="0" fillId="0" borderId="7" xfId="0" applyNumberFormat="1" applyFill="1" applyBorder="1"/>
    <xf numFmtId="37" fontId="24" fillId="0" borderId="0" xfId="0" applyNumberFormat="1" applyFont="1" applyFill="1" applyAlignment="1">
      <alignment horizontal="center"/>
    </xf>
    <xf numFmtId="38" fontId="0" fillId="0" borderId="0" xfId="0" applyNumberFormat="1" applyFill="1"/>
    <xf numFmtId="37" fontId="15" fillId="0" borderId="0" xfId="0" applyNumberFormat="1" applyFont="1" applyAlignment="1">
      <alignment horizontal="center"/>
    </xf>
    <xf numFmtId="0" fontId="26" fillId="0" borderId="0" xfId="0" applyFont="1"/>
    <xf numFmtId="37" fontId="2" fillId="0" borderId="2" xfId="0" applyNumberFormat="1" applyFont="1" applyFill="1" applyBorder="1"/>
    <xf numFmtId="37" fontId="2" fillId="0" borderId="0" xfId="0" applyNumberFormat="1" applyFont="1" applyFill="1"/>
    <xf numFmtId="166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28" fillId="0" borderId="0" xfId="0" applyFont="1"/>
    <xf numFmtId="169" fontId="1" fillId="0" borderId="0" xfId="6" applyNumberFormat="1"/>
    <xf numFmtId="169" fontId="1" fillId="0" borderId="0" xfId="6" applyNumberFormat="1" applyFont="1"/>
    <xf numFmtId="0" fontId="0" fillId="0" borderId="0" xfId="0" applyNumberFormat="1"/>
    <xf numFmtId="9" fontId="1" fillId="0" borderId="0" xfId="11"/>
    <xf numFmtId="0" fontId="2" fillId="7" borderId="0" xfId="0" applyFont="1" applyFill="1" applyBorder="1"/>
    <xf numFmtId="0" fontId="0" fillId="7" borderId="0" xfId="0" applyFill="1"/>
    <xf numFmtId="0" fontId="29" fillId="0" borderId="0" xfId="0" applyFont="1" applyFill="1"/>
    <xf numFmtId="0" fontId="0" fillId="0" borderId="3" xfId="0" applyBorder="1" applyAlignment="1">
      <alignment horizontal="center"/>
    </xf>
    <xf numFmtId="169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169" fontId="0" fillId="0" borderId="0" xfId="0" applyNumberForma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Border="1" applyAlignment="1">
      <alignment horizontal="center"/>
    </xf>
    <xf numFmtId="169" fontId="2" fillId="0" borderId="6" xfId="0" applyNumberFormat="1" applyFont="1" applyBorder="1"/>
    <xf numFmtId="169" fontId="2" fillId="0" borderId="0" xfId="6" applyNumberFormat="1" applyFont="1"/>
    <xf numFmtId="0" fontId="2" fillId="0" borderId="1" xfId="0" applyFont="1" applyBorder="1"/>
    <xf numFmtId="0" fontId="3" fillId="0" borderId="0" xfId="0" applyNumberFormat="1" applyFont="1" applyBorder="1"/>
    <xf numFmtId="0" fontId="14" fillId="0" borderId="0" xfId="0" applyNumberFormat="1" applyFont="1" applyBorder="1"/>
    <xf numFmtId="5" fontId="3" fillId="0" borderId="0" xfId="0" applyNumberFormat="1" applyFont="1" applyBorder="1"/>
    <xf numFmtId="37" fontId="3" fillId="0" borderId="0" xfId="0" applyNumberFormat="1" applyFont="1" applyBorder="1"/>
    <xf numFmtId="0" fontId="3" fillId="0" borderId="0" xfId="0" quotePrefix="1" applyNumberFormat="1" applyFont="1" applyBorder="1" applyAlignment="1">
      <alignment horizontal="left"/>
    </xf>
    <xf numFmtId="0" fontId="8" fillId="0" borderId="0" xfId="0" applyNumberFormat="1" applyFont="1" applyBorder="1"/>
    <xf numFmtId="0" fontId="3" fillId="6" borderId="0" xfId="0" applyNumberFormat="1" applyFont="1" applyFill="1" applyBorder="1"/>
    <xf numFmtId="0" fontId="3" fillId="0" borderId="0" xfId="0" applyNumberFormat="1" applyFont="1" applyBorder="1" applyAlignment="1">
      <alignment horizontal="left"/>
    </xf>
    <xf numFmtId="0" fontId="0" fillId="0" borderId="0" xfId="0" applyBorder="1"/>
    <xf numFmtId="0" fontId="14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2" fillId="0" borderId="0" xfId="0" applyNumberFormat="1" applyFont="1" applyAlignment="1">
      <alignment horizontal="right"/>
    </xf>
    <xf numFmtId="0" fontId="1" fillId="0" borderId="0" xfId="10"/>
    <xf numFmtId="0" fontId="12" fillId="0" borderId="0" xfId="10" applyFont="1"/>
    <xf numFmtId="0" fontId="1" fillId="0" borderId="0" xfId="10" applyAlignment="1">
      <alignment horizontal="left"/>
    </xf>
    <xf numFmtId="0" fontId="2" fillId="0" borderId="0" xfId="10" applyFont="1" applyAlignment="1">
      <alignment horizontal="center"/>
    </xf>
    <xf numFmtId="0" fontId="2" fillId="0" borderId="3" xfId="10" applyFont="1" applyBorder="1"/>
    <xf numFmtId="0" fontId="0" fillId="0" borderId="0" xfId="0" applyAlignment="1">
      <alignment horizontal="right"/>
    </xf>
    <xf numFmtId="0" fontId="1" fillId="0" borderId="3" xfId="10" applyBorder="1"/>
    <xf numFmtId="0" fontId="2" fillId="0" borderId="3" xfId="10" applyFont="1" applyBorder="1" applyAlignment="1">
      <alignment horizontal="center"/>
    </xf>
    <xf numFmtId="0" fontId="2" fillId="8" borderId="8" xfId="10" applyFont="1" applyFill="1" applyBorder="1"/>
    <xf numFmtId="0" fontId="1" fillId="0" borderId="0" xfId="10" applyFill="1"/>
    <xf numFmtId="37" fontId="1" fillId="0" borderId="0" xfId="10" applyNumberFormat="1"/>
    <xf numFmtId="0" fontId="28" fillId="0" borderId="0" xfId="10" applyFont="1" applyAlignment="1">
      <alignment horizontal="left"/>
    </xf>
    <xf numFmtId="0" fontId="1" fillId="0" borderId="0" xfId="10" applyAlignment="1">
      <alignment horizontal="left" indent="1"/>
    </xf>
    <xf numFmtId="5" fontId="1" fillId="0" borderId="0" xfId="10" applyNumberFormat="1"/>
    <xf numFmtId="37" fontId="14" fillId="0" borderId="0" xfId="10" applyNumberFormat="1" applyFont="1"/>
    <xf numFmtId="37" fontId="2" fillId="0" borderId="0" xfId="10" applyNumberFormat="1" applyFont="1" applyAlignment="1">
      <alignment horizontal="center" vertical="center"/>
    </xf>
    <xf numFmtId="0" fontId="3" fillId="0" borderId="0" xfId="10" applyFont="1"/>
    <xf numFmtId="0" fontId="2" fillId="0" borderId="0" xfId="10" applyFont="1"/>
    <xf numFmtId="0" fontId="1" fillId="0" borderId="0" xfId="10" applyAlignment="1">
      <alignment horizontal="left" indent="2"/>
    </xf>
    <xf numFmtId="0" fontId="28" fillId="0" borderId="0" xfId="10" applyFont="1"/>
    <xf numFmtId="37" fontId="4" fillId="0" borderId="0" xfId="10" applyNumberFormat="1" applyFont="1"/>
    <xf numFmtId="10" fontId="1" fillId="0" borderId="0" xfId="11" applyNumberFormat="1"/>
    <xf numFmtId="167" fontId="1" fillId="0" borderId="0" xfId="10" applyNumberFormat="1"/>
    <xf numFmtId="0" fontId="2" fillId="0" borderId="0" xfId="10" applyFont="1" applyAlignment="1">
      <alignment horizontal="left" indent="1"/>
    </xf>
    <xf numFmtId="5" fontId="2" fillId="8" borderId="8" xfId="10" applyNumberFormat="1" applyFont="1" applyFill="1" applyBorder="1"/>
    <xf numFmtId="0" fontId="2" fillId="7" borderId="8" xfId="10" applyFont="1" applyFill="1" applyBorder="1"/>
    <xf numFmtId="37" fontId="16" fillId="7" borderId="9" xfId="10" applyNumberFormat="1" applyFont="1" applyFill="1" applyBorder="1"/>
    <xf numFmtId="37" fontId="16" fillId="7" borderId="8" xfId="10" applyNumberFormat="1" applyFont="1" applyFill="1" applyBorder="1"/>
    <xf numFmtId="37" fontId="16" fillId="7" borderId="10" xfId="10" applyNumberFormat="1" applyFont="1" applyFill="1" applyBorder="1"/>
    <xf numFmtId="0" fontId="1" fillId="5" borderId="0" xfId="10" applyFill="1"/>
    <xf numFmtId="37" fontId="2" fillId="0" borderId="0" xfId="10" applyNumberFormat="1" applyFont="1"/>
    <xf numFmtId="0" fontId="1" fillId="0" borderId="0" xfId="10" applyFont="1" applyAlignment="1">
      <alignment horizontal="left" indent="1"/>
    </xf>
    <xf numFmtId="0" fontId="1" fillId="0" borderId="0" xfId="10" applyFont="1"/>
    <xf numFmtId="37" fontId="2" fillId="0" borderId="0" xfId="0" applyNumberFormat="1" applyFont="1" applyFill="1" applyAlignment="1">
      <alignment horizontal="center"/>
    </xf>
    <xf numFmtId="170" fontId="0" fillId="0" borderId="0" xfId="2" applyNumberFormat="1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Fill="1"/>
    <xf numFmtId="37" fontId="1" fillId="9" borderId="0" xfId="10" applyNumberFormat="1" applyFill="1"/>
    <xf numFmtId="37" fontId="1" fillId="0" borderId="0" xfId="10" applyNumberFormat="1" applyFill="1"/>
    <xf numFmtId="37" fontId="4" fillId="0" borderId="0" xfId="10" applyNumberFormat="1" applyFont="1" applyFill="1"/>
    <xf numFmtId="9" fontId="1" fillId="9" borderId="0" xfId="11" applyFill="1"/>
    <xf numFmtId="169" fontId="1" fillId="9" borderId="0" xfId="6" applyNumberFormat="1" applyFont="1" applyFill="1" applyAlignment="1">
      <alignment horizontal="right"/>
    </xf>
    <xf numFmtId="169" fontId="1" fillId="9" borderId="0" xfId="6" applyNumberFormat="1" applyFill="1"/>
    <xf numFmtId="169" fontId="0" fillId="9" borderId="0" xfId="0" applyNumberFormat="1" applyFill="1"/>
    <xf numFmtId="5" fontId="1" fillId="0" borderId="0" xfId="10" applyNumberFormat="1" applyFill="1"/>
    <xf numFmtId="37" fontId="2" fillId="0" borderId="0" xfId="10" applyNumberFormat="1" applyFont="1" applyFill="1" applyAlignment="1">
      <alignment horizontal="center" vertical="center"/>
    </xf>
    <xf numFmtId="37" fontId="14" fillId="0" borderId="0" xfId="10" applyNumberFormat="1" applyFont="1" applyFill="1"/>
    <xf numFmtId="169" fontId="3" fillId="9" borderId="0" xfId="0" applyNumberFormat="1" applyFont="1" applyFill="1"/>
    <xf numFmtId="37" fontId="2" fillId="0" borderId="0" xfId="5" applyNumberFormat="1" applyFont="1" applyFill="1"/>
    <xf numFmtId="170" fontId="3" fillId="0" borderId="0" xfId="0" applyNumberFormat="1" applyFont="1"/>
    <xf numFmtId="10" fontId="4" fillId="0" borderId="0" xfId="0" applyNumberFormat="1" applyFont="1" applyFill="1"/>
    <xf numFmtId="16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 vertical="center"/>
    </xf>
    <xf numFmtId="37" fontId="9" fillId="0" borderId="0" xfId="0" applyNumberFormat="1" applyFont="1" applyFill="1" applyBorder="1"/>
    <xf numFmtId="37" fontId="3" fillId="0" borderId="0" xfId="0" applyNumberFormat="1" applyFont="1" applyFill="1" applyBorder="1"/>
    <xf numFmtId="0" fontId="4" fillId="0" borderId="0" xfId="0" applyFont="1"/>
    <xf numFmtId="37" fontId="4" fillId="0" borderId="0" xfId="0" applyNumberFormat="1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7" fontId="7" fillId="0" borderId="4" xfId="0" applyNumberFormat="1" applyFont="1" applyBorder="1"/>
    <xf numFmtId="0" fontId="1" fillId="0" borderId="0" xfId="22" applyFont="1"/>
    <xf numFmtId="0" fontId="1" fillId="0" borderId="0" xfId="22"/>
    <xf numFmtId="0" fontId="31" fillId="0" borderId="0" xfId="22" applyFont="1" applyAlignment="1">
      <alignment horizontal="left"/>
    </xf>
    <xf numFmtId="0" fontId="32" fillId="0" borderId="0" xfId="22" applyFont="1"/>
    <xf numFmtId="0" fontId="32" fillId="0" borderId="0" xfId="22" applyFont="1" applyAlignment="1">
      <alignment horizontal="center"/>
    </xf>
    <xf numFmtId="0" fontId="33" fillId="0" borderId="0" xfId="22" applyFont="1" applyAlignment="1">
      <alignment horizontal="center" vertical="center" wrapText="1"/>
    </xf>
    <xf numFmtId="0" fontId="33" fillId="0" borderId="0" xfId="22" applyFont="1" applyAlignment="1">
      <alignment horizontal="center" vertical="center"/>
    </xf>
    <xf numFmtId="0" fontId="32" fillId="0" borderId="0" xfId="22" applyFont="1" applyAlignment="1">
      <alignment horizontal="center" vertical="center"/>
    </xf>
    <xf numFmtId="0" fontId="32" fillId="0" borderId="0" xfId="22" applyFont="1" applyAlignment="1">
      <alignment vertical="center"/>
    </xf>
    <xf numFmtId="37" fontId="32" fillId="0" borderId="0" xfId="22" applyNumberFormat="1" applyFont="1" applyAlignment="1">
      <alignment vertical="center"/>
    </xf>
    <xf numFmtId="37" fontId="32" fillId="0" borderId="0" xfId="22" applyNumberFormat="1" applyFont="1"/>
    <xf numFmtId="0" fontId="34" fillId="0" borderId="0" xfId="22" applyFont="1"/>
    <xf numFmtId="37" fontId="26" fillId="0" borderId="6" xfId="6" applyNumberFormat="1" applyFont="1" applyBorder="1"/>
    <xf numFmtId="37" fontId="26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37" fontId="1" fillId="0" borderId="0" xfId="0" applyNumberFormat="1" applyFont="1" applyAlignment="1">
      <alignment horizontal="right" vertical="center"/>
    </xf>
    <xf numFmtId="3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37" fontId="4" fillId="0" borderId="0" xfId="0" applyNumberFormat="1" applyFont="1" applyFill="1"/>
    <xf numFmtId="0" fontId="28" fillId="0" borderId="0" xfId="0" applyFont="1" applyFill="1"/>
    <xf numFmtId="37" fontId="4" fillId="0" borderId="0" xfId="0" applyNumberFormat="1" applyFont="1" applyFill="1" applyAlignment="1">
      <alignment horizontal="right"/>
    </xf>
    <xf numFmtId="37" fontId="4" fillId="0" borderId="3" xfId="0" applyNumberFormat="1" applyFont="1" applyFill="1" applyBorder="1"/>
    <xf numFmtId="164" fontId="4" fillId="0" borderId="0" xfId="0" applyNumberFormat="1" applyFont="1" applyFill="1"/>
    <xf numFmtId="0" fontId="25" fillId="0" borderId="0" xfId="0" applyFont="1" applyAlignment="1">
      <alignment horizontal="center"/>
    </xf>
    <xf numFmtId="164" fontId="25" fillId="0" borderId="0" xfId="0" applyNumberFormat="1" applyFont="1"/>
    <xf numFmtId="37" fontId="25" fillId="0" borderId="0" xfId="0" applyNumberFormat="1" applyFont="1"/>
    <xf numFmtId="0" fontId="35" fillId="0" borderId="0" xfId="0" applyFont="1"/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/>
    <xf numFmtId="37" fontId="25" fillId="0" borderId="0" xfId="0" applyNumberFormat="1" applyFont="1" applyFill="1"/>
    <xf numFmtId="0" fontId="4" fillId="0" borderId="0" xfId="0" applyFont="1" applyFill="1" applyAlignment="1">
      <alignment horizontal="left"/>
    </xf>
    <xf numFmtId="0" fontId="37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22" applyFont="1" applyAlignment="1">
      <alignment horizontal="left"/>
    </xf>
    <xf numFmtId="0" fontId="32" fillId="0" borderId="0" xfId="22" applyFont="1" applyAlignment="1">
      <alignment horizontal="left"/>
    </xf>
    <xf numFmtId="0" fontId="33" fillId="0" borderId="0" xfId="22" applyFont="1" applyAlignment="1">
      <alignment horizontal="center"/>
    </xf>
    <xf numFmtId="0" fontId="32" fillId="0" borderId="0" xfId="22" applyFont="1" applyAlignment="1">
      <alignment horizontal="center"/>
    </xf>
    <xf numFmtId="0" fontId="1" fillId="0" borderId="0" xfId="10" applyAlignment="1">
      <alignment horizontal="left"/>
    </xf>
    <xf numFmtId="0" fontId="2" fillId="0" borderId="0" xfId="10" applyFont="1" applyAlignment="1">
      <alignment horizontal="center"/>
    </xf>
    <xf numFmtId="0" fontId="1" fillId="0" borderId="0" xfId="10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3">
    <cellStyle name="_x0013_" xfId="1"/>
    <cellStyle name="Comma" xfId="2" builtinId="3"/>
    <cellStyle name="Comma 2" xfId="3"/>
    <cellStyle name="Comma(1)" xfId="4"/>
    <cellStyle name="Comma_rev456" xfId="5"/>
    <cellStyle name="Currency" xfId="6" builtinId="4"/>
    <cellStyle name="Detail" xfId="7"/>
    <cellStyle name="Heading" xfId="8"/>
    <cellStyle name="Normal" xfId="0" builtinId="0"/>
    <cellStyle name="Normal 2" xfId="9"/>
    <cellStyle name="Normal 3" xfId="22"/>
    <cellStyle name="Normal_Linxwiler Blank OATT Formula Template 10-25-07 Revision 2" xfId="10"/>
    <cellStyle name="Percent" xfId="11" builtinId="5"/>
    <cellStyle name="Percent (0)" xfId="12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152400</xdr:rowOff>
    </xdr:from>
    <xdr:to>
      <xdr:col>10</xdr:col>
      <xdr:colOff>409575</xdr:colOff>
      <xdr:row>42</xdr:row>
      <xdr:rowOff>19050</xdr:rowOff>
    </xdr:to>
    <xdr:pic>
      <xdr:nvPicPr>
        <xdr:cNvPr id="3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314575"/>
          <a:ext cx="5486400" cy="456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>
      <selection activeCell="L13" sqref="L13"/>
    </sheetView>
  </sheetViews>
  <sheetFormatPr defaultRowHeight="12.75"/>
  <cols>
    <col min="1" max="1" width="9.28515625" bestFit="1" customWidth="1"/>
    <col min="2" max="2" width="2.7109375" customWidth="1"/>
    <col min="3" max="3" width="39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9" max="9" width="9.42578125" bestFit="1" customWidth="1"/>
    <col min="10" max="10" width="3.7109375" customWidth="1"/>
    <col min="11" max="11" width="14.7109375" customWidth="1"/>
    <col min="12" max="12" width="3.7109375" customWidth="1"/>
  </cols>
  <sheetData>
    <row r="1" spans="1:12" ht="27.75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5" spans="1:12" ht="15">
      <c r="J5" s="236" t="s">
        <v>187</v>
      </c>
      <c r="K5" s="236"/>
      <c r="L5" s="236"/>
    </row>
    <row r="6" spans="1:12" ht="15">
      <c r="J6" s="237" t="s">
        <v>231</v>
      </c>
      <c r="K6" s="237"/>
      <c r="L6" s="238"/>
    </row>
    <row r="7" spans="1:12">
      <c r="A7" s="44"/>
      <c r="B7" s="44"/>
      <c r="C7" s="44"/>
      <c r="D7" s="44"/>
      <c r="E7" s="44"/>
      <c r="F7" s="44"/>
      <c r="G7" s="44"/>
      <c r="H7" s="44"/>
      <c r="I7" s="44"/>
      <c r="J7" s="239" t="str">
        <f>FF1_Year</f>
        <v>Year Ending 12/31/yyyy</v>
      </c>
      <c r="K7" s="240"/>
      <c r="L7" s="240"/>
    </row>
    <row r="8" spans="1:1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241" t="s">
        <v>135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>
      <c r="A10" s="241" t="s">
        <v>137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>
      <c r="A12" s="241" t="s">
        <v>136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>
      <c r="A14" s="5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5.5">
      <c r="A15" s="84" t="s">
        <v>21</v>
      </c>
      <c r="B15" s="85"/>
      <c r="C15" s="69"/>
      <c r="D15" s="84" t="s">
        <v>4</v>
      </c>
      <c r="E15" s="84"/>
      <c r="F15" s="84" t="s">
        <v>22</v>
      </c>
      <c r="G15" s="84"/>
      <c r="H15" s="241" t="s">
        <v>23</v>
      </c>
      <c r="I15" s="241"/>
      <c r="J15" s="84"/>
      <c r="K15" s="86" t="s">
        <v>24</v>
      </c>
      <c r="L15" s="87"/>
    </row>
    <row r="16" spans="1:12">
      <c r="A16" s="5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>
      <c r="A17" s="50">
        <v>1</v>
      </c>
      <c r="B17" s="51" t="s">
        <v>238</v>
      </c>
      <c r="C17" s="44"/>
      <c r="D17" s="44" t="str">
        <f>"Page 3, Line "&amp;'PEF - 2 - Page 3 Rev Reqt'!A67</f>
        <v>Page 3, Line 35</v>
      </c>
      <c r="E17" s="44"/>
      <c r="F17" s="44"/>
      <c r="G17" s="44"/>
      <c r="H17" s="44"/>
      <c r="I17" s="44"/>
      <c r="J17" s="44"/>
      <c r="K17" s="46">
        <f>'PEF - 2 - Page 3 Rev Reqt'!K67</f>
        <v>0</v>
      </c>
      <c r="L17" s="44"/>
    </row>
    <row r="18" spans="1:12">
      <c r="A18" s="88"/>
      <c r="B18" s="51"/>
      <c r="C18" s="44"/>
      <c r="D18" s="50"/>
      <c r="E18" s="50"/>
      <c r="F18" s="46"/>
      <c r="G18" s="44"/>
      <c r="H18" s="50"/>
      <c r="I18" s="44"/>
      <c r="J18" s="44"/>
      <c r="K18" s="44" t="str">
        <f>IF(ISNUMBER(I18),F18*I18,"")</f>
        <v/>
      </c>
      <c r="L18" s="44"/>
    </row>
    <row r="19" spans="1:12">
      <c r="A19" s="44"/>
      <c r="B19" s="51" t="s">
        <v>115</v>
      </c>
      <c r="C19" s="44"/>
      <c r="D19" s="50"/>
      <c r="E19" s="50"/>
      <c r="F19" s="46"/>
      <c r="G19" s="44"/>
      <c r="H19" s="50"/>
      <c r="I19" s="47"/>
      <c r="J19" s="47"/>
      <c r="K19" s="46"/>
      <c r="L19" s="44"/>
    </row>
    <row r="20" spans="1:12">
      <c r="A20" s="50">
        <v>2</v>
      </c>
      <c r="B20" s="51"/>
      <c r="C20" s="44" t="s">
        <v>289</v>
      </c>
      <c r="D20" s="50" t="s">
        <v>194</v>
      </c>
      <c r="E20" s="50"/>
      <c r="F20" s="46">
        <f>'PEF -3, p1, 454 Rev Credits'!$F$12</f>
        <v>0</v>
      </c>
      <c r="G20" s="44"/>
      <c r="H20" s="50" t="s">
        <v>55</v>
      </c>
      <c r="I20" s="47">
        <v>1</v>
      </c>
      <c r="J20" s="47"/>
      <c r="K20" s="46">
        <f>IF(ISNUMBER(I20),F20*I20,"")</f>
        <v>0</v>
      </c>
      <c r="L20" s="44"/>
    </row>
    <row r="21" spans="1:12" ht="13.5" thickBot="1">
      <c r="A21" s="50">
        <v>3</v>
      </c>
      <c r="B21" s="51"/>
      <c r="C21" s="44" t="s">
        <v>288</v>
      </c>
      <c r="D21" s="50" t="s">
        <v>194</v>
      </c>
      <c r="E21" s="50"/>
      <c r="F21" s="46">
        <f>'PEF - 3,  p2, 456 Rev Credits'!G21</f>
        <v>0</v>
      </c>
      <c r="G21" s="44"/>
      <c r="H21" s="50" t="s">
        <v>55</v>
      </c>
      <c r="I21" s="47">
        <v>1</v>
      </c>
      <c r="J21" s="47"/>
      <c r="K21" s="46">
        <f>IF(ISNUMBER(I21),F21*I21,"")</f>
        <v>0</v>
      </c>
      <c r="L21" s="44"/>
    </row>
    <row r="22" spans="1:12" ht="15" customHeight="1" thickTop="1">
      <c r="A22" s="50">
        <v>4</v>
      </c>
      <c r="B22" s="51" t="s">
        <v>108</v>
      </c>
      <c r="C22" s="44"/>
      <c r="D22" s="50"/>
      <c r="E22" s="50"/>
      <c r="F22" s="59">
        <f>SUM(F18:F21)</f>
        <v>0</v>
      </c>
      <c r="G22" s="44"/>
      <c r="H22" s="50"/>
      <c r="I22" s="47"/>
      <c r="J22" s="47"/>
      <c r="K22" s="59">
        <f>SUM(K18:K21)</f>
        <v>0</v>
      </c>
      <c r="L22" s="44"/>
    </row>
    <row r="23" spans="1:12">
      <c r="A23" s="50"/>
      <c r="B23" s="51"/>
      <c r="C23" s="44"/>
      <c r="D23" s="50"/>
      <c r="E23" s="50"/>
      <c r="F23" s="44"/>
      <c r="G23" s="44"/>
      <c r="H23" s="50"/>
      <c r="I23" s="44"/>
      <c r="J23" s="44"/>
      <c r="K23" s="44"/>
      <c r="L23" s="44"/>
    </row>
    <row r="24" spans="1:12">
      <c r="A24" s="50">
        <v>5</v>
      </c>
      <c r="B24" s="51" t="s">
        <v>282</v>
      </c>
      <c r="C24" s="44"/>
      <c r="D24" s="50"/>
      <c r="E24" s="50"/>
      <c r="F24" s="46"/>
      <c r="G24" s="44"/>
      <c r="H24" s="50"/>
      <c r="I24" s="44"/>
      <c r="J24" s="44"/>
      <c r="K24" s="46">
        <v>0</v>
      </c>
      <c r="L24" s="44"/>
    </row>
    <row r="25" spans="1:12">
      <c r="A25" s="50"/>
      <c r="B25" s="51"/>
      <c r="C25" s="44"/>
      <c r="D25" s="50"/>
      <c r="E25" s="50"/>
      <c r="F25" s="44"/>
      <c r="G25" s="44"/>
      <c r="H25" s="50"/>
      <c r="I25" s="44"/>
      <c r="J25" s="44"/>
      <c r="K25" s="44"/>
      <c r="L25" s="44"/>
    </row>
    <row r="26" spans="1:12">
      <c r="A26" s="50">
        <f>A24+1</f>
        <v>6</v>
      </c>
      <c r="B26" s="51" t="s">
        <v>312</v>
      </c>
      <c r="C26" s="44"/>
      <c r="D26" s="50"/>
      <c r="E26" s="50"/>
      <c r="F26" s="44"/>
      <c r="G26" s="44"/>
      <c r="H26" s="50"/>
      <c r="I26" s="44"/>
      <c r="J26" s="44"/>
      <c r="K26" s="46">
        <v>0</v>
      </c>
      <c r="L26" s="44"/>
    </row>
    <row r="27" spans="1:12">
      <c r="A27" s="50"/>
      <c r="B27" s="51"/>
      <c r="C27" s="44"/>
      <c r="D27" s="50"/>
      <c r="E27" s="50"/>
      <c r="F27" s="44"/>
      <c r="G27" s="44"/>
      <c r="H27" s="50"/>
      <c r="I27" s="44"/>
      <c r="J27" s="44"/>
      <c r="K27" s="44"/>
      <c r="L27" s="44"/>
    </row>
    <row r="28" spans="1:12">
      <c r="A28" s="50">
        <f>+A26+1</f>
        <v>7</v>
      </c>
      <c r="B28" s="51" t="s">
        <v>386</v>
      </c>
      <c r="C28" s="44"/>
      <c r="D28" s="50"/>
      <c r="E28" s="50"/>
      <c r="F28" s="44"/>
      <c r="G28" s="44"/>
      <c r="H28" s="50"/>
      <c r="I28" s="44"/>
      <c r="J28" s="44"/>
      <c r="K28" s="46">
        <f>K17-K22+K24+K26</f>
        <v>0</v>
      </c>
      <c r="L28" s="44"/>
    </row>
    <row r="29" spans="1:12">
      <c r="A29" s="50"/>
      <c r="B29" s="51"/>
      <c r="C29" s="44"/>
      <c r="D29" s="50"/>
      <c r="E29" s="50"/>
      <c r="F29" s="44"/>
      <c r="G29" s="44"/>
      <c r="H29" s="50"/>
      <c r="I29" s="44"/>
      <c r="J29" s="44"/>
      <c r="K29" s="44"/>
      <c r="L29" s="44"/>
    </row>
    <row r="30" spans="1:12" ht="30" customHeight="1">
      <c r="A30" s="66">
        <f>A28+1</f>
        <v>8</v>
      </c>
      <c r="B30" s="242" t="s">
        <v>257</v>
      </c>
      <c r="C30" s="243"/>
      <c r="D30" s="66" t="str">
        <f>"p.5, line "&amp;'PEF - 2 - Page 5 Storm, Notes'!B36&amp;" Total"</f>
        <v>p.5, line 15 Total</v>
      </c>
      <c r="E30" s="66"/>
      <c r="F30" s="69"/>
      <c r="G30" s="69"/>
      <c r="H30" s="66"/>
      <c r="I30" s="69"/>
      <c r="J30" s="69"/>
      <c r="K30" s="68">
        <f>'PEF - 2 - Page 5 Storm, Notes'!F36</f>
        <v>0</v>
      </c>
      <c r="L30" s="44"/>
    </row>
    <row r="31" spans="1:12">
      <c r="A31" s="50"/>
      <c r="B31" s="51"/>
      <c r="C31" s="44"/>
      <c r="D31" s="50"/>
      <c r="E31" s="50"/>
      <c r="F31" s="46"/>
      <c r="G31" s="44"/>
      <c r="H31" s="50"/>
      <c r="I31" s="44"/>
      <c r="J31" s="44"/>
      <c r="K31" s="44"/>
      <c r="L31" s="44"/>
    </row>
    <row r="32" spans="1:12">
      <c r="A32" s="50">
        <f>A30+1</f>
        <v>9</v>
      </c>
      <c r="B32" s="51" t="s">
        <v>117</v>
      </c>
      <c r="C32" s="44"/>
      <c r="D32" s="50" t="str">
        <f>"Line "&amp;A28&amp;" / Line "&amp;A30</f>
        <v>Line 7 / Line 8</v>
      </c>
      <c r="E32" s="50"/>
      <c r="F32" s="46"/>
      <c r="G32" s="44"/>
      <c r="H32" s="50"/>
      <c r="I32" s="44"/>
      <c r="J32" s="44"/>
      <c r="K32" s="46">
        <f>IF(K30&lt;&gt;0,K28/K30,0)</f>
        <v>0</v>
      </c>
      <c r="L32" s="44"/>
    </row>
    <row r="33" spans="1:12" ht="13.5" thickBot="1">
      <c r="A33" s="50">
        <f>A32+1</f>
        <v>10</v>
      </c>
      <c r="B33" s="51" t="s">
        <v>109</v>
      </c>
      <c r="C33" s="44"/>
      <c r="D33" s="50" t="str">
        <f>"Page 5, Line "&amp;'PEF - 2 - Page 5 Storm, Notes'!B28</f>
        <v>Page 5, Line 9</v>
      </c>
      <c r="E33" s="50"/>
      <c r="F33" s="46"/>
      <c r="G33" s="44"/>
      <c r="H33" s="50"/>
      <c r="I33" s="44"/>
      <c r="J33" s="44"/>
      <c r="K33" s="46">
        <f>'PEF - 2 - Page 5 Storm, Notes'!K28</f>
        <v>140.49561401738774</v>
      </c>
      <c r="L33" s="44"/>
    </row>
    <row r="34" spans="1:12" ht="13.5" thickTop="1">
      <c r="A34" s="50">
        <f>A33+1</f>
        <v>11</v>
      </c>
      <c r="B34" s="51" t="s">
        <v>203</v>
      </c>
      <c r="C34" s="44"/>
      <c r="D34" s="50" t="str">
        <f>"Line "&amp;A32&amp;" + Line "&amp;A33</f>
        <v>Line 9 + Line 10</v>
      </c>
      <c r="E34" s="50"/>
      <c r="F34" s="89"/>
      <c r="G34" s="89"/>
      <c r="H34" s="90"/>
      <c r="I34" s="89"/>
      <c r="J34" s="47"/>
      <c r="K34" s="59">
        <f>IF(K32&lt;&gt;0,K32+K33,0)</f>
        <v>0</v>
      </c>
      <c r="L34" s="44"/>
    </row>
    <row r="35" spans="1:12">
      <c r="A35" s="50"/>
      <c r="B35" s="51"/>
      <c r="C35" s="44"/>
      <c r="D35" s="50"/>
      <c r="E35" s="50"/>
      <c r="F35" s="44"/>
      <c r="G35" s="44"/>
      <c r="H35" s="50"/>
      <c r="I35" s="44"/>
      <c r="J35" s="44"/>
      <c r="K35" s="46"/>
      <c r="L35" s="44"/>
    </row>
    <row r="36" spans="1:12" ht="25.5" customHeight="1">
      <c r="A36" s="66">
        <f>A34+1</f>
        <v>12</v>
      </c>
      <c r="B36" s="242" t="s">
        <v>116</v>
      </c>
      <c r="C36" s="243"/>
      <c r="D36" s="66" t="str">
        <f>"Line "&amp;A34&amp;" * 12"</f>
        <v>Line 11 * 12</v>
      </c>
      <c r="E36" s="66"/>
      <c r="F36" s="68"/>
      <c r="G36" s="69"/>
      <c r="H36" s="66"/>
      <c r="I36" s="70"/>
      <c r="J36" s="69"/>
      <c r="K36" s="68">
        <f>K34*12</f>
        <v>0</v>
      </c>
      <c r="L36" s="44"/>
    </row>
    <row r="37" spans="1:12">
      <c r="A37" s="50"/>
      <c r="B37" s="51"/>
      <c r="C37" s="44"/>
      <c r="D37" s="50"/>
      <c r="E37" s="50"/>
      <c r="F37" s="44"/>
      <c r="G37" s="44"/>
      <c r="H37" s="50"/>
      <c r="I37" s="44"/>
      <c r="J37" s="44"/>
      <c r="K37" s="46"/>
      <c r="L37" s="44"/>
    </row>
    <row r="38" spans="1:12">
      <c r="A38" s="50">
        <f>A36+1</f>
        <v>13</v>
      </c>
      <c r="B38" s="51" t="s">
        <v>202</v>
      </c>
      <c r="C38" s="44"/>
      <c r="D38" s="50" t="str">
        <f>"Line "&amp;A36&amp;" / 52"</f>
        <v>Line 12 / 52</v>
      </c>
      <c r="E38" s="50"/>
      <c r="F38" s="46"/>
      <c r="G38" s="44"/>
      <c r="H38" s="50"/>
      <c r="I38" s="44"/>
      <c r="J38" s="44"/>
      <c r="K38" s="91">
        <f>K36/52</f>
        <v>0</v>
      </c>
      <c r="L38" s="44"/>
    </row>
    <row r="39" spans="1:12">
      <c r="A39" s="50"/>
      <c r="B39" s="51"/>
      <c r="C39" s="44"/>
      <c r="D39" s="44"/>
      <c r="E39" s="44"/>
      <c r="F39" s="44"/>
      <c r="G39" s="44"/>
      <c r="H39" s="50"/>
      <c r="I39" s="44"/>
      <c r="J39" s="44"/>
      <c r="K39" s="91"/>
      <c r="L39" s="44"/>
    </row>
    <row r="40" spans="1:12">
      <c r="A40" s="50"/>
      <c r="B40" s="51" t="s">
        <v>201</v>
      </c>
      <c r="C40" s="44"/>
      <c r="D40" s="44"/>
      <c r="E40" s="44"/>
      <c r="F40" s="44"/>
      <c r="G40" s="44"/>
      <c r="H40" s="50"/>
      <c r="I40" s="44"/>
      <c r="J40" s="44"/>
      <c r="K40" s="91"/>
      <c r="L40" s="44"/>
    </row>
    <row r="41" spans="1:12" ht="12.75" customHeight="1">
      <c r="A41" s="66">
        <f>A38+1</f>
        <v>14</v>
      </c>
      <c r="B41" s="84"/>
      <c r="C41" s="92" t="s">
        <v>110</v>
      </c>
      <c r="D41" s="50" t="str">
        <f>"Line "&amp;A38&amp;" / 5"</f>
        <v>Line 13 / 5</v>
      </c>
      <c r="E41" s="66"/>
      <c r="F41" s="69"/>
      <c r="G41" s="69"/>
      <c r="H41" s="66"/>
      <c r="I41" s="69"/>
      <c r="J41" s="69"/>
      <c r="K41" s="93">
        <f>K38/5</f>
        <v>0</v>
      </c>
      <c r="L41" s="44"/>
    </row>
    <row r="42" spans="1:12">
      <c r="A42" s="50">
        <f>A41+1</f>
        <v>15</v>
      </c>
      <c r="B42" s="51"/>
      <c r="C42" s="44" t="s">
        <v>111</v>
      </c>
      <c r="D42" s="50" t="str">
        <f>"Line "&amp;A38&amp;" / 7"</f>
        <v>Line 13 / 7</v>
      </c>
      <c r="E42" s="66"/>
      <c r="F42" s="69"/>
      <c r="G42" s="69"/>
      <c r="H42" s="66"/>
      <c r="I42" s="69"/>
      <c r="J42" s="69"/>
      <c r="K42" s="93">
        <f>K38/7</f>
        <v>0</v>
      </c>
      <c r="L42" s="44"/>
    </row>
    <row r="43" spans="1:12">
      <c r="A43" s="44"/>
      <c r="B43" s="51"/>
      <c r="C43" s="44"/>
      <c r="D43" s="44"/>
      <c r="E43" s="44"/>
      <c r="F43" s="44"/>
      <c r="G43" s="44"/>
      <c r="H43" s="44"/>
      <c r="I43" s="44"/>
      <c r="J43" s="44"/>
      <c r="K43" s="91"/>
      <c r="L43" s="44"/>
    </row>
    <row r="44" spans="1:12">
      <c r="A44" s="44"/>
      <c r="B44" s="51" t="s">
        <v>114</v>
      </c>
      <c r="C44" s="44"/>
      <c r="D44" s="44"/>
      <c r="E44" s="44"/>
      <c r="F44" s="44"/>
      <c r="G44" s="44"/>
      <c r="H44" s="44"/>
      <c r="I44" s="44"/>
      <c r="J44" s="44"/>
      <c r="K44" s="91"/>
      <c r="L44" s="44"/>
    </row>
    <row r="45" spans="1:12">
      <c r="A45" s="66">
        <f>A42+1</f>
        <v>16</v>
      </c>
      <c r="B45" s="84"/>
      <c r="C45" s="92" t="s">
        <v>112</v>
      </c>
      <c r="D45" s="50" t="str">
        <f>"Line "&amp;A41&amp;" / 16"</f>
        <v>Line 14 / 16</v>
      </c>
      <c r="E45" s="66"/>
      <c r="F45" s="69"/>
      <c r="G45" s="69"/>
      <c r="H45" s="66"/>
      <c r="I45" s="69"/>
      <c r="J45" s="69"/>
      <c r="K45" s="93">
        <f>K41/16</f>
        <v>0</v>
      </c>
      <c r="L45" s="44"/>
    </row>
    <row r="46" spans="1:12">
      <c r="A46" s="50">
        <f>A45+1</f>
        <v>17</v>
      </c>
      <c r="B46" s="51"/>
      <c r="C46" s="44" t="s">
        <v>113</v>
      </c>
      <c r="D46" s="50" t="str">
        <f>"Line "&amp;A42&amp;" / 24"</f>
        <v>Line 15 / 24</v>
      </c>
      <c r="E46" s="66"/>
      <c r="F46" s="69"/>
      <c r="G46" s="69"/>
      <c r="H46" s="66"/>
      <c r="I46" s="69"/>
      <c r="J46" s="69"/>
      <c r="K46" s="93">
        <f>K42/24</f>
        <v>0</v>
      </c>
      <c r="L46" s="44"/>
    </row>
    <row r="47" spans="1:12">
      <c r="B47" s="3"/>
    </row>
    <row r="48" spans="1:1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</sheetData>
  <mergeCells count="10">
    <mergeCell ref="B36:C36"/>
    <mergeCell ref="B30:C30"/>
    <mergeCell ref="A9:L9"/>
    <mergeCell ref="A10:L10"/>
    <mergeCell ref="A12:L12"/>
    <mergeCell ref="A1:L1"/>
    <mergeCell ref="J5:L5"/>
    <mergeCell ref="J6:L6"/>
    <mergeCell ref="J7:L7"/>
    <mergeCell ref="H15:I15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>
      <selection activeCell="J76" sqref="J76"/>
    </sheetView>
  </sheetViews>
  <sheetFormatPr defaultRowHeight="12.75"/>
  <cols>
    <col min="1" max="1" width="5.7109375" customWidth="1"/>
    <col min="2" max="2" width="18.7109375" customWidth="1"/>
    <col min="4" max="4" width="22" customWidth="1"/>
    <col min="5" max="5" width="5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4.85546875" customWidth="1"/>
    <col min="11" max="11" width="5.7109375" customWidth="1"/>
  </cols>
  <sheetData>
    <row r="1" spans="1:11" ht="15">
      <c r="J1" s="237" t="s">
        <v>390</v>
      </c>
      <c r="K1" s="237"/>
    </row>
    <row r="2" spans="1:11" ht="15">
      <c r="J2" s="37" t="s">
        <v>533</v>
      </c>
      <c r="K2" s="37"/>
    </row>
    <row r="3" spans="1:11">
      <c r="J3" s="253" t="str">
        <f>FF1_Year</f>
        <v>Year Ending 12/31/yyyy</v>
      </c>
      <c r="K3" s="254"/>
    </row>
    <row r="5" spans="1:11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>
      <c r="A7" s="256" t="s">
        <v>379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>
      <c r="A8" s="256" t="s">
        <v>380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1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>
      <c r="B10" s="21"/>
      <c r="C10" s="125"/>
      <c r="D10" s="29"/>
      <c r="E10" s="29"/>
      <c r="F10" s="29" t="s">
        <v>382</v>
      </c>
      <c r="G10" s="29"/>
      <c r="H10" s="29" t="s">
        <v>384</v>
      </c>
      <c r="I10" s="29"/>
      <c r="J10" s="125"/>
      <c r="K10" s="21"/>
    </row>
    <row r="11" spans="1:11">
      <c r="B11" s="40" t="s">
        <v>381</v>
      </c>
      <c r="C11" s="126"/>
      <c r="D11" s="134" t="s">
        <v>3</v>
      </c>
      <c r="E11" s="29"/>
      <c r="F11" s="134" t="s">
        <v>383</v>
      </c>
      <c r="G11" s="134"/>
      <c r="H11" s="134" t="s">
        <v>383</v>
      </c>
      <c r="I11" s="134"/>
      <c r="J11" s="134" t="s">
        <v>271</v>
      </c>
    </row>
    <row r="12" spans="1:11" hidden="1">
      <c r="B12" s="21" t="s">
        <v>145</v>
      </c>
      <c r="C12" s="125"/>
      <c r="D12" s="125"/>
      <c r="E12" s="125"/>
      <c r="F12" s="127"/>
      <c r="G12" s="127"/>
      <c r="H12" s="127"/>
      <c r="I12" s="127"/>
      <c r="J12" s="29"/>
    </row>
    <row r="13" spans="1:11" hidden="1">
      <c r="B13" s="21"/>
      <c r="C13" s="125"/>
      <c r="D13" s="125"/>
      <c r="E13" s="125"/>
      <c r="F13" s="128"/>
      <c r="G13" s="128"/>
      <c r="H13" s="128"/>
      <c r="I13" s="128"/>
      <c r="J13" s="29"/>
    </row>
    <row r="14" spans="1:11" hidden="1">
      <c r="B14" s="21"/>
      <c r="C14" s="125"/>
      <c r="D14" s="125"/>
      <c r="E14" s="125"/>
      <c r="F14" s="128"/>
      <c r="G14" s="128"/>
      <c r="H14" s="128"/>
      <c r="I14" s="128"/>
      <c r="J14" s="29"/>
    </row>
    <row r="15" spans="1:11" hidden="1">
      <c r="B15" s="21"/>
      <c r="C15" s="125"/>
      <c r="D15" s="125"/>
      <c r="E15" s="125"/>
      <c r="F15" s="128"/>
      <c r="G15" s="128"/>
      <c r="H15" s="128"/>
      <c r="I15" s="128"/>
      <c r="J15" s="29"/>
    </row>
    <row r="16" spans="1:11" hidden="1">
      <c r="B16" s="21"/>
      <c r="C16" s="125"/>
      <c r="D16" s="125"/>
      <c r="E16" s="125"/>
      <c r="F16" s="25"/>
      <c r="G16" s="25"/>
      <c r="H16" s="25"/>
      <c r="I16" s="25"/>
      <c r="J16" s="29"/>
    </row>
    <row r="17" spans="2:10" hidden="1">
      <c r="B17" s="21"/>
      <c r="C17" s="125"/>
      <c r="D17" s="125"/>
      <c r="E17" s="125"/>
      <c r="F17" s="128"/>
      <c r="G17" s="128"/>
      <c r="H17" s="128"/>
      <c r="I17" s="128"/>
      <c r="J17" s="29"/>
    </row>
    <row r="18" spans="2:10" hidden="1">
      <c r="B18" s="21" t="s">
        <v>146</v>
      </c>
      <c r="C18" s="125"/>
      <c r="D18" s="129"/>
      <c r="E18" s="129"/>
      <c r="F18" s="128"/>
      <c r="G18" s="128"/>
      <c r="H18" s="128"/>
      <c r="I18" s="128"/>
      <c r="J18" s="29"/>
    </row>
    <row r="19" spans="2:10" hidden="1">
      <c r="B19" s="21"/>
      <c r="C19" s="125"/>
      <c r="D19" s="129"/>
      <c r="E19" s="129"/>
      <c r="F19" s="128"/>
      <c r="G19" s="128"/>
      <c r="H19" s="128"/>
      <c r="I19" s="128"/>
      <c r="J19" s="29"/>
    </row>
    <row r="20" spans="2:10" hidden="1">
      <c r="B20" s="21"/>
      <c r="C20" s="125"/>
      <c r="D20" s="125"/>
      <c r="E20" s="125"/>
      <c r="F20" s="25"/>
      <c r="G20" s="25"/>
      <c r="H20" s="25"/>
      <c r="I20" s="25"/>
      <c r="J20" s="29"/>
    </row>
    <row r="21" spans="2:10" hidden="1">
      <c r="B21" s="21"/>
      <c r="C21" s="125"/>
      <c r="D21" s="125"/>
      <c r="E21" s="125"/>
      <c r="F21" s="128"/>
      <c r="G21" s="128"/>
      <c r="H21" s="128"/>
      <c r="I21" s="128"/>
      <c r="J21" s="29"/>
    </row>
    <row r="22" spans="2:10" hidden="1">
      <c r="B22" s="21" t="s">
        <v>147</v>
      </c>
      <c r="C22" s="125"/>
      <c r="D22" s="125"/>
      <c r="E22" s="125"/>
      <c r="F22" s="128"/>
      <c r="G22" s="128"/>
      <c r="H22" s="128"/>
      <c r="I22" s="128"/>
      <c r="J22" s="29"/>
    </row>
    <row r="23" spans="2:10" hidden="1">
      <c r="B23" s="21"/>
      <c r="C23" s="125"/>
      <c r="D23" s="130"/>
      <c r="E23" s="130"/>
      <c r="F23" s="128"/>
      <c r="G23" s="128"/>
      <c r="H23" s="128"/>
      <c r="I23" s="128"/>
      <c r="J23" s="29"/>
    </row>
    <row r="24" spans="2:10" hidden="1">
      <c r="B24" s="21"/>
      <c r="C24" s="125"/>
      <c r="D24" s="130"/>
      <c r="E24" s="130"/>
      <c r="F24" s="128"/>
      <c r="G24" s="128"/>
      <c r="H24" s="128"/>
      <c r="I24" s="128"/>
      <c r="J24" s="29"/>
    </row>
    <row r="25" spans="2:10" hidden="1">
      <c r="B25" s="21"/>
      <c r="C25" s="125"/>
      <c r="D25" s="129"/>
      <c r="E25" s="129"/>
      <c r="F25" s="128"/>
      <c r="G25" s="128"/>
      <c r="H25" s="128"/>
      <c r="I25" s="128"/>
      <c r="J25" s="29"/>
    </row>
    <row r="26" spans="2:10" hidden="1">
      <c r="B26" s="21"/>
      <c r="C26" s="125"/>
      <c r="D26" s="125"/>
      <c r="E26" s="125"/>
      <c r="F26" s="128"/>
      <c r="G26" s="128"/>
      <c r="H26" s="128"/>
      <c r="I26" s="128"/>
      <c r="J26" s="29"/>
    </row>
    <row r="27" spans="2:10" hidden="1">
      <c r="B27" s="21"/>
      <c r="C27" s="125"/>
      <c r="D27" s="129"/>
      <c r="E27" s="129"/>
      <c r="F27" s="128"/>
      <c r="G27" s="128"/>
      <c r="H27" s="128"/>
      <c r="I27" s="128"/>
      <c r="J27" s="29"/>
    </row>
    <row r="28" spans="2:10" hidden="1">
      <c r="B28" s="21"/>
      <c r="C28" s="125"/>
      <c r="D28" s="125"/>
      <c r="E28" s="125"/>
      <c r="F28" s="128"/>
      <c r="G28" s="128"/>
      <c r="H28" s="128"/>
      <c r="I28" s="128"/>
      <c r="J28" s="29"/>
    </row>
    <row r="29" spans="2:10" hidden="1">
      <c r="B29" s="21"/>
      <c r="C29" s="125"/>
      <c r="D29" s="129"/>
      <c r="E29" s="129"/>
      <c r="F29" s="128"/>
      <c r="G29" s="128"/>
      <c r="H29" s="128"/>
      <c r="I29" s="128"/>
      <c r="J29" s="29"/>
    </row>
    <row r="30" spans="2:10" hidden="1">
      <c r="B30" s="21"/>
      <c r="C30" s="125"/>
      <c r="D30" s="125"/>
      <c r="E30" s="125"/>
      <c r="F30" s="128"/>
      <c r="G30" s="128"/>
      <c r="H30" s="128"/>
      <c r="I30" s="128"/>
      <c r="J30" s="29"/>
    </row>
    <row r="31" spans="2:10" hidden="1">
      <c r="B31" s="21"/>
      <c r="C31" s="125"/>
      <c r="D31" s="129"/>
      <c r="E31" s="129"/>
      <c r="F31" s="128"/>
      <c r="G31" s="128"/>
      <c r="H31" s="128"/>
      <c r="I31" s="128"/>
      <c r="J31" s="29"/>
    </row>
    <row r="32" spans="2:10" hidden="1">
      <c r="B32" s="21"/>
      <c r="C32" s="125"/>
      <c r="D32" s="125"/>
      <c r="E32" s="125"/>
      <c r="F32" s="128"/>
      <c r="G32" s="128"/>
      <c r="H32" s="128"/>
      <c r="I32" s="128"/>
      <c r="J32" s="29"/>
    </row>
    <row r="33" spans="2:10" hidden="1">
      <c r="B33" s="21"/>
      <c r="C33" s="125"/>
      <c r="D33" s="129"/>
      <c r="E33" s="129"/>
      <c r="F33" s="128"/>
      <c r="G33" s="128"/>
      <c r="H33" s="128"/>
      <c r="I33" s="128"/>
      <c r="J33" s="29"/>
    </row>
    <row r="34" spans="2:10" hidden="1">
      <c r="B34" s="21"/>
      <c r="C34" s="125"/>
      <c r="D34" s="125"/>
      <c r="E34" s="125"/>
      <c r="F34" s="128"/>
      <c r="G34" s="128"/>
      <c r="H34" s="128"/>
      <c r="I34" s="128"/>
      <c r="J34" s="29"/>
    </row>
    <row r="35" spans="2:10" hidden="1">
      <c r="B35" s="21"/>
      <c r="C35" s="125"/>
      <c r="D35" s="125"/>
      <c r="E35" s="125"/>
      <c r="F35" s="128"/>
      <c r="G35" s="128"/>
      <c r="H35" s="128"/>
      <c r="I35" s="128"/>
      <c r="J35" s="29"/>
    </row>
    <row r="36" spans="2:10" hidden="1">
      <c r="B36" s="21"/>
      <c r="C36" s="125"/>
      <c r="D36" s="129"/>
      <c r="E36" s="129"/>
      <c r="F36" s="128"/>
      <c r="G36" s="128"/>
      <c r="H36" s="128"/>
      <c r="I36" s="128"/>
      <c r="J36" s="29"/>
    </row>
    <row r="37" spans="2:10" hidden="1">
      <c r="B37" s="21"/>
      <c r="C37" s="125"/>
      <c r="D37" s="129"/>
      <c r="E37" s="129"/>
      <c r="F37" s="128"/>
      <c r="G37" s="128"/>
      <c r="H37" s="128"/>
      <c r="I37" s="128"/>
      <c r="J37" s="29"/>
    </row>
    <row r="38" spans="2:10" hidden="1">
      <c r="B38" s="21"/>
      <c r="C38" s="125"/>
      <c r="D38" s="125"/>
      <c r="E38" s="125"/>
      <c r="F38" s="25"/>
      <c r="G38" s="25"/>
      <c r="H38" s="25"/>
      <c r="I38" s="25"/>
      <c r="J38" s="29"/>
    </row>
    <row r="39" spans="2:10" hidden="1">
      <c r="B39" s="21"/>
      <c r="C39" s="125"/>
      <c r="D39" s="125"/>
      <c r="E39" s="125"/>
      <c r="F39" s="128"/>
      <c r="G39" s="128"/>
      <c r="H39" s="128"/>
      <c r="I39" s="128"/>
      <c r="J39" s="29"/>
    </row>
    <row r="40" spans="2:10" hidden="1">
      <c r="B40" s="21" t="s">
        <v>148</v>
      </c>
      <c r="C40" s="125"/>
      <c r="D40" s="129"/>
      <c r="E40" s="129"/>
      <c r="F40" s="128"/>
      <c r="G40" s="128"/>
      <c r="H40" s="128"/>
      <c r="I40" s="128"/>
      <c r="J40" s="29"/>
    </row>
    <row r="41" spans="2:10" hidden="1">
      <c r="B41" s="21"/>
      <c r="C41" s="125"/>
      <c r="D41" s="125"/>
      <c r="E41" s="125"/>
      <c r="F41" s="128"/>
      <c r="G41" s="128"/>
      <c r="H41" s="128"/>
      <c r="I41" s="128"/>
      <c r="J41" s="29"/>
    </row>
    <row r="42" spans="2:10" hidden="1">
      <c r="B42" s="21"/>
      <c r="C42" s="125"/>
      <c r="D42" s="129"/>
      <c r="E42" s="129"/>
      <c r="F42" s="128"/>
      <c r="G42" s="128"/>
      <c r="H42" s="128"/>
      <c r="I42" s="128"/>
      <c r="J42" s="29"/>
    </row>
    <row r="43" spans="2:10" hidden="1">
      <c r="B43" s="21"/>
      <c r="C43" s="125"/>
      <c r="D43" s="125"/>
      <c r="E43" s="125"/>
      <c r="F43" s="128"/>
      <c r="G43" s="128"/>
      <c r="H43" s="128"/>
      <c r="I43" s="128"/>
      <c r="J43" s="29"/>
    </row>
    <row r="44" spans="2:10" hidden="1">
      <c r="B44" s="21"/>
      <c r="C44" s="125"/>
      <c r="D44" s="131"/>
      <c r="E44" s="131"/>
      <c r="F44" s="128"/>
      <c r="G44" s="128"/>
      <c r="H44" s="128"/>
      <c r="I44" s="128"/>
      <c r="J44" s="29"/>
    </row>
    <row r="45" spans="2:10" hidden="1">
      <c r="B45" s="21"/>
      <c r="C45" s="125"/>
      <c r="D45" s="125"/>
      <c r="E45" s="125"/>
      <c r="F45" s="25"/>
      <c r="G45" s="25"/>
      <c r="H45" s="25"/>
      <c r="I45" s="25"/>
      <c r="J45" s="29"/>
    </row>
    <row r="46" spans="2:10" hidden="1">
      <c r="B46" s="21"/>
      <c r="C46" s="125"/>
      <c r="D46" s="125"/>
      <c r="E46" s="125"/>
      <c r="F46" s="128"/>
      <c r="G46" s="128"/>
      <c r="H46" s="128"/>
      <c r="I46" s="128"/>
      <c r="J46" s="29"/>
    </row>
    <row r="47" spans="2:10" hidden="1">
      <c r="B47" s="21" t="s">
        <v>149</v>
      </c>
      <c r="C47" s="125"/>
      <c r="D47" s="129"/>
      <c r="E47" s="129"/>
      <c r="F47" s="128"/>
      <c r="G47" s="128"/>
      <c r="H47" s="128"/>
      <c r="I47" s="128"/>
      <c r="J47" s="29"/>
    </row>
    <row r="48" spans="2:10" hidden="1">
      <c r="B48" s="21"/>
      <c r="C48" s="125"/>
      <c r="D48" s="129"/>
      <c r="E48" s="129"/>
      <c r="F48" s="128"/>
      <c r="G48" s="128"/>
      <c r="H48" s="128"/>
      <c r="I48" s="128"/>
      <c r="J48" s="29"/>
    </row>
    <row r="49" spans="2:10" hidden="1">
      <c r="B49" s="21"/>
      <c r="C49" s="125"/>
      <c r="D49" s="129"/>
      <c r="E49" s="129"/>
      <c r="F49" s="128"/>
      <c r="G49" s="128"/>
      <c r="H49" s="128"/>
      <c r="I49" s="128"/>
      <c r="J49" s="29"/>
    </row>
    <row r="50" spans="2:10" hidden="1">
      <c r="B50" s="21"/>
      <c r="C50" s="125"/>
      <c r="D50" s="125"/>
      <c r="E50" s="125"/>
      <c r="F50" s="25"/>
      <c r="G50" s="25"/>
      <c r="H50" s="25"/>
      <c r="I50" s="25"/>
      <c r="J50" s="29"/>
    </row>
    <row r="51" spans="2:10" hidden="1">
      <c r="B51" s="21"/>
      <c r="C51" s="125"/>
      <c r="D51" s="125"/>
      <c r="E51" s="125"/>
      <c r="F51" s="128"/>
      <c r="G51" s="128"/>
      <c r="H51" s="128"/>
      <c r="I51" s="128"/>
      <c r="J51" s="29"/>
    </row>
    <row r="52" spans="2:10" hidden="1">
      <c r="B52" s="21"/>
      <c r="C52" s="125"/>
      <c r="D52" s="125"/>
      <c r="E52" s="125"/>
      <c r="F52" s="128"/>
      <c r="G52" s="128"/>
      <c r="H52" s="128"/>
      <c r="I52" s="128"/>
      <c r="J52" s="29"/>
    </row>
    <row r="53" spans="2:10" hidden="1">
      <c r="B53" s="21" t="s">
        <v>150</v>
      </c>
      <c r="C53" s="125"/>
      <c r="D53" s="125"/>
      <c r="E53" s="125"/>
      <c r="F53" s="128"/>
      <c r="G53" s="128"/>
      <c r="H53" s="128"/>
      <c r="I53" s="128"/>
      <c r="J53" s="29"/>
    </row>
    <row r="54" spans="2:10" hidden="1">
      <c r="B54" s="21"/>
      <c r="C54" s="125"/>
      <c r="D54" s="125"/>
      <c r="E54" s="125"/>
      <c r="F54" s="25"/>
      <c r="G54" s="25"/>
      <c r="H54" s="25"/>
      <c r="I54" s="25"/>
      <c r="J54" s="29"/>
    </row>
    <row r="55" spans="2:10" hidden="1">
      <c r="B55" s="21"/>
      <c r="C55" s="125"/>
      <c r="D55" s="125"/>
      <c r="E55" s="125"/>
      <c r="F55" s="128"/>
      <c r="G55" s="128"/>
      <c r="H55" s="128"/>
      <c r="I55" s="128"/>
      <c r="J55" s="29"/>
    </row>
    <row r="56" spans="2:10" hidden="1">
      <c r="B56" s="21" t="s">
        <v>151</v>
      </c>
      <c r="C56" s="125"/>
      <c r="D56" s="129"/>
      <c r="E56" s="129"/>
      <c r="F56" s="128"/>
      <c r="G56" s="128"/>
      <c r="H56" s="128"/>
      <c r="I56" s="128"/>
      <c r="J56" s="29"/>
    </row>
    <row r="57" spans="2:10" hidden="1">
      <c r="B57" s="21"/>
      <c r="C57" s="125"/>
      <c r="D57" s="125"/>
      <c r="E57" s="125"/>
      <c r="F57" s="128"/>
      <c r="G57" s="128"/>
      <c r="H57" s="128"/>
      <c r="I57" s="128"/>
      <c r="J57" s="29"/>
    </row>
    <row r="58" spans="2:10" hidden="1">
      <c r="B58" s="21"/>
      <c r="C58" s="125"/>
      <c r="D58" s="129"/>
      <c r="E58" s="129"/>
      <c r="F58" s="128"/>
      <c r="G58" s="128"/>
      <c r="H58" s="128"/>
      <c r="I58" s="128"/>
      <c r="J58" s="29"/>
    </row>
    <row r="59" spans="2:10" hidden="1">
      <c r="B59" s="21"/>
      <c r="C59" s="125"/>
      <c r="D59" s="129"/>
      <c r="E59" s="129"/>
      <c r="F59" s="128"/>
      <c r="G59" s="128"/>
      <c r="H59" s="128"/>
      <c r="I59" s="128"/>
      <c r="J59" s="29"/>
    </row>
    <row r="60" spans="2:10" hidden="1">
      <c r="B60" s="21"/>
      <c r="C60" s="125"/>
      <c r="D60" s="129"/>
      <c r="E60" s="129"/>
      <c r="F60" s="128"/>
      <c r="G60" s="128"/>
      <c r="H60" s="128"/>
      <c r="I60" s="128"/>
      <c r="J60" s="29"/>
    </row>
    <row r="61" spans="2:10" hidden="1">
      <c r="B61" s="21"/>
      <c r="C61" s="125"/>
      <c r="D61" s="129"/>
      <c r="E61" s="129"/>
      <c r="F61" s="128"/>
      <c r="G61" s="128"/>
      <c r="H61" s="128"/>
      <c r="I61" s="128"/>
      <c r="J61" s="29"/>
    </row>
    <row r="62" spans="2:10" hidden="1">
      <c r="B62" s="21"/>
      <c r="C62" s="125"/>
      <c r="D62" s="129"/>
      <c r="E62" s="129"/>
      <c r="F62" s="128"/>
      <c r="G62" s="128"/>
      <c r="H62" s="128"/>
      <c r="I62" s="128"/>
      <c r="J62" s="29"/>
    </row>
    <row r="63" spans="2:10" hidden="1">
      <c r="B63" s="21"/>
      <c r="C63" s="125"/>
      <c r="D63" s="129"/>
      <c r="E63" s="129"/>
      <c r="F63" s="128"/>
      <c r="G63" s="128"/>
      <c r="H63" s="128"/>
      <c r="I63" s="128"/>
      <c r="J63" s="29"/>
    </row>
    <row r="64" spans="2:10" hidden="1">
      <c r="B64" s="21"/>
      <c r="C64" s="125"/>
      <c r="D64" s="132"/>
      <c r="E64" s="129"/>
      <c r="F64" s="128"/>
      <c r="G64" s="128"/>
      <c r="H64" s="128"/>
      <c r="I64" s="128"/>
      <c r="J64" s="29"/>
    </row>
    <row r="65" spans="2:10" hidden="1">
      <c r="B65" s="21"/>
      <c r="C65" s="125"/>
      <c r="D65" s="125"/>
      <c r="E65" s="125"/>
      <c r="F65" s="25"/>
      <c r="G65" s="25"/>
      <c r="H65" s="25"/>
      <c r="I65" s="25"/>
      <c r="J65" s="29"/>
    </row>
    <row r="66" spans="2:10" hidden="1">
      <c r="B66" s="21"/>
      <c r="C66" s="125"/>
      <c r="D66" s="125"/>
      <c r="E66" s="125"/>
      <c r="F66" s="128"/>
      <c r="G66" s="128"/>
      <c r="H66" s="128"/>
      <c r="I66" s="128"/>
      <c r="J66" s="29"/>
    </row>
    <row r="67" spans="2:10" hidden="1">
      <c r="B67" s="21" t="s">
        <v>152</v>
      </c>
      <c r="C67" s="125"/>
      <c r="D67" s="129"/>
      <c r="E67" s="129"/>
      <c r="F67" s="128"/>
      <c r="G67" s="128"/>
      <c r="H67" s="128"/>
      <c r="I67" s="128"/>
      <c r="J67" s="29"/>
    </row>
    <row r="68" spans="2:10" hidden="1">
      <c r="B68" s="21"/>
      <c r="C68" s="125"/>
      <c r="D68" s="125"/>
      <c r="E68" s="125"/>
      <c r="F68" s="25"/>
      <c r="G68" s="25"/>
      <c r="H68" s="25"/>
      <c r="I68" s="25"/>
      <c r="J68" s="29"/>
    </row>
    <row r="69" spans="2:10" hidden="1">
      <c r="B69" s="21"/>
      <c r="C69" s="125"/>
      <c r="D69" s="125"/>
      <c r="E69" s="125"/>
      <c r="F69" s="128"/>
      <c r="G69" s="128"/>
      <c r="H69" s="128"/>
      <c r="I69" s="128"/>
      <c r="J69" s="29"/>
    </row>
    <row r="70" spans="2:10" hidden="1">
      <c r="B70" s="21" t="s">
        <v>153</v>
      </c>
      <c r="C70" s="125"/>
      <c r="D70" s="125"/>
      <c r="E70" s="125"/>
      <c r="F70" s="128"/>
      <c r="G70" s="128"/>
      <c r="H70" s="128"/>
      <c r="I70" s="128"/>
      <c r="J70" s="29"/>
    </row>
    <row r="71" spans="2:10" hidden="1">
      <c r="B71" s="21"/>
      <c r="C71" s="125"/>
      <c r="D71" s="125"/>
      <c r="E71" s="125"/>
      <c r="F71" s="128"/>
      <c r="G71" s="128"/>
      <c r="H71" s="128"/>
      <c r="I71" s="128"/>
      <c r="J71" s="29"/>
    </row>
    <row r="72" spans="2:10" hidden="1">
      <c r="B72" s="21"/>
      <c r="C72" s="125"/>
      <c r="D72" s="125"/>
      <c r="E72" s="125"/>
      <c r="F72" s="128"/>
      <c r="G72" s="128"/>
      <c r="H72" s="128"/>
      <c r="I72" s="128"/>
      <c r="J72" s="29"/>
    </row>
    <row r="73" spans="2:10" hidden="1">
      <c r="B73" s="21"/>
      <c r="C73" s="125"/>
      <c r="D73" s="125"/>
      <c r="E73" s="125"/>
      <c r="F73" s="128"/>
      <c r="G73" s="128"/>
      <c r="H73" s="128"/>
      <c r="I73" s="128"/>
      <c r="J73" s="29"/>
    </row>
    <row r="74" spans="2:10">
      <c r="B74" s="21"/>
      <c r="C74" s="125"/>
      <c r="D74" s="129"/>
      <c r="E74" s="129"/>
      <c r="F74" s="194"/>
      <c r="G74" s="194"/>
      <c r="H74" s="194"/>
      <c r="I74" s="128"/>
      <c r="J74" s="29"/>
    </row>
    <row r="75" spans="2:10">
      <c r="B75" s="21"/>
      <c r="C75" s="125"/>
      <c r="D75" s="125"/>
      <c r="E75" s="125"/>
      <c r="F75" s="128"/>
      <c r="G75" s="128"/>
      <c r="H75" s="128"/>
      <c r="I75" s="128"/>
      <c r="J75" s="29"/>
    </row>
    <row r="76" spans="2:10">
      <c r="B76" s="3" t="s">
        <v>404</v>
      </c>
      <c r="C76" s="133"/>
      <c r="D76" s="133"/>
      <c r="E76" s="133"/>
      <c r="F76" s="136">
        <v>0</v>
      </c>
      <c r="G76" s="136"/>
      <c r="H76" s="136">
        <v>0</v>
      </c>
      <c r="I76" s="136"/>
      <c r="J76" s="135">
        <f>(F76+H76)/2</f>
        <v>0</v>
      </c>
    </row>
    <row r="77" spans="2:10">
      <c r="C77" s="133"/>
      <c r="D77" s="133"/>
      <c r="E77" s="133"/>
      <c r="F77" s="133"/>
      <c r="G77" s="133"/>
      <c r="H77" s="133"/>
      <c r="I77" s="133"/>
      <c r="J77" s="133"/>
    </row>
    <row r="78" spans="2:10">
      <c r="C78" s="133"/>
      <c r="D78" s="133"/>
      <c r="E78" s="133"/>
      <c r="F78" s="133"/>
      <c r="G78" s="133"/>
      <c r="H78" s="133"/>
      <c r="I78" s="133"/>
      <c r="J78" s="133"/>
    </row>
    <row r="79" spans="2:10">
      <c r="C79" s="133"/>
      <c r="D79" s="133"/>
      <c r="E79" s="133"/>
      <c r="F79" s="133"/>
      <c r="G79" s="133"/>
      <c r="H79" s="133"/>
      <c r="I79" s="133"/>
      <c r="J79" s="133"/>
    </row>
    <row r="80" spans="2:10">
      <c r="C80" s="133"/>
      <c r="D80" s="133"/>
      <c r="E80" s="133"/>
      <c r="F80" s="133"/>
      <c r="G80" s="133"/>
      <c r="H80" s="133"/>
      <c r="I80" s="133"/>
      <c r="J80" s="133"/>
    </row>
    <row r="81" spans="3:10">
      <c r="C81" s="133"/>
      <c r="D81" s="133"/>
      <c r="E81" s="133"/>
      <c r="F81" s="133"/>
      <c r="G81" s="133"/>
      <c r="H81" s="133"/>
      <c r="I81" s="133"/>
      <c r="J81" s="133"/>
    </row>
  </sheetData>
  <mergeCells count="5">
    <mergeCell ref="A8:K8"/>
    <mergeCell ref="J1:K1"/>
    <mergeCell ref="J3:K3"/>
    <mergeCell ref="A5:K5"/>
    <mergeCell ref="A7:K7"/>
  </mergeCells>
  <phoneticPr fontId="0" type="noConversion"/>
  <printOptions horizontalCentered="1"/>
  <pageMargins left="0.5" right="0.5" top="0.75" bottom="0.5" header="0.5" footer="0.5"/>
  <pageSetup scale="8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pane xSplit="2" ySplit="10" topLeftCell="C11" activePane="bottomRight" state="frozen"/>
      <selection pane="topRight" activeCell="C1" sqref="C1"/>
      <selection pane="bottomLeft" activeCell="A7" sqref="A7"/>
      <selection pane="bottomRight" sqref="A1:J25"/>
    </sheetView>
  </sheetViews>
  <sheetFormatPr defaultRowHeight="12.75"/>
  <cols>
    <col min="1" max="1" width="9.7109375" customWidth="1"/>
    <col min="2" max="2" width="45.5703125" customWidth="1"/>
    <col min="3" max="3" width="5.7109375" customWidth="1"/>
    <col min="4" max="4" width="17.42578125" customWidth="1"/>
    <col min="5" max="5" width="5.7109375" customWidth="1"/>
    <col min="8" max="8" width="5.7109375" customWidth="1"/>
    <col min="9" max="9" width="11.28515625" bestFit="1" customWidth="1"/>
  </cols>
  <sheetData>
    <row r="1" spans="1:10" ht="15">
      <c r="A1" s="46"/>
      <c r="B1" s="46"/>
      <c r="C1" s="46"/>
      <c r="D1" s="46"/>
      <c r="E1" s="46"/>
      <c r="F1" s="46"/>
      <c r="G1" s="46"/>
      <c r="H1" s="46"/>
      <c r="I1" s="237" t="s">
        <v>196</v>
      </c>
      <c r="J1" s="237"/>
    </row>
    <row r="2" spans="1:10" ht="15">
      <c r="A2" s="46"/>
      <c r="B2" s="46"/>
      <c r="C2" s="46"/>
      <c r="D2" s="46"/>
      <c r="E2" s="46"/>
      <c r="F2" s="46"/>
      <c r="G2" s="46"/>
      <c r="H2" s="46"/>
      <c r="I2" s="37" t="s">
        <v>533</v>
      </c>
      <c r="J2" s="37"/>
    </row>
    <row r="3" spans="1:10">
      <c r="A3" s="46"/>
      <c r="B3" s="75"/>
      <c r="C3" s="75"/>
      <c r="D3" s="46"/>
      <c r="E3" s="46"/>
      <c r="F3" s="46"/>
      <c r="G3" s="46"/>
      <c r="H3" s="46"/>
      <c r="I3" s="253" t="s">
        <v>531</v>
      </c>
      <c r="J3" s="254"/>
    </row>
    <row r="4" spans="1:10">
      <c r="A4" s="46"/>
      <c r="B4" s="75"/>
      <c r="C4" s="75"/>
      <c r="D4" s="46"/>
      <c r="E4" s="46"/>
      <c r="F4" s="46"/>
      <c r="G4" s="46"/>
      <c r="H4" s="46"/>
      <c r="I4" s="105"/>
      <c r="J4" s="105"/>
    </row>
    <row r="5" spans="1:10">
      <c r="A5" s="259" t="s">
        <v>135</v>
      </c>
      <c r="B5" s="260"/>
      <c r="C5" s="260"/>
      <c r="D5" s="260"/>
      <c r="E5" s="260"/>
      <c r="F5" s="260"/>
      <c r="G5" s="260"/>
      <c r="H5" s="260"/>
      <c r="I5" s="260"/>
      <c r="J5" s="105"/>
    </row>
    <row r="6" spans="1:10">
      <c r="A6" s="259" t="s">
        <v>398</v>
      </c>
      <c r="B6" s="260"/>
      <c r="C6" s="260"/>
      <c r="D6" s="260"/>
      <c r="E6" s="260"/>
      <c r="F6" s="260"/>
      <c r="G6" s="260"/>
      <c r="H6" s="260"/>
      <c r="I6" s="260"/>
      <c r="J6" s="105"/>
    </row>
    <row r="7" spans="1:10">
      <c r="A7" s="46"/>
      <c r="B7" s="75"/>
      <c r="C7" s="75"/>
      <c r="D7" s="46"/>
      <c r="E7" s="46"/>
      <c r="F7" s="46"/>
      <c r="G7" s="46"/>
      <c r="H7" s="46"/>
      <c r="I7" s="105"/>
      <c r="J7" s="105"/>
    </row>
    <row r="8" spans="1:10">
      <c r="A8" s="76"/>
      <c r="B8" s="77"/>
      <c r="C8" s="77"/>
      <c r="D8" s="77"/>
      <c r="E8" s="78"/>
      <c r="F8" s="78"/>
      <c r="G8" s="78"/>
      <c r="H8" s="78"/>
      <c r="I8" s="78"/>
      <c r="J8" s="78"/>
    </row>
    <row r="9" spans="1:10">
      <c r="A9" s="76"/>
      <c r="B9" s="77"/>
      <c r="C9" s="77"/>
      <c r="D9" s="96" t="s">
        <v>243</v>
      </c>
      <c r="E9" s="78"/>
      <c r="F9" s="79" t="s">
        <v>23</v>
      </c>
      <c r="G9" s="79" t="s">
        <v>244</v>
      </c>
      <c r="H9" s="79"/>
      <c r="I9" s="79" t="s">
        <v>245</v>
      </c>
      <c r="J9" s="78"/>
    </row>
    <row r="10" spans="1:10">
      <c r="A10" s="76" t="s">
        <v>246</v>
      </c>
      <c r="B10" s="76" t="s">
        <v>3</v>
      </c>
      <c r="C10" s="80"/>
      <c r="D10" s="171" t="s">
        <v>532</v>
      </c>
      <c r="E10" s="46"/>
      <c r="F10" s="46"/>
      <c r="G10" s="46"/>
      <c r="H10" s="46"/>
      <c r="I10" s="46"/>
      <c r="J10" s="46"/>
    </row>
    <row r="11" spans="1:10">
      <c r="A11" s="76"/>
      <c r="B11" s="76"/>
      <c r="C11" s="80"/>
      <c r="D11" s="171"/>
      <c r="E11" s="46"/>
      <c r="F11" s="46"/>
      <c r="G11" s="46"/>
      <c r="H11" s="46"/>
      <c r="I11" s="46"/>
      <c r="J11" s="46"/>
    </row>
    <row r="12" spans="1:10">
      <c r="A12" s="81">
        <v>190</v>
      </c>
      <c r="B12" s="46"/>
      <c r="C12" s="46"/>
      <c r="D12" s="46"/>
      <c r="E12" s="46"/>
      <c r="F12" s="46"/>
      <c r="G12" s="60"/>
      <c r="H12" s="46"/>
      <c r="I12" s="46"/>
      <c r="J12" s="46"/>
    </row>
    <row r="13" spans="1:10" ht="13.5" thickBot="1">
      <c r="A13" s="81"/>
      <c r="B13" s="76" t="s">
        <v>252</v>
      </c>
      <c r="C13" s="76"/>
      <c r="D13" s="82">
        <f>SUM(D12:D12)</f>
        <v>0</v>
      </c>
      <c r="E13" s="46"/>
      <c r="F13" s="46"/>
      <c r="G13" s="60"/>
      <c r="H13" s="46"/>
      <c r="I13" s="82">
        <f>SUM(I12:I12)</f>
        <v>0</v>
      </c>
      <c r="J13" s="176"/>
    </row>
    <row r="14" spans="1:10" ht="13.5" thickTop="1">
      <c r="A14" s="81"/>
      <c r="B14" s="46"/>
      <c r="C14" s="46"/>
      <c r="D14" s="46"/>
      <c r="E14" s="46"/>
      <c r="F14" s="46"/>
      <c r="G14" s="60"/>
      <c r="H14" s="46"/>
      <c r="I14" s="46"/>
      <c r="J14" s="46"/>
    </row>
    <row r="15" spans="1:10">
      <c r="A15" s="81">
        <v>281</v>
      </c>
      <c r="B15" s="46"/>
      <c r="C15" s="46"/>
      <c r="D15" s="46"/>
      <c r="E15" s="46"/>
      <c r="F15" s="46"/>
      <c r="G15" s="60"/>
      <c r="H15" s="46"/>
      <c r="I15" s="46"/>
      <c r="J15" s="46"/>
    </row>
    <row r="16" spans="1:10" ht="13.5" thickBot="1">
      <c r="A16" s="81"/>
      <c r="B16" s="76" t="s">
        <v>253</v>
      </c>
      <c r="C16" s="76"/>
      <c r="D16" s="82">
        <f>SUM(D15)</f>
        <v>0</v>
      </c>
      <c r="E16" s="46"/>
      <c r="F16" s="46"/>
      <c r="G16" s="60"/>
      <c r="H16" s="46"/>
      <c r="I16" s="82">
        <f>SUM(I15)</f>
        <v>0</v>
      </c>
      <c r="J16" s="46"/>
    </row>
    <row r="17" spans="1:10" ht="13.5" thickTop="1">
      <c r="A17" s="81"/>
      <c r="B17" s="46"/>
      <c r="C17" s="46"/>
      <c r="D17" s="46"/>
      <c r="E17" s="46"/>
      <c r="F17" s="46"/>
      <c r="G17" s="60"/>
      <c r="H17" s="46"/>
      <c r="I17" s="46"/>
      <c r="J17" s="46"/>
    </row>
    <row r="18" spans="1:10">
      <c r="A18" s="81">
        <v>282</v>
      </c>
      <c r="B18" s="46"/>
      <c r="C18" s="46"/>
      <c r="D18" s="46"/>
      <c r="E18" s="46"/>
      <c r="F18" s="46"/>
      <c r="G18" s="60"/>
      <c r="H18" s="46"/>
      <c r="I18" s="46"/>
      <c r="J18" s="46"/>
    </row>
    <row r="19" spans="1:10" ht="13.5" thickBot="1">
      <c r="A19" s="81"/>
      <c r="B19" s="76" t="s">
        <v>254</v>
      </c>
      <c r="C19" s="76"/>
      <c r="D19" s="82">
        <f>SUM(D18:D18)</f>
        <v>0</v>
      </c>
      <c r="E19" s="46"/>
      <c r="F19" s="46"/>
      <c r="G19" s="60"/>
      <c r="H19" s="46"/>
      <c r="I19" s="82">
        <f>SUM(I18:I18)</f>
        <v>0</v>
      </c>
      <c r="J19" s="176"/>
    </row>
    <row r="20" spans="1:10" ht="13.5" thickTop="1">
      <c r="A20" s="81"/>
      <c r="B20" s="46"/>
      <c r="C20" s="46"/>
      <c r="D20" s="46"/>
      <c r="E20" s="46"/>
      <c r="F20" s="46"/>
      <c r="G20" s="60"/>
      <c r="H20" s="46"/>
      <c r="I20" s="46"/>
      <c r="J20" s="46"/>
    </row>
    <row r="21" spans="1:10">
      <c r="A21" s="81">
        <v>283</v>
      </c>
      <c r="B21" s="46"/>
      <c r="C21" s="46"/>
      <c r="D21" s="46"/>
      <c r="E21" s="46"/>
      <c r="F21" s="46"/>
      <c r="G21" s="60"/>
      <c r="H21" s="46"/>
      <c r="I21" s="46"/>
      <c r="J21" s="46"/>
    </row>
    <row r="22" spans="1:10" ht="13.5" thickBot="1">
      <c r="A22" s="81"/>
      <c r="B22" s="76" t="s">
        <v>255</v>
      </c>
      <c r="C22" s="76"/>
      <c r="D22" s="82">
        <f>SUM(D21:D21)</f>
        <v>0</v>
      </c>
      <c r="E22" s="46"/>
      <c r="F22" s="46"/>
      <c r="G22" s="60"/>
      <c r="H22" s="46"/>
      <c r="I22" s="82">
        <f>SUM(I21:I21)</f>
        <v>0</v>
      </c>
      <c r="J22" s="176"/>
    </row>
    <row r="23" spans="1:10" ht="13.5" thickTop="1">
      <c r="A23" s="81"/>
      <c r="B23" s="76"/>
      <c r="C23" s="76"/>
      <c r="D23" s="83"/>
      <c r="E23" s="46"/>
      <c r="F23" s="46"/>
      <c r="G23" s="60"/>
      <c r="H23" s="46"/>
      <c r="I23" s="46"/>
      <c r="J23" s="46"/>
    </row>
    <row r="24" spans="1:10">
      <c r="A24" s="81"/>
      <c r="B24" s="76"/>
      <c r="C24" s="76"/>
      <c r="D24" s="83"/>
      <c r="E24" s="46"/>
      <c r="F24" s="46"/>
      <c r="G24" s="60"/>
      <c r="H24" s="46"/>
      <c r="I24" s="46"/>
      <c r="J24" s="46"/>
    </row>
    <row r="25" spans="1:10" ht="13.5" thickBot="1">
      <c r="A25" s="46"/>
      <c r="B25" s="82" t="s">
        <v>256</v>
      </c>
      <c r="C25" s="82"/>
      <c r="D25" s="82">
        <f>+D13+D16+D19+D22</f>
        <v>0</v>
      </c>
      <c r="E25" s="46"/>
      <c r="F25" s="46"/>
      <c r="G25" s="60"/>
      <c r="H25" s="46"/>
      <c r="I25" s="82">
        <f>+I13+I16+I19+I22</f>
        <v>0</v>
      </c>
      <c r="J25" s="46"/>
    </row>
    <row r="26" spans="1:10" ht="13.5" thickTop="1">
      <c r="A26" s="46"/>
      <c r="B26" s="46"/>
      <c r="C26" s="46"/>
      <c r="D26" s="46"/>
      <c r="E26" s="46"/>
      <c r="F26" s="46"/>
      <c r="G26" s="60"/>
      <c r="H26" s="46"/>
      <c r="I26" s="46"/>
      <c r="J26" s="46"/>
    </row>
    <row r="27" spans="1:10">
      <c r="A27" s="81"/>
      <c r="B27" s="76"/>
      <c r="C27" s="76"/>
      <c r="D27" s="83"/>
      <c r="E27" s="46"/>
      <c r="F27" s="46"/>
      <c r="G27" s="60"/>
      <c r="H27" s="46"/>
      <c r="I27" s="46"/>
      <c r="J27" s="46"/>
    </row>
    <row r="28" spans="1:10">
      <c r="A28" s="81"/>
      <c r="B28" s="76"/>
      <c r="C28" s="76"/>
      <c r="D28" s="83"/>
      <c r="E28" s="46"/>
      <c r="F28" s="46"/>
      <c r="G28" s="60"/>
      <c r="H28" s="46"/>
      <c r="I28" s="46"/>
      <c r="J28" s="46"/>
    </row>
    <row r="29" spans="1:10">
      <c r="A29" s="46"/>
      <c r="B29" s="46"/>
      <c r="C29" s="46"/>
      <c r="D29" s="46"/>
      <c r="E29" s="46"/>
      <c r="F29" s="46"/>
      <c r="G29" s="60"/>
      <c r="H29" s="46"/>
      <c r="I29" s="46"/>
      <c r="J29" s="46"/>
    </row>
    <row r="30" spans="1:10">
      <c r="A30" s="46"/>
      <c r="B30" s="46"/>
      <c r="C30" s="46"/>
      <c r="D30" s="46"/>
      <c r="E30" s="46"/>
      <c r="F30" s="46"/>
      <c r="G30" s="60"/>
      <c r="H30" s="46"/>
      <c r="I30" s="46"/>
      <c r="J30" s="46"/>
    </row>
    <row r="31" spans="1:10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>
      <c r="E34" s="20" t="s">
        <v>250</v>
      </c>
      <c r="F34" s="49">
        <v>0</v>
      </c>
      <c r="G34" s="15"/>
    </row>
    <row r="35" spans="1:10">
      <c r="E35" s="20" t="s">
        <v>41</v>
      </c>
      <c r="F35" s="49"/>
      <c r="G35" s="15"/>
    </row>
    <row r="36" spans="1:10">
      <c r="E36" s="20" t="s">
        <v>248</v>
      </c>
      <c r="F36" s="49"/>
      <c r="G36" s="15"/>
      <c r="I36" s="1"/>
    </row>
    <row r="37" spans="1:10">
      <c r="E37" s="20" t="s">
        <v>251</v>
      </c>
      <c r="F37" s="49"/>
      <c r="G37" s="15"/>
    </row>
    <row r="38" spans="1:10">
      <c r="E38" s="20" t="s">
        <v>37</v>
      </c>
      <c r="F38" s="49"/>
      <c r="G38" s="15"/>
    </row>
    <row r="39" spans="1:10">
      <c r="E39" s="20" t="s">
        <v>249</v>
      </c>
      <c r="F39" s="49"/>
      <c r="G39" s="15"/>
    </row>
    <row r="40" spans="1:10">
      <c r="E40" s="20" t="s">
        <v>247</v>
      </c>
      <c r="F40" s="49"/>
      <c r="G40" s="15"/>
    </row>
    <row r="41" spans="1:10">
      <c r="E41" s="20" t="s">
        <v>51</v>
      </c>
      <c r="F41" s="49"/>
      <c r="G41" s="15"/>
    </row>
  </sheetData>
  <mergeCells count="4">
    <mergeCell ref="I1:J1"/>
    <mergeCell ref="I3:J3"/>
    <mergeCell ref="A5:I5"/>
    <mergeCell ref="A6:I6"/>
  </mergeCells>
  <phoneticPr fontId="15" type="noConversion"/>
  <pageMargins left="0.75" right="0.75" top="1" bottom="1" header="0.5" footer="0.5"/>
  <pageSetup scale="70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RowHeight="12.75"/>
  <cols>
    <col min="1" max="1" width="9.7109375" customWidth="1"/>
    <col min="2" max="2" width="45.5703125" customWidth="1"/>
    <col min="3" max="3" width="5.7109375" customWidth="1"/>
    <col min="4" max="4" width="17.42578125" customWidth="1"/>
    <col min="5" max="5" width="5.7109375" customWidth="1"/>
    <col min="8" max="8" width="5.7109375" customWidth="1"/>
    <col min="9" max="9" width="11.28515625" bestFit="1" customWidth="1"/>
  </cols>
  <sheetData>
    <row r="1" spans="1:10" ht="15">
      <c r="A1" s="46"/>
      <c r="B1" s="46"/>
      <c r="C1" s="46"/>
      <c r="D1" s="46"/>
      <c r="E1" s="46"/>
      <c r="F1" s="46"/>
      <c r="G1" s="46"/>
      <c r="H1" s="46"/>
      <c r="I1" s="237" t="s">
        <v>196</v>
      </c>
      <c r="J1" s="237"/>
    </row>
    <row r="2" spans="1:10" ht="15">
      <c r="A2" s="46"/>
      <c r="B2" s="46"/>
      <c r="C2" s="46"/>
      <c r="D2" s="46"/>
      <c r="E2" s="46"/>
      <c r="F2" s="46"/>
      <c r="G2" s="46"/>
      <c r="H2" s="46"/>
      <c r="I2" s="198" t="s">
        <v>533</v>
      </c>
      <c r="J2" s="37"/>
    </row>
    <row r="3" spans="1:10">
      <c r="A3" s="46"/>
      <c r="B3" s="75"/>
      <c r="C3" s="75"/>
      <c r="D3" s="46"/>
      <c r="E3" s="46"/>
      <c r="F3" s="46"/>
      <c r="G3" s="46"/>
      <c r="H3" s="46"/>
      <c r="I3" s="253" t="s">
        <v>531</v>
      </c>
      <c r="J3" s="254"/>
    </row>
    <row r="4" spans="1:10">
      <c r="A4" s="46"/>
      <c r="B4" s="75"/>
      <c r="C4" s="75"/>
      <c r="D4" s="46"/>
      <c r="E4" s="46"/>
      <c r="F4" s="46"/>
      <c r="G4" s="46"/>
      <c r="H4" s="46"/>
      <c r="I4" s="105"/>
      <c r="J4" s="105"/>
    </row>
    <row r="5" spans="1:10">
      <c r="A5" s="259" t="s">
        <v>135</v>
      </c>
      <c r="B5" s="260"/>
      <c r="C5" s="260"/>
      <c r="D5" s="260"/>
      <c r="E5" s="260"/>
      <c r="F5" s="260"/>
      <c r="G5" s="260"/>
      <c r="H5" s="260"/>
      <c r="I5" s="260"/>
      <c r="J5" s="105"/>
    </row>
    <row r="6" spans="1:10">
      <c r="A6" s="259" t="s">
        <v>399</v>
      </c>
      <c r="B6" s="260"/>
      <c r="C6" s="260"/>
      <c r="D6" s="260"/>
      <c r="E6" s="260"/>
      <c r="F6" s="260"/>
      <c r="G6" s="260"/>
      <c r="H6" s="260"/>
      <c r="I6" s="260"/>
      <c r="J6" s="105"/>
    </row>
    <row r="7" spans="1:10">
      <c r="A7" s="46"/>
      <c r="B7" s="75"/>
      <c r="C7" s="75"/>
      <c r="D7" s="46"/>
      <c r="E7" s="46"/>
      <c r="F7" s="46"/>
      <c r="G7" s="46"/>
      <c r="H7" s="46"/>
      <c r="I7" s="46"/>
      <c r="J7" s="46"/>
    </row>
    <row r="8" spans="1:10">
      <c r="A8" s="76"/>
      <c r="B8" s="77"/>
      <c r="C8" s="77"/>
      <c r="D8" s="77"/>
      <c r="E8" s="78"/>
      <c r="F8" s="78"/>
      <c r="G8" s="78"/>
      <c r="H8" s="78"/>
      <c r="I8" s="78"/>
      <c r="J8" s="78"/>
    </row>
    <row r="9" spans="1:10">
      <c r="A9" s="76"/>
      <c r="B9" s="77"/>
      <c r="C9" s="77"/>
      <c r="D9" s="96" t="s">
        <v>243</v>
      </c>
      <c r="E9" s="78"/>
      <c r="F9" s="79" t="s">
        <v>23</v>
      </c>
      <c r="G9" s="79" t="s">
        <v>244</v>
      </c>
      <c r="H9" s="79"/>
      <c r="I9" s="79" t="s">
        <v>245</v>
      </c>
      <c r="J9" s="78"/>
    </row>
    <row r="10" spans="1:10">
      <c r="A10" s="76" t="s">
        <v>246</v>
      </c>
      <c r="B10" s="76" t="s">
        <v>3</v>
      </c>
      <c r="C10" s="80"/>
      <c r="D10" s="171" t="s">
        <v>534</v>
      </c>
      <c r="E10" s="46"/>
      <c r="F10" s="46"/>
      <c r="G10" s="46"/>
      <c r="H10" s="46"/>
      <c r="I10" s="46"/>
      <c r="J10" s="46"/>
    </row>
    <row r="11" spans="1:10">
      <c r="A11" s="76"/>
      <c r="B11" s="76"/>
      <c r="C11" s="80"/>
      <c r="D11" s="171"/>
      <c r="E11" s="46"/>
      <c r="F11" s="46"/>
      <c r="G11" s="46"/>
      <c r="H11" s="46"/>
      <c r="I11" s="46"/>
      <c r="J11" s="46"/>
    </row>
    <row r="12" spans="1:10">
      <c r="A12" s="81">
        <v>190</v>
      </c>
      <c r="B12" s="46"/>
      <c r="C12" s="46"/>
      <c r="D12" s="46"/>
      <c r="E12" s="46"/>
      <c r="F12" s="176"/>
      <c r="G12" s="60"/>
      <c r="H12" s="46"/>
      <c r="I12" s="46"/>
      <c r="J12" s="46"/>
    </row>
    <row r="13" spans="1:10" ht="13.5" thickBot="1">
      <c r="A13" s="81"/>
      <c r="B13" s="76" t="s">
        <v>252</v>
      </c>
      <c r="C13" s="76"/>
      <c r="D13" s="82">
        <f>SUM(D12:D12)</f>
        <v>0</v>
      </c>
      <c r="E13" s="46"/>
      <c r="F13" s="46"/>
      <c r="G13" s="60"/>
      <c r="H13" s="46"/>
      <c r="I13" s="82">
        <f>SUM(I12:I12)</f>
        <v>0</v>
      </c>
      <c r="J13" s="176"/>
    </row>
    <row r="14" spans="1:10" ht="13.5" thickTop="1">
      <c r="A14" s="81"/>
      <c r="B14" s="46"/>
      <c r="C14" s="46"/>
      <c r="D14" s="46"/>
      <c r="E14" s="46"/>
      <c r="F14" s="46"/>
      <c r="G14" s="60"/>
      <c r="H14" s="46"/>
      <c r="I14" s="46"/>
      <c r="J14" s="46"/>
    </row>
    <row r="15" spans="1:10">
      <c r="A15" s="81">
        <v>281</v>
      </c>
      <c r="B15" s="46"/>
      <c r="C15" s="46"/>
      <c r="D15" s="46"/>
      <c r="E15" s="46"/>
      <c r="F15" s="46"/>
      <c r="G15" s="60"/>
      <c r="H15" s="46"/>
      <c r="I15" s="46"/>
      <c r="J15" s="46"/>
    </row>
    <row r="16" spans="1:10" ht="13.5" thickBot="1">
      <c r="A16" s="81"/>
      <c r="B16" s="76" t="s">
        <v>253</v>
      </c>
      <c r="C16" s="76"/>
      <c r="D16" s="82">
        <f>SUM(D15)</f>
        <v>0</v>
      </c>
      <c r="E16" s="46"/>
      <c r="F16" s="46"/>
      <c r="G16" s="60"/>
      <c r="H16" s="46"/>
      <c r="I16" s="82">
        <f>SUM(I15)</f>
        <v>0</v>
      </c>
      <c r="J16" s="46"/>
    </row>
    <row r="17" spans="1:10" ht="13.5" thickTop="1">
      <c r="A17" s="81"/>
      <c r="B17" s="46"/>
      <c r="C17" s="46"/>
      <c r="D17" s="46"/>
      <c r="E17" s="46"/>
      <c r="F17" s="46"/>
      <c r="G17" s="60"/>
      <c r="H17" s="46"/>
      <c r="I17" s="46"/>
      <c r="J17" s="46"/>
    </row>
    <row r="18" spans="1:10">
      <c r="A18" s="81">
        <v>282</v>
      </c>
      <c r="B18" s="46"/>
      <c r="C18" s="46"/>
      <c r="D18" s="46"/>
      <c r="E18" s="46"/>
      <c r="F18" s="46"/>
      <c r="G18" s="60"/>
      <c r="H18" s="46"/>
      <c r="I18" s="46"/>
      <c r="J18" s="46"/>
    </row>
    <row r="19" spans="1:10" ht="13.5" thickBot="1">
      <c r="A19" s="81"/>
      <c r="B19" s="76" t="s">
        <v>254</v>
      </c>
      <c r="C19" s="76"/>
      <c r="D19" s="82">
        <f>SUM(D18:D18)</f>
        <v>0</v>
      </c>
      <c r="E19" s="46"/>
      <c r="F19" s="46"/>
      <c r="G19" s="60"/>
      <c r="H19" s="46"/>
      <c r="I19" s="82">
        <f>SUM(I18:I18)</f>
        <v>0</v>
      </c>
      <c r="J19" s="46"/>
    </row>
    <row r="20" spans="1:10" ht="13.5" thickTop="1">
      <c r="A20" s="81"/>
      <c r="B20" s="46"/>
      <c r="C20" s="46"/>
      <c r="D20" s="46"/>
      <c r="E20" s="46"/>
      <c r="F20" s="46"/>
      <c r="G20" s="60"/>
      <c r="H20" s="46"/>
      <c r="I20" s="46"/>
    </row>
    <row r="21" spans="1:10">
      <c r="A21" s="81">
        <v>283</v>
      </c>
      <c r="B21" s="46"/>
      <c r="C21" s="46"/>
      <c r="D21" s="46"/>
      <c r="E21" s="46"/>
      <c r="F21" s="46"/>
      <c r="G21" s="60"/>
      <c r="H21" s="46"/>
      <c r="I21" s="46"/>
    </row>
    <row r="22" spans="1:10" ht="13.5" thickBot="1">
      <c r="A22" s="81"/>
      <c r="B22" s="76" t="s">
        <v>255</v>
      </c>
      <c r="C22" s="76"/>
      <c r="D22" s="82">
        <f>SUM(D21:D21)</f>
        <v>0</v>
      </c>
      <c r="E22" s="46"/>
      <c r="F22" s="46"/>
      <c r="G22" s="60"/>
      <c r="H22" s="46"/>
      <c r="I22" s="82">
        <f>SUM(I21:I21)</f>
        <v>0</v>
      </c>
    </row>
    <row r="23" spans="1:10" ht="13.5" thickTop="1">
      <c r="A23" s="81"/>
      <c r="B23" s="76"/>
      <c r="C23" s="76"/>
      <c r="D23" s="83"/>
      <c r="E23" s="46"/>
      <c r="F23" s="46"/>
      <c r="G23" s="60"/>
      <c r="H23" s="46"/>
      <c r="I23" s="46"/>
    </row>
    <row r="24" spans="1:10">
      <c r="A24" s="81"/>
      <c r="B24" s="76"/>
      <c r="C24" s="76"/>
      <c r="D24" s="83"/>
      <c r="E24" s="46"/>
      <c r="F24" s="46"/>
      <c r="G24" s="60"/>
      <c r="H24" s="46"/>
      <c r="I24" s="46"/>
    </row>
    <row r="25" spans="1:10" ht="13.5" thickBot="1">
      <c r="A25" s="46"/>
      <c r="B25" s="82" t="s">
        <v>256</v>
      </c>
      <c r="C25" s="82"/>
      <c r="D25" s="82">
        <f>+D13+D16+D19+D22</f>
        <v>0</v>
      </c>
      <c r="E25" s="46"/>
      <c r="F25" s="46"/>
      <c r="G25" s="60"/>
      <c r="H25" s="46"/>
      <c r="I25" s="82">
        <f>+I13+I16+I19+I22</f>
        <v>0</v>
      </c>
    </row>
    <row r="26" spans="1:10" ht="13.5" thickTop="1">
      <c r="E26" s="20" t="s">
        <v>247</v>
      </c>
      <c r="F26" s="49">
        <v>0</v>
      </c>
      <c r="G26" s="15"/>
    </row>
  </sheetData>
  <mergeCells count="4">
    <mergeCell ref="I1:J1"/>
    <mergeCell ref="I3:J3"/>
    <mergeCell ref="A5:I5"/>
    <mergeCell ref="A6:I6"/>
  </mergeCells>
  <phoneticPr fontId="15" type="noConversion"/>
  <pageMargins left="0.75" right="0.75" top="1" bottom="1" header="0.5" footer="0.5"/>
  <pageSetup scale="70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activeCell="E28" sqref="E28"/>
    </sheetView>
  </sheetViews>
  <sheetFormatPr defaultRowHeight="12.75"/>
  <cols>
    <col min="1" max="1" width="5.7109375" style="201" customWidth="1"/>
    <col min="2" max="2" width="9.140625" style="201"/>
    <col min="3" max="3" width="3.7109375" style="201" customWidth="1"/>
    <col min="4" max="4" width="32.7109375" style="201" customWidth="1"/>
    <col min="5" max="5" width="15.7109375" style="201" customWidth="1"/>
    <col min="6" max="6" width="5.7109375" style="201" customWidth="1"/>
    <col min="7" max="7" width="15.7109375" style="201" customWidth="1"/>
    <col min="8" max="8" width="5.7109375" style="201" customWidth="1"/>
    <col min="9" max="16384" width="9.140625" style="201"/>
  </cols>
  <sheetData>
    <row r="1" spans="1:8" ht="15.75">
      <c r="A1" s="200"/>
      <c r="B1" s="200"/>
      <c r="C1" s="200"/>
      <c r="D1" s="200"/>
      <c r="E1" s="200"/>
      <c r="F1" s="200"/>
      <c r="G1" s="261" t="s">
        <v>535</v>
      </c>
      <c r="H1" s="261"/>
    </row>
    <row r="2" spans="1:8" ht="15.75">
      <c r="A2" s="200"/>
      <c r="B2" s="200"/>
      <c r="C2" s="200"/>
      <c r="D2" s="200"/>
      <c r="E2" s="200"/>
      <c r="F2" s="200"/>
      <c r="G2" s="202" t="s">
        <v>484</v>
      </c>
      <c r="H2" s="202"/>
    </row>
    <row r="3" spans="1:8" ht="15">
      <c r="A3" s="200"/>
      <c r="B3" s="200"/>
      <c r="C3" s="200"/>
      <c r="D3" s="200"/>
      <c r="E3" s="200"/>
      <c r="F3" s="200"/>
      <c r="G3" s="262" t="s">
        <v>531</v>
      </c>
      <c r="H3" s="262"/>
    </row>
    <row r="4" spans="1:8">
      <c r="A4" s="200"/>
      <c r="B4" s="200"/>
      <c r="C4" s="200"/>
      <c r="D4" s="200"/>
      <c r="E4" s="200"/>
      <c r="F4" s="200"/>
      <c r="G4" s="200"/>
      <c r="H4" s="200"/>
    </row>
    <row r="5" spans="1:8">
      <c r="A5" s="200"/>
      <c r="B5" s="200"/>
      <c r="C5" s="200"/>
      <c r="D5" s="200"/>
      <c r="E5" s="200"/>
      <c r="F5" s="200"/>
      <c r="G5" s="200"/>
      <c r="H5" s="200"/>
    </row>
    <row r="6" spans="1:8" ht="15">
      <c r="A6" s="263" t="s">
        <v>135</v>
      </c>
      <c r="B6" s="263"/>
      <c r="C6" s="263"/>
      <c r="D6" s="263"/>
      <c r="E6" s="263"/>
      <c r="F6" s="263"/>
      <c r="G6" s="263"/>
      <c r="H6" s="263"/>
    </row>
    <row r="7" spans="1:8" ht="15">
      <c r="A7" s="203"/>
      <c r="B7" s="203"/>
      <c r="C7" s="203"/>
      <c r="D7" s="203"/>
      <c r="E7" s="203"/>
      <c r="F7" s="203"/>
      <c r="G7" s="203"/>
      <c r="H7" s="203"/>
    </row>
    <row r="8" spans="1:8" ht="15">
      <c r="A8" s="264" t="s">
        <v>536</v>
      </c>
      <c r="B8" s="264"/>
      <c r="C8" s="264"/>
      <c r="D8" s="264"/>
      <c r="E8" s="264"/>
      <c r="F8" s="264"/>
      <c r="G8" s="264"/>
      <c r="H8" s="264"/>
    </row>
    <row r="9" spans="1:8" ht="15">
      <c r="A9" s="264" t="s">
        <v>537</v>
      </c>
      <c r="B9" s="264"/>
      <c r="C9" s="264"/>
      <c r="D9" s="264"/>
      <c r="E9" s="264"/>
      <c r="F9" s="264"/>
      <c r="G9" s="264"/>
      <c r="H9" s="264"/>
    </row>
    <row r="10" spans="1:8" ht="15">
      <c r="A10" s="204"/>
      <c r="B10" s="204"/>
      <c r="C10" s="204"/>
      <c r="D10" s="204"/>
      <c r="E10" s="204"/>
      <c r="F10" s="204"/>
      <c r="G10" s="204"/>
      <c r="H10" s="204"/>
    </row>
    <row r="11" spans="1:8" ht="15">
      <c r="A11" s="203"/>
      <c r="B11" s="203"/>
      <c r="C11" s="203"/>
      <c r="D11" s="203"/>
      <c r="E11" s="203"/>
      <c r="F11" s="203"/>
      <c r="G11" s="203"/>
      <c r="H11" s="203"/>
    </row>
    <row r="12" spans="1:8" ht="30">
      <c r="A12" s="203"/>
      <c r="B12" s="205" t="s">
        <v>246</v>
      </c>
      <c r="C12" s="205"/>
      <c r="D12" s="206" t="s">
        <v>538</v>
      </c>
      <c r="E12" s="205" t="s">
        <v>265</v>
      </c>
      <c r="F12" s="206"/>
      <c r="G12" s="205" t="s">
        <v>539</v>
      </c>
      <c r="H12" s="206"/>
    </row>
    <row r="13" spans="1:8" ht="15">
      <c r="A13" s="203"/>
      <c r="B13" s="203"/>
      <c r="C13" s="203"/>
      <c r="D13" s="203"/>
      <c r="E13" s="203"/>
      <c r="F13" s="203"/>
      <c r="G13" s="203"/>
      <c r="H13" s="203"/>
    </row>
    <row r="14" spans="1:8" ht="15">
      <c r="A14" s="203"/>
      <c r="B14" s="207">
        <v>2283141</v>
      </c>
      <c r="C14" s="207"/>
      <c r="D14" s="208" t="s">
        <v>540</v>
      </c>
      <c r="E14" s="209">
        <v>0</v>
      </c>
      <c r="F14" s="208"/>
      <c r="G14" s="209">
        <v>0</v>
      </c>
      <c r="H14" s="203"/>
    </row>
    <row r="15" spans="1:8" ht="15">
      <c r="A15" s="203"/>
      <c r="B15" s="207">
        <v>2283142</v>
      </c>
      <c r="C15" s="207"/>
      <c r="D15" s="208" t="s">
        <v>541</v>
      </c>
      <c r="E15" s="209">
        <v>0</v>
      </c>
      <c r="F15" s="208"/>
      <c r="G15" s="209">
        <v>0</v>
      </c>
      <c r="H15" s="203"/>
    </row>
    <row r="16" spans="1:8" ht="15">
      <c r="A16" s="203"/>
      <c r="B16" s="207">
        <v>2283143</v>
      </c>
      <c r="C16" s="207"/>
      <c r="D16" s="208" t="s">
        <v>542</v>
      </c>
      <c r="E16" s="209">
        <v>0</v>
      </c>
      <c r="F16" s="208"/>
      <c r="G16" s="209">
        <v>0</v>
      </c>
      <c r="H16" s="203"/>
    </row>
    <row r="17" spans="1:8" ht="15">
      <c r="A17" s="203"/>
      <c r="B17" s="207">
        <v>2283510</v>
      </c>
      <c r="C17" s="207"/>
      <c r="D17" s="208" t="s">
        <v>543</v>
      </c>
      <c r="E17" s="209">
        <v>0</v>
      </c>
      <c r="F17" s="208"/>
      <c r="G17" s="209">
        <v>0</v>
      </c>
      <c r="H17" s="203"/>
    </row>
    <row r="18" spans="1:8" ht="15">
      <c r="A18" s="203"/>
      <c r="B18" s="207">
        <v>2283520</v>
      </c>
      <c r="C18" s="207"/>
      <c r="D18" s="208" t="s">
        <v>544</v>
      </c>
      <c r="E18" s="209">
        <v>0</v>
      </c>
      <c r="F18" s="208"/>
      <c r="G18" s="209">
        <v>0</v>
      </c>
      <c r="H18" s="203"/>
    </row>
    <row r="19" spans="1:8" ht="15">
      <c r="A19" s="203"/>
      <c r="B19" s="207">
        <v>2283540</v>
      </c>
      <c r="C19" s="207"/>
      <c r="D19" s="208" t="s">
        <v>545</v>
      </c>
      <c r="E19" s="209">
        <v>0</v>
      </c>
      <c r="F19" s="208"/>
      <c r="G19" s="209">
        <v>0</v>
      </c>
      <c r="H19" s="203"/>
    </row>
    <row r="20" spans="1:8" ht="15">
      <c r="A20" s="203"/>
      <c r="B20" s="207">
        <v>2283550</v>
      </c>
      <c r="C20" s="207"/>
      <c r="D20" s="208" t="s">
        <v>546</v>
      </c>
      <c r="E20" s="209">
        <v>0</v>
      </c>
      <c r="F20" s="208"/>
      <c r="G20" s="209">
        <v>0</v>
      </c>
      <c r="H20" s="203"/>
    </row>
    <row r="21" spans="1:8" ht="15">
      <c r="A21" s="203"/>
      <c r="B21" s="208"/>
      <c r="C21" s="208"/>
      <c r="D21" s="208" t="s">
        <v>547</v>
      </c>
      <c r="E21" s="209">
        <v>0</v>
      </c>
      <c r="F21" s="208"/>
      <c r="G21" s="209">
        <f>SUM(G14:G20)</f>
        <v>0</v>
      </c>
      <c r="H21" s="203"/>
    </row>
    <row r="22" spans="1:8" ht="15">
      <c r="A22" s="203"/>
      <c r="B22" s="203"/>
      <c r="C22" s="203"/>
      <c r="D22" s="203"/>
      <c r="E22" s="203"/>
      <c r="F22" s="203"/>
      <c r="G22" s="203"/>
      <c r="H22" s="203"/>
    </row>
    <row r="23" spans="1:8" ht="15">
      <c r="A23" s="203"/>
      <c r="B23" s="203"/>
      <c r="C23" s="203"/>
      <c r="D23" s="203" t="s">
        <v>548</v>
      </c>
      <c r="E23" s="210">
        <v>0</v>
      </c>
      <c r="F23" s="203"/>
      <c r="G23" s="210">
        <v>0</v>
      </c>
      <c r="H23" s="203"/>
    </row>
    <row r="24" spans="1:8" ht="15">
      <c r="A24" s="203"/>
      <c r="B24" s="203"/>
      <c r="C24" s="203"/>
      <c r="D24" s="203"/>
      <c r="E24" s="203"/>
      <c r="F24" s="203"/>
      <c r="G24" s="203"/>
      <c r="H24" s="203"/>
    </row>
    <row r="25" spans="1:8" ht="15">
      <c r="A25" s="203"/>
      <c r="B25" s="203"/>
      <c r="C25" s="203"/>
      <c r="D25" s="203" t="s">
        <v>549</v>
      </c>
      <c r="E25" s="210">
        <f>E21+E23</f>
        <v>0</v>
      </c>
      <c r="F25" s="203"/>
      <c r="G25" s="210">
        <f>G21+G23</f>
        <v>0</v>
      </c>
      <c r="H25" s="203"/>
    </row>
    <row r="26" spans="1:8" ht="15">
      <c r="A26" s="211"/>
      <c r="B26" s="211"/>
      <c r="C26" s="211"/>
      <c r="D26" s="211"/>
      <c r="E26" s="211"/>
      <c r="F26" s="211"/>
      <c r="G26" s="211"/>
      <c r="H26" s="211"/>
    </row>
  </sheetData>
  <mergeCells count="5">
    <mergeCell ref="G1:H1"/>
    <mergeCell ref="G3:H3"/>
    <mergeCell ref="A6:H6"/>
    <mergeCell ref="A8:H8"/>
    <mergeCell ref="A9:H9"/>
  </mergeCells>
  <pageMargins left="0.7" right="0.7" top="0.75" bottom="0.75" header="0.3" footer="0.3"/>
  <pageSetup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>
      <pane ySplit="9" topLeftCell="A10" activePane="bottomLeft" state="frozen"/>
      <selection pane="bottomLeft" activeCell="H11" sqref="H11"/>
    </sheetView>
  </sheetViews>
  <sheetFormatPr defaultRowHeight="12.75"/>
  <cols>
    <col min="5" max="5" width="37.42578125" bestFit="1" customWidth="1"/>
    <col min="6" max="6" width="13.85546875" customWidth="1"/>
    <col min="7" max="7" width="3.7109375" customWidth="1"/>
    <col min="8" max="8" width="13.42578125" customWidth="1"/>
    <col min="9" max="9" width="3.7109375" customWidth="1"/>
    <col min="10" max="10" width="13.42578125" customWidth="1"/>
    <col min="11" max="11" width="6.5703125" customWidth="1"/>
    <col min="12" max="12" width="14.85546875" customWidth="1"/>
  </cols>
  <sheetData>
    <row r="1" spans="1:12" ht="15">
      <c r="K1" s="39" t="s">
        <v>209</v>
      </c>
    </row>
    <row r="2" spans="1:12" ht="15">
      <c r="K2" s="39" t="s">
        <v>391</v>
      </c>
    </row>
    <row r="3" spans="1:12">
      <c r="K3" s="253" t="s">
        <v>531</v>
      </c>
      <c r="L3" s="254"/>
    </row>
    <row r="5" spans="1:12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>
      <c r="A6" s="256" t="s">
        <v>210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9" spans="1:12" ht="38.25"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/>
      <c r="H9" s="53" t="s">
        <v>265</v>
      </c>
      <c r="I9" s="53"/>
      <c r="J9" s="53" t="s">
        <v>267</v>
      </c>
      <c r="K9" s="53"/>
    </row>
    <row r="10" spans="1:12" ht="6" customHeight="1">
      <c r="B10" s="2"/>
      <c r="C10" s="2"/>
      <c r="D10" s="2"/>
    </row>
    <row r="11" spans="1:12">
      <c r="B11" s="50">
        <v>111</v>
      </c>
      <c r="C11" s="50">
        <v>57</v>
      </c>
      <c r="D11" s="50" t="s">
        <v>268</v>
      </c>
      <c r="E11" s="44" t="s">
        <v>40</v>
      </c>
      <c r="F11" s="50" t="str">
        <f>FIXED(B11,0)&amp;"."&amp;FIXED(C11,0)&amp;"."&amp;D11</f>
        <v>111.57.c&amp;d</v>
      </c>
      <c r="G11" s="50"/>
      <c r="H11" s="54"/>
      <c r="I11" s="54"/>
      <c r="J11" s="172"/>
    </row>
    <row r="12" spans="1:12">
      <c r="B12" s="50">
        <v>111</v>
      </c>
      <c r="C12" s="50">
        <v>81</v>
      </c>
      <c r="D12" s="50" t="s">
        <v>268</v>
      </c>
      <c r="E12" s="44" t="s">
        <v>205</v>
      </c>
      <c r="F12" s="50" t="str">
        <f t="shared" ref="F12:F17" si="0">B12&amp;"."&amp;C12&amp;"."&amp;D12</f>
        <v>111.81.c&amp;d</v>
      </c>
      <c r="G12" s="50"/>
      <c r="H12" s="54"/>
      <c r="I12" s="54"/>
      <c r="J12" s="54"/>
    </row>
    <row r="13" spans="1:12">
      <c r="B13" s="50">
        <v>112</v>
      </c>
      <c r="C13" s="50">
        <v>3</v>
      </c>
      <c r="D13" s="50" t="s">
        <v>268</v>
      </c>
      <c r="E13" s="44" t="s">
        <v>204</v>
      </c>
      <c r="F13" s="50" t="str">
        <f t="shared" si="0"/>
        <v>112.3.c&amp;d</v>
      </c>
      <c r="G13" s="50"/>
      <c r="H13" s="54"/>
      <c r="I13" s="54"/>
      <c r="J13" s="54"/>
    </row>
    <row r="14" spans="1:12">
      <c r="B14" s="50">
        <v>112</v>
      </c>
      <c r="C14" s="50">
        <v>12</v>
      </c>
      <c r="D14" s="50" t="s">
        <v>268</v>
      </c>
      <c r="E14" s="44" t="s">
        <v>206</v>
      </c>
      <c r="F14" s="50" t="str">
        <f t="shared" si="0"/>
        <v>112.12.c&amp;d</v>
      </c>
      <c r="G14" s="50"/>
      <c r="H14" s="54"/>
      <c r="I14" s="54"/>
      <c r="J14" s="54"/>
    </row>
    <row r="15" spans="1:12">
      <c r="B15" s="50">
        <v>112</v>
      </c>
      <c r="C15" s="50">
        <v>16</v>
      </c>
      <c r="D15" s="50" t="s">
        <v>268</v>
      </c>
      <c r="E15" s="44" t="s">
        <v>207</v>
      </c>
      <c r="F15" s="50" t="str">
        <f t="shared" si="0"/>
        <v>112.16.c&amp;d</v>
      </c>
      <c r="G15" s="50"/>
      <c r="H15" s="54"/>
      <c r="I15" s="54"/>
      <c r="J15" s="54"/>
    </row>
    <row r="16" spans="1:12">
      <c r="B16" s="50">
        <v>112</v>
      </c>
      <c r="C16" s="50">
        <v>24</v>
      </c>
      <c r="D16" s="50" t="s">
        <v>268</v>
      </c>
      <c r="E16" s="44" t="s">
        <v>72</v>
      </c>
      <c r="F16" s="50" t="str">
        <f t="shared" si="0"/>
        <v>112.24.c&amp;d</v>
      </c>
      <c r="G16" s="50"/>
      <c r="H16" s="54"/>
      <c r="I16" s="54"/>
      <c r="J16" s="54"/>
    </row>
    <row r="17" spans="2:12">
      <c r="B17" s="50">
        <v>113</v>
      </c>
      <c r="C17" s="50">
        <v>61</v>
      </c>
      <c r="D17" s="50" t="s">
        <v>268</v>
      </c>
      <c r="E17" s="44" t="s">
        <v>208</v>
      </c>
      <c r="F17" s="50" t="str">
        <f t="shared" si="0"/>
        <v>113.61.c&amp;d</v>
      </c>
      <c r="G17" s="50"/>
      <c r="H17" s="54"/>
      <c r="I17" s="54"/>
      <c r="J17" s="54"/>
    </row>
    <row r="18" spans="2:12">
      <c r="B18" s="50">
        <v>117</v>
      </c>
      <c r="C18" s="174" t="s">
        <v>477</v>
      </c>
      <c r="D18" s="50" t="s">
        <v>12</v>
      </c>
      <c r="E18" s="44" t="s">
        <v>70</v>
      </c>
      <c r="F18" s="50" t="str">
        <f>FIXED(B18,0)&amp;"."&amp;C18&amp;"."&amp;D18</f>
        <v>117.62 thru 67.c</v>
      </c>
      <c r="G18" s="50"/>
      <c r="H18" s="54"/>
      <c r="I18" s="54"/>
      <c r="J18" s="54"/>
    </row>
    <row r="19" spans="2:12">
      <c r="B19" s="50">
        <v>118</v>
      </c>
      <c r="C19" s="50">
        <v>29</v>
      </c>
      <c r="D19" s="50" t="s">
        <v>12</v>
      </c>
      <c r="E19" s="44" t="s">
        <v>71</v>
      </c>
      <c r="F19" s="50" t="str">
        <f>FIXED(B19,0)&amp;"."&amp;C19&amp;"."&amp;D19</f>
        <v>118.29.c</v>
      </c>
      <c r="G19" s="50"/>
      <c r="H19" s="54"/>
      <c r="I19" s="54"/>
      <c r="J19" s="54"/>
    </row>
    <row r="20" spans="2:12">
      <c r="B20" s="50">
        <v>200</v>
      </c>
      <c r="C20" s="50">
        <v>21</v>
      </c>
      <c r="D20" s="50" t="s">
        <v>12</v>
      </c>
      <c r="E20" s="44" t="s">
        <v>168</v>
      </c>
      <c r="F20" s="50" t="str">
        <f t="shared" ref="F20:F30" si="1">FIXED(B20,0)&amp;"."&amp;FIXED(C20,0)&amp;"."&amp;D20</f>
        <v>200.21.c</v>
      </c>
      <c r="G20" s="50"/>
      <c r="H20" s="54"/>
      <c r="I20" s="54"/>
      <c r="J20" s="54"/>
    </row>
    <row r="21" spans="2:12">
      <c r="B21" s="50">
        <v>205</v>
      </c>
      <c r="C21" s="50">
        <v>5</v>
      </c>
      <c r="D21" s="50" t="s">
        <v>264</v>
      </c>
      <c r="E21" s="44" t="s">
        <v>164</v>
      </c>
      <c r="F21" s="50" t="str">
        <f t="shared" si="1"/>
        <v>205.5.b&amp;g</v>
      </c>
      <c r="G21" s="50"/>
      <c r="H21" s="54"/>
      <c r="I21" s="54"/>
      <c r="J21" s="54"/>
    </row>
    <row r="22" spans="2:12">
      <c r="B22" s="50">
        <v>205</v>
      </c>
      <c r="C22" s="50">
        <v>46</v>
      </c>
      <c r="D22" s="50" t="s">
        <v>264</v>
      </c>
      <c r="E22" s="44" t="s">
        <v>270</v>
      </c>
      <c r="F22" s="50" t="str">
        <f t="shared" si="1"/>
        <v>205.46.b&amp;g</v>
      </c>
      <c r="G22" s="50"/>
      <c r="H22" s="54"/>
      <c r="I22" s="54"/>
      <c r="J22" s="54"/>
      <c r="K22" s="175"/>
    </row>
    <row r="23" spans="2:12">
      <c r="B23" s="50">
        <v>207</v>
      </c>
      <c r="C23" s="50">
        <v>58</v>
      </c>
      <c r="D23" s="50" t="s">
        <v>264</v>
      </c>
      <c r="E23" s="44" t="s">
        <v>165</v>
      </c>
      <c r="F23" s="50" t="str">
        <f t="shared" si="1"/>
        <v>207.58.b&amp;g</v>
      </c>
      <c r="G23" s="50"/>
      <c r="H23" s="54"/>
      <c r="I23" s="54"/>
      <c r="J23" s="54"/>
      <c r="K23" s="175"/>
    </row>
    <row r="24" spans="2:12">
      <c r="B24" s="50">
        <v>207</v>
      </c>
      <c r="C24" s="50">
        <v>75</v>
      </c>
      <c r="D24" s="50" t="s">
        <v>264</v>
      </c>
      <c r="E24" s="44" t="s">
        <v>166</v>
      </c>
      <c r="F24" s="50" t="str">
        <f t="shared" si="1"/>
        <v>207.75.b&amp;g</v>
      </c>
      <c r="G24" s="50"/>
      <c r="H24" s="54"/>
      <c r="I24" s="54"/>
      <c r="J24" s="54"/>
      <c r="K24" s="175"/>
      <c r="L24" s="173"/>
    </row>
    <row r="25" spans="2:12">
      <c r="B25" s="50">
        <v>207</v>
      </c>
      <c r="C25" s="50">
        <v>99</v>
      </c>
      <c r="D25" s="50" t="s">
        <v>264</v>
      </c>
      <c r="E25" s="44" t="s">
        <v>167</v>
      </c>
      <c r="F25" s="50" t="str">
        <f t="shared" si="1"/>
        <v>207.99.b&amp;g</v>
      </c>
      <c r="G25" s="50"/>
      <c r="H25" s="54"/>
      <c r="I25" s="54"/>
      <c r="J25" s="54"/>
      <c r="K25" s="175"/>
      <c r="L25" s="173"/>
    </row>
    <row r="26" spans="2:12">
      <c r="B26" s="50">
        <v>214</v>
      </c>
      <c r="C26" s="50">
        <v>47</v>
      </c>
      <c r="D26" s="50" t="s">
        <v>15</v>
      </c>
      <c r="E26" s="44" t="s">
        <v>11</v>
      </c>
      <c r="F26" s="50" t="str">
        <f t="shared" si="1"/>
        <v>214.47.d</v>
      </c>
      <c r="G26" s="50"/>
      <c r="H26" s="54"/>
      <c r="I26" s="54"/>
      <c r="J26" s="54"/>
    </row>
    <row r="27" spans="2:12">
      <c r="B27" s="50">
        <v>219</v>
      </c>
      <c r="C27" s="174" t="s">
        <v>478</v>
      </c>
      <c r="D27" s="55" t="s">
        <v>12</v>
      </c>
      <c r="E27" s="44" t="s">
        <v>169</v>
      </c>
      <c r="F27" s="50" t="str">
        <f>B27&amp;"."&amp;C27&amp;"."&amp;D27</f>
        <v>219.20 thru 24.c</v>
      </c>
      <c r="G27" s="50"/>
      <c r="H27" s="54"/>
      <c r="I27" s="54"/>
      <c r="J27" s="54"/>
    </row>
    <row r="28" spans="2:12">
      <c r="B28" s="50">
        <v>219</v>
      </c>
      <c r="C28" s="50">
        <v>25</v>
      </c>
      <c r="D28" s="55" t="s">
        <v>12</v>
      </c>
      <c r="E28" s="44" t="s">
        <v>170</v>
      </c>
      <c r="F28" s="50" t="str">
        <f t="shared" si="1"/>
        <v>219.25.c</v>
      </c>
      <c r="G28" s="50"/>
      <c r="H28" s="54"/>
      <c r="I28" s="54"/>
      <c r="J28" s="54"/>
    </row>
    <row r="29" spans="2:12">
      <c r="B29" s="50">
        <v>219</v>
      </c>
      <c r="C29" s="50">
        <v>26</v>
      </c>
      <c r="D29" s="55" t="s">
        <v>12</v>
      </c>
      <c r="E29" s="44" t="s">
        <v>171</v>
      </c>
      <c r="F29" s="50" t="str">
        <f t="shared" si="1"/>
        <v>219.26.c</v>
      </c>
      <c r="G29" s="50"/>
      <c r="H29" s="54"/>
      <c r="I29" s="54"/>
      <c r="J29" s="54"/>
    </row>
    <row r="30" spans="2:12">
      <c r="B30" s="50">
        <v>219</v>
      </c>
      <c r="C30" s="50">
        <v>28</v>
      </c>
      <c r="D30" s="55" t="s">
        <v>12</v>
      </c>
      <c r="E30" s="44" t="s">
        <v>172</v>
      </c>
      <c r="F30" s="50" t="str">
        <f t="shared" si="1"/>
        <v>219.28.c</v>
      </c>
      <c r="G30" s="50"/>
      <c r="H30" s="54"/>
      <c r="I30" s="54"/>
      <c r="J30" s="54"/>
    </row>
    <row r="31" spans="2:12">
      <c r="B31" s="50">
        <v>227</v>
      </c>
      <c r="C31" s="50">
        <v>8</v>
      </c>
      <c r="D31" s="50" t="s">
        <v>276</v>
      </c>
      <c r="E31" s="44" t="s">
        <v>65</v>
      </c>
      <c r="F31" s="50" t="str">
        <f>FIXED(B31,0)&amp;"."&amp;FIXED(C31,0)&amp;"."&amp;D31</f>
        <v>227.8.b&amp;c</v>
      </c>
      <c r="G31" s="50"/>
      <c r="H31" s="54"/>
      <c r="I31" s="54"/>
      <c r="J31" s="54"/>
    </row>
    <row r="32" spans="2:12">
      <c r="B32" s="50">
        <v>227</v>
      </c>
      <c r="C32" s="50">
        <v>16</v>
      </c>
      <c r="D32" s="50" t="s">
        <v>276</v>
      </c>
      <c r="E32" s="44" t="s">
        <v>66</v>
      </c>
      <c r="F32" s="50" t="str">
        <f>FIXED(B32,0)&amp;"."&amp;FIXED(C32,0)&amp;"."&amp;D32</f>
        <v>227.16.b&amp;c</v>
      </c>
      <c r="G32" s="50"/>
      <c r="H32" s="54"/>
      <c r="I32" s="54"/>
      <c r="J32" s="54"/>
    </row>
    <row r="33" spans="2:10">
      <c r="B33" s="50" t="s">
        <v>16</v>
      </c>
      <c r="C33" s="50">
        <v>5</v>
      </c>
      <c r="D33" s="50" t="s">
        <v>13</v>
      </c>
      <c r="E33" s="44" t="s">
        <v>179</v>
      </c>
      <c r="F33" s="50" t="str">
        <f>B33&amp;"."&amp;C33&amp;"."&amp;D33</f>
        <v>230a.5.b</v>
      </c>
      <c r="G33" s="50"/>
      <c r="H33" s="54"/>
      <c r="I33" s="54"/>
      <c r="J33" s="54"/>
    </row>
    <row r="34" spans="2:10">
      <c r="B34" s="50" t="s">
        <v>16</v>
      </c>
      <c r="C34" s="50">
        <v>5</v>
      </c>
      <c r="D34" s="50" t="s">
        <v>17</v>
      </c>
      <c r="E34" s="44" t="s">
        <v>179</v>
      </c>
      <c r="F34" s="50" t="str">
        <f>B34&amp;"."&amp;C34&amp;"."&amp;D34</f>
        <v>230a.5.e</v>
      </c>
      <c r="G34" s="50"/>
      <c r="H34" s="54"/>
      <c r="I34" s="54"/>
      <c r="J34" s="54"/>
    </row>
    <row r="35" spans="2:10">
      <c r="B35" s="50" t="s">
        <v>16</v>
      </c>
      <c r="C35" s="50">
        <v>5</v>
      </c>
      <c r="D35" s="50" t="s">
        <v>35</v>
      </c>
      <c r="E35" s="44" t="s">
        <v>180</v>
      </c>
      <c r="F35" s="50" t="str">
        <f>B35&amp;"."&amp;C35&amp;"."&amp;D35</f>
        <v>230a.5.f</v>
      </c>
      <c r="G35" s="50"/>
      <c r="H35" s="54"/>
      <c r="I35" s="54"/>
      <c r="J35" s="54"/>
    </row>
    <row r="36" spans="2:10">
      <c r="B36" s="50">
        <v>234</v>
      </c>
      <c r="C36" s="50">
        <v>8</v>
      </c>
      <c r="D36" s="50" t="s">
        <v>276</v>
      </c>
      <c r="E36" s="44" t="s">
        <v>18</v>
      </c>
      <c r="F36" s="50" t="str">
        <f>FIXED(B36,0)&amp;"."&amp;FIXED(C36,0)&amp;"."&amp;D36</f>
        <v>234.8.b&amp;c</v>
      </c>
      <c r="G36" s="50"/>
      <c r="H36" s="54"/>
      <c r="I36" s="54"/>
      <c r="J36" s="54"/>
    </row>
    <row r="37" spans="2:10">
      <c r="B37" s="50">
        <v>263</v>
      </c>
      <c r="C37" s="50">
        <v>3</v>
      </c>
      <c r="D37" s="50" t="s">
        <v>98</v>
      </c>
      <c r="E37" s="44" t="s">
        <v>157</v>
      </c>
      <c r="F37" s="50" t="str">
        <f t="shared" ref="F37:F42" si="2">B37&amp;"."&amp;C37&amp;"."&amp;D37</f>
        <v>263.3.i</v>
      </c>
      <c r="G37" s="50"/>
      <c r="H37" s="54"/>
      <c r="I37" s="54"/>
      <c r="J37" s="54"/>
    </row>
    <row r="38" spans="2:10">
      <c r="B38" s="50">
        <v>263</v>
      </c>
      <c r="C38" s="50">
        <v>4</v>
      </c>
      <c r="D38" s="50" t="s">
        <v>98</v>
      </c>
      <c r="E38" s="44" t="s">
        <v>158</v>
      </c>
      <c r="F38" s="50" t="str">
        <f t="shared" si="2"/>
        <v>263.4.i</v>
      </c>
      <c r="G38" s="50"/>
      <c r="H38" s="54"/>
      <c r="I38" s="54"/>
      <c r="J38" s="54"/>
    </row>
    <row r="39" spans="2:10">
      <c r="B39" s="50">
        <v>263</v>
      </c>
      <c r="C39" s="50">
        <v>7</v>
      </c>
      <c r="D39" s="50" t="s">
        <v>98</v>
      </c>
      <c r="E39" s="44" t="s">
        <v>161</v>
      </c>
      <c r="F39" s="50" t="str">
        <f t="shared" si="2"/>
        <v>263.7.i</v>
      </c>
      <c r="G39" s="50"/>
      <c r="H39" s="54"/>
      <c r="I39" s="54"/>
      <c r="J39" s="54"/>
    </row>
    <row r="40" spans="2:10">
      <c r="B40" s="50">
        <v>263</v>
      </c>
      <c r="C40" s="50">
        <v>15</v>
      </c>
      <c r="D40" s="50" t="s">
        <v>98</v>
      </c>
      <c r="E40" s="44" t="s">
        <v>159</v>
      </c>
      <c r="F40" s="50" t="str">
        <f t="shared" si="2"/>
        <v>263.15.i</v>
      </c>
      <c r="G40" s="50"/>
      <c r="H40" s="54"/>
      <c r="I40" s="54"/>
      <c r="J40" s="54"/>
    </row>
    <row r="41" spans="2:10">
      <c r="B41" s="50">
        <v>263</v>
      </c>
      <c r="C41" s="50">
        <v>16</v>
      </c>
      <c r="D41" s="50" t="s">
        <v>98</v>
      </c>
      <c r="E41" s="44" t="s">
        <v>160</v>
      </c>
      <c r="F41" s="50" t="str">
        <f t="shared" si="2"/>
        <v>263.16.i</v>
      </c>
      <c r="G41" s="50"/>
      <c r="H41" s="54"/>
      <c r="I41" s="54"/>
      <c r="J41" s="54"/>
    </row>
    <row r="42" spans="2:10">
      <c r="B42" s="50">
        <v>263</v>
      </c>
      <c r="C42" s="50">
        <v>22</v>
      </c>
      <c r="D42" s="50" t="s">
        <v>98</v>
      </c>
      <c r="E42" s="44" t="s">
        <v>162</v>
      </c>
      <c r="F42" s="50" t="str">
        <f t="shared" si="2"/>
        <v>263.22.i</v>
      </c>
      <c r="G42" s="50"/>
      <c r="H42" s="54"/>
      <c r="I42" s="54"/>
      <c r="J42" s="54"/>
    </row>
    <row r="43" spans="2:10">
      <c r="B43" s="50">
        <v>266</v>
      </c>
      <c r="C43" s="50">
        <v>8</v>
      </c>
      <c r="D43" s="50" t="s">
        <v>35</v>
      </c>
      <c r="E43" s="44" t="s">
        <v>36</v>
      </c>
      <c r="F43" s="50" t="str">
        <f t="shared" ref="F43:F61" si="3">FIXED(B43,0)&amp;"."&amp;FIXED(C43,0)&amp;"."&amp;D43</f>
        <v>266.8.f</v>
      </c>
      <c r="G43" s="50"/>
      <c r="H43" s="54"/>
      <c r="I43" s="54"/>
      <c r="J43" s="54"/>
    </row>
    <row r="44" spans="2:10">
      <c r="B44" s="50">
        <v>267</v>
      </c>
      <c r="C44" s="50">
        <v>8</v>
      </c>
      <c r="D44" s="50" t="s">
        <v>274</v>
      </c>
      <c r="E44" s="44" t="s">
        <v>33</v>
      </c>
      <c r="F44" s="50" t="str">
        <f t="shared" si="3"/>
        <v>267.8.b&amp;h</v>
      </c>
      <c r="G44" s="50"/>
      <c r="H44" s="54"/>
      <c r="I44" s="54"/>
      <c r="J44" s="54"/>
    </row>
    <row r="45" spans="2:10">
      <c r="B45" s="50">
        <v>273</v>
      </c>
      <c r="C45" s="50">
        <v>8</v>
      </c>
      <c r="D45" s="50" t="s">
        <v>275</v>
      </c>
      <c r="E45" s="44" t="s">
        <v>19</v>
      </c>
      <c r="F45" s="50" t="str">
        <f t="shared" si="3"/>
        <v>273.8.b&amp;k</v>
      </c>
      <c r="G45" s="50"/>
      <c r="H45" s="54"/>
      <c r="I45" s="54"/>
      <c r="J45" s="54"/>
    </row>
    <row r="46" spans="2:10">
      <c r="B46" s="50">
        <v>275</v>
      </c>
      <c r="C46" s="50">
        <v>2</v>
      </c>
      <c r="D46" s="50" t="s">
        <v>275</v>
      </c>
      <c r="E46" s="44" t="s">
        <v>20</v>
      </c>
      <c r="F46" s="50" t="str">
        <f t="shared" si="3"/>
        <v>275.2.b&amp;k</v>
      </c>
      <c r="G46" s="50"/>
      <c r="H46" s="54"/>
      <c r="I46" s="54"/>
      <c r="J46" s="54"/>
    </row>
    <row r="47" spans="2:10">
      <c r="B47" s="50">
        <v>277</v>
      </c>
      <c r="C47" s="50">
        <v>9</v>
      </c>
      <c r="D47" s="50" t="s">
        <v>275</v>
      </c>
      <c r="E47" s="44" t="s">
        <v>193</v>
      </c>
      <c r="F47" s="50" t="str">
        <f>FIXED(B47,0)&amp;"."&amp;FIXED(C47,0)&amp;"."&amp;D47</f>
        <v>277.9.b&amp;k</v>
      </c>
      <c r="G47" s="50"/>
      <c r="H47" s="54"/>
      <c r="I47" s="54"/>
      <c r="J47" s="54"/>
    </row>
    <row r="48" spans="2:10">
      <c r="B48" s="50">
        <v>321</v>
      </c>
      <c r="C48" s="174" t="s">
        <v>479</v>
      </c>
      <c r="D48" s="174" t="s">
        <v>13</v>
      </c>
      <c r="E48" s="103" t="s">
        <v>480</v>
      </c>
      <c r="F48" s="50" t="str">
        <f>B48&amp;"."&amp;C48&amp;"."&amp;D48</f>
        <v>321.84 thru 92.b</v>
      </c>
      <c r="G48" s="50"/>
      <c r="H48" s="54"/>
      <c r="I48" s="54"/>
      <c r="J48" s="54"/>
    </row>
    <row r="49" spans="2:10">
      <c r="B49" s="50">
        <v>321</v>
      </c>
      <c r="C49" s="50">
        <v>96</v>
      </c>
      <c r="D49" s="50" t="s">
        <v>13</v>
      </c>
      <c r="E49" s="44" t="s">
        <v>7</v>
      </c>
      <c r="F49" s="50" t="str">
        <f t="shared" si="3"/>
        <v>321.96.b</v>
      </c>
      <c r="G49" s="50"/>
      <c r="H49" s="54"/>
      <c r="I49" s="54"/>
      <c r="J49" s="54"/>
    </row>
    <row r="50" spans="2:10">
      <c r="B50" s="50">
        <v>321</v>
      </c>
      <c r="C50" s="50">
        <v>112</v>
      </c>
      <c r="D50" s="50" t="s">
        <v>13</v>
      </c>
      <c r="E50" s="44" t="s">
        <v>50</v>
      </c>
      <c r="F50" s="50" t="str">
        <f t="shared" si="3"/>
        <v>321.112.b</v>
      </c>
      <c r="G50" s="50"/>
      <c r="H50" s="54"/>
      <c r="I50" s="54"/>
      <c r="J50" s="54"/>
    </row>
    <row r="51" spans="2:10">
      <c r="B51" s="50">
        <v>323</v>
      </c>
      <c r="C51" s="50">
        <v>185</v>
      </c>
      <c r="D51" s="50" t="s">
        <v>13</v>
      </c>
      <c r="E51" s="44" t="s">
        <v>52</v>
      </c>
      <c r="F51" s="50" t="str">
        <f t="shared" si="3"/>
        <v>323.185.b</v>
      </c>
      <c r="G51" s="50"/>
      <c r="H51" s="54"/>
      <c r="I51" s="54"/>
      <c r="J51" s="54"/>
    </row>
    <row r="52" spans="2:10">
      <c r="B52" s="50">
        <v>323</v>
      </c>
      <c r="C52" s="50">
        <v>189</v>
      </c>
      <c r="D52" s="50" t="s">
        <v>13</v>
      </c>
      <c r="E52" s="44" t="s">
        <v>9</v>
      </c>
      <c r="F52" s="50" t="str">
        <f t="shared" si="3"/>
        <v>323.189.b</v>
      </c>
      <c r="G52" s="50"/>
      <c r="H52" s="54"/>
      <c r="I52" s="54"/>
      <c r="J52" s="54"/>
    </row>
    <row r="53" spans="2:10">
      <c r="B53" s="50">
        <v>323</v>
      </c>
      <c r="C53" s="50">
        <v>191</v>
      </c>
      <c r="D53" s="50" t="s">
        <v>13</v>
      </c>
      <c r="E53" s="44" t="s">
        <v>10</v>
      </c>
      <c r="F53" s="50" t="str">
        <f t="shared" si="3"/>
        <v>323.191.b</v>
      </c>
      <c r="G53" s="50"/>
      <c r="H53" s="54"/>
      <c r="I53" s="54"/>
      <c r="J53" s="54"/>
    </row>
    <row r="54" spans="2:10">
      <c r="B54" s="50">
        <v>323</v>
      </c>
      <c r="C54" s="50">
        <v>197</v>
      </c>
      <c r="D54" s="50" t="s">
        <v>13</v>
      </c>
      <c r="E54" s="44" t="s">
        <v>8</v>
      </c>
      <c r="F54" s="50" t="str">
        <f t="shared" si="3"/>
        <v>323.197.b</v>
      </c>
      <c r="G54" s="50"/>
      <c r="H54" s="56"/>
      <c r="I54" s="56"/>
      <c r="J54" s="54"/>
    </row>
    <row r="55" spans="2:10">
      <c r="B55" s="50">
        <v>335</v>
      </c>
      <c r="C55" s="50">
        <v>1</v>
      </c>
      <c r="D55" s="50" t="s">
        <v>13</v>
      </c>
      <c r="E55" s="44" t="s">
        <v>279</v>
      </c>
      <c r="F55" s="50" t="str">
        <f t="shared" si="3"/>
        <v>335.1.b</v>
      </c>
      <c r="G55" s="50"/>
      <c r="H55" s="56"/>
      <c r="I55" s="56"/>
      <c r="J55" s="54"/>
    </row>
    <row r="56" spans="2:10">
      <c r="B56" s="2">
        <v>336</v>
      </c>
      <c r="C56" s="2">
        <v>1</v>
      </c>
      <c r="D56" s="2" t="s">
        <v>35</v>
      </c>
      <c r="E56" t="s">
        <v>176</v>
      </c>
      <c r="F56" s="2" t="str">
        <f t="shared" si="3"/>
        <v>336.1.f</v>
      </c>
      <c r="G56" s="2"/>
      <c r="H56" s="38"/>
      <c r="I56" s="38"/>
      <c r="J56" s="38"/>
    </row>
    <row r="57" spans="2:10">
      <c r="B57" s="2">
        <v>336</v>
      </c>
      <c r="C57" s="2">
        <v>7</v>
      </c>
      <c r="D57" s="2" t="s">
        <v>35</v>
      </c>
      <c r="E57" t="s">
        <v>58</v>
      </c>
      <c r="F57" s="2" t="str">
        <f t="shared" si="3"/>
        <v>336.7.f</v>
      </c>
      <c r="G57" s="2"/>
      <c r="H57" s="38"/>
      <c r="I57" s="38"/>
      <c r="J57" s="38"/>
    </row>
    <row r="58" spans="2:10">
      <c r="B58" s="2">
        <v>336</v>
      </c>
      <c r="C58" s="2">
        <v>10</v>
      </c>
      <c r="D58" s="2" t="s">
        <v>35</v>
      </c>
      <c r="E58" t="s">
        <v>59</v>
      </c>
      <c r="F58" s="2" t="str">
        <f t="shared" si="3"/>
        <v>336.10.f</v>
      </c>
      <c r="G58" s="2"/>
      <c r="H58" s="38"/>
      <c r="I58" s="38"/>
      <c r="J58" s="38"/>
    </row>
    <row r="59" spans="2:10">
      <c r="B59" s="2">
        <v>354</v>
      </c>
      <c r="C59" s="2">
        <v>21</v>
      </c>
      <c r="D59" s="2" t="s">
        <v>13</v>
      </c>
      <c r="E59" t="s">
        <v>6</v>
      </c>
      <c r="F59" s="2" t="str">
        <f t="shared" si="3"/>
        <v>354.21.b</v>
      </c>
      <c r="G59" s="2"/>
      <c r="H59" s="38"/>
      <c r="I59" s="38"/>
      <c r="J59" s="38"/>
    </row>
    <row r="60" spans="2:10">
      <c r="B60" s="2">
        <v>354</v>
      </c>
      <c r="C60" s="2">
        <v>27</v>
      </c>
      <c r="D60" s="2" t="s">
        <v>13</v>
      </c>
      <c r="E60" t="s">
        <v>163</v>
      </c>
      <c r="F60" s="2" t="str">
        <f t="shared" si="3"/>
        <v>354.27.b</v>
      </c>
      <c r="G60" s="2"/>
      <c r="H60" s="38"/>
      <c r="I60" s="38"/>
      <c r="J60" s="38"/>
    </row>
    <row r="61" spans="2:10">
      <c r="B61" s="2">
        <v>354</v>
      </c>
      <c r="C61" s="31">
        <v>28</v>
      </c>
      <c r="D61" s="2" t="s">
        <v>13</v>
      </c>
      <c r="E61" t="s">
        <v>5</v>
      </c>
      <c r="F61" s="2" t="str">
        <f t="shared" si="3"/>
        <v>354.28.b</v>
      </c>
      <c r="G61" s="2"/>
      <c r="H61" s="38"/>
      <c r="I61" s="38"/>
      <c r="J61" s="38"/>
    </row>
    <row r="62" spans="2:10">
      <c r="B62" s="2">
        <v>400</v>
      </c>
      <c r="C62" s="2">
        <v>17</v>
      </c>
      <c r="D62" s="2" t="s">
        <v>17</v>
      </c>
      <c r="E62" t="s">
        <v>102</v>
      </c>
      <c r="F62" s="2" t="str">
        <f>B62&amp;"."&amp;C62&amp;"."&amp;D62</f>
        <v>400.17.e</v>
      </c>
      <c r="G62" s="2"/>
      <c r="H62" s="38"/>
      <c r="I62" s="38"/>
      <c r="J62" s="38"/>
    </row>
    <row r="63" spans="2:10">
      <c r="B63" s="2">
        <v>400</v>
      </c>
      <c r="C63" s="2">
        <v>17</v>
      </c>
      <c r="D63" s="2" t="s">
        <v>35</v>
      </c>
      <c r="E63" t="s">
        <v>99</v>
      </c>
      <c r="F63" s="2" t="str">
        <f>B63&amp;"."&amp;C63&amp;"."&amp;D63</f>
        <v>400.17.f</v>
      </c>
      <c r="G63" s="2"/>
      <c r="H63" s="38"/>
      <c r="I63" s="38"/>
      <c r="J63" s="38"/>
    </row>
    <row r="64" spans="2:10">
      <c r="B64" s="2">
        <v>400</v>
      </c>
      <c r="C64" s="2">
        <v>17</v>
      </c>
      <c r="D64" s="2" t="s">
        <v>14</v>
      </c>
      <c r="E64" t="s">
        <v>101</v>
      </c>
      <c r="F64" s="2" t="str">
        <f>B64&amp;"."&amp;C64&amp;"."&amp;D64</f>
        <v>400.17.g</v>
      </c>
      <c r="G64" s="2"/>
      <c r="H64" s="38"/>
      <c r="I64" s="38"/>
      <c r="J64" s="38"/>
    </row>
    <row r="65" spans="2:10">
      <c r="B65" s="2">
        <v>400</v>
      </c>
      <c r="C65" s="2">
        <v>17</v>
      </c>
      <c r="D65" s="2" t="s">
        <v>34</v>
      </c>
      <c r="E65" t="s">
        <v>156</v>
      </c>
      <c r="F65" s="2" t="str">
        <f>B65&amp;"."&amp;C65&amp;"."&amp;D65</f>
        <v>400.17.h</v>
      </c>
      <c r="G65" s="2"/>
      <c r="H65" s="38"/>
      <c r="I65" s="38"/>
      <c r="J65" s="38"/>
    </row>
    <row r="66" spans="2:10">
      <c r="B66" s="2">
        <v>400</v>
      </c>
      <c r="C66" s="2">
        <v>17</v>
      </c>
      <c r="D66" s="2" t="s">
        <v>98</v>
      </c>
      <c r="E66" t="s">
        <v>100</v>
      </c>
      <c r="F66" s="2" t="str">
        <f>B66&amp;"."&amp;C66&amp;"."&amp;D66</f>
        <v>400.17.i</v>
      </c>
      <c r="G66" s="2"/>
      <c r="H66" s="38"/>
      <c r="I66" s="38"/>
      <c r="J66" s="38"/>
    </row>
    <row r="67" spans="2:10">
      <c r="B67" s="2"/>
      <c r="D67" s="2"/>
    </row>
    <row r="68" spans="2:10">
      <c r="B68" s="3" t="s">
        <v>269</v>
      </c>
    </row>
    <row r="70" spans="2:10">
      <c r="B70" s="50">
        <v>200</v>
      </c>
      <c r="C70" s="50">
        <v>21</v>
      </c>
      <c r="D70" s="50" t="s">
        <v>12</v>
      </c>
      <c r="E70" s="44" t="s">
        <v>168</v>
      </c>
      <c r="F70" s="50" t="str">
        <f t="shared" ref="F70:F75" si="4">FIXED(B70,0)&amp;"."&amp;FIXED(C70,0)&amp;"."&amp;D70</f>
        <v>200.21.c</v>
      </c>
      <c r="G70" s="50"/>
      <c r="H70" s="54"/>
      <c r="I70" s="54"/>
      <c r="J70" s="54"/>
    </row>
    <row r="71" spans="2:10">
      <c r="B71" s="50">
        <v>214</v>
      </c>
      <c r="C71" s="50">
        <v>47</v>
      </c>
      <c r="D71" s="50" t="s">
        <v>15</v>
      </c>
      <c r="E71" s="44" t="s">
        <v>273</v>
      </c>
      <c r="F71" s="50" t="str">
        <f t="shared" si="4"/>
        <v>214.47.d</v>
      </c>
      <c r="G71" s="50"/>
      <c r="H71" s="54"/>
      <c r="I71" s="54"/>
      <c r="J71" s="54"/>
    </row>
    <row r="72" spans="2:10">
      <c r="B72" s="50">
        <v>219</v>
      </c>
      <c r="C72" s="174" t="s">
        <v>478</v>
      </c>
      <c r="D72" s="55" t="s">
        <v>12</v>
      </c>
      <c r="E72" s="44" t="s">
        <v>169</v>
      </c>
      <c r="F72" s="50" t="str">
        <f>B72&amp;"."&amp;C72&amp;"."&amp;D72</f>
        <v>219.20 thru 24.c</v>
      </c>
      <c r="G72" s="50"/>
      <c r="H72" s="54"/>
      <c r="I72" s="54"/>
      <c r="J72" s="54"/>
    </row>
    <row r="73" spans="2:10">
      <c r="B73" s="50">
        <v>219</v>
      </c>
      <c r="C73" s="50">
        <v>25</v>
      </c>
      <c r="D73" s="55" t="s">
        <v>12</v>
      </c>
      <c r="E73" s="44" t="s">
        <v>170</v>
      </c>
      <c r="F73" s="50" t="str">
        <f t="shared" si="4"/>
        <v>219.25.c</v>
      </c>
      <c r="G73" s="50"/>
      <c r="H73" s="54"/>
      <c r="I73" s="54"/>
      <c r="J73" s="54"/>
    </row>
    <row r="74" spans="2:10">
      <c r="B74" s="50">
        <v>219</v>
      </c>
      <c r="C74" s="50">
        <v>26</v>
      </c>
      <c r="D74" s="55" t="s">
        <v>12</v>
      </c>
      <c r="E74" s="44" t="s">
        <v>171</v>
      </c>
      <c r="F74" s="50" t="str">
        <f t="shared" si="4"/>
        <v>219.26.c</v>
      </c>
      <c r="G74" s="50"/>
      <c r="H74" s="54"/>
      <c r="I74" s="54"/>
      <c r="J74" s="54"/>
    </row>
    <row r="75" spans="2:10">
      <c r="B75" s="50">
        <v>219</v>
      </c>
      <c r="C75" s="50">
        <v>28</v>
      </c>
      <c r="D75" s="55" t="s">
        <v>12</v>
      </c>
      <c r="E75" s="44" t="s">
        <v>172</v>
      </c>
      <c r="F75" s="50" t="str">
        <f t="shared" si="4"/>
        <v>219.28.c</v>
      </c>
      <c r="G75" s="50"/>
      <c r="H75" s="54"/>
      <c r="I75" s="54"/>
      <c r="J75" s="54"/>
    </row>
    <row r="76" spans="2:10">
      <c r="B76" s="50" t="s">
        <v>16</v>
      </c>
      <c r="C76" s="50">
        <v>5</v>
      </c>
      <c r="D76" s="50" t="s">
        <v>35</v>
      </c>
      <c r="E76" s="44" t="s">
        <v>180</v>
      </c>
      <c r="F76" s="50" t="str">
        <f>B76&amp;"."&amp;C76&amp;"."&amp;D76</f>
        <v>230a.5.f</v>
      </c>
      <c r="G76" s="50"/>
      <c r="H76" s="54"/>
      <c r="I76" s="54"/>
      <c r="J76" s="54"/>
    </row>
  </sheetData>
  <mergeCells count="3">
    <mergeCell ref="K3:L3"/>
    <mergeCell ref="A5:L5"/>
    <mergeCell ref="A6:L6"/>
  </mergeCells>
  <phoneticPr fontId="0" type="noConversion"/>
  <printOptions horizontalCentered="1"/>
  <pageMargins left="0.5" right="0.5" top="0.75" bottom="0.75" header="0.5" footer="0.5"/>
  <pageSetup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>
      <selection activeCell="F25" sqref="F25"/>
    </sheetView>
  </sheetViews>
  <sheetFormatPr defaultRowHeight="12.75"/>
  <cols>
    <col min="1" max="1" width="5.7109375" style="138" customWidth="1"/>
    <col min="2" max="2" width="3.7109375" style="138" customWidth="1"/>
    <col min="3" max="3" width="9.140625" style="138"/>
    <col min="4" max="4" width="14.5703125" style="138" customWidth="1"/>
    <col min="5" max="5" width="25.28515625" style="138" customWidth="1"/>
    <col min="6" max="10" width="12.7109375" style="138" customWidth="1"/>
    <col min="11" max="11" width="11.7109375" style="138" customWidth="1"/>
    <col min="12" max="12" width="13.42578125" style="138" customWidth="1"/>
    <col min="13" max="16384" width="9.140625" style="138"/>
  </cols>
  <sheetData>
    <row r="1" spans="1:12" ht="15">
      <c r="A1" s="138" t="s">
        <v>425</v>
      </c>
      <c r="K1" s="139" t="s">
        <v>209</v>
      </c>
    </row>
    <row r="2" spans="1:12" ht="15">
      <c r="K2" s="139" t="s">
        <v>392</v>
      </c>
    </row>
    <row r="3" spans="1:12">
      <c r="K3" s="265"/>
      <c r="L3" s="265"/>
    </row>
    <row r="5" spans="1:12">
      <c r="A5" s="266" t="s">
        <v>135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2" ht="6" customHeight="1"/>
    <row r="7" spans="1:12">
      <c r="A7" s="267" t="s">
        <v>424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10" spans="1:12">
      <c r="A10" s="142" t="s">
        <v>308</v>
      </c>
      <c r="B10" s="144"/>
      <c r="C10" s="144"/>
      <c r="D10" s="144"/>
      <c r="E10" s="144"/>
      <c r="F10" s="145"/>
      <c r="G10" s="145"/>
      <c r="H10" s="145"/>
      <c r="I10" s="145"/>
      <c r="J10" s="145"/>
    </row>
    <row r="11" spans="1:12" ht="13.5" thickBot="1"/>
    <row r="12" spans="1:12" ht="13.5" thickBot="1">
      <c r="A12" s="141">
        <v>1</v>
      </c>
      <c r="B12" s="146" t="s">
        <v>440</v>
      </c>
      <c r="C12" s="146"/>
      <c r="D12" s="146"/>
      <c r="E12" s="146"/>
      <c r="F12" s="146"/>
      <c r="H12" s="147"/>
      <c r="I12" s="147"/>
      <c r="J12" s="147"/>
    </row>
    <row r="13" spans="1:12">
      <c r="A13" s="141">
        <f t="shared" ref="A13:A44" si="0">A12+1</f>
        <v>2</v>
      </c>
      <c r="H13" s="148"/>
      <c r="I13" s="148"/>
      <c r="J13" s="148"/>
    </row>
    <row r="14" spans="1:12">
      <c r="A14" s="141">
        <f t="shared" si="0"/>
        <v>3</v>
      </c>
      <c r="C14" s="149" t="s">
        <v>441</v>
      </c>
      <c r="E14" s="148"/>
      <c r="F14" s="148"/>
      <c r="H14" s="148"/>
      <c r="I14" s="148"/>
      <c r="J14" s="148"/>
    </row>
    <row r="15" spans="1:12">
      <c r="A15" s="141">
        <f t="shared" si="0"/>
        <v>4</v>
      </c>
      <c r="C15" s="150"/>
      <c r="E15" s="148"/>
      <c r="F15" s="148"/>
      <c r="H15" s="148"/>
      <c r="I15" s="148"/>
      <c r="J15" s="148"/>
    </row>
    <row r="16" spans="1:12">
      <c r="A16" s="141">
        <f t="shared" si="0"/>
        <v>5</v>
      </c>
      <c r="C16" s="140" t="s">
        <v>441</v>
      </c>
      <c r="E16" s="148"/>
      <c r="F16" s="148"/>
      <c r="H16" s="148"/>
      <c r="I16" s="148"/>
      <c r="J16" s="148"/>
    </row>
    <row r="17" spans="1:11">
      <c r="A17" s="141">
        <f t="shared" si="0"/>
        <v>6</v>
      </c>
      <c r="C17" s="150" t="s">
        <v>309</v>
      </c>
      <c r="E17" s="148" t="s">
        <v>435</v>
      </c>
      <c r="F17" s="184">
        <f>'PEF - 2 - Page 5 Storm, Notes'!$K$19</f>
        <v>13307907.028750595</v>
      </c>
      <c r="H17" s="148"/>
      <c r="I17" s="148"/>
      <c r="J17" s="148"/>
    </row>
    <row r="18" spans="1:11">
      <c r="A18" s="141">
        <f t="shared" si="0"/>
        <v>7</v>
      </c>
      <c r="C18" s="150" t="s">
        <v>310</v>
      </c>
      <c r="E18" s="148" t="s">
        <v>436</v>
      </c>
      <c r="F18" s="186">
        <f>'PEF - 2 - Page 5 Storm, Notes'!$K$24</f>
        <v>8614773.8050481882</v>
      </c>
      <c r="H18" s="148"/>
      <c r="I18" s="148"/>
      <c r="J18" s="148"/>
    </row>
    <row r="19" spans="1:11">
      <c r="A19" s="141">
        <f t="shared" si="0"/>
        <v>8</v>
      </c>
      <c r="C19" s="138" t="s">
        <v>414</v>
      </c>
      <c r="F19" s="151">
        <f>F17+F18</f>
        <v>21922680.833798781</v>
      </c>
      <c r="G19" s="148"/>
      <c r="H19" s="153"/>
      <c r="I19" s="153"/>
      <c r="J19" s="153"/>
    </row>
    <row r="20" spans="1:11">
      <c r="A20" s="141">
        <f t="shared" si="0"/>
        <v>9</v>
      </c>
      <c r="C20" s="154" t="s">
        <v>442</v>
      </c>
      <c r="F20" s="148"/>
      <c r="G20" s="148"/>
      <c r="H20" s="153"/>
      <c r="I20" s="153"/>
      <c r="J20" s="185"/>
    </row>
    <row r="21" spans="1:11">
      <c r="A21" s="141">
        <f t="shared" si="0"/>
        <v>10</v>
      </c>
      <c r="B21" s="155"/>
      <c r="C21" s="150" t="s">
        <v>443</v>
      </c>
      <c r="F21" s="148"/>
      <c r="G21" s="148"/>
      <c r="H21" s="153"/>
      <c r="I21" s="153"/>
      <c r="J21" s="153"/>
    </row>
    <row r="22" spans="1:11">
      <c r="A22" s="141">
        <f t="shared" si="0"/>
        <v>11</v>
      </c>
      <c r="C22" s="156" t="s">
        <v>444</v>
      </c>
      <c r="E22" s="148" t="s">
        <v>437</v>
      </c>
      <c r="F22" s="184">
        <f>'PEF - 2 - Page 5 Storm, Notes'!$K$26</f>
        <v>368844.85383767809</v>
      </c>
      <c r="H22" s="153"/>
      <c r="I22" s="153"/>
      <c r="J22" s="153"/>
    </row>
    <row r="23" spans="1:11">
      <c r="A23" s="141">
        <f t="shared" si="0"/>
        <v>12</v>
      </c>
      <c r="C23" s="156" t="s">
        <v>445</v>
      </c>
      <c r="E23" s="148" t="s">
        <v>446</v>
      </c>
      <c r="F23" s="151">
        <f>F22*5</f>
        <v>1844224.2691883906</v>
      </c>
      <c r="H23" s="153"/>
      <c r="I23" s="153"/>
      <c r="J23" s="153"/>
    </row>
    <row r="24" spans="1:11">
      <c r="A24" s="141">
        <f t="shared" si="0"/>
        <v>13</v>
      </c>
      <c r="F24" s="148"/>
      <c r="G24" s="148"/>
      <c r="H24" s="153"/>
      <c r="I24" s="153"/>
      <c r="J24" s="153"/>
    </row>
    <row r="25" spans="1:11">
      <c r="A25" s="141">
        <f t="shared" si="0"/>
        <v>14</v>
      </c>
      <c r="C25" s="154" t="s">
        <v>447</v>
      </c>
      <c r="E25" s="148" t="s">
        <v>448</v>
      </c>
      <c r="F25" s="151">
        <f>F19-F23</f>
        <v>20078456.564610392</v>
      </c>
      <c r="H25" s="153"/>
      <c r="I25" s="153"/>
      <c r="J25" s="153"/>
    </row>
    <row r="26" spans="1:11">
      <c r="A26" s="141">
        <f t="shared" si="0"/>
        <v>15</v>
      </c>
      <c r="F26" s="148"/>
      <c r="G26" s="148"/>
      <c r="H26" s="153"/>
      <c r="I26" s="153"/>
      <c r="J26" s="153"/>
    </row>
    <row r="27" spans="1:11">
      <c r="A27" s="141">
        <f t="shared" si="0"/>
        <v>16</v>
      </c>
      <c r="C27" s="157" t="s">
        <v>449</v>
      </c>
      <c r="F27" s="145">
        <v>2008</v>
      </c>
      <c r="G27" s="145">
        <v>2009</v>
      </c>
      <c r="H27" s="145">
        <v>2010</v>
      </c>
      <c r="I27" s="145">
        <v>2011</v>
      </c>
      <c r="J27" s="145">
        <v>2012</v>
      </c>
      <c r="K27" s="145" t="s">
        <v>22</v>
      </c>
    </row>
    <row r="28" spans="1:11">
      <c r="A28" s="141">
        <f t="shared" si="0"/>
        <v>17</v>
      </c>
      <c r="F28" s="148"/>
    </row>
    <row r="29" spans="1:11">
      <c r="A29" s="141">
        <f t="shared" si="0"/>
        <v>18</v>
      </c>
      <c r="C29" s="138" t="s">
        <v>450</v>
      </c>
      <c r="F29" s="148"/>
      <c r="G29" s="148"/>
      <c r="H29" s="148"/>
      <c r="I29" s="148"/>
      <c r="J29" s="148"/>
    </row>
    <row r="30" spans="1:11">
      <c r="A30" s="141">
        <f t="shared" si="0"/>
        <v>19</v>
      </c>
      <c r="C30" s="150" t="s">
        <v>420</v>
      </c>
      <c r="E30" s="150" t="s">
        <v>451</v>
      </c>
      <c r="F30" s="178">
        <v>6593.3859762747506</v>
      </c>
      <c r="G30" s="178">
        <v>13904.176834689111</v>
      </c>
      <c r="H30" s="178">
        <v>30194.461167706668</v>
      </c>
      <c r="I30" s="178">
        <v>37330.800746542569</v>
      </c>
      <c r="J30" s="178">
        <v>39888.800701937114</v>
      </c>
      <c r="K30" s="178">
        <f>SUM(F30:J30)</f>
        <v>127911.62542715023</v>
      </c>
    </row>
    <row r="31" spans="1:11">
      <c r="A31" s="141">
        <f t="shared" si="0"/>
        <v>20</v>
      </c>
      <c r="C31" s="150" t="s">
        <v>415</v>
      </c>
      <c r="E31" s="150" t="s">
        <v>451</v>
      </c>
      <c r="F31" s="179">
        <v>3000</v>
      </c>
      <c r="G31" s="179">
        <v>3000</v>
      </c>
      <c r="H31" s="179">
        <v>3000</v>
      </c>
      <c r="I31" s="179">
        <v>3000</v>
      </c>
      <c r="J31" s="179">
        <v>3000</v>
      </c>
      <c r="K31" s="179">
        <f>SUM(F31:J31)</f>
        <v>15000</v>
      </c>
    </row>
    <row r="32" spans="1:11">
      <c r="A32" s="141">
        <f t="shared" si="0"/>
        <v>21</v>
      </c>
      <c r="C32" s="138" t="s">
        <v>452</v>
      </c>
      <c r="F32" s="148">
        <f t="shared" ref="F32:K32" si="1">SUM(F30:F31)</f>
        <v>9593.3859762747506</v>
      </c>
      <c r="G32" s="148">
        <f t="shared" si="1"/>
        <v>16904.176834689111</v>
      </c>
      <c r="H32" s="148">
        <f t="shared" si="1"/>
        <v>33194.461167706671</v>
      </c>
      <c r="I32" s="148">
        <f t="shared" si="1"/>
        <v>40330.800746542569</v>
      </c>
      <c r="J32" s="148">
        <f t="shared" si="1"/>
        <v>42888.800701937114</v>
      </c>
      <c r="K32" s="148">
        <f t="shared" si="1"/>
        <v>142911.62542715023</v>
      </c>
    </row>
    <row r="33" spans="1:11">
      <c r="A33" s="141">
        <f t="shared" si="0"/>
        <v>22</v>
      </c>
      <c r="F33" s="148"/>
    </row>
    <row r="34" spans="1:11">
      <c r="A34" s="141">
        <f t="shared" si="0"/>
        <v>23</v>
      </c>
      <c r="C34" s="138" t="s">
        <v>453</v>
      </c>
      <c r="E34" s="169" t="s">
        <v>475</v>
      </c>
      <c r="F34" s="159">
        <f>F32/$K$32</f>
        <v>6.7128100653819925E-2</v>
      </c>
      <c r="G34" s="159">
        <f>G32/$K$32</f>
        <v>0.11828412688025917</v>
      </c>
      <c r="H34" s="159">
        <f>H32/$K$32</f>
        <v>0.23227264449964347</v>
      </c>
      <c r="I34" s="159">
        <f>I32/$K$32</f>
        <v>0.28220797731463321</v>
      </c>
      <c r="J34" s="159">
        <f>J32/$K$32</f>
        <v>0.30010715065164417</v>
      </c>
      <c r="K34" s="160">
        <f>SUM(F34:J34)</f>
        <v>1</v>
      </c>
    </row>
    <row r="35" spans="1:11" ht="12" customHeight="1">
      <c r="A35" s="141">
        <f t="shared" si="0"/>
        <v>24</v>
      </c>
      <c r="F35" s="148"/>
    </row>
    <row r="36" spans="1:11" ht="12" customHeight="1">
      <c r="A36" s="141">
        <f t="shared" si="0"/>
        <v>25</v>
      </c>
      <c r="C36" s="138" t="s">
        <v>449</v>
      </c>
      <c r="F36" s="148"/>
    </row>
    <row r="37" spans="1:11">
      <c r="A37" s="141">
        <f t="shared" si="0"/>
        <v>26</v>
      </c>
      <c r="C37" s="150" t="s">
        <v>309</v>
      </c>
      <c r="E37" s="138" t="s">
        <v>454</v>
      </c>
      <c r="F37" s="151">
        <f>F$34*$F$25*($F$17/$F$19)</f>
        <v>818183.62197674019</v>
      </c>
      <c r="G37" s="151">
        <f>G$34*$F$25*($F$17/$F$19)</f>
        <v>1441693.3357362852</v>
      </c>
      <c r="H37" s="151">
        <f>H$34*$F$25*($F$17/$F$19)</f>
        <v>2831030.1008348246</v>
      </c>
      <c r="I37" s="151">
        <f>I$34*$F$25*($F$17/$F$19)</f>
        <v>3439661.5244748043</v>
      </c>
      <c r="J37" s="151">
        <f>J$34*$F$25*($F$17/$F$19)</f>
        <v>3657823.6701131635</v>
      </c>
      <c r="K37" s="151">
        <f>SUM(F37:J37)</f>
        <v>12188392.253135817</v>
      </c>
    </row>
    <row r="38" spans="1:11">
      <c r="A38" s="141">
        <f t="shared" si="0"/>
        <v>27</v>
      </c>
      <c r="C38" s="150" t="s">
        <v>310</v>
      </c>
      <c r="E38" s="138" t="s">
        <v>455</v>
      </c>
      <c r="F38" s="152">
        <f>F$34*$F$25*($F$18/$F$19)</f>
        <v>529645.03126577765</v>
      </c>
      <c r="G38" s="152">
        <f>G$34*$F$25*($F$18/$F$19)</f>
        <v>933269.36811186338</v>
      </c>
      <c r="H38" s="152">
        <f>H$34*$F$25*($F$18/$F$19)</f>
        <v>1832646.1028984583</v>
      </c>
      <c r="I38" s="152">
        <f>I$34*$F$25*($F$18/$F$19)</f>
        <v>2226639.0902236141</v>
      </c>
      <c r="J38" s="152">
        <f>J$34*$F$25*($F$18/$F$19)</f>
        <v>2367864.7189748613</v>
      </c>
      <c r="K38" s="158">
        <f>SUM(F38:J38)</f>
        <v>7890064.3114745747</v>
      </c>
    </row>
    <row r="39" spans="1:11">
      <c r="A39" s="141">
        <f t="shared" si="0"/>
        <v>28</v>
      </c>
      <c r="C39" s="138" t="s">
        <v>311</v>
      </c>
      <c r="F39" s="151">
        <f t="shared" ref="F39:K39" si="2">SUM(F37:F38)</f>
        <v>1347828.6532425177</v>
      </c>
      <c r="G39" s="151">
        <f t="shared" si="2"/>
        <v>2374962.7038481487</v>
      </c>
      <c r="H39" s="151">
        <f t="shared" si="2"/>
        <v>4663676.2037332831</v>
      </c>
      <c r="I39" s="151">
        <f t="shared" si="2"/>
        <v>5666300.6146984184</v>
      </c>
      <c r="J39" s="151">
        <f t="shared" si="2"/>
        <v>6025688.3890880253</v>
      </c>
      <c r="K39" s="151">
        <f t="shared" si="2"/>
        <v>20078456.564610392</v>
      </c>
    </row>
    <row r="40" spans="1:11">
      <c r="A40" s="141">
        <f t="shared" si="0"/>
        <v>29</v>
      </c>
      <c r="F40" s="148"/>
    </row>
    <row r="41" spans="1:11" ht="13.5" thickBot="1">
      <c r="A41" s="141">
        <f t="shared" si="0"/>
        <v>30</v>
      </c>
      <c r="C41" s="155" t="s">
        <v>456</v>
      </c>
      <c r="D41" s="155"/>
      <c r="E41" s="155"/>
    </row>
    <row r="42" spans="1:11" ht="13.5" thickBot="1">
      <c r="A42" s="141">
        <f t="shared" si="0"/>
        <v>31</v>
      </c>
      <c r="C42" s="161" t="s">
        <v>457</v>
      </c>
      <c r="E42" s="148" t="s">
        <v>458</v>
      </c>
      <c r="F42" s="162">
        <f t="shared" ref="F42:K42" si="3">F39/F32</f>
        <v>140.49561401738774</v>
      </c>
      <c r="G42" s="162">
        <f t="shared" si="3"/>
        <v>140.49561401738774</v>
      </c>
      <c r="H42" s="162">
        <f t="shared" si="3"/>
        <v>140.49561401738777</v>
      </c>
      <c r="I42" s="162">
        <f t="shared" si="3"/>
        <v>140.49561401738774</v>
      </c>
      <c r="J42" s="162">
        <f t="shared" si="3"/>
        <v>140.49561401738774</v>
      </c>
      <c r="K42" s="162">
        <f t="shared" si="3"/>
        <v>140.49561401738774</v>
      </c>
    </row>
    <row r="43" spans="1:11" ht="13.5" thickBot="1">
      <c r="A43" s="141">
        <f t="shared" si="0"/>
        <v>32</v>
      </c>
    </row>
    <row r="44" spans="1:11" ht="13.5" thickBot="1">
      <c r="A44" s="141">
        <f t="shared" si="0"/>
        <v>33</v>
      </c>
      <c r="B44" s="163" t="s">
        <v>459</v>
      </c>
      <c r="C44" s="163"/>
      <c r="D44" s="163"/>
      <c r="E44" s="163"/>
      <c r="F44" s="163"/>
    </row>
    <row r="45" spans="1:11">
      <c r="A45" s="141">
        <f t="shared" ref="A45:A72" si="4">A44+1</f>
        <v>34</v>
      </c>
    </row>
    <row r="46" spans="1:11">
      <c r="A46" s="141">
        <f t="shared" si="4"/>
        <v>35</v>
      </c>
      <c r="C46" s="170" t="s">
        <v>476</v>
      </c>
      <c r="F46" s="148"/>
      <c r="G46" s="148"/>
      <c r="H46" s="148"/>
      <c r="I46" s="148"/>
      <c r="J46" s="148"/>
    </row>
    <row r="47" spans="1:11">
      <c r="A47" s="141">
        <f t="shared" si="4"/>
        <v>36</v>
      </c>
      <c r="C47" s="150" t="s">
        <v>420</v>
      </c>
      <c r="E47" s="150" t="s">
        <v>460</v>
      </c>
      <c r="F47" s="148">
        <f t="shared" ref="F47:J48" si="5">F30*1.05</f>
        <v>6923.0552750884881</v>
      </c>
      <c r="G47" s="148">
        <f t="shared" si="5"/>
        <v>14599.385676423568</v>
      </c>
      <c r="H47" s="148">
        <f t="shared" si="5"/>
        <v>31704.184226092002</v>
      </c>
      <c r="I47" s="148">
        <f t="shared" si="5"/>
        <v>39197.340783869702</v>
      </c>
      <c r="J47" s="148">
        <f t="shared" si="5"/>
        <v>41883.240737033972</v>
      </c>
      <c r="K47" s="148">
        <f>SUM(F47:J47)</f>
        <v>134307.20669850774</v>
      </c>
    </row>
    <row r="48" spans="1:11">
      <c r="A48" s="141">
        <f t="shared" si="4"/>
        <v>37</v>
      </c>
      <c r="C48" s="150" t="s">
        <v>415</v>
      </c>
      <c r="E48" s="150" t="s">
        <v>461</v>
      </c>
      <c r="F48" s="158">
        <f t="shared" si="5"/>
        <v>3150</v>
      </c>
      <c r="G48" s="158">
        <f t="shared" si="5"/>
        <v>3150</v>
      </c>
      <c r="H48" s="158">
        <f t="shared" si="5"/>
        <v>3150</v>
      </c>
      <c r="I48" s="158">
        <f t="shared" si="5"/>
        <v>3150</v>
      </c>
      <c r="J48" s="158">
        <f t="shared" si="5"/>
        <v>3150</v>
      </c>
      <c r="K48" s="158">
        <f>SUM(F48:J48)</f>
        <v>15750</v>
      </c>
    </row>
    <row r="49" spans="1:12">
      <c r="A49" s="141">
        <f t="shared" si="4"/>
        <v>38</v>
      </c>
      <c r="C49" s="138" t="s">
        <v>462</v>
      </c>
      <c r="E49" s="150" t="s">
        <v>463</v>
      </c>
      <c r="F49" s="148">
        <f t="shared" ref="F49:K49" si="6">SUM(F47:F48)</f>
        <v>10073.055275088489</v>
      </c>
      <c r="G49" s="148">
        <f t="shared" si="6"/>
        <v>17749.385676423568</v>
      </c>
      <c r="H49" s="148">
        <f t="shared" si="6"/>
        <v>34854.184226092002</v>
      </c>
      <c r="I49" s="148">
        <f t="shared" si="6"/>
        <v>42347.340783869702</v>
      </c>
      <c r="J49" s="148">
        <f t="shared" si="6"/>
        <v>45033.240737033972</v>
      </c>
      <c r="K49" s="148">
        <f t="shared" si="6"/>
        <v>150057.20669850774</v>
      </c>
    </row>
    <row r="50" spans="1:12">
      <c r="A50" s="141">
        <f t="shared" si="4"/>
        <v>39</v>
      </c>
    </row>
    <row r="51" spans="1:12">
      <c r="A51" s="141">
        <f t="shared" si="4"/>
        <v>40</v>
      </c>
      <c r="C51" s="138" t="s">
        <v>464</v>
      </c>
    </row>
    <row r="52" spans="1:12">
      <c r="A52" s="141">
        <f t="shared" si="4"/>
        <v>41</v>
      </c>
      <c r="C52" s="150" t="s">
        <v>420</v>
      </c>
      <c r="E52" s="150" t="s">
        <v>465</v>
      </c>
      <c r="F52" s="151">
        <f t="shared" ref="F52:J53" si="7">F$42*F47</f>
        <v>972658.90174987225</v>
      </c>
      <c r="G52" s="151">
        <f t="shared" si="7"/>
        <v>2051149.6548857847</v>
      </c>
      <c r="H52" s="151">
        <f t="shared" si="7"/>
        <v>4454298.8297651755</v>
      </c>
      <c r="I52" s="151">
        <f t="shared" si="7"/>
        <v>5507054.461278568</v>
      </c>
      <c r="J52" s="151">
        <f t="shared" si="7"/>
        <v>5884411.6243876554</v>
      </c>
      <c r="K52" s="151">
        <f>SUM(F52:J52)</f>
        <v>18869573.472067054</v>
      </c>
    </row>
    <row r="53" spans="1:12">
      <c r="A53" s="141">
        <f t="shared" si="4"/>
        <v>42</v>
      </c>
      <c r="C53" s="150" t="s">
        <v>415</v>
      </c>
      <c r="E53" s="150" t="s">
        <v>466</v>
      </c>
      <c r="F53" s="152">
        <f t="shared" si="7"/>
        <v>442561.18415477138</v>
      </c>
      <c r="G53" s="152">
        <f t="shared" si="7"/>
        <v>442561.18415477138</v>
      </c>
      <c r="H53" s="152">
        <f t="shared" si="7"/>
        <v>442561.18415477144</v>
      </c>
      <c r="I53" s="152">
        <f t="shared" si="7"/>
        <v>442561.18415477138</v>
      </c>
      <c r="J53" s="152">
        <f t="shared" si="7"/>
        <v>442561.18415477138</v>
      </c>
      <c r="K53" s="158">
        <f>SUM(F53:J53)</f>
        <v>2212805.9207738568</v>
      </c>
    </row>
    <row r="54" spans="1:12">
      <c r="A54" s="141">
        <f t="shared" si="4"/>
        <v>43</v>
      </c>
      <c r="C54" s="108" t="s">
        <v>467</v>
      </c>
      <c r="D54" s="107"/>
      <c r="E54" s="150" t="s">
        <v>468</v>
      </c>
      <c r="F54" s="151">
        <f t="shared" ref="F54:K54" si="8">SUM(F52:F53)</f>
        <v>1415220.0859046436</v>
      </c>
      <c r="G54" s="151">
        <f t="shared" si="8"/>
        <v>2493710.839040556</v>
      </c>
      <c r="H54" s="151">
        <f t="shared" si="8"/>
        <v>4896860.0139199467</v>
      </c>
      <c r="I54" s="151">
        <f t="shared" si="8"/>
        <v>5949615.6454333393</v>
      </c>
      <c r="J54" s="151">
        <f t="shared" si="8"/>
        <v>6326972.8085424267</v>
      </c>
      <c r="K54" s="151">
        <f t="shared" si="8"/>
        <v>21082379.392840911</v>
      </c>
    </row>
    <row r="55" spans="1:12">
      <c r="A55" s="141">
        <f t="shared" si="4"/>
        <v>44</v>
      </c>
    </row>
    <row r="56" spans="1:12" ht="13.5" thickBot="1">
      <c r="A56" s="141">
        <f t="shared" si="4"/>
        <v>45</v>
      </c>
      <c r="C56" s="155" t="s">
        <v>469</v>
      </c>
      <c r="D56" s="155"/>
      <c r="E56" s="155"/>
    </row>
    <row r="57" spans="1:12" ht="13.5" thickBot="1">
      <c r="A57" s="141">
        <f t="shared" si="4"/>
        <v>46</v>
      </c>
      <c r="C57" s="161" t="s">
        <v>470</v>
      </c>
      <c r="E57" s="150" t="s">
        <v>471</v>
      </c>
      <c r="F57" s="164">
        <f>F54-F39</f>
        <v>67391.43266212591</v>
      </c>
      <c r="G57" s="165">
        <f>G54-G39</f>
        <v>118748.1351924073</v>
      </c>
      <c r="H57" s="165">
        <f>H54-H39</f>
        <v>233183.81018666364</v>
      </c>
      <c r="I57" s="165">
        <f>I54-I39</f>
        <v>283315.03073492087</v>
      </c>
      <c r="J57" s="165">
        <f>J54-J39</f>
        <v>301284.41945440136</v>
      </c>
      <c r="K57" s="166">
        <f>SUM(F57:J57)</f>
        <v>1003922.8282305191</v>
      </c>
    </row>
    <row r="58" spans="1:12">
      <c r="A58" s="141">
        <f t="shared" si="4"/>
        <v>47</v>
      </c>
    </row>
    <row r="59" spans="1:12" ht="3" customHeight="1">
      <c r="A59" s="141">
        <f t="shared" si="4"/>
        <v>48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12">
      <c r="A60" s="141">
        <f t="shared" si="4"/>
        <v>49</v>
      </c>
      <c r="H60" s="147"/>
      <c r="I60" s="147"/>
      <c r="J60" s="147"/>
    </row>
    <row r="61" spans="1:12">
      <c r="A61" s="141">
        <f t="shared" si="4"/>
        <v>50</v>
      </c>
      <c r="B61" s="155" t="s">
        <v>416</v>
      </c>
      <c r="K61" s="155" t="s">
        <v>418</v>
      </c>
    </row>
    <row r="62" spans="1:12">
      <c r="A62" s="141">
        <f t="shared" si="4"/>
        <v>51</v>
      </c>
      <c r="K62" s="155"/>
    </row>
    <row r="63" spans="1:12">
      <c r="A63" s="141">
        <f t="shared" si="4"/>
        <v>52</v>
      </c>
      <c r="C63" s="138" t="s">
        <v>265</v>
      </c>
      <c r="F63" s="177">
        <v>-13307907</v>
      </c>
      <c r="G63" s="148">
        <f>F68</f>
        <v>-11591233.492919805</v>
      </c>
      <c r="H63" s="148">
        <f>G68</f>
        <v>-8847425.9352339786</v>
      </c>
      <c r="I63" s="148">
        <f>H68</f>
        <v>-3814904.8776630173</v>
      </c>
      <c r="J63" s="148">
        <f>I68</f>
        <v>2220240.5908730794</v>
      </c>
      <c r="K63" s="168">
        <f>J68</f>
        <v>8614773.8337987829</v>
      </c>
    </row>
    <row r="64" spans="1:12">
      <c r="A64" s="141">
        <f t="shared" si="4"/>
        <v>53</v>
      </c>
      <c r="F64" s="148"/>
      <c r="K64" s="155"/>
    </row>
    <row r="65" spans="1:11">
      <c r="A65" s="141">
        <f t="shared" si="4"/>
        <v>54</v>
      </c>
      <c r="C65" s="138" t="s">
        <v>472</v>
      </c>
      <c r="E65" s="138" t="s">
        <v>473</v>
      </c>
      <c r="F65" s="148">
        <f>F39</f>
        <v>1347828.6532425177</v>
      </c>
      <c r="G65" s="148">
        <f>G39</f>
        <v>2374962.7038481487</v>
      </c>
      <c r="H65" s="148">
        <f>H39</f>
        <v>4663676.2037332831</v>
      </c>
      <c r="I65" s="148">
        <f>I39</f>
        <v>5666300.6146984184</v>
      </c>
      <c r="J65" s="148">
        <f>J39</f>
        <v>6025688.3890880253</v>
      </c>
      <c r="K65" s="168"/>
    </row>
    <row r="66" spans="1:11">
      <c r="A66" s="141">
        <f t="shared" si="4"/>
        <v>55</v>
      </c>
      <c r="C66" s="138" t="s">
        <v>438</v>
      </c>
      <c r="E66" s="138" t="s">
        <v>474</v>
      </c>
      <c r="F66" s="148">
        <f>$F$22</f>
        <v>368844.85383767809</v>
      </c>
      <c r="G66" s="148">
        <f>$F$22</f>
        <v>368844.85383767809</v>
      </c>
      <c r="H66" s="148">
        <f>$F$22</f>
        <v>368844.85383767809</v>
      </c>
      <c r="I66" s="148">
        <f>$F$22</f>
        <v>368844.85383767809</v>
      </c>
      <c r="J66" s="148">
        <f>$F$22</f>
        <v>368844.85383767809</v>
      </c>
      <c r="K66" s="168"/>
    </row>
    <row r="67" spans="1:11">
      <c r="A67" s="141">
        <f t="shared" si="4"/>
        <v>56</v>
      </c>
    </row>
    <row r="68" spans="1:11">
      <c r="A68" s="141">
        <f t="shared" si="4"/>
        <v>57</v>
      </c>
      <c r="C68" s="138" t="s">
        <v>266</v>
      </c>
      <c r="F68" s="148">
        <f>SUM(F63:F66)</f>
        <v>-11591233.492919805</v>
      </c>
      <c r="G68" s="148">
        <f>SUM(G63:G66)</f>
        <v>-8847425.9352339786</v>
      </c>
      <c r="H68" s="148">
        <f>SUM(H63:H66)</f>
        <v>-3814904.8776630173</v>
      </c>
      <c r="I68" s="148">
        <f>SUM(I63:I66)</f>
        <v>2220240.5908730794</v>
      </c>
      <c r="J68" s="148">
        <f>SUM(J63:J66)</f>
        <v>8614773.8337987829</v>
      </c>
      <c r="K68" s="168">
        <f>J68</f>
        <v>8614773.8337987829</v>
      </c>
    </row>
    <row r="69" spans="1:11">
      <c r="A69" s="141">
        <f t="shared" si="4"/>
        <v>58</v>
      </c>
    </row>
    <row r="70" spans="1:11">
      <c r="A70" s="141">
        <f t="shared" si="4"/>
        <v>59</v>
      </c>
      <c r="C70" s="138" t="s">
        <v>419</v>
      </c>
      <c r="F70" s="148">
        <f t="shared" ref="F70:K70" si="9">$F$18</f>
        <v>8614773.8050481882</v>
      </c>
      <c r="G70" s="148">
        <f t="shared" si="9"/>
        <v>8614773.8050481882</v>
      </c>
      <c r="H70" s="148">
        <f t="shared" si="9"/>
        <v>8614773.8050481882</v>
      </c>
      <c r="I70" s="148">
        <f t="shared" si="9"/>
        <v>8614773.8050481882</v>
      </c>
      <c r="J70" s="148">
        <f t="shared" si="9"/>
        <v>8614773.8050481882</v>
      </c>
      <c r="K70" s="148">
        <f t="shared" si="9"/>
        <v>8614773.8050481882</v>
      </c>
    </row>
    <row r="71" spans="1:11">
      <c r="A71" s="141">
        <f t="shared" si="4"/>
        <v>60</v>
      </c>
    </row>
    <row r="72" spans="1:11">
      <c r="A72" s="141">
        <f t="shared" si="4"/>
        <v>61</v>
      </c>
      <c r="C72" s="138" t="s">
        <v>417</v>
      </c>
      <c r="F72" s="148">
        <f t="shared" ref="F72:K72" si="10">MIN(F70-F68,0)</f>
        <v>0</v>
      </c>
      <c r="G72" s="148">
        <f t="shared" si="10"/>
        <v>0</v>
      </c>
      <c r="H72" s="148">
        <f t="shared" si="10"/>
        <v>0</v>
      </c>
      <c r="I72" s="148">
        <f t="shared" si="10"/>
        <v>0</v>
      </c>
      <c r="J72" s="148">
        <f t="shared" si="10"/>
        <v>-2.8750594705343246E-2</v>
      </c>
      <c r="K72" s="148">
        <f t="shared" si="10"/>
        <v>-2.8750594705343246E-2</v>
      </c>
    </row>
  </sheetData>
  <mergeCells count="3">
    <mergeCell ref="K3:L3"/>
    <mergeCell ref="A5:K5"/>
    <mergeCell ref="A7:K7"/>
  </mergeCells>
  <phoneticPr fontId="21" type="noConversion"/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opLeftCell="A20" workbookViewId="0">
      <selection activeCell="B20" sqref="B20"/>
    </sheetView>
  </sheetViews>
  <sheetFormatPr defaultRowHeight="12.75"/>
  <cols>
    <col min="1" max="1" width="31.7109375" customWidth="1"/>
    <col min="2" max="2" width="11.85546875" bestFit="1" customWidth="1"/>
    <col min="3" max="4" width="14" bestFit="1" customWidth="1"/>
    <col min="5" max="5" width="10.28515625" bestFit="1" customWidth="1"/>
    <col min="6" max="6" width="34.140625" customWidth="1"/>
    <col min="7" max="7" width="15.42578125" customWidth="1"/>
    <col min="8" max="8" width="17.42578125" customWidth="1"/>
    <col min="9" max="9" width="15.5703125" customWidth="1"/>
  </cols>
  <sheetData>
    <row r="1" spans="1:9" ht="15">
      <c r="I1" s="39" t="s">
        <v>209</v>
      </c>
    </row>
    <row r="2" spans="1:9" ht="15">
      <c r="I2" s="39" t="s">
        <v>393</v>
      </c>
    </row>
    <row r="4" spans="1:9">
      <c r="A4" s="3" t="s">
        <v>316</v>
      </c>
    </row>
    <row r="5" spans="1:9">
      <c r="A5" t="s">
        <v>317</v>
      </c>
    </row>
    <row r="8" spans="1:9">
      <c r="A8" s="106" t="s">
        <v>318</v>
      </c>
    </row>
    <row r="9" spans="1:9">
      <c r="A9" s="109" t="s">
        <v>319</v>
      </c>
    </row>
    <row r="10" spans="1:9">
      <c r="A10" t="s">
        <v>320</v>
      </c>
    </row>
    <row r="11" spans="1:9">
      <c r="A11" t="s">
        <v>321</v>
      </c>
    </row>
    <row r="12" spans="1:9">
      <c r="A12" t="s">
        <v>322</v>
      </c>
    </row>
    <row r="13" spans="1:9">
      <c r="A13" t="s">
        <v>323</v>
      </c>
    </row>
    <row r="15" spans="1:9">
      <c r="A15" s="3" t="s">
        <v>324</v>
      </c>
    </row>
    <row r="17" spans="1:9">
      <c r="A17" t="s">
        <v>325</v>
      </c>
      <c r="C17" s="182">
        <v>1000000</v>
      </c>
    </row>
    <row r="18" spans="1:9">
      <c r="A18" t="s">
        <v>326</v>
      </c>
      <c r="C18" s="181" t="s">
        <v>327</v>
      </c>
    </row>
    <row r="19" spans="1:9">
      <c r="A19" t="s">
        <v>328</v>
      </c>
      <c r="B19" s="2" t="s">
        <v>329</v>
      </c>
      <c r="C19" s="180">
        <v>0.06</v>
      </c>
    </row>
    <row r="20" spans="1:9">
      <c r="A20" t="s">
        <v>330</v>
      </c>
      <c r="B20" s="2" t="s">
        <v>329</v>
      </c>
      <c r="C20" s="107">
        <f>+C17/5</f>
        <v>200000</v>
      </c>
      <c r="E20" s="110"/>
    </row>
    <row r="21" spans="1:9">
      <c r="E21" s="110"/>
    </row>
    <row r="22" spans="1:9">
      <c r="A22" s="111" t="s">
        <v>331</v>
      </c>
      <c r="B22" s="112"/>
      <c r="C22" s="112"/>
      <c r="D22" s="112"/>
      <c r="E22" s="110"/>
      <c r="F22" s="111" t="s">
        <v>332</v>
      </c>
      <c r="G22" s="112"/>
      <c r="H22" s="112"/>
      <c r="I22" s="112"/>
    </row>
    <row r="23" spans="1:9">
      <c r="F23" s="113" t="s">
        <v>333</v>
      </c>
      <c r="G23" s="44"/>
      <c r="H23" s="44"/>
      <c r="I23" s="44"/>
    </row>
    <row r="24" spans="1:9">
      <c r="A24" s="3" t="s">
        <v>334</v>
      </c>
      <c r="F24" s="113" t="s">
        <v>335</v>
      </c>
      <c r="G24" s="44"/>
      <c r="H24" s="44"/>
      <c r="I24" s="44"/>
    </row>
    <row r="25" spans="1:9">
      <c r="A25" s="114" t="s">
        <v>336</v>
      </c>
      <c r="B25" s="114" t="s">
        <v>337</v>
      </c>
      <c r="C25" s="114" t="s">
        <v>338</v>
      </c>
      <c r="D25" s="114" t="s">
        <v>339</v>
      </c>
      <c r="F25" s="113" t="s">
        <v>340</v>
      </c>
      <c r="G25" s="44"/>
      <c r="H25" s="44"/>
      <c r="I25" s="44"/>
    </row>
    <row r="26" spans="1:9">
      <c r="A26" t="s">
        <v>341</v>
      </c>
      <c r="B26" s="2">
        <v>101</v>
      </c>
      <c r="C26" s="107">
        <f>+C17</f>
        <v>1000000</v>
      </c>
      <c r="F26" s="113" t="s">
        <v>342</v>
      </c>
      <c r="G26" s="44"/>
      <c r="H26" s="44"/>
      <c r="I26" s="44"/>
    </row>
    <row r="27" spans="1:9">
      <c r="A27" t="s">
        <v>343</v>
      </c>
      <c r="B27" s="2">
        <v>252</v>
      </c>
      <c r="D27" s="107">
        <f>+C17</f>
        <v>1000000</v>
      </c>
      <c r="F27" s="44"/>
      <c r="G27" s="44"/>
      <c r="H27" s="44"/>
      <c r="I27" s="44"/>
    </row>
    <row r="28" spans="1:9">
      <c r="F28" s="3" t="s">
        <v>334</v>
      </c>
    </row>
    <row r="29" spans="1:9">
      <c r="F29" s="114" t="s">
        <v>336</v>
      </c>
      <c r="G29" s="114" t="s">
        <v>337</v>
      </c>
      <c r="H29" s="114" t="s">
        <v>338</v>
      </c>
      <c r="I29" s="114" t="s">
        <v>339</v>
      </c>
    </row>
    <row r="30" spans="1:9">
      <c r="F30" t="s">
        <v>341</v>
      </c>
      <c r="G30" s="2">
        <v>101</v>
      </c>
      <c r="H30" s="107">
        <f>-+G50</f>
        <v>1000000</v>
      </c>
    </row>
    <row r="31" spans="1:9">
      <c r="A31" s="3" t="s">
        <v>344</v>
      </c>
      <c r="F31" t="s">
        <v>343</v>
      </c>
      <c r="G31" s="2">
        <v>252</v>
      </c>
      <c r="I31" s="107">
        <f>+H30</f>
        <v>1000000</v>
      </c>
    </row>
    <row r="32" spans="1:9">
      <c r="A32" s="114" t="s">
        <v>336</v>
      </c>
      <c r="B32" s="114" t="s">
        <v>337</v>
      </c>
      <c r="C32" s="114" t="s">
        <v>338</v>
      </c>
      <c r="D32" s="114" t="s">
        <v>339</v>
      </c>
    </row>
    <row r="33" spans="1:9">
      <c r="A33" t="s">
        <v>345</v>
      </c>
      <c r="B33" s="2">
        <v>130</v>
      </c>
      <c r="C33" s="107"/>
      <c r="D33" s="115">
        <f>+C34+C35</f>
        <v>260000</v>
      </c>
      <c r="F33" s="3" t="s">
        <v>346</v>
      </c>
    </row>
    <row r="34" spans="1:9">
      <c r="A34" t="s">
        <v>343</v>
      </c>
      <c r="B34" s="2">
        <v>252</v>
      </c>
      <c r="C34" s="115">
        <f>+C20</f>
        <v>200000</v>
      </c>
      <c r="D34" s="107"/>
      <c r="F34" s="114" t="s">
        <v>336</v>
      </c>
      <c r="G34" s="114" t="s">
        <v>337</v>
      </c>
      <c r="H34" s="114" t="s">
        <v>338</v>
      </c>
      <c r="I34" s="114" t="s">
        <v>339</v>
      </c>
    </row>
    <row r="35" spans="1:9">
      <c r="A35" t="s">
        <v>347</v>
      </c>
      <c r="B35" s="2">
        <v>431</v>
      </c>
      <c r="C35" s="107">
        <f>+C26*0.06</f>
        <v>60000</v>
      </c>
      <c r="F35" t="s">
        <v>343</v>
      </c>
      <c r="G35" s="2">
        <v>252</v>
      </c>
      <c r="H35" s="115"/>
      <c r="I35" s="107">
        <f>+H36</f>
        <v>60000</v>
      </c>
    </row>
    <row r="36" spans="1:9">
      <c r="D36" s="115"/>
      <c r="F36" t="s">
        <v>348</v>
      </c>
      <c r="G36" s="2">
        <v>431</v>
      </c>
      <c r="H36" s="107">
        <f>+H30*0.06</f>
        <v>60000</v>
      </c>
    </row>
    <row r="37" spans="1:9">
      <c r="F37" t="s">
        <v>349</v>
      </c>
      <c r="G37" s="2">
        <v>182.3</v>
      </c>
      <c r="H37" s="115">
        <f>+H36</f>
        <v>60000</v>
      </c>
    </row>
    <row r="38" spans="1:9" ht="13.5" thickBot="1">
      <c r="A38" s="116"/>
      <c r="B38" s="117" t="s">
        <v>350</v>
      </c>
      <c r="C38" s="117"/>
      <c r="D38" s="117" t="s">
        <v>351</v>
      </c>
      <c r="F38" s="44" t="s">
        <v>352</v>
      </c>
      <c r="G38" s="50">
        <v>407.4</v>
      </c>
      <c r="H38" s="44"/>
      <c r="I38" s="118">
        <f>+H37</f>
        <v>60000</v>
      </c>
    </row>
    <row r="39" spans="1:9">
      <c r="B39" s="119"/>
      <c r="C39" s="119"/>
      <c r="D39" s="119"/>
      <c r="F39" s="44"/>
      <c r="G39" s="44"/>
      <c r="H39" s="44"/>
      <c r="I39" s="44"/>
    </row>
    <row r="40" spans="1:9">
      <c r="A40" s="120"/>
      <c r="B40" s="119"/>
      <c r="C40" s="119"/>
      <c r="D40" s="119"/>
      <c r="F40" s="3" t="s">
        <v>353</v>
      </c>
    </row>
    <row r="41" spans="1:9" ht="14.25">
      <c r="A41" s="3" t="s">
        <v>354</v>
      </c>
      <c r="B41" s="121">
        <f>+C26</f>
        <v>1000000</v>
      </c>
      <c r="C41" s="119"/>
      <c r="D41" s="119"/>
      <c r="F41" s="114" t="s">
        <v>336</v>
      </c>
      <c r="G41" s="114" t="s">
        <v>337</v>
      </c>
      <c r="H41" s="114" t="s">
        <v>338</v>
      </c>
      <c r="I41" s="114" t="s">
        <v>339</v>
      </c>
    </row>
    <row r="42" spans="1:9">
      <c r="A42" s="120"/>
      <c r="B42" s="119"/>
      <c r="C42" s="119"/>
      <c r="D42" s="119"/>
      <c r="F42" t="s">
        <v>343</v>
      </c>
      <c r="G42" s="2">
        <v>252</v>
      </c>
      <c r="H42" s="115">
        <f>+G65+I65</f>
        <v>1338225.5776</v>
      </c>
      <c r="I42" s="107"/>
    </row>
    <row r="43" spans="1:9">
      <c r="A43" t="s">
        <v>355</v>
      </c>
      <c r="B43" s="115">
        <f>-D27</f>
        <v>-1000000</v>
      </c>
      <c r="F43" t="s">
        <v>345</v>
      </c>
      <c r="G43" s="2">
        <v>131</v>
      </c>
      <c r="H43" s="107"/>
      <c r="I43" s="115">
        <f>+H42</f>
        <v>1338225.5776</v>
      </c>
    </row>
    <row r="44" spans="1:9" ht="15.75">
      <c r="A44" t="s">
        <v>364</v>
      </c>
      <c r="B44" s="115">
        <f>-C35</f>
        <v>-60000</v>
      </c>
      <c r="D44" s="115">
        <f>-B44</f>
        <v>60000</v>
      </c>
      <c r="F44" t="s">
        <v>349</v>
      </c>
      <c r="G44" s="2">
        <v>182.3</v>
      </c>
      <c r="H44" s="115"/>
      <c r="I44" s="115">
        <f>+I65</f>
        <v>338225.57759999996</v>
      </c>
    </row>
    <row r="45" spans="1:9" ht="15.75">
      <c r="A45" t="s">
        <v>365</v>
      </c>
      <c r="B45" s="115">
        <f>+D33</f>
        <v>260000</v>
      </c>
      <c r="F45" s="44" t="s">
        <v>352</v>
      </c>
      <c r="G45" s="50">
        <v>407.3</v>
      </c>
      <c r="H45" s="118">
        <f>+I44</f>
        <v>338225.57759999996</v>
      </c>
      <c r="I45" s="118"/>
    </row>
    <row r="46" spans="1:9" ht="15" thickBot="1">
      <c r="A46" s="3" t="s">
        <v>356</v>
      </c>
      <c r="B46" s="122">
        <f>SUM(B43:B45)</f>
        <v>-800000</v>
      </c>
      <c r="C46" s="3"/>
      <c r="D46" s="122">
        <f>+-B44</f>
        <v>60000</v>
      </c>
      <c r="F46" s="44"/>
      <c r="G46" s="50"/>
      <c r="H46" s="118"/>
      <c r="I46" s="118"/>
    </row>
    <row r="47" spans="1:9" ht="14.25" thickTop="1" thickBot="1">
      <c r="F47" s="116"/>
      <c r="G47" s="117" t="s">
        <v>350</v>
      </c>
      <c r="H47" s="117"/>
      <c r="I47" s="117" t="s">
        <v>351</v>
      </c>
    </row>
    <row r="48" spans="1:9" ht="14.25">
      <c r="A48" s="3" t="s">
        <v>357</v>
      </c>
      <c r="B48" s="121">
        <f>+B41</f>
        <v>1000000</v>
      </c>
    </row>
    <row r="49" spans="1:9" ht="15" thickBot="1">
      <c r="A49" s="3" t="s">
        <v>358</v>
      </c>
      <c r="B49" s="123">
        <f>+-B48/40</f>
        <v>-25000</v>
      </c>
      <c r="F49" s="124" t="s">
        <v>359</v>
      </c>
      <c r="G49" s="116"/>
    </row>
    <row r="50" spans="1:9">
      <c r="F50" t="str">
        <f>+A51</f>
        <v>BEGINNING BAL.</v>
      </c>
      <c r="G50" s="115">
        <f>+B43</f>
        <v>-1000000</v>
      </c>
    </row>
    <row r="51" spans="1:9" ht="15.75">
      <c r="A51" t="s">
        <v>355</v>
      </c>
      <c r="B51" s="115">
        <f>+B46</f>
        <v>-800000</v>
      </c>
      <c r="F51" t="s">
        <v>366</v>
      </c>
      <c r="G51" s="107">
        <f>+G50*0.06</f>
        <v>-60000</v>
      </c>
      <c r="I51" s="115">
        <f>+G51</f>
        <v>-60000</v>
      </c>
    </row>
    <row r="52" spans="1:9" ht="15.75">
      <c r="A52" t="s">
        <v>367</v>
      </c>
      <c r="B52" s="183">
        <f>+B51*0.06</f>
        <v>-48000</v>
      </c>
      <c r="D52" s="115">
        <f>-B52</f>
        <v>48000</v>
      </c>
      <c r="F52" t="s">
        <v>368</v>
      </c>
      <c r="G52" s="107">
        <f>-G51</f>
        <v>60000</v>
      </c>
      <c r="I52" s="115">
        <f>+G52</f>
        <v>60000</v>
      </c>
    </row>
    <row r="53" spans="1:9" ht="16.5" thickBot="1">
      <c r="A53" t="s">
        <v>369</v>
      </c>
      <c r="B53" s="187" t="s">
        <v>263</v>
      </c>
      <c r="F53" s="3" t="s">
        <v>356</v>
      </c>
      <c r="G53" s="122">
        <f>SUM(G50:G52)</f>
        <v>-1000000</v>
      </c>
      <c r="H53" s="3"/>
      <c r="I53" s="122">
        <f>SUM(I51:I52)</f>
        <v>0</v>
      </c>
    </row>
    <row r="54" spans="1:9" ht="17.25" thickTop="1" thickBot="1">
      <c r="A54" s="3" t="s">
        <v>360</v>
      </c>
      <c r="B54" s="122">
        <f>SUM(B51:B53)</f>
        <v>-848000</v>
      </c>
      <c r="C54" s="3"/>
      <c r="D54" s="122">
        <f>+-B52</f>
        <v>48000</v>
      </c>
      <c r="F54" t="s">
        <v>370</v>
      </c>
      <c r="G54" s="107">
        <f>(+G53+G51)*0.06</f>
        <v>-63600</v>
      </c>
      <c r="I54" s="115">
        <f>+G54</f>
        <v>-63600</v>
      </c>
    </row>
    <row r="55" spans="1:9" ht="16.5" thickTop="1">
      <c r="A55" s="112"/>
      <c r="B55" s="112"/>
      <c r="C55" s="112"/>
      <c r="D55" s="112"/>
      <c r="F55" t="s">
        <v>371</v>
      </c>
      <c r="G55" s="107">
        <f>-G54</f>
        <v>63600</v>
      </c>
      <c r="I55" s="115">
        <f>+G55</f>
        <v>63600</v>
      </c>
    </row>
    <row r="56" spans="1:9" s="44" customFormat="1" ht="15" thickBot="1">
      <c r="F56" s="3" t="s">
        <v>360</v>
      </c>
      <c r="G56" s="122">
        <f>SUM(G53:G55)</f>
        <v>-1000000</v>
      </c>
      <c r="H56" s="3"/>
      <c r="I56" s="122">
        <f>SUM(I54:I55)</f>
        <v>0</v>
      </c>
    </row>
    <row r="57" spans="1:9" s="44" customFormat="1" ht="16.5" thickTop="1">
      <c r="F57" t="s">
        <v>372</v>
      </c>
      <c r="G57" s="107">
        <f>(+G56+G54+G51)*0.06</f>
        <v>-67416</v>
      </c>
      <c r="H57"/>
      <c r="I57" s="115">
        <f>+G57</f>
        <v>-67416</v>
      </c>
    </row>
    <row r="58" spans="1:9" s="44" customFormat="1" ht="15.75">
      <c r="F58" t="s">
        <v>373</v>
      </c>
      <c r="G58" s="107">
        <f>-G57</f>
        <v>67416</v>
      </c>
      <c r="H58"/>
      <c r="I58" s="115">
        <f>+G58</f>
        <v>67416</v>
      </c>
    </row>
    <row r="59" spans="1:9" s="44" customFormat="1" ht="15" thickBot="1">
      <c r="F59" s="3" t="s">
        <v>361</v>
      </c>
      <c r="G59" s="122">
        <f>SUM(G56:G58)</f>
        <v>-1000000</v>
      </c>
      <c r="H59" s="3"/>
      <c r="I59" s="122">
        <f>SUM(I57:I58)</f>
        <v>0</v>
      </c>
    </row>
    <row r="60" spans="1:9" s="44" customFormat="1" ht="16.5" thickTop="1">
      <c r="F60" t="s">
        <v>374</v>
      </c>
      <c r="G60" s="107">
        <f>(+G59+G57+G54+G51)*0.06</f>
        <v>-71460.959999999992</v>
      </c>
      <c r="H60"/>
      <c r="I60" s="115">
        <f>+G60</f>
        <v>-71460.959999999992</v>
      </c>
    </row>
    <row r="61" spans="1:9" ht="15.75">
      <c r="F61" t="s">
        <v>375</v>
      </c>
      <c r="G61" s="107">
        <f>-G60</f>
        <v>71460.959999999992</v>
      </c>
      <c r="I61" s="115">
        <f>+G61</f>
        <v>71460.959999999992</v>
      </c>
    </row>
    <row r="62" spans="1:9" ht="15" thickBot="1">
      <c r="F62" s="3" t="s">
        <v>362</v>
      </c>
      <c r="G62" s="122">
        <f>SUM(G59:G61)</f>
        <v>-1000000</v>
      </c>
      <c r="H62" s="3"/>
      <c r="I62" s="122">
        <f>SUM(I60:I61)</f>
        <v>0</v>
      </c>
    </row>
    <row r="63" spans="1:9" ht="16.5" thickTop="1">
      <c r="F63" t="s">
        <v>376</v>
      </c>
      <c r="G63" s="107">
        <f>(+G62+G60+G57+G54+G51)*0.06</f>
        <v>-75748.617599999998</v>
      </c>
      <c r="I63" s="115">
        <f>+G63</f>
        <v>-75748.617599999998</v>
      </c>
    </row>
    <row r="64" spans="1:9" ht="15.75">
      <c r="F64" t="s">
        <v>377</v>
      </c>
      <c r="G64" s="107">
        <f>-G63</f>
        <v>75748.617599999998</v>
      </c>
      <c r="I64" s="115">
        <f>+G64</f>
        <v>75748.617599999998</v>
      </c>
    </row>
    <row r="65" spans="6:9" ht="15.75">
      <c r="F65" t="s">
        <v>378</v>
      </c>
      <c r="G65" s="107">
        <f>+-G62</f>
        <v>1000000</v>
      </c>
      <c r="I65" s="115">
        <f>+I52+I55+I58+I61+I64</f>
        <v>338225.57759999996</v>
      </c>
    </row>
    <row r="66" spans="6:9" ht="15" thickBot="1">
      <c r="F66" s="3" t="s">
        <v>363</v>
      </c>
      <c r="G66" s="122">
        <f>SUM(G62:G65)</f>
        <v>0</v>
      </c>
      <c r="H66" s="3"/>
      <c r="I66" s="122">
        <f>SUM(I63:I65)</f>
        <v>338225.57759999996</v>
      </c>
    </row>
    <row r="67" spans="6:9" ht="13.5" thickTop="1">
      <c r="F67" s="112"/>
      <c r="G67" s="112"/>
      <c r="H67" s="112"/>
      <c r="I67" s="112"/>
    </row>
    <row r="71" spans="6:9" s="44" customFormat="1"/>
    <row r="72" spans="6:9" s="44" customFormat="1"/>
    <row r="78" spans="6:9" s="44" customFormat="1"/>
    <row r="79" spans="6:9" s="44" customFormat="1"/>
    <row r="80" spans="6:9" s="44" customFormat="1"/>
  </sheetData>
  <phoneticPr fontId="15" type="noConversion"/>
  <pageMargins left="0.75" right="0.75" top="0.2" bottom="0.18" header="0.17" footer="0.17"/>
  <pageSetup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workbookViewId="0">
      <selection activeCell="C39" sqref="C39"/>
    </sheetView>
  </sheetViews>
  <sheetFormatPr defaultRowHeight="12.75"/>
  <cols>
    <col min="2" max="2" width="4.7109375" customWidth="1"/>
    <col min="3" max="3" width="25.85546875" customWidth="1"/>
    <col min="4" max="13" width="11.7109375" customWidth="1"/>
    <col min="14" max="14" width="9" customWidth="1"/>
    <col min="16" max="16" width="14.85546875" customWidth="1"/>
  </cols>
  <sheetData>
    <row r="1" spans="1:14" ht="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30" t="s">
        <v>483</v>
      </c>
      <c r="N1" s="195"/>
    </row>
    <row r="2" spans="1:14" ht="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30" t="s">
        <v>484</v>
      </c>
      <c r="N2" s="195"/>
    </row>
    <row r="3" spans="1:14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68" t="s">
        <v>531</v>
      </c>
      <c r="N3" s="268"/>
    </row>
    <row r="4" spans="1:14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>
      <c r="A5" s="195"/>
      <c r="B5" s="269" t="s">
        <v>135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195"/>
    </row>
    <row r="6" spans="1:14">
      <c r="A6" s="195"/>
      <c r="B6" s="270" t="s">
        <v>530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195"/>
    </row>
    <row r="7" spans="1:14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>
      <c r="A10" s="197" t="s">
        <v>21</v>
      </c>
      <c r="B10" s="195" t="s">
        <v>496</v>
      </c>
      <c r="C10" s="195"/>
      <c r="D10" s="197" t="s">
        <v>487</v>
      </c>
      <c r="E10" s="197" t="s">
        <v>488</v>
      </c>
      <c r="F10" s="197" t="s">
        <v>489</v>
      </c>
      <c r="G10" s="197" t="s">
        <v>489</v>
      </c>
      <c r="H10" s="197" t="s">
        <v>489</v>
      </c>
      <c r="I10" s="197" t="s">
        <v>489</v>
      </c>
      <c r="J10" s="197" t="s">
        <v>490</v>
      </c>
      <c r="K10" s="197"/>
      <c r="L10" s="197" t="s">
        <v>491</v>
      </c>
      <c r="M10" s="195"/>
      <c r="N10" s="195"/>
    </row>
    <row r="11" spans="1:14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spans="1:14">
      <c r="A12" s="195"/>
      <c r="B12" s="195" t="s">
        <v>485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</row>
    <row r="13" spans="1:14" ht="6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>
      <c r="A14" s="197">
        <v>1</v>
      </c>
      <c r="B14" s="195"/>
      <c r="C14" s="195" t="s">
        <v>265</v>
      </c>
      <c r="D14" s="196">
        <v>0</v>
      </c>
      <c r="E14" s="196">
        <v>0</v>
      </c>
      <c r="F14" s="195"/>
      <c r="G14" s="195"/>
      <c r="H14" s="195"/>
      <c r="I14" s="195"/>
      <c r="J14" s="196">
        <v>0</v>
      </c>
      <c r="K14" s="195"/>
      <c r="L14" s="196">
        <f>SUM(D14:J14)</f>
        <v>0</v>
      </c>
      <c r="M14" s="195"/>
      <c r="N14" s="195"/>
    </row>
    <row r="15" spans="1:14">
      <c r="A15" s="197">
        <v>2</v>
      </c>
      <c r="B15" s="195"/>
      <c r="C15" s="195" t="s">
        <v>492</v>
      </c>
      <c r="D15" s="196">
        <v>0</v>
      </c>
      <c r="E15" s="196">
        <v>0</v>
      </c>
      <c r="F15" s="195"/>
      <c r="G15" s="195"/>
      <c r="H15" s="195"/>
      <c r="I15" s="195"/>
      <c r="J15" s="196">
        <v>0</v>
      </c>
      <c r="K15" s="195"/>
      <c r="L15" s="196">
        <f>SUM(D15:J15)</f>
        <v>0</v>
      </c>
      <c r="M15" s="195"/>
      <c r="N15" s="195"/>
    </row>
    <row r="16" spans="1:14">
      <c r="A16" s="197">
        <v>3</v>
      </c>
      <c r="B16" s="195"/>
      <c r="C16" s="195" t="s">
        <v>493</v>
      </c>
      <c r="D16" s="196">
        <v>0</v>
      </c>
      <c r="E16" s="196">
        <v>0</v>
      </c>
      <c r="F16" s="195"/>
      <c r="G16" s="195"/>
      <c r="H16" s="195"/>
      <c r="I16" s="195"/>
      <c r="J16" s="196">
        <v>0</v>
      </c>
      <c r="K16" s="195"/>
      <c r="L16" s="196">
        <f>SUM(D16:J16)</f>
        <v>0</v>
      </c>
      <c r="M16" s="195"/>
      <c r="N16" s="195"/>
    </row>
    <row r="17" spans="1:14">
      <c r="A17" s="197">
        <v>4</v>
      </c>
      <c r="B17" s="195"/>
      <c r="C17" s="195" t="s">
        <v>494</v>
      </c>
      <c r="D17" s="196">
        <v>0</v>
      </c>
      <c r="E17" s="196">
        <v>0</v>
      </c>
      <c r="F17" s="195"/>
      <c r="G17" s="195"/>
      <c r="H17" s="195"/>
      <c r="I17" s="195"/>
      <c r="J17" s="196">
        <v>0</v>
      </c>
      <c r="K17" s="195"/>
      <c r="L17" s="196">
        <f>SUM(D17:J17)</f>
        <v>0</v>
      </c>
      <c r="M17" s="195"/>
      <c r="N17" s="195"/>
    </row>
    <row r="18" spans="1:14">
      <c r="A18" s="197">
        <v>5</v>
      </c>
      <c r="B18" s="195"/>
      <c r="C18" s="195" t="s">
        <v>266</v>
      </c>
      <c r="D18" s="196">
        <f>SUM(D14:D17)</f>
        <v>0</v>
      </c>
      <c r="E18" s="196">
        <f>SUM(E14:E17)</f>
        <v>0</v>
      </c>
      <c r="F18" s="195"/>
      <c r="G18" s="195"/>
      <c r="H18" s="195"/>
      <c r="I18" s="195"/>
      <c r="J18" s="196">
        <f>SUM(J14:J17)</f>
        <v>0</v>
      </c>
      <c r="K18" s="195"/>
      <c r="L18" s="196">
        <f>SUM(L14:L17)</f>
        <v>0</v>
      </c>
      <c r="M18" s="195"/>
      <c r="N18" s="195"/>
    </row>
    <row r="19" spans="1:14">
      <c r="A19" s="197"/>
      <c r="B19" s="195"/>
      <c r="C19" s="195"/>
      <c r="D19" s="196"/>
      <c r="E19" s="196"/>
      <c r="F19" s="195"/>
      <c r="G19" s="195"/>
      <c r="H19" s="195"/>
      <c r="I19" s="195"/>
      <c r="J19" s="196"/>
      <c r="K19" s="195"/>
      <c r="L19" s="196"/>
      <c r="M19" s="195"/>
      <c r="N19" s="195"/>
    </row>
    <row r="20" spans="1:14">
      <c r="A20" s="197">
        <v>6</v>
      </c>
      <c r="B20" s="195"/>
      <c r="C20" s="195" t="s">
        <v>271</v>
      </c>
      <c r="D20" s="196">
        <f>(D14+D18)/2</f>
        <v>0</v>
      </c>
      <c r="E20" s="196">
        <f>(E14+E18)/2</f>
        <v>0</v>
      </c>
      <c r="F20" s="195"/>
      <c r="G20" s="195"/>
      <c r="H20" s="195"/>
      <c r="I20" s="195"/>
      <c r="J20" s="196">
        <f>(J14+J18)/2</f>
        <v>0</v>
      </c>
      <c r="K20" s="195"/>
      <c r="L20" s="196">
        <f>(L14+L18)/2</f>
        <v>0</v>
      </c>
      <c r="M20" s="195"/>
      <c r="N20" s="195"/>
    </row>
    <row r="21" spans="1:14">
      <c r="A21" s="197"/>
      <c r="B21" s="195"/>
      <c r="C21" s="195"/>
      <c r="D21" s="196"/>
      <c r="E21" s="196"/>
      <c r="F21" s="195"/>
      <c r="G21" s="195"/>
      <c r="H21" s="195"/>
      <c r="I21" s="195"/>
      <c r="J21" s="196"/>
      <c r="K21" s="195"/>
      <c r="L21" s="195"/>
      <c r="M21" s="195"/>
      <c r="N21" s="195"/>
    </row>
    <row r="22" spans="1:14">
      <c r="A22" s="197"/>
      <c r="B22" s="195"/>
      <c r="C22" s="195"/>
      <c r="D22" s="196"/>
      <c r="E22" s="196"/>
      <c r="F22" s="195"/>
      <c r="G22" s="195"/>
      <c r="H22" s="195"/>
      <c r="I22" s="195"/>
      <c r="J22" s="196"/>
      <c r="K22" s="195"/>
      <c r="L22" s="195"/>
      <c r="M22" s="195"/>
      <c r="N22" s="195"/>
    </row>
    <row r="23" spans="1:14">
      <c r="A23" s="197"/>
      <c r="B23" s="195" t="s">
        <v>301</v>
      </c>
      <c r="C23" s="195"/>
      <c r="D23" s="196"/>
      <c r="E23" s="196"/>
      <c r="F23" s="195"/>
      <c r="G23" s="195"/>
      <c r="H23" s="195"/>
      <c r="I23" s="195"/>
      <c r="J23" s="196"/>
      <c r="K23" s="195"/>
      <c r="L23" s="195"/>
      <c r="M23" s="195"/>
      <c r="N23" s="195"/>
    </row>
    <row r="24" spans="1:14" ht="6" customHeight="1">
      <c r="A24" s="197"/>
      <c r="B24" s="195"/>
      <c r="C24" s="195"/>
      <c r="D24" s="196"/>
      <c r="E24" s="196"/>
      <c r="F24" s="195"/>
      <c r="G24" s="195"/>
      <c r="H24" s="195"/>
      <c r="I24" s="195"/>
      <c r="J24" s="196"/>
      <c r="K24" s="195"/>
      <c r="L24" s="195"/>
      <c r="M24" s="195"/>
      <c r="N24" s="195"/>
    </row>
    <row r="25" spans="1:14">
      <c r="A25" s="197">
        <v>7</v>
      </c>
      <c r="B25" s="195"/>
      <c r="C25" s="195" t="s">
        <v>265</v>
      </c>
      <c r="D25" s="196">
        <v>0</v>
      </c>
      <c r="E25" s="196">
        <v>0</v>
      </c>
      <c r="F25" s="195"/>
      <c r="G25" s="195"/>
      <c r="H25" s="195"/>
      <c r="I25" s="195"/>
      <c r="J25" s="196">
        <v>0</v>
      </c>
      <c r="K25" s="195"/>
      <c r="L25" s="196">
        <f>SUM(D25:J25)</f>
        <v>0</v>
      </c>
      <c r="M25" s="195"/>
      <c r="N25" s="195"/>
    </row>
    <row r="26" spans="1:14">
      <c r="A26" s="197">
        <v>8</v>
      </c>
      <c r="B26" s="195"/>
      <c r="C26" s="195" t="s">
        <v>495</v>
      </c>
      <c r="D26" s="196">
        <v>0</v>
      </c>
      <c r="E26" s="196">
        <v>0</v>
      </c>
      <c r="F26" s="195"/>
      <c r="G26" s="195"/>
      <c r="H26" s="195"/>
      <c r="I26" s="195"/>
      <c r="J26" s="196">
        <v>0</v>
      </c>
      <c r="K26" s="195"/>
      <c r="L26" s="196">
        <f>SUM(D26:J26)</f>
        <v>0</v>
      </c>
      <c r="M26" s="195"/>
      <c r="N26" s="195"/>
    </row>
    <row r="27" spans="1:14">
      <c r="A27" s="197">
        <v>9</v>
      </c>
      <c r="B27" s="195"/>
      <c r="C27" s="195" t="s">
        <v>494</v>
      </c>
      <c r="D27" s="196">
        <v>0</v>
      </c>
      <c r="E27" s="196">
        <v>0</v>
      </c>
      <c r="F27" s="195"/>
      <c r="G27" s="195"/>
      <c r="H27" s="195"/>
      <c r="I27" s="195"/>
      <c r="J27" s="196">
        <v>0</v>
      </c>
      <c r="K27" s="195"/>
      <c r="L27" s="196">
        <f>SUM(D27:J27)</f>
        <v>0</v>
      </c>
      <c r="M27" s="195"/>
      <c r="N27" s="195"/>
    </row>
    <row r="28" spans="1:14">
      <c r="A28" s="197">
        <v>10</v>
      </c>
      <c r="B28" s="195"/>
      <c r="C28" s="195" t="s">
        <v>266</v>
      </c>
      <c r="D28" s="196">
        <f>SUM(D25:D27)</f>
        <v>0</v>
      </c>
      <c r="E28" s="196">
        <f>SUM(E25:E27)</f>
        <v>0</v>
      </c>
      <c r="F28" s="195"/>
      <c r="G28" s="195"/>
      <c r="H28" s="195"/>
      <c r="I28" s="195"/>
      <c r="J28" s="196">
        <f>SUM(J25:J27)</f>
        <v>0</v>
      </c>
      <c r="K28" s="195"/>
      <c r="L28" s="196">
        <f>SUM(L25:L27)</f>
        <v>0</v>
      </c>
      <c r="M28" s="195"/>
      <c r="N28" s="195"/>
    </row>
    <row r="29" spans="1:14">
      <c r="A29" s="197"/>
      <c r="B29" s="195"/>
      <c r="C29" s="195"/>
      <c r="D29" s="196"/>
      <c r="E29" s="196"/>
      <c r="F29" s="195"/>
      <c r="G29" s="195"/>
      <c r="H29" s="195"/>
      <c r="I29" s="195"/>
      <c r="J29" s="196"/>
      <c r="K29" s="195"/>
      <c r="L29" s="196"/>
      <c r="M29" s="195"/>
      <c r="N29" s="195"/>
    </row>
    <row r="30" spans="1:14">
      <c r="A30" s="197">
        <v>11</v>
      </c>
      <c r="B30" s="195"/>
      <c r="C30" s="195" t="s">
        <v>486</v>
      </c>
      <c r="D30" s="196">
        <f>(D25+D28)/2</f>
        <v>0</v>
      </c>
      <c r="E30" s="196">
        <f>(E25+E28)/2</f>
        <v>0</v>
      </c>
      <c r="F30" s="195"/>
      <c r="G30" s="195"/>
      <c r="H30" s="195"/>
      <c r="I30" s="195"/>
      <c r="J30" s="196">
        <f>(J25+J28)/2</f>
        <v>0</v>
      </c>
      <c r="K30" s="195"/>
      <c r="L30" s="196">
        <f>(L25+L28)/2</f>
        <v>0</v>
      </c>
      <c r="M30" s="195"/>
      <c r="N30" s="195"/>
    </row>
  </sheetData>
  <mergeCells count="3">
    <mergeCell ref="M3:N3"/>
    <mergeCell ref="B5:M5"/>
    <mergeCell ref="B6:M6"/>
  </mergeCells>
  <printOptions horizontalCentered="1"/>
  <pageMargins left="0.45" right="0.45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workbookViewId="0"/>
  </sheetViews>
  <sheetFormatPr defaultRowHeight="12.75"/>
  <cols>
    <col min="1" max="1" width="9.28515625" bestFit="1" customWidth="1"/>
    <col min="2" max="2" width="2.7109375" customWidth="1"/>
    <col min="3" max="3" width="32.570312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8" max="8" width="13.42578125" customWidth="1"/>
    <col min="9" max="9" width="3.7109375" customWidth="1"/>
    <col min="10" max="10" width="13.42578125" customWidth="1"/>
    <col min="11" max="11" width="3.7109375" customWidth="1"/>
    <col min="12" max="12" width="12.5703125" bestFit="1" customWidth="1"/>
    <col min="13" max="13" width="9.85546875" bestFit="1" customWidth="1"/>
    <col min="14" max="14" width="3.7109375" customWidth="1"/>
    <col min="15" max="15" width="14.7109375" customWidth="1"/>
    <col min="16" max="16" width="5.7109375" customWidth="1"/>
  </cols>
  <sheetData>
    <row r="1" spans="1:16" ht="15">
      <c r="N1" s="236" t="s">
        <v>187</v>
      </c>
      <c r="O1" s="236"/>
      <c r="P1" s="236"/>
    </row>
    <row r="2" spans="1:16" ht="15">
      <c r="N2" s="237" t="s">
        <v>232</v>
      </c>
      <c r="O2" s="237"/>
      <c r="P2" s="238"/>
    </row>
    <row r="3" spans="1:16">
      <c r="N3" s="239" t="str">
        <f>FF1_Year</f>
        <v>Year Ending 12/31/yyyy</v>
      </c>
      <c r="O3" s="240"/>
      <c r="P3" s="240"/>
    </row>
    <row r="5" spans="1:16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>
      <c r="A6" s="246" t="s">
        <v>137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>
      <c r="A8" s="246" t="s">
        <v>278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</row>
    <row r="10" spans="1:16">
      <c r="A10" s="2"/>
    </row>
    <row r="11" spans="1:16" ht="25.5">
      <c r="A11" s="11" t="s">
        <v>21</v>
      </c>
      <c r="B11" s="12" t="s">
        <v>25</v>
      </c>
      <c r="C11" s="13"/>
      <c r="D11" s="11" t="s">
        <v>4</v>
      </c>
      <c r="E11" s="11"/>
      <c r="F11" s="14" t="s">
        <v>265</v>
      </c>
      <c r="G11" s="11"/>
      <c r="H11" s="14" t="s">
        <v>266</v>
      </c>
      <c r="I11" s="11"/>
      <c r="J11" s="11" t="s">
        <v>271</v>
      </c>
      <c r="K11" s="11"/>
      <c r="L11" s="246" t="s">
        <v>23</v>
      </c>
      <c r="M11" s="246"/>
      <c r="N11" s="11"/>
      <c r="O11" s="14" t="s">
        <v>24</v>
      </c>
      <c r="P11" s="4"/>
    </row>
    <row r="12" spans="1:16">
      <c r="A12" s="2"/>
    </row>
    <row r="13" spans="1:16">
      <c r="A13" s="2"/>
      <c r="B13" s="3" t="s">
        <v>300</v>
      </c>
    </row>
    <row r="14" spans="1:16">
      <c r="A14" s="8">
        <v>1</v>
      </c>
      <c r="B14" s="3"/>
      <c r="C14" t="str">
        <f>'PEF - 6  p1, FF1 Inputs '!E22</f>
        <v xml:space="preserve">Production Plant </v>
      </c>
      <c r="D14" s="2" t="str">
        <f>'PEF - 6  p1, FF1 Inputs '!F22</f>
        <v>205.46.b&amp;g</v>
      </c>
      <c r="E14" s="2"/>
      <c r="F14" s="9">
        <f>'PEF - 6  p1, FF1 Inputs '!H22</f>
        <v>0</v>
      </c>
      <c r="G14" s="9"/>
      <c r="H14" s="9">
        <f>'PEF - 6  p1, FF1 Inputs '!J22</f>
        <v>0</v>
      </c>
      <c r="I14" s="2"/>
      <c r="J14" s="1">
        <f>(F14+H14)/2</f>
        <v>0</v>
      </c>
      <c r="L14" s="2" t="s">
        <v>26</v>
      </c>
      <c r="O14" t="str">
        <f>IF(ISNUMBER(M14),J14*M14,"")</f>
        <v/>
      </c>
    </row>
    <row r="15" spans="1:16" ht="6" customHeight="1">
      <c r="A15" s="8"/>
      <c r="B15" s="3"/>
      <c r="D15" s="2"/>
      <c r="E15" s="2"/>
      <c r="F15" s="9"/>
      <c r="G15" s="9"/>
      <c r="H15" s="9"/>
      <c r="I15" s="2"/>
      <c r="J15" s="1"/>
      <c r="L15" s="2"/>
    </row>
    <row r="16" spans="1:16">
      <c r="A16" s="2">
        <f>A14+1</f>
        <v>2</v>
      </c>
      <c r="B16" s="3"/>
      <c r="C16" t="str">
        <f>'PEF - 6  p1, FF1 Inputs '!E23&amp;" (Note V)"</f>
        <v>Transmission Plant (Note V)</v>
      </c>
      <c r="D16" s="2" t="str">
        <f>'PEF - 6  p1, FF1 Inputs '!F23</f>
        <v>207.58.b&amp;g</v>
      </c>
      <c r="E16" s="2"/>
      <c r="F16" s="9">
        <f>'PEF - 6  p1, FF1 Inputs '!H23</f>
        <v>0</v>
      </c>
      <c r="G16" s="9"/>
      <c r="H16" s="9">
        <f>'PEF - 6  p1, FF1 Inputs '!J23</f>
        <v>0</v>
      </c>
      <c r="I16" s="2"/>
      <c r="J16" s="1">
        <f>(F16+H16)/2</f>
        <v>0</v>
      </c>
      <c r="L16" s="227" t="s">
        <v>51</v>
      </c>
      <c r="M16" s="228">
        <f>'PEF - 2 - Page 4 Support'!I20</f>
        <v>0</v>
      </c>
      <c r="N16" s="228"/>
      <c r="O16" s="229">
        <f>IF(ISNUMBER(M16),J16*M16,"")</f>
        <v>0</v>
      </c>
    </row>
    <row r="17" spans="1:15">
      <c r="A17" s="62" t="s">
        <v>498</v>
      </c>
      <c r="B17" s="223"/>
      <c r="C17" s="61" t="s">
        <v>500</v>
      </c>
      <c r="D17" s="62" t="s">
        <v>501</v>
      </c>
      <c r="E17" s="62"/>
      <c r="F17" s="224">
        <f>'PEF - 7, Retail Radials'!L14</f>
        <v>0</v>
      </c>
      <c r="G17" s="224"/>
      <c r="H17" s="224">
        <f>'PEF - 7, Retail Radials'!L18</f>
        <v>0</v>
      </c>
      <c r="I17" s="62"/>
      <c r="J17" s="225">
        <f>(F17+H17)/2</f>
        <v>0</v>
      </c>
      <c r="K17" s="61"/>
      <c r="L17" s="62"/>
      <c r="M17" s="226"/>
      <c r="N17" s="226"/>
      <c r="O17" s="222"/>
    </row>
    <row r="18" spans="1:15">
      <c r="A18" s="62" t="s">
        <v>499</v>
      </c>
      <c r="B18" s="223"/>
      <c r="C18" s="61" t="s">
        <v>502</v>
      </c>
      <c r="D18" s="62"/>
      <c r="E18" s="62"/>
      <c r="F18" s="224"/>
      <c r="G18" s="224"/>
      <c r="H18" s="224"/>
      <c r="I18" s="62"/>
      <c r="J18" s="222">
        <f>J16-J17</f>
        <v>0</v>
      </c>
      <c r="K18" s="61"/>
      <c r="L18" s="62" t="s">
        <v>51</v>
      </c>
      <c r="M18" s="226">
        <f>'PEF - 2 - Page 4 Support'!I$20</f>
        <v>0</v>
      </c>
      <c r="N18" s="226"/>
      <c r="O18" s="222">
        <f>J18*M18</f>
        <v>0</v>
      </c>
    </row>
    <row r="19" spans="1:15" ht="6" customHeight="1">
      <c r="A19" s="2"/>
      <c r="B19" s="3"/>
      <c r="D19" s="2"/>
      <c r="E19" s="2"/>
      <c r="F19" s="9"/>
      <c r="G19" s="9"/>
      <c r="H19" s="9"/>
      <c r="I19" s="2"/>
      <c r="J19" s="1"/>
      <c r="L19" s="2"/>
      <c r="M19" s="7"/>
      <c r="N19" s="7"/>
      <c r="O19" s="1"/>
    </row>
    <row r="20" spans="1:15">
      <c r="A20" s="2">
        <f>A16+1</f>
        <v>3</v>
      </c>
      <c r="B20" s="3"/>
      <c r="C20" t="str">
        <f>'PEF - 6  p1, FF1 Inputs '!E24</f>
        <v>Distribution Plant</v>
      </c>
      <c r="D20" s="2" t="str">
        <f>'PEF - 6  p1, FF1 Inputs '!F24</f>
        <v>207.75.b&amp;g</v>
      </c>
      <c r="E20" s="2"/>
      <c r="F20" s="9">
        <f>'PEF - 6  p1, FF1 Inputs '!H24</f>
        <v>0</v>
      </c>
      <c r="G20" s="9"/>
      <c r="H20" s="9">
        <f>'PEF - 6  p1, FF1 Inputs '!J24</f>
        <v>0</v>
      </c>
      <c r="I20" s="2"/>
      <c r="J20" s="1">
        <f>(F20+H20)/2</f>
        <v>0</v>
      </c>
      <c r="L20" s="2" t="s">
        <v>26</v>
      </c>
      <c r="M20" s="7"/>
      <c r="N20" s="7"/>
      <c r="O20" s="1" t="str">
        <f>IF(ISNUMBER(M20),J20*M20,"")</f>
        <v/>
      </c>
    </row>
    <row r="21" spans="1:15">
      <c r="A21" s="2">
        <f>A20+1</f>
        <v>4</v>
      </c>
      <c r="B21" s="3"/>
      <c r="C21" t="str">
        <f>'PEF - 6  p1, FF1 Inputs '!E25</f>
        <v>General Plant</v>
      </c>
      <c r="D21" s="2" t="str">
        <f>'PEF - 6  p1, FF1 Inputs '!F25</f>
        <v>207.99.b&amp;g</v>
      </c>
      <c r="E21" s="50"/>
      <c r="F21" s="58">
        <f>'PEF - 6  p1, FF1 Inputs '!H25</f>
        <v>0</v>
      </c>
      <c r="G21" s="58"/>
      <c r="H21" s="58">
        <f>'PEF - 6  p1, FF1 Inputs '!J25</f>
        <v>0</v>
      </c>
      <c r="I21" s="50"/>
      <c r="J21" s="1">
        <f>(F21+H21)/2</f>
        <v>0</v>
      </c>
      <c r="L21" s="2" t="s">
        <v>195</v>
      </c>
      <c r="M21" s="7">
        <f>'PEF - 2 - Page 4 Support'!I$37</f>
        <v>0</v>
      </c>
      <c r="N21" s="7"/>
      <c r="O21" s="1">
        <f>IF(ISNUMBER(M21),J21*M21,"")</f>
        <v>0</v>
      </c>
    </row>
    <row r="22" spans="1:15" ht="13.5" thickBot="1">
      <c r="A22" s="2">
        <f>A21+1</f>
        <v>5</v>
      </c>
      <c r="B22" s="3"/>
      <c r="C22" t="str">
        <f>'PEF - 6  p1, FF1 Inputs '!E21</f>
        <v>Intangible Plant</v>
      </c>
      <c r="D22" s="2" t="str">
        <f>'PEF - 6  p1, FF1 Inputs '!F21</f>
        <v>205.5.b&amp;g</v>
      </c>
      <c r="E22" s="2"/>
      <c r="F22" s="58">
        <f>'PEF - 6  p1, FF1 Inputs '!H21</f>
        <v>0</v>
      </c>
      <c r="G22" s="58"/>
      <c r="H22" s="58">
        <f>'PEF - 6  p1, FF1 Inputs '!J21</f>
        <v>0</v>
      </c>
      <c r="I22" s="2"/>
      <c r="J22" s="1">
        <f>(F22+H22)/2</f>
        <v>0</v>
      </c>
      <c r="L22" s="2" t="s">
        <v>195</v>
      </c>
      <c r="M22" s="7">
        <f>M21</f>
        <v>0</v>
      </c>
      <c r="N22" s="7"/>
      <c r="O22" s="1">
        <f>IF(ISNUMBER(M22),J22*M22,"")</f>
        <v>0</v>
      </c>
    </row>
    <row r="23" spans="1:15" ht="15" customHeight="1" thickTop="1">
      <c r="A23" s="2">
        <f>A22+1</f>
        <v>6</v>
      </c>
      <c r="B23" s="3" t="s">
        <v>28</v>
      </c>
      <c r="D23" s="2"/>
      <c r="E23" s="2"/>
      <c r="F23" s="9"/>
      <c r="G23" s="9"/>
      <c r="H23" s="9"/>
      <c r="I23" s="2"/>
      <c r="J23" s="5">
        <f>J14+J16+SUM(J20:J22)</f>
        <v>0</v>
      </c>
      <c r="L23" s="2" t="s">
        <v>27</v>
      </c>
      <c r="M23" s="7">
        <f>IF(J23&lt;&gt;0,O23/J23,0)</f>
        <v>0</v>
      </c>
      <c r="N23" s="7"/>
      <c r="O23" s="5">
        <f>SUM(O14:O22)</f>
        <v>0</v>
      </c>
    </row>
    <row r="24" spans="1:15">
      <c r="A24" s="2"/>
      <c r="B24" s="3"/>
      <c r="D24" s="2"/>
      <c r="E24" s="2"/>
      <c r="F24" s="9"/>
      <c r="G24" s="9"/>
      <c r="H24" s="9"/>
      <c r="I24" s="2"/>
      <c r="L24" s="2"/>
    </row>
    <row r="25" spans="1:15">
      <c r="A25" s="2"/>
      <c r="B25" s="3" t="s">
        <v>301</v>
      </c>
      <c r="D25" s="2"/>
      <c r="E25" s="2"/>
      <c r="F25" s="9"/>
      <c r="G25" s="9"/>
      <c r="H25" s="9"/>
      <c r="I25" s="2"/>
      <c r="L25" s="2"/>
    </row>
    <row r="26" spans="1:15">
      <c r="A26" s="2">
        <f>A23+1</f>
        <v>7</v>
      </c>
      <c r="B26" s="3"/>
      <c r="C26" t="str">
        <f>'PEF - 6  p1, FF1 Inputs '!E27</f>
        <v>Production Depr. Reserve</v>
      </c>
      <c r="D26" s="2" t="str">
        <f>'PEF - 6  p1, FF1 Inputs '!F27</f>
        <v>219.20 thru 24.c</v>
      </c>
      <c r="E26" s="2"/>
      <c r="F26" s="9">
        <f>'PEF - 6  p1, FF1 Inputs '!J72</f>
        <v>0</v>
      </c>
      <c r="G26" s="9"/>
      <c r="H26" s="1">
        <f>'PEF - 6  p1, FF1 Inputs '!J27</f>
        <v>0</v>
      </c>
      <c r="I26" s="2"/>
      <c r="J26" s="1">
        <f>(F26+H26)/2</f>
        <v>0</v>
      </c>
      <c r="L26" s="2" t="s">
        <v>26</v>
      </c>
      <c r="O26" t="str">
        <f>IF(ISNUMBER(M26),J26*M26,"")</f>
        <v/>
      </c>
    </row>
    <row r="27" spans="1:15" ht="6" customHeight="1">
      <c r="A27" s="2"/>
      <c r="B27" s="3"/>
      <c r="D27" s="2"/>
      <c r="E27" s="2"/>
      <c r="F27" s="9"/>
      <c r="G27" s="9"/>
      <c r="H27" s="1"/>
      <c r="I27" s="2"/>
      <c r="J27" s="1"/>
      <c r="L27" s="2"/>
    </row>
    <row r="28" spans="1:15">
      <c r="A28" s="2">
        <f>A26+1</f>
        <v>8</v>
      </c>
      <c r="B28" s="51"/>
      <c r="C28" t="str">
        <f>'PEF - 6  p1, FF1 Inputs '!E28&amp;" (Note V)"</f>
        <v>Transmission Depr. Reserve (Note V)</v>
      </c>
      <c r="D28" s="2" t="str">
        <f>'PEF - 6  p1, FF1 Inputs '!F28</f>
        <v>219.25.c</v>
      </c>
      <c r="E28" s="2"/>
      <c r="F28" s="9">
        <f>'PEF - 6  p1, FF1 Inputs '!J73</f>
        <v>0</v>
      </c>
      <c r="G28" s="9"/>
      <c r="H28" s="1">
        <f>'PEF - 6  p1, FF1 Inputs '!J28</f>
        <v>0</v>
      </c>
      <c r="I28" s="2"/>
      <c r="J28" s="1">
        <f>(F28+H28)/2</f>
        <v>0</v>
      </c>
      <c r="K28" s="44"/>
      <c r="L28" s="227" t="s">
        <v>51</v>
      </c>
      <c r="M28" s="228">
        <f>M30</f>
        <v>0</v>
      </c>
      <c r="N28" s="228"/>
      <c r="O28" s="229">
        <f>IF(ISNUMBER(M28),J28*M28,"")</f>
        <v>0</v>
      </c>
    </row>
    <row r="29" spans="1:15">
      <c r="A29" s="62" t="s">
        <v>503</v>
      </c>
      <c r="B29" s="223"/>
      <c r="C29" s="61" t="s">
        <v>500</v>
      </c>
      <c r="D29" s="62" t="s">
        <v>505</v>
      </c>
      <c r="E29" s="62"/>
      <c r="F29" s="224">
        <f>'PEF - 7, Retail Radials'!L25</f>
        <v>0</v>
      </c>
      <c r="G29" s="224"/>
      <c r="H29" s="222">
        <f>'PEF - 7, Retail Radials'!L28</f>
        <v>0</v>
      </c>
      <c r="I29" s="62"/>
      <c r="J29" s="225">
        <f>(F29+H29)/2</f>
        <v>0</v>
      </c>
      <c r="K29" s="61"/>
      <c r="L29" s="62"/>
      <c r="M29" s="226"/>
      <c r="N29" s="226"/>
      <c r="O29" s="222"/>
    </row>
    <row r="30" spans="1:15">
      <c r="A30" s="62" t="s">
        <v>504</v>
      </c>
      <c r="B30" s="223"/>
      <c r="C30" s="61" t="s">
        <v>509</v>
      </c>
      <c r="D30" s="62"/>
      <c r="E30" s="62"/>
      <c r="F30" s="224"/>
      <c r="G30" s="224"/>
      <c r="H30" s="222"/>
      <c r="I30" s="62"/>
      <c r="J30" s="222">
        <f>J28-J29</f>
        <v>0</v>
      </c>
      <c r="K30" s="61"/>
      <c r="L30" s="62" t="s">
        <v>51</v>
      </c>
      <c r="M30" s="226">
        <f>'PEF - 2 - Page 4 Support'!I$20</f>
        <v>0</v>
      </c>
      <c r="N30" s="226"/>
      <c r="O30" s="222">
        <f>IF(ISNUMBER(M30),J30*M30,"")</f>
        <v>0</v>
      </c>
    </row>
    <row r="31" spans="1:15" ht="6" customHeight="1">
      <c r="A31" s="2"/>
      <c r="B31" s="51"/>
      <c r="D31" s="2"/>
      <c r="E31" s="2"/>
      <c r="F31" s="9"/>
      <c r="G31" s="9"/>
      <c r="H31" s="1"/>
      <c r="I31" s="2"/>
      <c r="J31" s="1"/>
      <c r="K31" s="44"/>
      <c r="L31" s="50"/>
      <c r="M31" s="47"/>
      <c r="N31" s="47"/>
      <c r="O31" s="46"/>
    </row>
    <row r="32" spans="1:15">
      <c r="A32" s="2">
        <f>A28+1</f>
        <v>9</v>
      </c>
      <c r="B32" s="3"/>
      <c r="C32" t="str">
        <f>'PEF - 6  p1, FF1 Inputs '!E29</f>
        <v>Distribution Depr. Reserve</v>
      </c>
      <c r="D32" s="2" t="str">
        <f>'PEF - 6  p1, FF1 Inputs '!F29</f>
        <v>219.26.c</v>
      </c>
      <c r="E32" s="2"/>
      <c r="F32" s="9">
        <f>'PEF - 6  p1, FF1 Inputs '!J74</f>
        <v>0</v>
      </c>
      <c r="G32" s="9"/>
      <c r="H32" s="1">
        <f>'PEF - 6  p1, FF1 Inputs '!J29</f>
        <v>0</v>
      </c>
      <c r="I32" s="2"/>
      <c r="J32" s="1">
        <f>(F32+H32)/2</f>
        <v>0</v>
      </c>
      <c r="L32" s="2" t="s">
        <v>26</v>
      </c>
      <c r="M32" s="7"/>
      <c r="N32" s="7"/>
      <c r="O32" s="1" t="str">
        <f>IF(ISNUMBER(M32),J32*M32,"")</f>
        <v/>
      </c>
    </row>
    <row r="33" spans="1:15">
      <c r="A33" s="2">
        <f>A32+1</f>
        <v>10</v>
      </c>
      <c r="B33" s="3"/>
      <c r="C33" t="str">
        <f>'PEF - 6  p1, FF1 Inputs '!E30</f>
        <v>General Depr. Reserve</v>
      </c>
      <c r="D33" s="2" t="str">
        <f>'PEF - 6  p1, FF1 Inputs '!F30</f>
        <v>219.28.c</v>
      </c>
      <c r="E33" s="2"/>
      <c r="F33" s="9">
        <f>'PEF - 6  p1, FF1 Inputs '!J75</f>
        <v>0</v>
      </c>
      <c r="G33" s="9"/>
      <c r="H33" s="1">
        <f>'PEF - 6  p1, FF1 Inputs '!J30</f>
        <v>0</v>
      </c>
      <c r="I33" s="2"/>
      <c r="J33" s="1">
        <f>(F33+H33)/2</f>
        <v>0</v>
      </c>
      <c r="L33" s="2" t="s">
        <v>195</v>
      </c>
      <c r="M33" s="7">
        <f>'PEF - 2 - Page 4 Support'!I$37</f>
        <v>0</v>
      </c>
      <c r="N33" s="7"/>
      <c r="O33" s="1">
        <f>IF(ISNUMBER(M33),J33*M33,"")</f>
        <v>0</v>
      </c>
    </row>
    <row r="34" spans="1:15" ht="13.5" thickBot="1">
      <c r="A34" s="2">
        <f>A33+1</f>
        <v>11</v>
      </c>
      <c r="B34" s="3"/>
      <c r="C34" t="str">
        <f>'PEF - 6  p1, FF1 Inputs '!E20</f>
        <v>Intangible Amort. Reserve</v>
      </c>
      <c r="D34" s="2" t="str">
        <f>'PEF - 6  p1, FF1 Inputs '!F20</f>
        <v>200.21.c</v>
      </c>
      <c r="E34" s="2"/>
      <c r="F34" s="9">
        <f>'PEF - 6  p1, FF1 Inputs '!J70</f>
        <v>0</v>
      </c>
      <c r="G34" s="9"/>
      <c r="H34" s="1">
        <f>'PEF - 6  p1, FF1 Inputs '!J20</f>
        <v>0</v>
      </c>
      <c r="I34" s="2"/>
      <c r="J34" s="1">
        <f>(F34+H34)/2</f>
        <v>0</v>
      </c>
      <c r="L34" s="2" t="s">
        <v>195</v>
      </c>
      <c r="M34" s="7">
        <f>M33</f>
        <v>0</v>
      </c>
      <c r="N34" s="7"/>
      <c r="O34" s="1">
        <f>IF(ISNUMBER(M34),J34*M34,"")</f>
        <v>0</v>
      </c>
    </row>
    <row r="35" spans="1:15" ht="13.5" thickTop="1">
      <c r="A35" s="2">
        <f>A34+1</f>
        <v>12</v>
      </c>
      <c r="B35" s="3" t="s">
        <v>29</v>
      </c>
      <c r="D35" s="2"/>
      <c r="E35" s="2"/>
      <c r="F35" s="9"/>
      <c r="G35" s="9"/>
      <c r="H35" s="9"/>
      <c r="I35" s="2"/>
      <c r="J35" s="5">
        <f>J26+J28+SUM(J32:J34)</f>
        <v>0</v>
      </c>
      <c r="L35" s="2"/>
      <c r="M35" s="7"/>
      <c r="N35" s="7"/>
      <c r="O35" s="5">
        <f>SUM(O26:O34)</f>
        <v>0</v>
      </c>
    </row>
    <row r="36" spans="1:15">
      <c r="A36" s="2"/>
      <c r="B36" s="3"/>
      <c r="D36" s="2"/>
      <c r="E36" s="2"/>
      <c r="F36" s="9"/>
      <c r="G36" s="9"/>
      <c r="H36" s="9"/>
      <c r="I36" s="2"/>
      <c r="L36" s="2"/>
    </row>
    <row r="37" spans="1:15">
      <c r="A37" s="2"/>
      <c r="B37" s="3" t="s">
        <v>30</v>
      </c>
      <c r="D37" s="2"/>
      <c r="E37" s="2"/>
      <c r="F37" s="9"/>
      <c r="G37" s="9"/>
      <c r="H37" s="9"/>
      <c r="I37" s="2"/>
      <c r="L37" s="2"/>
      <c r="O37" s="1"/>
    </row>
    <row r="38" spans="1:15">
      <c r="A38" s="2">
        <f>A35+1</f>
        <v>13</v>
      </c>
      <c r="B38" s="3"/>
      <c r="C38" t="s">
        <v>188</v>
      </c>
      <c r="D38" s="2" t="s">
        <v>42</v>
      </c>
      <c r="E38" s="2"/>
      <c r="F38" s="9"/>
      <c r="G38" s="9"/>
      <c r="H38" s="9"/>
      <c r="I38" s="2"/>
      <c r="J38" s="1">
        <f>J14-J26</f>
        <v>0</v>
      </c>
      <c r="L38" s="2"/>
      <c r="O38" s="1" t="str">
        <f>IF(ISNUMBER(O14),O14-O26,"")</f>
        <v/>
      </c>
    </row>
    <row r="39" spans="1:15">
      <c r="A39" s="2">
        <f>A38+1</f>
        <v>14</v>
      </c>
      <c r="B39" s="3"/>
      <c r="C39" t="s">
        <v>189</v>
      </c>
      <c r="D39" s="214" t="s">
        <v>564</v>
      </c>
      <c r="E39" s="2"/>
      <c r="F39" s="9"/>
      <c r="G39" s="9"/>
      <c r="H39" s="9"/>
      <c r="I39" s="2"/>
      <c r="J39" s="1">
        <f>J18-J30</f>
        <v>0</v>
      </c>
      <c r="L39" s="2"/>
      <c r="O39" s="1">
        <f>IF(ISNUMBER(O18),O18-O30,"")</f>
        <v>0</v>
      </c>
    </row>
    <row r="40" spans="1:15">
      <c r="A40" s="2">
        <f>A39+1</f>
        <v>15</v>
      </c>
      <c r="B40" s="3"/>
      <c r="C40" t="s">
        <v>190</v>
      </c>
      <c r="D40" s="2" t="s">
        <v>43</v>
      </c>
      <c r="E40" s="2"/>
      <c r="F40" s="9"/>
      <c r="G40" s="9"/>
      <c r="H40" s="9"/>
      <c r="I40" s="2"/>
      <c r="J40" s="1">
        <f>J20-J32</f>
        <v>0</v>
      </c>
      <c r="L40" s="2"/>
      <c r="O40" s="1" t="str">
        <f>IF(ISNUMBER(O20),O20-O32,"")</f>
        <v/>
      </c>
    </row>
    <row r="41" spans="1:15">
      <c r="A41" s="2">
        <f>A40+1</f>
        <v>16</v>
      </c>
      <c r="B41" s="3"/>
      <c r="C41" t="s">
        <v>191</v>
      </c>
      <c r="D41" s="2" t="s">
        <v>44</v>
      </c>
      <c r="E41" s="2"/>
      <c r="F41" s="9"/>
      <c r="G41" s="9"/>
      <c r="H41" s="9"/>
      <c r="I41" s="2"/>
      <c r="J41" s="1">
        <f>J21-J33</f>
        <v>0</v>
      </c>
      <c r="L41" s="2"/>
      <c r="O41" s="1">
        <f>IF(ISNUMBER(O21),O21-O33,"")</f>
        <v>0</v>
      </c>
    </row>
    <row r="42" spans="1:15" ht="13.5" thickBot="1">
      <c r="A42" s="2">
        <f>A41+1</f>
        <v>17</v>
      </c>
      <c r="B42" s="3"/>
      <c r="C42" t="s">
        <v>192</v>
      </c>
      <c r="D42" s="2" t="s">
        <v>45</v>
      </c>
      <c r="E42" s="2"/>
      <c r="F42" s="9"/>
      <c r="G42" s="9"/>
      <c r="H42" s="9"/>
      <c r="I42" s="2"/>
      <c r="J42" s="1">
        <f>J22-J34</f>
        <v>0</v>
      </c>
      <c r="L42" s="2"/>
      <c r="O42" s="1">
        <f>IF(ISNUMBER(O22),O22-O34,"")</f>
        <v>0</v>
      </c>
    </row>
    <row r="43" spans="1:15" ht="13.5" thickTop="1">
      <c r="A43" s="2">
        <f>A42+1</f>
        <v>18</v>
      </c>
      <c r="B43" s="3" t="s">
        <v>31</v>
      </c>
      <c r="D43" s="2"/>
      <c r="E43" s="2"/>
      <c r="F43" s="9"/>
      <c r="G43" s="9"/>
      <c r="H43" s="9"/>
      <c r="I43" s="2"/>
      <c r="J43" s="5">
        <f>SUM(J38:J42)</f>
        <v>0</v>
      </c>
      <c r="L43" s="2" t="s">
        <v>32</v>
      </c>
      <c r="M43" s="7">
        <f>IF(J43&lt;&gt;0,O43/J43,0)</f>
        <v>0</v>
      </c>
      <c r="N43" s="7"/>
      <c r="O43" s="5">
        <f>SUM(O38:O42)</f>
        <v>0</v>
      </c>
    </row>
    <row r="44" spans="1:15">
      <c r="A44" s="2"/>
      <c r="B44" s="3"/>
      <c r="D44" s="2"/>
      <c r="E44" s="2"/>
      <c r="F44" s="9"/>
      <c r="G44" s="9"/>
      <c r="H44" s="9"/>
      <c r="I44" s="2"/>
      <c r="L44" s="2"/>
    </row>
    <row r="45" spans="1:15">
      <c r="A45" s="2"/>
      <c r="B45" s="3" t="s">
        <v>283</v>
      </c>
      <c r="D45" s="2"/>
      <c r="E45" s="2"/>
      <c r="F45" s="9"/>
      <c r="G45" s="9"/>
      <c r="H45" s="9"/>
      <c r="I45" s="2"/>
      <c r="L45" s="2"/>
    </row>
    <row r="46" spans="1:15">
      <c r="A46" s="2">
        <f>A43+1</f>
        <v>19</v>
      </c>
      <c r="B46" s="3"/>
      <c r="C46" t="s">
        <v>18</v>
      </c>
      <c r="D46" s="6" t="str">
        <f>'PEF - 6  p1, FF1 Inputs '!F36</f>
        <v>234.8.b&amp;c</v>
      </c>
      <c r="E46" s="2"/>
      <c r="F46" s="9">
        <f>'PEF - 6  p1, FF1 Inputs '!H36</f>
        <v>0</v>
      </c>
      <c r="G46" s="9"/>
      <c r="H46" s="9">
        <f>'PEF - 6  p1, FF1 Inputs '!J36</f>
        <v>0</v>
      </c>
      <c r="I46" s="2"/>
      <c r="J46" s="1">
        <f>(F46+H46)/2</f>
        <v>0</v>
      </c>
      <c r="L46" s="244" t="s">
        <v>196</v>
      </c>
      <c r="M46" s="245"/>
      <c r="N46" s="44"/>
      <c r="O46" s="97">
        <f>('PEF -5 p1 Prior Year ADIT'!I13+'PEF - 5 p2 Current Year ADIT'!I13)/2</f>
        <v>0</v>
      </c>
    </row>
    <row r="47" spans="1:15">
      <c r="A47" s="2">
        <f>A46+1</f>
        <v>20</v>
      </c>
      <c r="B47" s="3"/>
      <c r="C47" t="s">
        <v>19</v>
      </c>
      <c r="D47" s="6" t="str">
        <f>'PEF - 6  p1, FF1 Inputs '!F45</f>
        <v>273.8.b&amp;k</v>
      </c>
      <c r="E47" s="2"/>
      <c r="F47" s="9">
        <f>'PEF - 6  p1, FF1 Inputs '!H45</f>
        <v>0</v>
      </c>
      <c r="G47" s="9"/>
      <c r="H47" s="9">
        <f>'PEF - 6  p1, FF1 Inputs '!J45</f>
        <v>0</v>
      </c>
      <c r="I47" s="2"/>
      <c r="J47" s="1">
        <f>(F47+H47)/2</f>
        <v>0</v>
      </c>
      <c r="L47" s="244" t="s">
        <v>196</v>
      </c>
      <c r="M47" s="245"/>
      <c r="N47" s="44"/>
      <c r="O47" s="97">
        <f>('PEF -5 p1 Prior Year ADIT'!I16+'PEF - 5 p2 Current Year ADIT'!I16)/2</f>
        <v>0</v>
      </c>
    </row>
    <row r="48" spans="1:15">
      <c r="A48" s="2">
        <f>A47+1</f>
        <v>21</v>
      </c>
      <c r="B48" s="3"/>
      <c r="C48" t="s">
        <v>20</v>
      </c>
      <c r="D48" s="6" t="str">
        <f>'PEF - 6  p1, FF1 Inputs '!F46</f>
        <v>275.2.b&amp;k</v>
      </c>
      <c r="E48" s="2"/>
      <c r="F48" s="9">
        <f>'PEF - 6  p1, FF1 Inputs '!H46</f>
        <v>0</v>
      </c>
      <c r="G48" s="9"/>
      <c r="H48" s="9">
        <f>'PEF - 6  p1, FF1 Inputs '!J46</f>
        <v>0</v>
      </c>
      <c r="I48" s="2"/>
      <c r="J48" s="1">
        <f>(F48+H48)/2</f>
        <v>0</v>
      </c>
      <c r="L48" s="244" t="s">
        <v>196</v>
      </c>
      <c r="M48" s="245"/>
      <c r="N48" s="44"/>
      <c r="O48" s="1">
        <f>('PEF -5 p1 Prior Year ADIT'!I19+'PEF - 5 p2 Current Year ADIT'!I19)/2</f>
        <v>0</v>
      </c>
    </row>
    <row r="49" spans="1:15" ht="13.5" thickBot="1">
      <c r="A49" s="2">
        <f>A48+1</f>
        <v>22</v>
      </c>
      <c r="B49" s="3"/>
      <c r="C49" t="s">
        <v>405</v>
      </c>
      <c r="D49" s="6" t="str">
        <f>'PEF - 6  p1, FF1 Inputs '!F47</f>
        <v>277.9.b&amp;k</v>
      </c>
      <c r="E49" s="2"/>
      <c r="F49" s="9">
        <f>'PEF - 6  p1, FF1 Inputs '!H47</f>
        <v>0</v>
      </c>
      <c r="G49" s="9"/>
      <c r="H49" s="9">
        <f>'PEF - 6  p1, FF1 Inputs '!J47</f>
        <v>0</v>
      </c>
      <c r="I49" s="2"/>
      <c r="J49" s="1">
        <f>(F49+H49)/2</f>
        <v>0</v>
      </c>
      <c r="L49" s="244" t="s">
        <v>196</v>
      </c>
      <c r="M49" s="245"/>
      <c r="N49" s="44"/>
      <c r="O49" s="1">
        <f>('PEF -5 p1 Prior Year ADIT'!I22+'PEF - 5 p2 Current Year ADIT'!I22)/2</f>
        <v>0</v>
      </c>
    </row>
    <row r="50" spans="1:15" ht="13.5" thickTop="1">
      <c r="A50" s="2">
        <f>A49+1</f>
        <v>23</v>
      </c>
      <c r="B50" s="3" t="s">
        <v>284</v>
      </c>
      <c r="D50" s="2"/>
      <c r="E50" s="2"/>
      <c r="F50" s="9"/>
      <c r="G50" s="9"/>
      <c r="H50" s="9"/>
      <c r="I50" s="2"/>
      <c r="J50" s="5">
        <f>SUM(J46:J49)</f>
        <v>0</v>
      </c>
      <c r="L50" s="2"/>
      <c r="M50" s="7"/>
      <c r="N50" s="7"/>
      <c r="O50" s="5">
        <f>SUM(O46:O49)</f>
        <v>0</v>
      </c>
    </row>
    <row r="51" spans="1:15">
      <c r="A51" s="2"/>
      <c r="B51" s="3"/>
      <c r="D51" s="2"/>
      <c r="E51" s="2"/>
      <c r="F51" s="9"/>
      <c r="G51" s="9"/>
      <c r="H51" s="9"/>
      <c r="I51" s="2"/>
      <c r="L51" s="2"/>
    </row>
    <row r="52" spans="1:15" ht="25.5" customHeight="1">
      <c r="A52" s="16">
        <f>A50+1</f>
        <v>24</v>
      </c>
      <c r="B52" s="247" t="s">
        <v>565</v>
      </c>
      <c r="C52" s="249"/>
      <c r="D52" s="217" t="s">
        <v>566</v>
      </c>
      <c r="E52" s="217"/>
      <c r="F52" s="218">
        <v>0</v>
      </c>
      <c r="G52" s="218"/>
      <c r="H52" s="218">
        <v>0</v>
      </c>
      <c r="I52" s="217"/>
      <c r="J52" s="219">
        <v>0</v>
      </c>
      <c r="K52" s="220"/>
      <c r="L52" s="217" t="s">
        <v>195</v>
      </c>
      <c r="M52" s="221">
        <v>0</v>
      </c>
      <c r="N52" s="221"/>
      <c r="O52" s="219">
        <v>0</v>
      </c>
    </row>
    <row r="53" spans="1:15">
      <c r="A53" s="2"/>
      <c r="B53" s="3"/>
      <c r="D53" s="2"/>
      <c r="E53" s="2"/>
      <c r="F53" s="9"/>
      <c r="G53" s="9"/>
      <c r="H53" s="9"/>
      <c r="I53" s="2"/>
      <c r="L53" s="2"/>
    </row>
    <row r="54" spans="1:15" ht="25.5" customHeight="1">
      <c r="A54" s="16">
        <f>A52+1</f>
        <v>25</v>
      </c>
      <c r="B54" s="247" t="s">
        <v>303</v>
      </c>
      <c r="C54" s="248"/>
      <c r="D54" s="16" t="str">
        <f>'PEF - 6  p1, FF1 Inputs '!F35</f>
        <v>230a.5.f</v>
      </c>
      <c r="E54" s="16"/>
      <c r="F54" s="36">
        <f>'PEF - 6  p1, FF1 Inputs '!J76</f>
        <v>0</v>
      </c>
      <c r="G54" s="36"/>
      <c r="H54" s="36">
        <f>'PEF - 6  p1, FF1 Inputs '!J35</f>
        <v>0</v>
      </c>
      <c r="I54" s="16"/>
      <c r="J54" s="17">
        <f>(F54+H54)/2</f>
        <v>0</v>
      </c>
      <c r="K54" s="13"/>
      <c r="L54" s="16" t="str">
        <f>"p. 5, l. "&amp;'PEF - 2 - Page 5 Storm, Notes'!B38</f>
        <v>p. 5, l. 16</v>
      </c>
      <c r="M54" s="18">
        <f>'PEF - 2 - Page 5 Storm, Notes'!K38</f>
        <v>0</v>
      </c>
      <c r="N54" s="13"/>
      <c r="O54" s="17">
        <f>J54*M54</f>
        <v>0</v>
      </c>
    </row>
    <row r="55" spans="1:15">
      <c r="A55" s="2"/>
      <c r="B55" s="3"/>
      <c r="D55" s="2"/>
      <c r="E55" s="2"/>
      <c r="F55" s="9"/>
      <c r="G55" s="9"/>
      <c r="H55" s="9"/>
      <c r="I55" s="2"/>
      <c r="L55" s="2"/>
    </row>
    <row r="56" spans="1:15">
      <c r="A56" s="16">
        <f>A54+1</f>
        <v>26</v>
      </c>
      <c r="B56" s="3" t="s">
        <v>38</v>
      </c>
      <c r="D56" s="2" t="str">
        <f>'PEF - 6  p1, FF1 Inputs '!F26</f>
        <v>214.47.d</v>
      </c>
      <c r="E56" s="2"/>
      <c r="F56" s="9">
        <f>'PEF - 6  p1, FF1 Inputs '!J71</f>
        <v>0</v>
      </c>
      <c r="G56" s="9"/>
      <c r="H56" s="9">
        <f>'PEF - 6  p1, FF1 Inputs '!J26</f>
        <v>0</v>
      </c>
      <c r="I56" s="2"/>
      <c r="J56" s="1">
        <f>(F56+H56)/2</f>
        <v>0</v>
      </c>
      <c r="L56" s="2" t="s">
        <v>304</v>
      </c>
      <c r="O56" s="1">
        <f>J56</f>
        <v>0</v>
      </c>
    </row>
    <row r="57" spans="1:15">
      <c r="A57" s="2"/>
      <c r="B57" s="3"/>
      <c r="F57" s="1"/>
      <c r="G57" s="1"/>
      <c r="H57" s="1"/>
      <c r="L57" s="2"/>
    </row>
    <row r="58" spans="1:15">
      <c r="A58" s="16">
        <f>A56+1</f>
        <v>27</v>
      </c>
      <c r="B58" s="3" t="s">
        <v>570</v>
      </c>
      <c r="F58" s="46">
        <v>0</v>
      </c>
      <c r="G58" s="1"/>
      <c r="H58" s="189">
        <v>0</v>
      </c>
      <c r="J58" s="1">
        <f>(F58+H58)/2</f>
        <v>0</v>
      </c>
      <c r="L58" s="2"/>
      <c r="M58" s="70">
        <v>0.5</v>
      </c>
      <c r="O58" s="1">
        <f>J58*M58</f>
        <v>0</v>
      </c>
    </row>
    <row r="59" spans="1:15" ht="12.75" customHeight="1">
      <c r="A59" s="2"/>
      <c r="C59" s="42"/>
      <c r="D59" s="16"/>
      <c r="E59" s="16"/>
      <c r="F59" s="57"/>
      <c r="G59" s="57"/>
      <c r="H59" s="57"/>
      <c r="I59" s="16"/>
      <c r="J59" s="17"/>
      <c r="K59" s="13"/>
      <c r="L59" s="16"/>
      <c r="M59" s="18"/>
      <c r="N59" s="13"/>
      <c r="O59" s="17"/>
    </row>
    <row r="60" spans="1:15" ht="12.75" customHeight="1">
      <c r="A60" s="50"/>
      <c r="B60" s="51" t="s">
        <v>408</v>
      </c>
      <c r="C60" s="45"/>
      <c r="D60" s="66"/>
      <c r="E60" s="66"/>
      <c r="F60" s="67"/>
      <c r="G60" s="67"/>
      <c r="H60" s="67"/>
      <c r="I60" s="66"/>
      <c r="J60" s="68"/>
      <c r="K60" s="69"/>
      <c r="L60" s="66"/>
      <c r="M60" s="70"/>
      <c r="N60" s="69"/>
      <c r="O60" s="68"/>
    </row>
    <row r="61" spans="1:15" ht="12.75" customHeight="1">
      <c r="A61" s="2">
        <f>A58+1</f>
        <v>28</v>
      </c>
      <c r="B61" s="44"/>
      <c r="C61" s="73" t="s">
        <v>571</v>
      </c>
      <c r="D61" s="66"/>
      <c r="E61" s="66"/>
      <c r="F61" s="58">
        <v>0</v>
      </c>
      <c r="G61" s="58"/>
      <c r="H61" s="58">
        <v>0</v>
      </c>
      <c r="I61" s="2"/>
      <c r="J61" s="1">
        <f>(F61+H61)/2</f>
        <v>0</v>
      </c>
      <c r="K61" s="69"/>
      <c r="L61" s="66" t="s">
        <v>55</v>
      </c>
      <c r="M61" s="70">
        <v>-1</v>
      </c>
      <c r="N61" s="69"/>
      <c r="O61" s="68">
        <f>J61*M61</f>
        <v>0</v>
      </c>
    </row>
    <row r="62" spans="1:15" ht="12.75" customHeight="1" thickBot="1">
      <c r="A62" s="2">
        <f>A61+1</f>
        <v>29</v>
      </c>
      <c r="B62" s="44"/>
      <c r="C62" s="45" t="s">
        <v>281</v>
      </c>
      <c r="D62" s="66"/>
      <c r="E62" s="66"/>
      <c r="F62" s="58">
        <v>0</v>
      </c>
      <c r="G62" s="58"/>
      <c r="H62" s="58">
        <v>0</v>
      </c>
      <c r="I62" s="2"/>
      <c r="J62" s="1">
        <f>(F62+H62)/2</f>
        <v>0</v>
      </c>
      <c r="K62" s="69"/>
      <c r="L62" s="66" t="s">
        <v>55</v>
      </c>
      <c r="M62" s="70">
        <v>1</v>
      </c>
      <c r="N62" s="69"/>
      <c r="O62" s="68">
        <f>J62*M62</f>
        <v>0</v>
      </c>
    </row>
    <row r="63" spans="1:15" ht="12.75" customHeight="1" thickTop="1">
      <c r="A63" s="2">
        <f>A62+1</f>
        <v>30</v>
      </c>
      <c r="B63" s="3" t="s">
        <v>285</v>
      </c>
      <c r="C63" s="73"/>
      <c r="D63" s="74"/>
      <c r="E63" s="74"/>
      <c r="F63" s="9"/>
      <c r="G63" s="9"/>
      <c r="H63" s="9"/>
      <c r="I63" s="2"/>
      <c r="J63" s="1"/>
      <c r="K63" s="69"/>
      <c r="L63" s="66"/>
      <c r="M63" s="70"/>
      <c r="N63" s="69"/>
      <c r="O63" s="5">
        <f>SUM(O61:O62)</f>
        <v>0</v>
      </c>
    </row>
    <row r="64" spans="1:15" ht="12.75" customHeight="1">
      <c r="A64" s="71"/>
      <c r="B64" s="72"/>
      <c r="C64" s="73"/>
      <c r="D64" s="74"/>
      <c r="E64" s="74"/>
      <c r="F64" s="9"/>
      <c r="G64" s="9"/>
      <c r="H64" s="9"/>
      <c r="I64" s="2"/>
      <c r="J64" s="1"/>
      <c r="K64" s="69"/>
      <c r="L64" s="66"/>
      <c r="M64" s="70"/>
      <c r="N64" s="69"/>
      <c r="O64" s="68"/>
    </row>
    <row r="65" spans="1:15">
      <c r="A65" s="2"/>
      <c r="B65" s="3" t="s">
        <v>39</v>
      </c>
      <c r="D65" s="2"/>
      <c r="E65" s="2"/>
      <c r="F65" s="6"/>
      <c r="G65" s="6"/>
      <c r="H65" s="6"/>
      <c r="I65" s="2"/>
      <c r="L65" s="2"/>
    </row>
    <row r="66" spans="1:15">
      <c r="A66" s="2">
        <f>A63+1</f>
        <v>31</v>
      </c>
      <c r="B66" s="3"/>
      <c r="C66" t="s">
        <v>64</v>
      </c>
      <c r="D66" s="2" t="str">
        <f>"Page 3, line "&amp;'PEF - 2 - Page 3 Rev Reqt'!A34</f>
        <v>Page 3, line 17</v>
      </c>
      <c r="E66" s="2"/>
      <c r="F66" s="6"/>
      <c r="G66" s="6"/>
      <c r="H66" s="6"/>
      <c r="I66" s="2"/>
      <c r="L66" s="2"/>
      <c r="O66" s="1">
        <f>'PEF - 2 - Page 3 Rev Reqt'!K34/8</f>
        <v>0</v>
      </c>
    </row>
    <row r="67" spans="1:15">
      <c r="A67" s="2">
        <f>A66+1</f>
        <v>32</v>
      </c>
      <c r="B67" s="3"/>
      <c r="C67" s="44" t="s">
        <v>65</v>
      </c>
      <c r="D67" s="2" t="str">
        <f>'PEF - 6  p1, FF1 Inputs '!F31</f>
        <v>227.8.b&amp;c</v>
      </c>
      <c r="E67" s="2"/>
      <c r="F67" s="9">
        <f>'PEF - 6  p1, FF1 Inputs '!H31</f>
        <v>0</v>
      </c>
      <c r="G67" s="6"/>
      <c r="H67" s="9">
        <f>'PEF - 6  p1, FF1 Inputs '!J31</f>
        <v>0</v>
      </c>
      <c r="I67" s="2"/>
      <c r="J67" s="1">
        <f>(F67+H67)/2</f>
        <v>0</v>
      </c>
      <c r="L67" s="214" t="s">
        <v>573</v>
      </c>
      <c r="M67" s="7">
        <f>'PEF - 2 - Page 4 Support'!I20</f>
        <v>0</v>
      </c>
      <c r="N67" s="7"/>
      <c r="O67" s="1">
        <f>J67*M67</f>
        <v>0</v>
      </c>
    </row>
    <row r="68" spans="1:15">
      <c r="A68" s="2">
        <f>A67+1</f>
        <v>33</v>
      </c>
      <c r="B68" s="3"/>
      <c r="C68" s="44" t="s">
        <v>66</v>
      </c>
      <c r="D68" s="2" t="str">
        <f>'PEF - 6  p1, FF1 Inputs '!F32</f>
        <v>227.16.b&amp;c</v>
      </c>
      <c r="E68" s="2"/>
      <c r="F68" s="9">
        <f>'PEF - 6  p1, FF1 Inputs '!H32</f>
        <v>0</v>
      </c>
      <c r="G68" s="6"/>
      <c r="H68" s="9">
        <f>'PEF - 6  p1, FF1 Inputs '!J32</f>
        <v>0</v>
      </c>
      <c r="I68" s="2"/>
      <c r="J68" s="1">
        <f>(F68+H68)/2</f>
        <v>0</v>
      </c>
      <c r="L68" s="2" t="s">
        <v>195</v>
      </c>
      <c r="M68" s="7">
        <f>'PEF - 2 - Page 4 Support'!I37</f>
        <v>0</v>
      </c>
      <c r="N68" s="7"/>
      <c r="O68" s="1">
        <f>J68*M68</f>
        <v>0</v>
      </c>
    </row>
    <row r="69" spans="1:15" ht="13.5" thickBot="1">
      <c r="A69" s="2">
        <f>A68+1</f>
        <v>34</v>
      </c>
      <c r="B69" s="3"/>
      <c r="C69" s="44" t="s">
        <v>235</v>
      </c>
      <c r="D69" s="2" t="str">
        <f>'PEF - 6  p1, FF1 Inputs '!F11</f>
        <v>111.57.c&amp;d</v>
      </c>
      <c r="E69" s="2"/>
      <c r="F69" s="58">
        <v>0</v>
      </c>
      <c r="G69" s="6"/>
      <c r="H69" s="58">
        <f>'PEF - 6  p1, FF1 Inputs '!$J$11</f>
        <v>0</v>
      </c>
      <c r="I69" s="2"/>
      <c r="J69" s="1">
        <f>(F69+H69)/2</f>
        <v>0</v>
      </c>
      <c r="L69" s="2" t="s">
        <v>41</v>
      </c>
      <c r="M69" s="7">
        <f>M23</f>
        <v>0</v>
      </c>
      <c r="N69" s="7"/>
      <c r="O69" s="1">
        <f>J69*M69</f>
        <v>0</v>
      </c>
    </row>
    <row r="70" spans="1:15" ht="13.5" thickTop="1">
      <c r="A70" s="2">
        <f>A69+1</f>
        <v>35</v>
      </c>
      <c r="B70" s="3" t="s">
        <v>46</v>
      </c>
      <c r="D70" s="2"/>
      <c r="E70" s="2"/>
      <c r="F70" s="6"/>
      <c r="G70" s="6"/>
      <c r="H70" s="6"/>
      <c r="I70" s="2"/>
      <c r="O70" s="5">
        <f>SUM(O66:O69)</f>
        <v>0</v>
      </c>
    </row>
    <row r="71" spans="1:15">
      <c r="A71" s="2"/>
      <c r="B71" s="3"/>
      <c r="D71" s="2"/>
      <c r="E71" s="2"/>
      <c r="F71" s="6"/>
      <c r="G71" s="6"/>
      <c r="H71" s="6"/>
      <c r="I71" s="2"/>
    </row>
    <row r="72" spans="1:15">
      <c r="A72" s="2">
        <f>A70+1</f>
        <v>36</v>
      </c>
      <c r="B72" s="3" t="str">
        <f>"Rate Base (Sum of Lines "&amp;A43&amp;", "&amp;A50&amp;" thru "&amp;A58&amp;", "&amp;A63&amp;", and "&amp;A70&amp;")"</f>
        <v>Rate Base (Sum of Lines 18, 23 thru 27, 30, and 35)</v>
      </c>
      <c r="D72" s="2"/>
      <c r="E72" s="2"/>
      <c r="F72" s="2"/>
      <c r="G72" s="2"/>
      <c r="H72" s="2"/>
      <c r="I72" s="2"/>
      <c r="O72" s="1">
        <f>O43+O50+O54+O56+O58+O61+O63+O70</f>
        <v>0</v>
      </c>
    </row>
    <row r="73" spans="1:15">
      <c r="B73" s="3"/>
    </row>
    <row r="74" spans="1:15">
      <c r="B74" s="3" t="s">
        <v>277</v>
      </c>
    </row>
    <row r="75" spans="1:15">
      <c r="B75" s="3"/>
    </row>
    <row r="76" spans="1:15">
      <c r="A76" s="50">
        <f>A72+1</f>
        <v>37</v>
      </c>
      <c r="B76" s="44"/>
      <c r="C76" s="44" t="str">
        <f>'PEF - 6  p1, FF1 Inputs '!E16</f>
        <v>Long Term Debt</v>
      </c>
      <c r="D76" s="50" t="str">
        <f>'PEF - 6  p1, FF1 Inputs '!F16</f>
        <v>112.24.c&amp;d</v>
      </c>
      <c r="E76" s="44"/>
      <c r="F76" s="46">
        <f>'PEF - 6  p1, FF1 Inputs '!H16</f>
        <v>0</v>
      </c>
      <c r="G76" s="46"/>
      <c r="H76" s="46">
        <f>'PEF - 6  p1, FF1 Inputs '!J16</f>
        <v>0</v>
      </c>
      <c r="I76" s="1"/>
      <c r="J76" s="1">
        <f>(F76+H76)/2</f>
        <v>0</v>
      </c>
    </row>
    <row r="77" spans="1:15">
      <c r="A77" s="2">
        <f>A76+1</f>
        <v>38</v>
      </c>
      <c r="B77" s="44"/>
      <c r="C77" s="44" t="s">
        <v>73</v>
      </c>
      <c r="D77" s="2" t="str">
        <f>'PEF - 6  p1, FF1 Inputs '!F12</f>
        <v>111.81.c&amp;d</v>
      </c>
      <c r="F77" s="9">
        <f>'PEF - 6  p1, FF1 Inputs '!H12</f>
        <v>0</v>
      </c>
      <c r="G77" s="1"/>
      <c r="H77" s="9">
        <f>'PEF - 6  p1, FF1 Inputs '!J12</f>
        <v>0</v>
      </c>
      <c r="I77" s="1"/>
      <c r="J77" s="1">
        <f>(F77+H77)/2</f>
        <v>0</v>
      </c>
    </row>
    <row r="78" spans="1:15">
      <c r="A78" s="2">
        <f>A77+1</f>
        <v>39</v>
      </c>
      <c r="B78" s="44"/>
      <c r="C78" s="44" t="s">
        <v>74</v>
      </c>
      <c r="D78" s="2" t="str">
        <f>'PEF - 6  p1, FF1 Inputs '!F17</f>
        <v>113.61.c&amp;d</v>
      </c>
      <c r="F78" s="9">
        <f>'PEF - 6  p1, FF1 Inputs '!H17</f>
        <v>0</v>
      </c>
      <c r="G78" s="1"/>
      <c r="H78" s="9">
        <f>'PEF - 6  p1, FF1 Inputs '!J17</f>
        <v>0</v>
      </c>
      <c r="I78" s="1"/>
      <c r="J78" s="1">
        <f>(F78+H78)/2</f>
        <v>0</v>
      </c>
    </row>
    <row r="79" spans="1:15" ht="13.5" thickBot="1">
      <c r="A79" s="2">
        <f>A78+1</f>
        <v>40</v>
      </c>
      <c r="B79" s="44"/>
      <c r="C79" s="44" t="s">
        <v>77</v>
      </c>
      <c r="D79" s="50" t="s">
        <v>199</v>
      </c>
      <c r="F79" s="46">
        <v>0</v>
      </c>
      <c r="G79" s="46"/>
      <c r="H79" s="46">
        <v>0</v>
      </c>
      <c r="I79" s="1"/>
      <c r="J79" s="1">
        <f>(F79+H79)/2</f>
        <v>0</v>
      </c>
    </row>
    <row r="80" spans="1:15" ht="13.5" thickTop="1">
      <c r="A80" s="2">
        <f>A79+1</f>
        <v>41</v>
      </c>
      <c r="B80" s="44"/>
      <c r="C80" s="44" t="s">
        <v>78</v>
      </c>
      <c r="F80" s="1"/>
      <c r="G80" s="1"/>
      <c r="H80" s="1"/>
      <c r="I80" s="1"/>
      <c r="J80" s="5">
        <f>J76-J77+J78-J79</f>
        <v>0</v>
      </c>
    </row>
    <row r="81" spans="1:10" ht="6" customHeight="1">
      <c r="A81" s="44"/>
      <c r="B81" s="44"/>
      <c r="C81" s="44"/>
      <c r="F81" s="1"/>
      <c r="G81" s="1"/>
      <c r="H81" s="1"/>
      <c r="I81" s="1"/>
      <c r="J81" s="1"/>
    </row>
    <row r="82" spans="1:10">
      <c r="A82" s="50">
        <f>A80+1</f>
        <v>42</v>
      </c>
      <c r="B82" s="44"/>
      <c r="C82" s="44" t="s">
        <v>79</v>
      </c>
      <c r="D82" s="2" t="str">
        <f>'PEF - 6  p1, FF1 Inputs '!F13</f>
        <v>112.3.c&amp;d</v>
      </c>
      <c r="F82" s="9">
        <f>'PEF - 6  p1, FF1 Inputs '!H13</f>
        <v>0</v>
      </c>
      <c r="G82" s="1"/>
      <c r="H82" s="9">
        <f>'PEF - 6  p1, FF1 Inputs '!J13</f>
        <v>0</v>
      </c>
      <c r="I82" s="1"/>
      <c r="J82" s="1">
        <f>(F82+H82)/2</f>
        <v>0</v>
      </c>
    </row>
    <row r="83" spans="1:10" ht="6" customHeight="1">
      <c r="A83" s="50"/>
      <c r="B83" s="44"/>
      <c r="C83" s="44"/>
      <c r="F83" s="1"/>
      <c r="G83" s="1"/>
      <c r="H83" s="1"/>
      <c r="I83" s="1"/>
      <c r="J83" s="1"/>
    </row>
    <row r="84" spans="1:10">
      <c r="A84" s="50"/>
      <c r="B84" s="44"/>
      <c r="C84" s="44" t="s">
        <v>83</v>
      </c>
      <c r="F84" s="1"/>
      <c r="G84" s="1"/>
      <c r="H84" s="1"/>
      <c r="I84" s="1"/>
      <c r="J84" s="1"/>
    </row>
    <row r="85" spans="1:10">
      <c r="A85" s="50">
        <f>A82+1</f>
        <v>43</v>
      </c>
      <c r="B85" s="44"/>
      <c r="C85" s="44" t="s">
        <v>82</v>
      </c>
      <c r="D85" s="2" t="str">
        <f>'PEF - 6  p1, FF1 Inputs '!F15</f>
        <v>112.16.c&amp;d</v>
      </c>
      <c r="F85" s="9">
        <f>'PEF - 6  p1, FF1 Inputs '!H15</f>
        <v>0</v>
      </c>
      <c r="G85" s="1"/>
      <c r="H85" s="9">
        <f>'PEF - 6  p1, FF1 Inputs '!J15</f>
        <v>0</v>
      </c>
      <c r="I85" s="1"/>
      <c r="J85" s="1">
        <f>(F85+H85)/2</f>
        <v>0</v>
      </c>
    </row>
    <row r="86" spans="1:10">
      <c r="A86" s="50">
        <f>A85+1</f>
        <v>44</v>
      </c>
      <c r="B86" s="44"/>
      <c r="C86" s="44" t="s">
        <v>80</v>
      </c>
      <c r="D86" s="2" t="str">
        <f>D82</f>
        <v>112.3.c&amp;d</v>
      </c>
      <c r="F86" s="9">
        <f>F82</f>
        <v>0</v>
      </c>
      <c r="G86" s="1"/>
      <c r="H86" s="9">
        <f>H82</f>
        <v>0</v>
      </c>
      <c r="I86" s="1"/>
      <c r="J86" s="1">
        <f>(F86+H86)/2</f>
        <v>0</v>
      </c>
    </row>
    <row r="87" spans="1:10" ht="13.5" thickBot="1">
      <c r="A87" s="50">
        <f>A86+1</f>
        <v>45</v>
      </c>
      <c r="B87" s="44"/>
      <c r="C87" s="44" t="s">
        <v>81</v>
      </c>
      <c r="D87" s="2" t="str">
        <f>'PEF - 6  p1, FF1 Inputs '!F14</f>
        <v>112.12.c&amp;d</v>
      </c>
      <c r="F87" s="9">
        <f>'PEF - 6  p1, FF1 Inputs '!H14</f>
        <v>0</v>
      </c>
      <c r="G87" s="1"/>
      <c r="H87" s="9">
        <f>'PEF - 6  p1, FF1 Inputs '!J14</f>
        <v>0</v>
      </c>
      <c r="I87" s="1"/>
      <c r="J87" s="1">
        <f>(F87+H87)/2</f>
        <v>0</v>
      </c>
    </row>
    <row r="88" spans="1:10" ht="13.5" thickTop="1">
      <c r="A88" s="50">
        <f>A87+1</f>
        <v>46</v>
      </c>
      <c r="B88" s="44"/>
      <c r="C88" s="44" t="s">
        <v>84</v>
      </c>
      <c r="F88" s="1"/>
      <c r="G88" s="1"/>
      <c r="H88" s="1"/>
      <c r="I88" s="1"/>
      <c r="J88" s="5">
        <f>J85-J86-J87</f>
        <v>0</v>
      </c>
    </row>
    <row r="89" spans="1:10">
      <c r="A89" s="44"/>
      <c r="B89" s="44"/>
      <c r="C89" s="44"/>
      <c r="F89" s="1"/>
      <c r="G89" s="1"/>
      <c r="H89" s="1"/>
      <c r="I89" s="1"/>
      <c r="J89" s="1"/>
    </row>
    <row r="90" spans="1:10">
      <c r="A90" s="50">
        <f>A88+1</f>
        <v>47</v>
      </c>
      <c r="B90" s="44"/>
      <c r="C90" s="44" t="str">
        <f>"Total Capitalization (Sum of Lines "&amp;A80&amp;", "&amp;A82&amp;", and "&amp;A88&amp;")"</f>
        <v>Total Capitalization (Sum of Lines 41, 42, and 46)</v>
      </c>
      <c r="F90" s="1"/>
      <c r="G90" s="1"/>
      <c r="H90" s="1"/>
      <c r="I90" s="1"/>
      <c r="J90" s="1">
        <f>J80+J82+J88</f>
        <v>0</v>
      </c>
    </row>
    <row r="91" spans="1:10">
      <c r="B91" s="3"/>
      <c r="F91" s="1"/>
      <c r="G91" s="1"/>
      <c r="H91" s="1"/>
      <c r="I91" s="1"/>
      <c r="J91" s="1"/>
    </row>
    <row r="92" spans="1:10">
      <c r="B92" s="3"/>
      <c r="F92" s="1"/>
      <c r="G92" s="1"/>
      <c r="H92" s="1"/>
      <c r="I92" s="1"/>
      <c r="J92" s="1"/>
    </row>
    <row r="93" spans="1:10">
      <c r="B93" s="3"/>
      <c r="F93" s="1"/>
      <c r="G93" s="1"/>
      <c r="H93" s="1"/>
      <c r="I93" s="1"/>
      <c r="J93" s="1"/>
    </row>
    <row r="94" spans="1:10">
      <c r="B94" s="3"/>
      <c r="F94" s="1"/>
      <c r="G94" s="1"/>
      <c r="H94" s="1"/>
      <c r="I94" s="1"/>
      <c r="J94" s="1"/>
    </row>
    <row r="95" spans="1:10">
      <c r="F95" s="1"/>
      <c r="G95" s="1"/>
      <c r="H95" s="1"/>
      <c r="I95" s="1"/>
      <c r="J95" s="1"/>
    </row>
    <row r="96" spans="1:10">
      <c r="F96" s="1"/>
      <c r="G96" s="1"/>
      <c r="H96" s="1"/>
      <c r="I96" s="1"/>
      <c r="J96" s="1"/>
    </row>
    <row r="97" spans="6:10">
      <c r="F97" s="1"/>
      <c r="G97" s="1"/>
      <c r="H97" s="1"/>
      <c r="I97" s="1"/>
      <c r="J97" s="1"/>
    </row>
    <row r="98" spans="6:10">
      <c r="F98" s="1"/>
      <c r="G98" s="1"/>
      <c r="H98" s="1"/>
      <c r="I98" s="1"/>
      <c r="J98" s="1"/>
    </row>
    <row r="99" spans="6:10">
      <c r="F99" s="1"/>
      <c r="G99" s="1"/>
      <c r="H99" s="1"/>
      <c r="I99" s="1"/>
      <c r="J99" s="1"/>
    </row>
    <row r="100" spans="6:10">
      <c r="F100" s="1"/>
      <c r="G100" s="1"/>
      <c r="H100" s="1"/>
      <c r="I100" s="1"/>
      <c r="J100" s="1"/>
    </row>
    <row r="101" spans="6:10">
      <c r="F101" s="1"/>
      <c r="G101" s="1"/>
      <c r="H101" s="1"/>
      <c r="I101" s="1"/>
      <c r="J101" s="1"/>
    </row>
    <row r="102" spans="6:10">
      <c r="F102" s="1"/>
      <c r="G102" s="1"/>
      <c r="H102" s="1"/>
      <c r="I102" s="1"/>
      <c r="J102" s="1"/>
    </row>
    <row r="103" spans="6:10">
      <c r="F103" s="1"/>
      <c r="G103" s="1"/>
      <c r="H103" s="1"/>
      <c r="I103" s="1"/>
      <c r="J103" s="1"/>
    </row>
    <row r="104" spans="6:10">
      <c r="F104" s="1"/>
      <c r="G104" s="1"/>
      <c r="H104" s="1"/>
      <c r="I104" s="1"/>
      <c r="J104" s="1"/>
    </row>
    <row r="105" spans="6:10">
      <c r="F105" s="1"/>
      <c r="G105" s="1"/>
      <c r="H105" s="1"/>
      <c r="I105" s="1"/>
      <c r="J105" s="1"/>
    </row>
  </sheetData>
  <mergeCells count="13">
    <mergeCell ref="L48:M48"/>
    <mergeCell ref="L49:M49"/>
    <mergeCell ref="N1:P1"/>
    <mergeCell ref="L11:M11"/>
    <mergeCell ref="B54:C54"/>
    <mergeCell ref="N2:P2"/>
    <mergeCell ref="N3:P3"/>
    <mergeCell ref="A5:P5"/>
    <mergeCell ref="A6:P6"/>
    <mergeCell ref="A8:P8"/>
    <mergeCell ref="L46:M46"/>
    <mergeCell ref="L47:M47"/>
    <mergeCell ref="B52:C52"/>
  </mergeCells>
  <phoneticPr fontId="0" type="noConversion"/>
  <pageMargins left="0.75" right="0.75" top="1" bottom="1" header="0.5" footer="0.5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>
      <selection activeCell="J49" sqref="J49"/>
    </sheetView>
  </sheetViews>
  <sheetFormatPr defaultRowHeight="12.75"/>
  <cols>
    <col min="2" max="2" width="2.7109375" customWidth="1"/>
    <col min="3" max="3" width="40.42578125" customWidth="1"/>
    <col min="4" max="4" width="15.140625" bestFit="1" customWidth="1"/>
    <col min="5" max="5" width="4.7109375" customWidth="1"/>
    <col min="6" max="6" width="13.42578125" customWidth="1"/>
    <col min="7" max="7" width="3.7109375" customWidth="1"/>
    <col min="8" max="8" width="12.5703125" bestFit="1" customWidth="1"/>
    <col min="10" max="10" width="3.7109375" customWidth="1"/>
    <col min="11" max="11" width="13.7109375" customWidth="1"/>
    <col min="12" max="12" width="5.7109375" customWidth="1"/>
  </cols>
  <sheetData>
    <row r="1" spans="1:12" ht="15">
      <c r="A1" s="44"/>
      <c r="B1" s="44"/>
      <c r="C1" s="44"/>
      <c r="D1" s="44"/>
      <c r="E1" s="44"/>
      <c r="F1" s="44"/>
      <c r="G1" s="44"/>
      <c r="H1" s="44"/>
      <c r="I1" s="44"/>
      <c r="J1" s="250" t="s">
        <v>187</v>
      </c>
      <c r="K1" s="250"/>
      <c r="L1" s="250"/>
    </row>
    <row r="2" spans="1:12" ht="15">
      <c r="A2" s="44"/>
      <c r="B2" s="44"/>
      <c r="C2" s="44"/>
      <c r="D2" s="44"/>
      <c r="E2" s="44"/>
      <c r="F2" s="44"/>
      <c r="G2" s="44"/>
      <c r="H2" s="44"/>
      <c r="I2" s="44"/>
      <c r="J2" s="251" t="s">
        <v>230</v>
      </c>
      <c r="K2" s="251"/>
      <c r="L2" s="252"/>
    </row>
    <row r="3" spans="1:12">
      <c r="A3" s="44"/>
      <c r="B3" s="44"/>
      <c r="C3" s="44"/>
      <c r="D3" s="44"/>
      <c r="E3" s="44"/>
      <c r="F3" s="44"/>
      <c r="G3" s="44"/>
      <c r="H3" s="44"/>
      <c r="I3" s="44"/>
      <c r="J3" s="239" t="str">
        <f>FF1_Year</f>
        <v>Year Ending 12/31/yyyy</v>
      </c>
      <c r="K3" s="240"/>
      <c r="L3" s="240"/>
    </row>
    <row r="4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>
      <c r="A5" s="241" t="s">
        <v>135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>
      <c r="A6" s="241" t="s">
        <v>137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>
      <c r="A8" s="241" t="s">
        <v>138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>
      <c r="A10" s="5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25.5">
      <c r="A11" s="84" t="s">
        <v>21</v>
      </c>
      <c r="B11" s="85" t="s">
        <v>96</v>
      </c>
      <c r="C11" s="69"/>
      <c r="D11" s="84" t="s">
        <v>4</v>
      </c>
      <c r="E11" s="84"/>
      <c r="F11" s="84" t="s">
        <v>22</v>
      </c>
      <c r="G11" s="84"/>
      <c r="H11" s="241" t="s">
        <v>23</v>
      </c>
      <c r="I11" s="241"/>
      <c r="J11" s="84"/>
      <c r="K11" s="86" t="s">
        <v>24</v>
      </c>
      <c r="L11" s="87"/>
    </row>
    <row r="12" spans="1:12">
      <c r="A12" s="5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>
      <c r="A13" s="50"/>
      <c r="B13" s="51" t="s">
        <v>47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>
      <c r="A14" s="88">
        <v>1</v>
      </c>
      <c r="B14" s="51"/>
      <c r="C14" s="44" t="str">
        <f>'PEF - 6  p1, FF1 Inputs '!E50</f>
        <v>TOTAL Transmission Expenses</v>
      </c>
      <c r="D14" s="50" t="str">
        <f>'PEF - 6  p1, FF1 Inputs '!F50</f>
        <v>321.112.b</v>
      </c>
      <c r="E14" s="50"/>
      <c r="F14" s="58">
        <f>'PEF - 6  p1, FF1 Inputs '!J50</f>
        <v>0</v>
      </c>
      <c r="G14" s="44"/>
      <c r="H14" s="50"/>
      <c r="I14" s="44"/>
      <c r="J14" s="44"/>
      <c r="K14" s="46"/>
      <c r="L14" s="44"/>
    </row>
    <row r="15" spans="1:12">
      <c r="A15" s="50">
        <f>A14+1</f>
        <v>2</v>
      </c>
      <c r="B15" s="51"/>
      <c r="C15" s="44" t="s">
        <v>239</v>
      </c>
      <c r="D15" s="50" t="s">
        <v>241</v>
      </c>
      <c r="E15" s="50"/>
      <c r="F15" s="58">
        <f>'PEF - 6  p1, FF1 Inputs '!$J$48</f>
        <v>0</v>
      </c>
      <c r="G15" s="44"/>
      <c r="H15" s="50"/>
      <c r="I15" s="44"/>
      <c r="J15" s="44"/>
      <c r="K15" s="46"/>
      <c r="L15" s="44"/>
    </row>
    <row r="16" spans="1:12" ht="13.5" thickBot="1">
      <c r="A16" s="50">
        <f>A15+1</f>
        <v>3</v>
      </c>
      <c r="B16" s="51"/>
      <c r="C16" s="44" t="s">
        <v>48</v>
      </c>
      <c r="D16" s="50" t="str">
        <f>'PEF - 6  p1, FF1 Inputs '!F49</f>
        <v>321.96.b</v>
      </c>
      <c r="E16" s="50"/>
      <c r="F16" s="58">
        <f>'PEF - 6  p1, FF1 Inputs '!J49</f>
        <v>0</v>
      </c>
      <c r="G16" s="44"/>
      <c r="H16" s="50"/>
      <c r="I16" s="47"/>
      <c r="J16" s="47"/>
      <c r="K16" s="46"/>
      <c r="L16" s="44"/>
    </row>
    <row r="17" spans="1:12" ht="13.5" thickTop="1">
      <c r="A17" s="50">
        <f>A16+1</f>
        <v>4</v>
      </c>
      <c r="B17" s="51"/>
      <c r="C17" s="44" t="s">
        <v>49</v>
      </c>
      <c r="D17" s="50" t="s">
        <v>173</v>
      </c>
      <c r="E17" s="50"/>
      <c r="F17" s="59">
        <f>F14-F15-F16</f>
        <v>0</v>
      </c>
      <c r="G17" s="44"/>
      <c r="H17" s="50" t="s">
        <v>242</v>
      </c>
      <c r="I17" s="47">
        <f>'PEF - 2 - Page 4 Support'!I25</f>
        <v>0</v>
      </c>
      <c r="J17" s="47"/>
      <c r="K17" s="59">
        <f>F17*I17</f>
        <v>0</v>
      </c>
      <c r="L17" s="44"/>
    </row>
    <row r="18" spans="1:12">
      <c r="A18" s="50"/>
      <c r="B18" s="51"/>
      <c r="C18" s="44"/>
      <c r="D18" s="50"/>
      <c r="E18" s="50"/>
      <c r="F18" s="46"/>
      <c r="G18" s="44"/>
      <c r="H18" s="50"/>
      <c r="I18" s="47"/>
      <c r="J18" s="47"/>
      <c r="K18" s="46"/>
      <c r="L18" s="44"/>
    </row>
    <row r="19" spans="1:12">
      <c r="A19" s="50">
        <f>A17+1</f>
        <v>5</v>
      </c>
      <c r="B19" s="51"/>
      <c r="C19" s="44" t="str">
        <f>'PEF - 6  p1, FF1 Inputs '!E54&amp;" (Note S)"</f>
        <v>Total Admin &amp; General Expenses  (Note S)</v>
      </c>
      <c r="D19" s="50" t="str">
        <f>'PEF - 6  p1, FF1 Inputs '!F54</f>
        <v>323.197.b</v>
      </c>
      <c r="E19" s="50"/>
      <c r="F19" s="46">
        <f>'PEF - 6  p1, FF1 Inputs '!J54</f>
        <v>0</v>
      </c>
      <c r="G19" s="44"/>
      <c r="H19" s="50"/>
      <c r="I19" s="47"/>
      <c r="J19" s="47"/>
      <c r="K19" s="46" t="str">
        <f>IF(ISNUMBER(I19),F19*I19,"")</f>
        <v/>
      </c>
      <c r="L19" s="44"/>
    </row>
    <row r="20" spans="1:12">
      <c r="A20" s="50">
        <f>A19+1</f>
        <v>6</v>
      </c>
      <c r="B20" s="51"/>
      <c r="C20" s="44" t="str">
        <f>" Less "&amp;'PEF - 6  p1, FF1 Inputs '!E51</f>
        <v xml:space="preserve"> Less (924) Property Insurance</v>
      </c>
      <c r="D20" s="50" t="str">
        <f>'PEF - 6  p1, FF1 Inputs '!F51</f>
        <v>323.185.b</v>
      </c>
      <c r="E20" s="50"/>
      <c r="F20" s="46">
        <f>'PEF - 6  p1, FF1 Inputs '!J51</f>
        <v>0</v>
      </c>
      <c r="G20" s="44"/>
      <c r="H20" s="50"/>
      <c r="I20" s="47"/>
      <c r="J20" s="47"/>
      <c r="K20" s="46"/>
      <c r="L20" s="44"/>
    </row>
    <row r="21" spans="1:12">
      <c r="A21" s="50">
        <f>A20+1</f>
        <v>7</v>
      </c>
      <c r="B21" s="51"/>
      <c r="C21" s="44" t="str">
        <f>" Less "&amp;'PEF - 6  p1, FF1 Inputs '!E52</f>
        <v xml:space="preserve"> Less (928) Regulatory Commission Expenses</v>
      </c>
      <c r="D21" s="50" t="str">
        <f>'PEF - 6  p1, FF1 Inputs '!F52</f>
        <v>323.189.b</v>
      </c>
      <c r="E21" s="50"/>
      <c r="F21" s="46">
        <f>'PEF - 6  p1, FF1 Inputs '!J52</f>
        <v>0</v>
      </c>
      <c r="G21" s="44"/>
      <c r="H21" s="50"/>
      <c r="I21" s="47"/>
      <c r="J21" s="47"/>
      <c r="K21" s="46"/>
      <c r="L21" s="44"/>
    </row>
    <row r="22" spans="1:12">
      <c r="A22" s="50">
        <f>A21+1</f>
        <v>8</v>
      </c>
      <c r="B22" s="51"/>
      <c r="C22" s="44" t="str">
        <f>" Less "&amp;'PEF - 6  p1, FF1 Inputs '!E53</f>
        <v xml:space="preserve"> Less (930.1) General Advertising Expenses</v>
      </c>
      <c r="D22" s="50" t="str">
        <f>'PEF - 6  p1, FF1 Inputs '!F53</f>
        <v>323.191.b</v>
      </c>
      <c r="E22" s="50"/>
      <c r="F22" s="46">
        <f>'PEF - 6  p1, FF1 Inputs '!J53</f>
        <v>0</v>
      </c>
      <c r="G22" s="44"/>
      <c r="H22" s="50"/>
      <c r="I22" s="47"/>
      <c r="J22" s="47"/>
      <c r="K22" s="46"/>
      <c r="L22" s="44"/>
    </row>
    <row r="23" spans="1:12" ht="13.5" thickBot="1">
      <c r="A23" s="50">
        <f>A22+1</f>
        <v>9</v>
      </c>
      <c r="B23" s="51"/>
      <c r="C23" s="44" t="s">
        <v>237</v>
      </c>
      <c r="D23" s="88" t="s">
        <v>236</v>
      </c>
      <c r="E23" s="50"/>
      <c r="F23" s="46">
        <f>'PEF - 6  p1, FF1 Inputs '!J55</f>
        <v>0</v>
      </c>
      <c r="G23" s="44"/>
      <c r="H23" s="50"/>
      <c r="I23" s="47"/>
      <c r="J23" s="47"/>
      <c r="K23" s="46"/>
      <c r="L23" s="44"/>
    </row>
    <row r="24" spans="1:12" ht="13.5" thickTop="1">
      <c r="A24" s="50">
        <f>A23+1</f>
        <v>10</v>
      </c>
      <c r="B24" s="51"/>
      <c r="C24" s="44" t="s">
        <v>53</v>
      </c>
      <c r="D24" s="50"/>
      <c r="E24" s="50"/>
      <c r="F24" s="59">
        <f>F19-SUM(F20:F23)</f>
        <v>0</v>
      </c>
      <c r="G24" s="44"/>
      <c r="H24" s="50" t="s">
        <v>195</v>
      </c>
      <c r="I24" s="47">
        <f>'PEF - 2 - Page 4 Support'!I37</f>
        <v>0</v>
      </c>
      <c r="J24" s="47"/>
      <c r="K24" s="46">
        <f>F24*I24</f>
        <v>0</v>
      </c>
      <c r="L24" s="44"/>
    </row>
    <row r="25" spans="1:12">
      <c r="A25" s="50"/>
      <c r="B25" s="51"/>
      <c r="C25" s="44"/>
      <c r="D25" s="50"/>
      <c r="E25" s="50"/>
      <c r="F25" s="94"/>
      <c r="G25" s="44"/>
      <c r="H25" s="50"/>
      <c r="I25" s="47"/>
      <c r="J25" s="47"/>
      <c r="K25" s="46"/>
      <c r="L25" s="44"/>
    </row>
    <row r="26" spans="1:12">
      <c r="A26" s="50">
        <f>A24+1</f>
        <v>11</v>
      </c>
      <c r="B26" s="51"/>
      <c r="C26" s="44" t="str">
        <f>'PEF - 6  p1, FF1 Inputs '!E51</f>
        <v>(924) Property Insurance</v>
      </c>
      <c r="D26" s="50" t="str">
        <f>'PEF - 6  p1, FF1 Inputs '!F51</f>
        <v>323.185.b</v>
      </c>
      <c r="E26" s="50"/>
      <c r="F26" s="46">
        <f>'PEF - 6  p1, FF1 Inputs '!J51</f>
        <v>0</v>
      </c>
      <c r="G26" s="44"/>
      <c r="H26" s="50"/>
      <c r="I26" s="47"/>
      <c r="J26" s="47"/>
      <c r="K26" s="46"/>
      <c r="L26" s="44"/>
    </row>
    <row r="27" spans="1:12" ht="13.5" thickBot="1">
      <c r="A27" s="50">
        <f>A26+1</f>
        <v>12</v>
      </c>
      <c r="B27" s="51"/>
      <c r="C27" s="45" t="s">
        <v>258</v>
      </c>
      <c r="D27" s="50"/>
      <c r="E27" s="50"/>
      <c r="F27" s="46">
        <v>0</v>
      </c>
      <c r="G27" s="44"/>
      <c r="H27" s="50"/>
      <c r="I27" s="47"/>
      <c r="J27" s="47"/>
      <c r="K27" s="46"/>
      <c r="L27" s="44"/>
    </row>
    <row r="28" spans="1:12" ht="13.5" thickTop="1">
      <c r="A28" s="50">
        <f>A27+1</f>
        <v>13</v>
      </c>
      <c r="B28" s="51"/>
      <c r="C28" s="45" t="s">
        <v>385</v>
      </c>
      <c r="D28" s="50"/>
      <c r="E28" s="50"/>
      <c r="F28" s="59">
        <f>F26+F27</f>
        <v>0</v>
      </c>
      <c r="G28" s="44"/>
      <c r="H28" s="50" t="s">
        <v>41</v>
      </c>
      <c r="I28" s="47">
        <f>'PEF - 2 Page 2 Rate Base'!M23</f>
        <v>0</v>
      </c>
      <c r="J28" s="47"/>
      <c r="K28" s="46">
        <f>F28*I28</f>
        <v>0</v>
      </c>
      <c r="L28" s="44"/>
    </row>
    <row r="29" spans="1:12">
      <c r="A29" s="50"/>
      <c r="B29" s="51"/>
      <c r="C29" s="44"/>
      <c r="D29" s="50"/>
      <c r="E29" s="50"/>
      <c r="F29" s="46"/>
      <c r="G29" s="44"/>
      <c r="H29" s="50"/>
      <c r="I29" s="47"/>
      <c r="J29" s="47"/>
      <c r="K29" s="46"/>
      <c r="L29" s="44"/>
    </row>
    <row r="30" spans="1:12">
      <c r="A30" s="50">
        <f>A28+1</f>
        <v>14</v>
      </c>
      <c r="B30" s="51"/>
      <c r="C30" s="44" t="s">
        <v>54</v>
      </c>
      <c r="D30" s="50" t="s">
        <v>314</v>
      </c>
      <c r="E30" s="50"/>
      <c r="F30" s="46"/>
      <c r="G30" s="44"/>
      <c r="H30" s="50" t="s">
        <v>55</v>
      </c>
      <c r="I30" s="47">
        <v>1</v>
      </c>
      <c r="J30" s="47"/>
      <c r="K30" s="46">
        <f>F30*I30</f>
        <v>0</v>
      </c>
      <c r="L30" s="44"/>
    </row>
    <row r="31" spans="1:12">
      <c r="A31" s="50">
        <f>A30+1</f>
        <v>15</v>
      </c>
      <c r="B31" s="51"/>
      <c r="C31" s="44" t="s">
        <v>56</v>
      </c>
      <c r="D31" s="50" t="s">
        <v>314</v>
      </c>
      <c r="E31" s="50"/>
      <c r="F31" s="46"/>
      <c r="G31" s="44"/>
      <c r="H31" s="50" t="s">
        <v>55</v>
      </c>
      <c r="I31" s="47">
        <v>1</v>
      </c>
      <c r="J31" s="47"/>
      <c r="K31" s="46">
        <f>F31*I31</f>
        <v>0</v>
      </c>
      <c r="L31" s="44"/>
    </row>
    <row r="32" spans="1:12">
      <c r="A32" s="50">
        <f>A31+1</f>
        <v>16</v>
      </c>
      <c r="B32" s="51"/>
      <c r="C32" s="44" t="s">
        <v>224</v>
      </c>
      <c r="D32" s="50" t="s">
        <v>223</v>
      </c>
      <c r="E32" s="50"/>
      <c r="F32" s="46">
        <f>'PEF - 2 - Page 6, PBOPs'!G50</f>
        <v>0</v>
      </c>
      <c r="G32" s="44"/>
      <c r="H32" s="50" t="s">
        <v>195</v>
      </c>
      <c r="I32" s="47">
        <f>'PEF - 2 - Page 4 Support'!I37</f>
        <v>0</v>
      </c>
      <c r="J32" s="47"/>
      <c r="K32" s="46">
        <f>F32*I32</f>
        <v>0</v>
      </c>
      <c r="L32" s="44"/>
    </row>
    <row r="33" spans="1:12" ht="13.5" thickBot="1">
      <c r="A33" s="50"/>
      <c r="B33" s="51"/>
      <c r="C33" s="44"/>
      <c r="D33" s="50"/>
      <c r="E33" s="50"/>
      <c r="F33" s="46"/>
      <c r="G33" s="44"/>
      <c r="H33" s="50"/>
      <c r="I33" s="47"/>
      <c r="J33" s="47"/>
      <c r="K33" s="46"/>
      <c r="L33" s="44"/>
    </row>
    <row r="34" spans="1:12" ht="13.5" thickTop="1">
      <c r="A34" s="50">
        <f>A32+1</f>
        <v>17</v>
      </c>
      <c r="B34" s="51" t="str">
        <f>"Total O&amp;M (Sum of Lines "&amp;A17&amp;", "&amp;A24&amp;", and "&amp;A28&amp;" thru "&amp;A32&amp;")"</f>
        <v>Total O&amp;M (Sum of Lines 4, 10, and 13 thru 16)</v>
      </c>
      <c r="C34" s="44"/>
      <c r="D34" s="50"/>
      <c r="E34" s="50"/>
      <c r="F34" s="46"/>
      <c r="G34" s="44"/>
      <c r="H34" s="50"/>
      <c r="I34" s="47"/>
      <c r="J34" s="47"/>
      <c r="K34" s="100">
        <f>K17+K24+SUM(K26:K32)</f>
        <v>0</v>
      </c>
      <c r="L34" s="44"/>
    </row>
    <row r="35" spans="1:12">
      <c r="A35" s="50"/>
      <c r="B35" s="51"/>
      <c r="C35" s="44"/>
      <c r="D35" s="50"/>
      <c r="E35" s="50"/>
      <c r="F35" s="46"/>
      <c r="G35" s="44"/>
      <c r="H35" s="50"/>
      <c r="I35" s="47"/>
      <c r="J35" s="47"/>
      <c r="K35" s="46"/>
      <c r="L35" s="44"/>
    </row>
    <row r="36" spans="1:12">
      <c r="A36" s="50"/>
      <c r="B36" s="51" t="s">
        <v>57</v>
      </c>
      <c r="C36" s="44"/>
      <c r="D36" s="50"/>
      <c r="E36" s="50"/>
      <c r="F36" s="46"/>
      <c r="G36" s="44"/>
      <c r="H36" s="50"/>
      <c r="I36" s="47"/>
      <c r="J36" s="47"/>
      <c r="K36" s="46"/>
      <c r="L36" s="44"/>
    </row>
    <row r="37" spans="1:12">
      <c r="A37" s="50">
        <f>A34+1</f>
        <v>18</v>
      </c>
      <c r="B37" s="51"/>
      <c r="C37" s="52" t="str">
        <f>'PEF - 6  p1, FF1 Inputs '!E57&amp;" (Note V)"</f>
        <v>Transmission Depr. Expense (Note V)</v>
      </c>
      <c r="D37" s="50" t="str">
        <f>'PEF - 6  p1, FF1 Inputs '!F57</f>
        <v>336.7.f</v>
      </c>
      <c r="E37" s="50"/>
      <c r="F37" s="46">
        <f>'PEF - 6  p1, FF1 Inputs '!J57</f>
        <v>0</v>
      </c>
      <c r="G37" s="44"/>
      <c r="H37" s="231" t="s">
        <v>51</v>
      </c>
      <c r="I37" s="232">
        <f>'PEF - 2 - Page 4 Support'!I20</f>
        <v>0</v>
      </c>
      <c r="J37" s="232"/>
      <c r="K37" s="233">
        <f>F37*I37</f>
        <v>0</v>
      </c>
      <c r="L37" s="44"/>
    </row>
    <row r="38" spans="1:12">
      <c r="A38" s="62" t="s">
        <v>506</v>
      </c>
      <c r="B38" s="223"/>
      <c r="C38" s="234" t="s">
        <v>508</v>
      </c>
      <c r="D38" s="62" t="s">
        <v>510</v>
      </c>
      <c r="E38" s="62"/>
      <c r="F38" s="225">
        <f>'PEF - 7, Retail Radials'!L26</f>
        <v>0</v>
      </c>
      <c r="G38" s="61"/>
      <c r="H38" s="62"/>
      <c r="I38" s="226"/>
      <c r="J38" s="226"/>
      <c r="K38" s="222"/>
      <c r="L38" s="44"/>
    </row>
    <row r="39" spans="1:12">
      <c r="A39" s="62" t="s">
        <v>507</v>
      </c>
      <c r="B39" s="223"/>
      <c r="C39" s="234" t="s">
        <v>511</v>
      </c>
      <c r="D39" s="62"/>
      <c r="E39" s="62"/>
      <c r="F39" s="222">
        <f>F37-F38</f>
        <v>0</v>
      </c>
      <c r="G39" s="61"/>
      <c r="H39" s="62" t="s">
        <v>51</v>
      </c>
      <c r="I39" s="226">
        <f>'PEF - 2 - Page 4 Support'!I20</f>
        <v>0</v>
      </c>
      <c r="J39" s="226"/>
      <c r="K39" s="222">
        <f>F39*I39</f>
        <v>0</v>
      </c>
      <c r="L39" s="44"/>
    </row>
    <row r="40" spans="1:12">
      <c r="A40" s="50"/>
      <c r="B40" s="51"/>
      <c r="C40" s="52"/>
      <c r="D40" s="50"/>
      <c r="E40" s="50"/>
      <c r="F40" s="46"/>
      <c r="G40" s="44"/>
      <c r="H40" s="50"/>
      <c r="I40" s="47"/>
      <c r="J40" s="47"/>
      <c r="K40" s="46"/>
      <c r="L40" s="44"/>
    </row>
    <row r="41" spans="1:12">
      <c r="A41" s="50">
        <f>A37+1</f>
        <v>19</v>
      </c>
      <c r="B41" s="51"/>
      <c r="C41" s="52" t="str">
        <f>'PEF - 6  p1, FF1 Inputs '!E58</f>
        <v>General Depr. Expense</v>
      </c>
      <c r="D41" s="50" t="str">
        <f>'PEF - 6  p1, FF1 Inputs '!F58</f>
        <v>336.10.f</v>
      </c>
      <c r="E41" s="50"/>
      <c r="F41" s="46">
        <f>'PEF - 6  p1, FF1 Inputs '!J58</f>
        <v>0</v>
      </c>
      <c r="G41" s="44"/>
      <c r="H41" s="50" t="s">
        <v>195</v>
      </c>
      <c r="I41" s="47">
        <f>'PEF - 2 - Page 4 Support'!I37</f>
        <v>0</v>
      </c>
      <c r="J41" s="47"/>
      <c r="K41" s="46">
        <f>F41*I41</f>
        <v>0</v>
      </c>
      <c r="L41" s="44"/>
    </row>
    <row r="42" spans="1:12" ht="13.5" thickBot="1">
      <c r="A42" s="50">
        <f>A41+1</f>
        <v>20</v>
      </c>
      <c r="B42" s="51"/>
      <c r="C42" s="52" t="str">
        <f>'PEF - 6  p1, FF1 Inputs '!E56&amp;" (Note E)"</f>
        <v>Intangible Amortization (Note E)</v>
      </c>
      <c r="D42" s="50" t="str">
        <f>'PEF - 6  p1, FF1 Inputs '!F56</f>
        <v>336.1.f</v>
      </c>
      <c r="E42" s="50"/>
      <c r="F42" s="46">
        <v>0</v>
      </c>
      <c r="G42" s="44"/>
      <c r="H42" s="50" t="s">
        <v>195</v>
      </c>
      <c r="I42" s="47">
        <f>'PEF - 2 - Page 4 Support'!I37</f>
        <v>0</v>
      </c>
      <c r="J42" s="47"/>
      <c r="K42" s="46">
        <f>F42*I42</f>
        <v>0</v>
      </c>
      <c r="L42" s="44"/>
    </row>
    <row r="43" spans="1:12" ht="15" customHeight="1" thickTop="1">
      <c r="A43" s="50">
        <f>A42+1</f>
        <v>21</v>
      </c>
      <c r="B43" s="51" t="s">
        <v>60</v>
      </c>
      <c r="C43" s="44"/>
      <c r="D43" s="50"/>
      <c r="E43" s="50"/>
      <c r="F43" s="59">
        <f>SUM(F39:F42)</f>
        <v>0</v>
      </c>
      <c r="G43" s="44"/>
      <c r="H43" s="50"/>
      <c r="I43" s="47"/>
      <c r="J43" s="47"/>
      <c r="K43" s="100">
        <f>SUM(K39:K42)</f>
        <v>0</v>
      </c>
      <c r="L43" s="44"/>
    </row>
    <row r="44" spans="1:12">
      <c r="A44" s="50"/>
      <c r="B44" s="51"/>
      <c r="C44" s="44"/>
      <c r="D44" s="50"/>
      <c r="E44" s="50"/>
      <c r="F44" s="44"/>
      <c r="G44" s="44"/>
      <c r="H44" s="50"/>
      <c r="I44" s="44"/>
      <c r="J44" s="44"/>
      <c r="K44" s="44"/>
      <c r="L44" s="44"/>
    </row>
    <row r="45" spans="1:12">
      <c r="A45" s="50"/>
      <c r="B45" s="51" t="s">
        <v>131</v>
      </c>
      <c r="C45" s="44"/>
      <c r="D45" s="50"/>
      <c r="E45" s="50"/>
      <c r="F45" s="44"/>
      <c r="G45" s="44"/>
      <c r="H45" s="50"/>
      <c r="I45" s="44"/>
      <c r="J45" s="44"/>
      <c r="K45" s="44"/>
      <c r="L45" s="44"/>
    </row>
    <row r="46" spans="1:12">
      <c r="A46" s="50">
        <f>A43+1</f>
        <v>22</v>
      </c>
      <c r="B46" s="51"/>
      <c r="C46" s="44" t="s">
        <v>130</v>
      </c>
      <c r="D46" s="88" t="s">
        <v>63</v>
      </c>
      <c r="E46" s="88"/>
      <c r="F46" s="46">
        <f>'PEF - 6  p1, FF1 Inputs '!J37+'PEF - 6  p1, FF1 Inputs '!J38+'PEF - 6  p1, FF1 Inputs '!J40</f>
        <v>0</v>
      </c>
      <c r="G46" s="44"/>
      <c r="H46" s="50" t="s">
        <v>195</v>
      </c>
      <c r="I46" s="47">
        <f>'PEF - 2 - Page 4 Support'!I37</f>
        <v>0</v>
      </c>
      <c r="J46" s="47"/>
      <c r="K46" s="46">
        <f>F46*I46</f>
        <v>0</v>
      </c>
      <c r="L46" s="44"/>
    </row>
    <row r="47" spans="1:12" ht="13.5" thickBot="1">
      <c r="A47" s="50">
        <f>A46+1</f>
        <v>23</v>
      </c>
      <c r="B47" s="51"/>
      <c r="C47" s="44" t="s">
        <v>61</v>
      </c>
      <c r="D47" s="50" t="s">
        <v>63</v>
      </c>
      <c r="E47" s="50"/>
      <c r="F47" s="46">
        <f>'PEF - 6  p1, FF1 Inputs '!J39+'PEF - 6  p1, FF1 Inputs '!J41+'PEF - 6  p1, FF1 Inputs '!J42</f>
        <v>0</v>
      </c>
      <c r="G47" s="44"/>
      <c r="H47" s="50" t="s">
        <v>41</v>
      </c>
      <c r="I47" s="47">
        <f>'PEF - 2 Page 2 Rate Base'!M23</f>
        <v>0</v>
      </c>
      <c r="J47" s="47"/>
      <c r="K47" s="46">
        <f>F47*I47</f>
        <v>0</v>
      </c>
      <c r="L47" s="44"/>
    </row>
    <row r="48" spans="1:12" ht="13.5" thickTop="1">
      <c r="A48" s="50">
        <f>A47+1</f>
        <v>24</v>
      </c>
      <c r="B48" s="51" t="s">
        <v>62</v>
      </c>
      <c r="C48" s="44"/>
      <c r="D48" s="50"/>
      <c r="E48" s="50"/>
      <c r="F48" s="59">
        <f>SUM(F45:F47)</f>
        <v>0</v>
      </c>
      <c r="G48" s="44"/>
      <c r="H48" s="50"/>
      <c r="I48" s="47"/>
      <c r="J48" s="47"/>
      <c r="K48" s="100">
        <f>SUM(K45:K47)</f>
        <v>0</v>
      </c>
      <c r="L48" s="44"/>
    </row>
    <row r="49" spans="1:12">
      <c r="A49" s="50"/>
      <c r="B49" s="51"/>
      <c r="C49" s="44"/>
      <c r="D49" s="50"/>
      <c r="E49" s="50"/>
      <c r="F49" s="94"/>
      <c r="G49" s="44"/>
      <c r="H49" s="50"/>
      <c r="I49" s="47"/>
      <c r="J49" s="47"/>
      <c r="K49" s="94"/>
      <c r="L49" s="44"/>
    </row>
    <row r="50" spans="1:12">
      <c r="A50" s="50"/>
      <c r="B50" s="51" t="s">
        <v>67</v>
      </c>
      <c r="C50" s="44"/>
      <c r="D50" s="50"/>
      <c r="E50" s="50"/>
      <c r="F50" s="46"/>
      <c r="G50" s="44"/>
      <c r="H50" s="50"/>
      <c r="I50" s="47"/>
      <c r="J50" s="47"/>
      <c r="K50" s="46"/>
      <c r="L50" s="44"/>
    </row>
    <row r="51" spans="1:12">
      <c r="A51" s="50">
        <f>A48+1</f>
        <v>25</v>
      </c>
      <c r="B51" s="51"/>
      <c r="C51" s="44" t="str">
        <f>"Rate Base (Page 2, Line "&amp;'PEF - 2 Page 2 Rate Base'!A72&amp;") * Rate of Return (Page 4, Line "&amp;'PEF - 2 - Page 4 Support'!C56&amp;")"</f>
        <v>Rate Base (Page 2, Line 36) * Rate of Return (Page 4, Line 27)</v>
      </c>
      <c r="D51" s="44"/>
      <c r="E51" s="44"/>
      <c r="F51" s="44"/>
      <c r="G51" s="44"/>
      <c r="H51" s="44"/>
      <c r="I51" s="44"/>
      <c r="J51" s="44"/>
      <c r="K51" s="101">
        <f>'PEF - 2 Page 2 Rate Base'!O72*'PEF - 2 - Page 4 Support'!I56</f>
        <v>0</v>
      </c>
      <c r="L51" s="44"/>
    </row>
    <row r="52" spans="1:12">
      <c r="A52" s="44"/>
      <c r="B52" s="51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4"/>
      <c r="B53" s="51" t="s">
        <v>90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6" customHeight="1">
      <c r="A54" s="44"/>
      <c r="B54" s="51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50">
        <f>A51+1</f>
        <v>26</v>
      </c>
      <c r="B55" s="51"/>
      <c r="C55" s="44" t="s">
        <v>91</v>
      </c>
      <c r="D55" s="50" t="s">
        <v>394</v>
      </c>
      <c r="E55" s="44"/>
      <c r="F55" s="63">
        <v>0</v>
      </c>
      <c r="G55" s="44"/>
      <c r="H55" s="44"/>
      <c r="I55" s="44"/>
      <c r="J55" s="44"/>
      <c r="K55" s="44"/>
      <c r="L55" s="44"/>
    </row>
    <row r="56" spans="1:12">
      <c r="A56" s="50">
        <f>A55+1</f>
        <v>27</v>
      </c>
      <c r="B56" s="51"/>
      <c r="C56" s="44" t="s">
        <v>92</v>
      </c>
      <c r="D56" s="50" t="s">
        <v>394</v>
      </c>
      <c r="E56" s="44"/>
      <c r="F56" s="190">
        <v>0</v>
      </c>
      <c r="G56" s="44"/>
      <c r="H56" s="44"/>
      <c r="I56" s="44"/>
      <c r="J56" s="44"/>
      <c r="K56" s="44"/>
      <c r="L56" s="44"/>
    </row>
    <row r="57" spans="1:12">
      <c r="A57" s="50">
        <f>A56+1</f>
        <v>28</v>
      </c>
      <c r="B57" s="51"/>
      <c r="C57" s="44" t="s">
        <v>93</v>
      </c>
      <c r="D57" s="44"/>
      <c r="E57" s="44"/>
      <c r="F57" s="63">
        <f>F55+(1-F55)*F56</f>
        <v>0</v>
      </c>
      <c r="G57" s="44"/>
      <c r="H57" s="44"/>
      <c r="I57" s="44"/>
      <c r="J57" s="44"/>
      <c r="K57" s="44"/>
      <c r="L57" s="44"/>
    </row>
    <row r="58" spans="1:12" ht="6" customHeight="1">
      <c r="A58" s="5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5.75">
      <c r="A59" s="50">
        <f>A57+1</f>
        <v>29</v>
      </c>
      <c r="B59" s="44"/>
      <c r="C59" s="44" t="s">
        <v>290</v>
      </c>
      <c r="D59" s="44"/>
      <c r="E59" s="44"/>
      <c r="F59" s="63">
        <f>IF('PEF - 2 - Page 4 Support'!I56&lt;&gt;0,F57/(1-F57)*(1-'PEF - 2 - Page 4 Support'!I53/'PEF - 2 - Page 4 Support'!I56),0)</f>
        <v>0</v>
      </c>
      <c r="G59" s="44"/>
      <c r="H59" s="44"/>
      <c r="I59" s="44"/>
      <c r="J59" s="44"/>
      <c r="K59" s="44"/>
      <c r="L59" s="44"/>
    </row>
    <row r="60" spans="1:12">
      <c r="A60" s="50">
        <f>A59+1</f>
        <v>30</v>
      </c>
      <c r="B60" s="44"/>
      <c r="C60" s="44" t="s">
        <v>94</v>
      </c>
      <c r="D60" s="44"/>
      <c r="E60" s="44"/>
      <c r="F60" s="102">
        <f>IF(F57&lt;&gt;0,1/(1-F57),0)</f>
        <v>0</v>
      </c>
      <c r="G60" s="44"/>
      <c r="H60" s="44"/>
      <c r="I60" s="44"/>
      <c r="J60" s="44"/>
      <c r="K60" s="44"/>
      <c r="L60" s="44"/>
    </row>
    <row r="61" spans="1:12">
      <c r="A61" s="50">
        <f>A60+1</f>
        <v>31</v>
      </c>
      <c r="B61" s="44"/>
      <c r="C61" s="44" t="str">
        <f>'PEF - 6  p1, FF1 Inputs '!E43</f>
        <v>Amortized ITC (Negative)</v>
      </c>
      <c r="D61" s="50" t="str">
        <f>'PEF - 6  p1, FF1 Inputs '!F43</f>
        <v>266.8.f</v>
      </c>
      <c r="E61" s="50"/>
      <c r="F61" s="46">
        <f>'PEF - 6  p1, FF1 Inputs '!J43</f>
        <v>0</v>
      </c>
      <c r="G61" s="44"/>
      <c r="H61" s="44"/>
      <c r="I61" s="44"/>
      <c r="J61" s="44"/>
      <c r="K61" s="44"/>
      <c r="L61" s="44"/>
    </row>
    <row r="62" spans="1:12" ht="6" customHeight="1">
      <c r="A62" s="50"/>
      <c r="B62" s="44"/>
      <c r="C62" s="44"/>
      <c r="D62" s="44"/>
      <c r="E62" s="44"/>
      <c r="F62" s="44"/>
      <c r="G62" s="44"/>
      <c r="H62" s="50"/>
      <c r="I62" s="47"/>
      <c r="J62" s="47"/>
      <c r="K62" s="46"/>
      <c r="L62" s="44"/>
    </row>
    <row r="63" spans="1:12">
      <c r="A63" s="50">
        <f>A61+1</f>
        <v>32</v>
      </c>
      <c r="B63" s="44"/>
      <c r="C63" s="44" t="str">
        <f>"Income Taxes Calculated (Line "&amp;A51&amp;" * Line "&amp;A59&amp;")"</f>
        <v>Income Taxes Calculated (Line 25 * Line 29)</v>
      </c>
      <c r="D63" s="44"/>
      <c r="E63" s="44"/>
      <c r="F63" s="44"/>
      <c r="G63" s="44"/>
      <c r="H63" s="50"/>
      <c r="I63" s="47"/>
      <c r="J63" s="47"/>
      <c r="K63" s="46">
        <f>F59*K51</f>
        <v>0</v>
      </c>
      <c r="L63" s="44"/>
    </row>
    <row r="64" spans="1:12" ht="13.5" thickBot="1">
      <c r="A64" s="50">
        <f>A63+1</f>
        <v>33</v>
      </c>
      <c r="B64" s="44"/>
      <c r="C64" s="44" t="str">
        <f>"ITC Adjustment (Line "&amp;A60&amp;" * Line "&amp;A61&amp;")"</f>
        <v>ITC Adjustment (Line 30 * Line 31)</v>
      </c>
      <c r="D64" s="44"/>
      <c r="E64" s="44"/>
      <c r="F64" s="46">
        <f>F61*F60</f>
        <v>0</v>
      </c>
      <c r="G64" s="44"/>
      <c r="H64" s="50" t="s">
        <v>37</v>
      </c>
      <c r="I64" s="47">
        <f>'PEF - 2 Page 2 Rate Base'!M43</f>
        <v>0</v>
      </c>
      <c r="J64" s="47"/>
      <c r="K64" s="46">
        <f>F64*I64</f>
        <v>0</v>
      </c>
      <c r="L64" s="44"/>
    </row>
    <row r="65" spans="1:12" ht="13.5" thickTop="1">
      <c r="A65" s="50">
        <f>A64+1</f>
        <v>34</v>
      </c>
      <c r="B65" s="51" t="s">
        <v>95</v>
      </c>
      <c r="C65" s="44"/>
      <c r="D65" s="44"/>
      <c r="E65" s="44"/>
      <c r="F65" s="44"/>
      <c r="G65" s="44"/>
      <c r="H65" s="44"/>
      <c r="I65" s="44"/>
      <c r="J65" s="44"/>
      <c r="K65" s="100">
        <f>K63+K64</f>
        <v>0</v>
      </c>
      <c r="L65" s="44"/>
    </row>
    <row r="66" spans="1:12">
      <c r="A66" s="50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>
      <c r="A67" s="50">
        <f>A65+1</f>
        <v>35</v>
      </c>
      <c r="B67" s="51" t="str">
        <f>"TOTAL REVENUE REQUIREMENT (Sum of Lines "&amp;A34&amp;", "&amp;A43&amp;", "&amp;A48&amp;", "&amp;A51&amp;", and "&amp;A65&amp;")"</f>
        <v>TOTAL REVENUE REQUIREMENT (Sum of Lines 17, 21, 24, 25, and 34)</v>
      </c>
      <c r="C67" s="44"/>
      <c r="D67" s="44"/>
      <c r="E67" s="44"/>
      <c r="F67" s="44"/>
      <c r="G67" s="44"/>
      <c r="H67" s="44"/>
      <c r="I67" s="44"/>
      <c r="J67" s="44"/>
      <c r="K67" s="101">
        <f>K34+K43+K48+K51+K65</f>
        <v>0</v>
      </c>
      <c r="L67" s="44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ageMargins left="0.75" right="0.75" top="1" bottom="1" header="0.5" footer="0.5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opLeftCell="C1" workbookViewId="0">
      <selection activeCell="K13" sqref="K13"/>
    </sheetView>
  </sheetViews>
  <sheetFormatPr defaultRowHeight="12.75"/>
  <cols>
    <col min="4" max="4" width="3.7109375" customWidth="1"/>
    <col min="5" max="5" width="36.85546875" customWidth="1"/>
    <col min="7" max="7" width="12.140625" customWidth="1"/>
    <col min="8" max="8" width="3.7109375" customWidth="1"/>
    <col min="9" max="9" width="13.42578125" customWidth="1"/>
    <col min="11" max="11" width="11.5703125" customWidth="1"/>
  </cols>
  <sheetData>
    <row r="1" spans="1:11" ht="15">
      <c r="J1" s="236" t="s">
        <v>187</v>
      </c>
      <c r="K1" s="236"/>
    </row>
    <row r="2" spans="1:11" ht="15">
      <c r="J2" s="237" t="s">
        <v>233</v>
      </c>
      <c r="K2" s="238"/>
    </row>
    <row r="3" spans="1:11">
      <c r="J3" s="239" t="str">
        <f>FF1_Year</f>
        <v>Year Ending 12/31/yyyy</v>
      </c>
      <c r="K3" s="240"/>
    </row>
    <row r="5" spans="1:11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1">
      <c r="A6" s="246" t="s">
        <v>137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246" t="s">
        <v>139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11" spans="1:11">
      <c r="C11" s="11" t="s">
        <v>21</v>
      </c>
      <c r="D11" s="12"/>
      <c r="E11" s="13"/>
      <c r="F11" s="13"/>
      <c r="G11" s="11" t="s">
        <v>4</v>
      </c>
      <c r="H11" s="11"/>
      <c r="I11" s="11" t="s">
        <v>22</v>
      </c>
      <c r="J11" s="11"/>
      <c r="K11" s="86"/>
    </row>
    <row r="12" spans="1:11">
      <c r="K12" s="44"/>
    </row>
    <row r="13" spans="1:11">
      <c r="D13" s="3" t="s">
        <v>293</v>
      </c>
      <c r="G13" s="2"/>
      <c r="H13" s="2"/>
      <c r="K13" s="44"/>
    </row>
    <row r="14" spans="1:11">
      <c r="C14" s="2">
        <v>1</v>
      </c>
      <c r="E14" s="173" t="s">
        <v>512</v>
      </c>
      <c r="G14" s="175" t="s">
        <v>497</v>
      </c>
      <c r="H14" s="2"/>
      <c r="I14" s="1">
        <f>'PEF - 2 Page 2 Rate Base'!J18</f>
        <v>0</v>
      </c>
      <c r="K14" s="44"/>
    </row>
    <row r="15" spans="1:11">
      <c r="C15" s="2">
        <v>2</v>
      </c>
      <c r="E15" t="s">
        <v>68</v>
      </c>
      <c r="G15" s="2" t="s">
        <v>390</v>
      </c>
      <c r="H15" s="2"/>
      <c r="I15" s="1">
        <v>0</v>
      </c>
      <c r="K15" s="44"/>
    </row>
    <row r="16" spans="1:11">
      <c r="C16" s="50">
        <v>3</v>
      </c>
      <c r="D16" s="44"/>
      <c r="E16" s="44" t="s">
        <v>240</v>
      </c>
      <c r="F16" s="44"/>
      <c r="G16" s="50" t="s">
        <v>390</v>
      </c>
      <c r="H16" s="50"/>
      <c r="I16" s="46">
        <f>'PEF - 4, Order 2003 '!J76</f>
        <v>0</v>
      </c>
      <c r="J16" s="44"/>
      <c r="K16" s="44"/>
    </row>
    <row r="17" spans="3:11" ht="13.5" thickBot="1">
      <c r="C17" s="50">
        <v>4</v>
      </c>
      <c r="D17" s="44"/>
      <c r="E17" s="44" t="s">
        <v>294</v>
      </c>
      <c r="F17" s="44"/>
      <c r="G17" s="50" t="s">
        <v>134</v>
      </c>
      <c r="H17" s="50"/>
      <c r="I17" s="46">
        <v>0</v>
      </c>
      <c r="J17" s="44"/>
      <c r="K17" s="44"/>
    </row>
    <row r="18" spans="3:11" ht="13.5" thickTop="1">
      <c r="C18" s="50">
        <v>5</v>
      </c>
      <c r="D18" s="44"/>
      <c r="E18" s="44" t="s">
        <v>295</v>
      </c>
      <c r="F18" s="44"/>
      <c r="G18" s="50"/>
      <c r="H18" s="50"/>
      <c r="I18" s="59">
        <f>I14-SUM(I15:I17)</f>
        <v>0</v>
      </c>
      <c r="J18" s="44"/>
      <c r="K18" s="44"/>
    </row>
    <row r="19" spans="3:11" ht="6" customHeight="1">
      <c r="C19" s="50"/>
      <c r="D19" s="44"/>
      <c r="E19" s="44"/>
      <c r="F19" s="44"/>
      <c r="G19" s="50"/>
      <c r="H19" s="50"/>
      <c r="I19" s="44"/>
      <c r="J19" s="44"/>
      <c r="K19" s="44"/>
    </row>
    <row r="20" spans="3:11">
      <c r="C20" s="50">
        <v>6</v>
      </c>
      <c r="D20" s="51" t="s">
        <v>296</v>
      </c>
      <c r="E20" s="44"/>
      <c r="F20" s="44"/>
      <c r="G20" s="50" t="s">
        <v>173</v>
      </c>
      <c r="H20" s="50"/>
      <c r="I20" s="60">
        <f>IF(I14&lt;&gt;0,I18/I14,0)</f>
        <v>0</v>
      </c>
      <c r="J20" s="44"/>
      <c r="K20" s="44"/>
    </row>
    <row r="21" spans="3:11">
      <c r="C21" s="50"/>
      <c r="D21" s="44"/>
      <c r="E21" s="44"/>
      <c r="F21" s="44"/>
      <c r="G21" s="50"/>
      <c r="H21" s="50"/>
      <c r="I21" s="44"/>
      <c r="J21" s="44"/>
      <c r="K21" s="44"/>
    </row>
    <row r="22" spans="3:11">
      <c r="C22" s="50">
        <v>7</v>
      </c>
      <c r="D22" s="44"/>
      <c r="E22" s="216" t="s">
        <v>572</v>
      </c>
      <c r="F22" s="44"/>
      <c r="G22" s="50"/>
      <c r="H22" s="50"/>
      <c r="I22" s="46">
        <f>I18+I17</f>
        <v>0</v>
      </c>
      <c r="J22" s="44"/>
      <c r="K22" s="44"/>
    </row>
    <row r="23" spans="3:11">
      <c r="C23" s="62" t="s">
        <v>513</v>
      </c>
      <c r="D23" s="61"/>
      <c r="E23" s="61" t="s">
        <v>514</v>
      </c>
      <c r="F23" s="61"/>
      <c r="G23" s="62"/>
      <c r="H23" s="62"/>
      <c r="I23" s="222">
        <f>I14+'PEF - 2 Page 2 Rate Base'!J17</f>
        <v>0</v>
      </c>
      <c r="J23" s="44"/>
      <c r="K23" s="44"/>
    </row>
    <row r="24" spans="3:11" ht="6" customHeight="1">
      <c r="C24" s="174"/>
      <c r="D24" s="44"/>
      <c r="E24" s="103"/>
      <c r="F24" s="44"/>
      <c r="G24" s="50"/>
      <c r="H24" s="50"/>
      <c r="I24" s="46"/>
      <c r="J24" s="44"/>
      <c r="K24" s="44"/>
    </row>
    <row r="25" spans="3:11">
      <c r="C25" s="50">
        <v>8</v>
      </c>
      <c r="D25" s="51" t="s">
        <v>574</v>
      </c>
      <c r="E25" s="44"/>
      <c r="F25" s="44"/>
      <c r="G25" s="50"/>
      <c r="H25" s="50"/>
      <c r="I25" s="60">
        <f>IF(I23&lt;&gt;0,I22/I23,0)</f>
        <v>0</v>
      </c>
      <c r="J25" s="44"/>
      <c r="K25" s="44"/>
    </row>
    <row r="26" spans="3:11">
      <c r="C26" s="50"/>
      <c r="D26" s="44"/>
      <c r="E26" s="44"/>
      <c r="F26" s="44"/>
      <c r="G26" s="50"/>
      <c r="H26" s="50"/>
      <c r="I26" s="44"/>
      <c r="J26" s="44"/>
      <c r="K26" s="44"/>
    </row>
    <row r="27" spans="3:11">
      <c r="C27" s="44"/>
      <c r="D27" s="51" t="s">
        <v>69</v>
      </c>
      <c r="E27" s="44"/>
      <c r="F27" s="44"/>
      <c r="G27" s="50"/>
      <c r="H27" s="50"/>
      <c r="I27" s="44"/>
      <c r="J27" s="44"/>
      <c r="K27" s="44"/>
    </row>
    <row r="28" spans="3:11">
      <c r="C28" s="50">
        <v>9</v>
      </c>
      <c r="D28" s="44"/>
      <c r="E28" s="44" t="str">
        <f>'PEF - 6  p1, FF1 Inputs '!E61</f>
        <v>Total Direct Payroll - O&amp;M Labor</v>
      </c>
      <c r="F28" s="44"/>
      <c r="G28" s="50" t="str">
        <f>'PEF - 6  p1, FF1 Inputs '!F61</f>
        <v>354.28.b</v>
      </c>
      <c r="H28" s="50"/>
      <c r="I28" s="46">
        <f>'PEF - 6  p1, FF1 Inputs '!J61</f>
        <v>0</v>
      </c>
      <c r="J28" s="44"/>
      <c r="K28" s="44"/>
    </row>
    <row r="29" spans="3:11">
      <c r="C29" s="50">
        <v>10</v>
      </c>
      <c r="D29" s="44"/>
      <c r="E29" s="44" t="str">
        <f>'PEF - 6  p1, FF1 Inputs '!E60</f>
        <v>A&amp;G Labor</v>
      </c>
      <c r="F29" s="44"/>
      <c r="G29" s="50" t="str">
        <f>'PEF - 6  p1, FF1 Inputs '!F60</f>
        <v>354.27.b</v>
      </c>
      <c r="H29" s="50"/>
      <c r="I29" s="46">
        <f>'PEF - 6  p1, FF1 Inputs '!J60</f>
        <v>0</v>
      </c>
      <c r="J29" s="44"/>
      <c r="K29" s="44"/>
    </row>
    <row r="30" spans="3:11" ht="13.5" thickBot="1">
      <c r="C30" s="50">
        <v>11</v>
      </c>
      <c r="D30" s="44"/>
      <c r="E30" s="44" t="s">
        <v>259</v>
      </c>
      <c r="F30" s="44"/>
      <c r="G30" s="50"/>
      <c r="H30" s="50"/>
      <c r="I30" s="46">
        <v>0</v>
      </c>
      <c r="J30" s="44"/>
      <c r="K30" s="44"/>
    </row>
    <row r="31" spans="3:11" ht="13.5" thickTop="1">
      <c r="C31" s="50">
        <v>12</v>
      </c>
      <c r="D31" s="44"/>
      <c r="E31" s="44" t="s">
        <v>291</v>
      </c>
      <c r="F31" s="44"/>
      <c r="G31" s="50"/>
      <c r="H31" s="50"/>
      <c r="I31" s="59">
        <f>I28-I29+I30</f>
        <v>0</v>
      </c>
      <c r="J31" s="44"/>
      <c r="K31" s="44"/>
    </row>
    <row r="32" spans="3:11" ht="6" customHeight="1">
      <c r="C32" s="50"/>
      <c r="D32" s="44"/>
      <c r="E32" s="44"/>
      <c r="F32" s="44"/>
      <c r="G32" s="50"/>
      <c r="H32" s="50"/>
      <c r="I32" s="46"/>
      <c r="J32" s="44"/>
      <c r="K32" s="44"/>
    </row>
    <row r="33" spans="3:11">
      <c r="C33" s="50">
        <v>13</v>
      </c>
      <c r="D33" s="44"/>
      <c r="E33" s="44" t="str">
        <f>'PEF - 6  p1, FF1 Inputs '!E59</f>
        <v>Transmission O&amp;M Labor</v>
      </c>
      <c r="F33" s="44"/>
      <c r="G33" s="50" t="str">
        <f>'PEF - 6  p1, FF1 Inputs '!F59</f>
        <v>354.21.b</v>
      </c>
      <c r="H33" s="50"/>
      <c r="I33" s="46">
        <f>'PEF - 6  p1, FF1 Inputs '!J59</f>
        <v>0</v>
      </c>
      <c r="J33" s="44"/>
      <c r="K33" s="44"/>
    </row>
    <row r="34" spans="3:11" ht="6" customHeight="1">
      <c r="C34" s="50"/>
      <c r="D34" s="44"/>
      <c r="E34" s="44"/>
      <c r="F34" s="44"/>
      <c r="G34" s="50"/>
      <c r="H34" s="50"/>
      <c r="I34" s="46"/>
      <c r="J34" s="44"/>
      <c r="K34" s="44"/>
    </row>
    <row r="35" spans="3:11" ht="12.75" customHeight="1">
      <c r="C35" s="50">
        <v>14</v>
      </c>
      <c r="D35" s="51" t="s">
        <v>292</v>
      </c>
      <c r="E35" s="44"/>
      <c r="F35" s="44"/>
      <c r="G35" s="50"/>
      <c r="H35" s="50"/>
      <c r="I35" s="60">
        <f>IF(I31&lt;&gt;0,I33/I31,0)</f>
        <v>0</v>
      </c>
      <c r="J35" s="44"/>
      <c r="K35" s="44"/>
    </row>
    <row r="36" spans="3:11" ht="6" customHeight="1">
      <c r="C36" s="50"/>
      <c r="D36" s="44"/>
      <c r="E36" s="44"/>
      <c r="F36" s="44"/>
      <c r="G36" s="50"/>
      <c r="H36" s="50"/>
      <c r="I36" s="46"/>
      <c r="J36" s="44"/>
      <c r="K36" s="44"/>
    </row>
    <row r="37" spans="3:11">
      <c r="C37" s="50">
        <v>15</v>
      </c>
      <c r="D37" s="51" t="s">
        <v>575</v>
      </c>
      <c r="E37" s="44"/>
      <c r="F37" s="44"/>
      <c r="G37" s="50" t="s">
        <v>173</v>
      </c>
      <c r="H37" s="50"/>
      <c r="I37" s="60">
        <f>IF(I23&lt;&gt;0,I18/I23*I35,0)</f>
        <v>0</v>
      </c>
      <c r="J37" s="44"/>
      <c r="K37" s="44"/>
    </row>
    <row r="38" spans="3:11">
      <c r="C38" s="50"/>
      <c r="D38" s="44"/>
      <c r="E38" s="44"/>
      <c r="F38" s="44"/>
      <c r="G38" s="50"/>
      <c r="H38" s="50"/>
      <c r="I38" s="44"/>
      <c r="J38" s="44"/>
      <c r="K38" s="44"/>
    </row>
    <row r="39" spans="3:11">
      <c r="C39" s="50"/>
      <c r="D39" s="51" t="s">
        <v>272</v>
      </c>
      <c r="E39" s="44"/>
      <c r="F39" s="44"/>
      <c r="G39" s="50"/>
      <c r="H39" s="50"/>
      <c r="I39" s="44"/>
      <c r="J39" s="44"/>
      <c r="K39" s="44"/>
    </row>
    <row r="40" spans="3:11" ht="6" customHeight="1">
      <c r="C40" s="50"/>
      <c r="D40" s="44"/>
      <c r="E40" s="44"/>
      <c r="F40" s="44"/>
      <c r="G40" s="50"/>
      <c r="H40" s="50"/>
      <c r="I40" s="44"/>
      <c r="J40" s="44"/>
      <c r="K40" s="44"/>
    </row>
    <row r="41" spans="3:11">
      <c r="C41" s="50">
        <v>16</v>
      </c>
      <c r="D41" s="44"/>
      <c r="E41" s="44" t="s">
        <v>70</v>
      </c>
      <c r="F41" s="44"/>
      <c r="G41" s="50" t="str">
        <f>'PEF - 6  p1, FF1 Inputs '!F18</f>
        <v>117.62 thru 67.c</v>
      </c>
      <c r="H41" s="50"/>
      <c r="I41" s="46">
        <f>'PEF - 6  p1, FF1 Inputs '!J18</f>
        <v>0</v>
      </c>
      <c r="J41" s="44"/>
      <c r="K41" s="44"/>
    </row>
    <row r="42" spans="3:11" ht="13.5" thickBot="1">
      <c r="C42" s="50">
        <v>17</v>
      </c>
      <c r="D42" s="44"/>
      <c r="E42" s="44" t="s">
        <v>75</v>
      </c>
      <c r="F42" s="44"/>
      <c r="G42" s="50" t="s">
        <v>199</v>
      </c>
      <c r="H42" s="50"/>
      <c r="I42" s="46">
        <v>0</v>
      </c>
      <c r="J42" s="44"/>
      <c r="K42" s="44"/>
    </row>
    <row r="43" spans="3:11" ht="13.5" thickTop="1">
      <c r="C43" s="50">
        <v>18</v>
      </c>
      <c r="D43" s="44"/>
      <c r="E43" s="44" t="s">
        <v>76</v>
      </c>
      <c r="F43" s="44"/>
      <c r="G43" s="50"/>
      <c r="H43" s="50"/>
      <c r="I43" s="59">
        <f>I41-I42</f>
        <v>0</v>
      </c>
      <c r="J43" s="44"/>
      <c r="K43" s="44"/>
    </row>
    <row r="44" spans="3:11" ht="11.25" customHeight="1">
      <c r="C44" s="50"/>
      <c r="D44" s="44"/>
      <c r="E44" s="44"/>
      <c r="F44" s="44"/>
      <c r="G44" s="50"/>
      <c r="H44" s="50"/>
      <c r="I44" s="46"/>
      <c r="J44" s="44"/>
      <c r="K44" s="44"/>
    </row>
    <row r="45" spans="3:11">
      <c r="C45" s="50">
        <v>19</v>
      </c>
      <c r="D45" s="44"/>
      <c r="E45" s="44" t="s">
        <v>71</v>
      </c>
      <c r="F45" s="44"/>
      <c r="G45" s="50" t="str">
        <f>'PEF - 6  p1, FF1 Inputs '!F19</f>
        <v>118.29.c</v>
      </c>
      <c r="H45" s="50"/>
      <c r="I45" s="46">
        <f>'PEF - 6  p1, FF1 Inputs '!J19</f>
        <v>0</v>
      </c>
      <c r="J45" s="44"/>
      <c r="K45" s="44"/>
    </row>
    <row r="46" spans="3:11" ht="12" customHeight="1">
      <c r="C46" s="50"/>
      <c r="D46" s="44"/>
      <c r="E46" s="44"/>
      <c r="F46" s="44"/>
      <c r="G46" s="50"/>
      <c r="H46" s="50"/>
      <c r="I46" s="44"/>
      <c r="J46" s="44"/>
      <c r="K46" s="44"/>
    </row>
    <row r="47" spans="3:11">
      <c r="C47" s="50">
        <v>20</v>
      </c>
      <c r="D47" s="44"/>
      <c r="E47" s="44" t="s">
        <v>72</v>
      </c>
      <c r="F47" s="44"/>
      <c r="G47" s="50" t="str">
        <f>"p.2, line "&amp;'PEF - 2 Page 2 Rate Base'!A80</f>
        <v>p.2, line 41</v>
      </c>
      <c r="H47" s="50"/>
      <c r="I47" s="94">
        <f>'PEF - 2 Page 2 Rate Base'!J80</f>
        <v>0</v>
      </c>
      <c r="J47" s="44"/>
      <c r="K47" s="44"/>
    </row>
    <row r="48" spans="3:11">
      <c r="C48" s="50">
        <v>21</v>
      </c>
      <c r="D48" s="44"/>
      <c r="E48" s="44" t="str">
        <f>'PEF - 2 Page 2 Rate Base'!C82</f>
        <v>Preferred Stock</v>
      </c>
      <c r="F48" s="44"/>
      <c r="G48" s="50" t="str">
        <f>"p.2, line "&amp;'PEF - 2 Page 2 Rate Base'!A82</f>
        <v>p.2, line 42</v>
      </c>
      <c r="H48" s="50"/>
      <c r="I48" s="46">
        <f>'PEF - 2 Page 2 Rate Base'!J82</f>
        <v>0</v>
      </c>
      <c r="J48" s="44"/>
      <c r="K48" s="44"/>
    </row>
    <row r="49" spans="3:11" ht="13.5" thickBot="1">
      <c r="C49" s="50">
        <v>22</v>
      </c>
      <c r="D49" s="44"/>
      <c r="E49" s="44" t="s">
        <v>84</v>
      </c>
      <c r="F49" s="44"/>
      <c r="G49" s="50" t="str">
        <f>"p.2, line "&amp;'PEF - 2 Page 2 Rate Base'!A88</f>
        <v>p.2, line 46</v>
      </c>
      <c r="H49" s="44"/>
      <c r="I49" s="95">
        <f>'PEF - 2 Page 2 Rate Base'!J88</f>
        <v>0</v>
      </c>
      <c r="J49" s="44"/>
      <c r="K49" s="44"/>
    </row>
    <row r="50" spans="3:11" ht="13.5" thickTop="1">
      <c r="C50" s="50">
        <v>23</v>
      </c>
      <c r="D50" s="44"/>
      <c r="E50" s="44" t="s">
        <v>406</v>
      </c>
      <c r="F50" s="44"/>
      <c r="G50" s="44"/>
      <c r="H50" s="44"/>
      <c r="I50" s="59">
        <f>I47+I48+I49</f>
        <v>0</v>
      </c>
      <c r="J50" s="44"/>
      <c r="K50" s="44"/>
    </row>
    <row r="51" spans="3:11">
      <c r="C51" s="44"/>
      <c r="D51" s="44"/>
      <c r="E51" s="44"/>
      <c r="F51" s="44"/>
      <c r="G51" s="44"/>
      <c r="H51" s="44"/>
      <c r="I51" s="44"/>
      <c r="J51" s="44"/>
      <c r="K51" s="44"/>
    </row>
    <row r="52" spans="3:11">
      <c r="C52" s="44"/>
      <c r="D52" s="61" t="s">
        <v>407</v>
      </c>
      <c r="E52" s="61"/>
      <c r="F52" s="62" t="s">
        <v>86</v>
      </c>
      <c r="G52" s="62" t="s">
        <v>87</v>
      </c>
      <c r="H52" s="62"/>
      <c r="I52" s="62" t="s">
        <v>88</v>
      </c>
      <c r="J52" s="44"/>
      <c r="K52" s="44"/>
    </row>
    <row r="53" spans="3:11">
      <c r="C53" s="50">
        <v>24</v>
      </c>
      <c r="D53" s="44"/>
      <c r="E53" s="44" t="s">
        <v>85</v>
      </c>
      <c r="F53" s="63">
        <f>IF(I$50&lt;&gt;0,I47/I$50,0)</f>
        <v>0</v>
      </c>
      <c r="G53" s="63">
        <f>IF(I47&lt;&gt;0,I43/I47,0)</f>
        <v>0</v>
      </c>
      <c r="H53" s="63"/>
      <c r="I53" s="63">
        <f>F53*G53</f>
        <v>0</v>
      </c>
      <c r="J53" s="44"/>
      <c r="K53" s="44"/>
    </row>
    <row r="54" spans="3:11">
      <c r="C54" s="50">
        <v>25</v>
      </c>
      <c r="D54" s="44"/>
      <c r="E54" s="44" t="s">
        <v>79</v>
      </c>
      <c r="F54" s="63">
        <f t="shared" ref="F54:F55" si="0">IF(I$50&lt;&gt;0,I48/I$50,0)</f>
        <v>0</v>
      </c>
      <c r="G54" s="63">
        <f>IF(I48&lt;&gt;0,I45/I48,0)</f>
        <v>0</v>
      </c>
      <c r="H54" s="63"/>
      <c r="I54" s="63">
        <f>F54*G54</f>
        <v>0</v>
      </c>
      <c r="J54" s="44"/>
      <c r="K54" s="44"/>
    </row>
    <row r="55" spans="3:11" ht="13.5" thickBot="1">
      <c r="C55" s="50">
        <v>26</v>
      </c>
      <c r="D55" s="44"/>
      <c r="E55" s="44" t="s">
        <v>89</v>
      </c>
      <c r="F55" s="63">
        <f t="shared" si="0"/>
        <v>0</v>
      </c>
      <c r="G55" s="64">
        <v>0.108</v>
      </c>
      <c r="H55" s="64"/>
      <c r="I55" s="63">
        <f>F55*G55</f>
        <v>0</v>
      </c>
      <c r="J55" s="44"/>
      <c r="K55" s="44"/>
    </row>
    <row r="56" spans="3:11" ht="15" thickTop="1">
      <c r="C56" s="50">
        <v>27</v>
      </c>
      <c r="D56" s="44"/>
      <c r="E56" s="51" t="s">
        <v>140</v>
      </c>
      <c r="F56" s="44"/>
      <c r="G56" s="44"/>
      <c r="H56" s="44"/>
      <c r="I56" s="65">
        <f>SUM(I53:I55)</f>
        <v>0</v>
      </c>
      <c r="J56" s="44"/>
      <c r="K56" s="44"/>
    </row>
    <row r="57" spans="3:11">
      <c r="C57" s="44"/>
      <c r="D57" s="44"/>
      <c r="E57" s="44"/>
      <c r="F57" s="44"/>
      <c r="G57" s="44"/>
      <c r="H57" s="44"/>
      <c r="I57" s="44"/>
      <c r="J57" s="44"/>
      <c r="K57" s="44"/>
    </row>
    <row r="58" spans="3:11">
      <c r="C58" s="44"/>
      <c r="D58" s="44"/>
      <c r="E58" s="44"/>
      <c r="F58" s="44"/>
      <c r="G58" s="44"/>
      <c r="H58" s="44"/>
      <c r="I58" s="44"/>
      <c r="J58" s="44"/>
      <c r="K58" s="44"/>
    </row>
    <row r="59" spans="3:11">
      <c r="K59" s="44"/>
    </row>
    <row r="60" spans="3:11">
      <c r="K60" s="44"/>
    </row>
    <row r="61" spans="3:11">
      <c r="K61" s="44"/>
    </row>
    <row r="62" spans="3:11">
      <c r="K62" s="44"/>
    </row>
    <row r="63" spans="3:11">
      <c r="K63" s="44"/>
    </row>
    <row r="64" spans="3:11">
      <c r="K64" s="44"/>
    </row>
    <row r="65" spans="11:11">
      <c r="K65" s="44"/>
    </row>
    <row r="66" spans="11:11">
      <c r="K66" s="44"/>
    </row>
    <row r="67" spans="11:11">
      <c r="K67" s="44"/>
    </row>
  </sheetData>
  <mergeCells count="6">
    <mergeCell ref="A8:K8"/>
    <mergeCell ref="J1:K1"/>
    <mergeCell ref="J2:K2"/>
    <mergeCell ref="J3:K3"/>
    <mergeCell ref="A5:K5"/>
    <mergeCell ref="A6:K6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opLeftCell="A77" workbookViewId="0">
      <selection activeCell="B95" sqref="B95"/>
    </sheetView>
  </sheetViews>
  <sheetFormatPr defaultRowHeight="12.75"/>
  <cols>
    <col min="1" max="1" width="5.7109375" customWidth="1"/>
    <col min="3" max="3" width="2.7109375" customWidth="1"/>
    <col min="4" max="4" width="34.7109375" customWidth="1"/>
    <col min="5" max="5" width="15.140625" bestFit="1" customWidth="1"/>
    <col min="6" max="6" width="13.42578125" customWidth="1"/>
    <col min="7" max="7" width="3.7109375" customWidth="1"/>
    <col min="8" max="8" width="12.140625" customWidth="1"/>
    <col min="10" max="10" width="3.7109375" customWidth="1"/>
    <col min="11" max="11" width="13.7109375" customWidth="1"/>
    <col min="12" max="12" width="10" customWidth="1"/>
  </cols>
  <sheetData>
    <row r="1" spans="1:18" ht="15">
      <c r="J1" s="236" t="s">
        <v>187</v>
      </c>
      <c r="K1" s="236"/>
      <c r="L1" s="236"/>
    </row>
    <row r="2" spans="1:18" ht="15">
      <c r="F2" t="s">
        <v>263</v>
      </c>
      <c r="J2" s="237" t="s">
        <v>225</v>
      </c>
      <c r="K2" s="237"/>
      <c r="L2" s="238"/>
    </row>
    <row r="3" spans="1:18">
      <c r="J3" s="253" t="str">
        <f>FF1_Year</f>
        <v>Year Ending 12/31/yyyy</v>
      </c>
      <c r="K3" s="254"/>
      <c r="L3" s="254"/>
    </row>
    <row r="5" spans="1:18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8">
      <c r="A6" s="246" t="s">
        <v>137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8">
      <c r="A8" s="246" t="s">
        <v>141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10" spans="1:18">
      <c r="B10" s="2"/>
    </row>
    <row r="11" spans="1:18" ht="25.5">
      <c r="B11" s="11" t="s">
        <v>21</v>
      </c>
      <c r="C11" s="12"/>
      <c r="D11" s="13"/>
      <c r="E11" s="11" t="s">
        <v>4</v>
      </c>
      <c r="F11" s="11" t="s">
        <v>22</v>
      </c>
      <c r="G11" s="11"/>
      <c r="H11" s="246" t="s">
        <v>23</v>
      </c>
      <c r="I11" s="246"/>
      <c r="J11" s="11"/>
      <c r="K11" s="14" t="s">
        <v>24</v>
      </c>
      <c r="L11" s="4"/>
    </row>
    <row r="12" spans="1:18">
      <c r="B12" s="2"/>
      <c r="C12" s="3"/>
    </row>
    <row r="13" spans="1:18">
      <c r="B13" s="8">
        <v>1</v>
      </c>
      <c r="C13" s="3" t="s">
        <v>181</v>
      </c>
      <c r="E13" s="2" t="str">
        <f>'PEF - 6  p1, FF1 Inputs '!F33</f>
        <v>230a.5.b</v>
      </c>
      <c r="F13" s="1">
        <f>'PEF - 6  p1, FF1 Inputs '!J33</f>
        <v>0</v>
      </c>
      <c r="H13" s="2"/>
      <c r="I13" s="7"/>
      <c r="J13" s="7"/>
      <c r="K13" s="10"/>
      <c r="M13" s="1"/>
    </row>
    <row r="14" spans="1:18" ht="13.5" thickBot="1">
      <c r="B14" s="8">
        <v>2</v>
      </c>
      <c r="C14" s="3"/>
      <c r="D14" t="s">
        <v>178</v>
      </c>
      <c r="E14" s="2" t="s">
        <v>211</v>
      </c>
      <c r="F14" s="191">
        <f>14534920/15796861</f>
        <v>0.92011444552180333</v>
      </c>
      <c r="H14" s="2" t="s">
        <v>183</v>
      </c>
      <c r="I14" s="7"/>
      <c r="J14" s="7"/>
      <c r="K14" s="10"/>
      <c r="M14" s="103"/>
      <c r="N14" s="44"/>
      <c r="O14" s="44"/>
      <c r="P14" s="44"/>
      <c r="Q14" s="44"/>
      <c r="R14" s="44"/>
    </row>
    <row r="15" spans="1:18" ht="13.5" thickTop="1">
      <c r="B15" s="8">
        <v>3</v>
      </c>
      <c r="C15" s="3" t="s">
        <v>182</v>
      </c>
      <c r="E15" s="2"/>
      <c r="F15" s="59">
        <f>F13*F14</f>
        <v>0</v>
      </c>
      <c r="H15" s="175" t="s">
        <v>481</v>
      </c>
      <c r="I15" s="7">
        <f>1055859696/1143125894</f>
        <v>0.92366002864772823</v>
      </c>
      <c r="J15" s="7"/>
      <c r="K15" s="10">
        <f>F15*I15</f>
        <v>0</v>
      </c>
    </row>
    <row r="16" spans="1:18">
      <c r="B16" s="8"/>
      <c r="C16" s="3"/>
      <c r="E16" s="2"/>
      <c r="F16" s="58"/>
      <c r="H16" s="2"/>
      <c r="I16" s="7"/>
      <c r="J16" s="7"/>
      <c r="K16" s="10"/>
    </row>
    <row r="17" spans="2:11">
      <c r="B17" s="8"/>
      <c r="C17" s="3" t="s">
        <v>421</v>
      </c>
      <c r="E17" s="2"/>
      <c r="F17" s="58"/>
      <c r="H17" s="2"/>
      <c r="I17" s="7"/>
      <c r="J17" s="7"/>
      <c r="K17" s="10"/>
    </row>
    <row r="18" spans="2:11" ht="6" customHeight="1">
      <c r="B18" s="8"/>
      <c r="C18" s="3"/>
      <c r="E18" s="2"/>
      <c r="F18" s="58"/>
      <c r="H18" s="2"/>
      <c r="I18" s="7"/>
      <c r="J18" s="7"/>
      <c r="K18" s="10"/>
    </row>
    <row r="19" spans="2:11" ht="12.75" customHeight="1">
      <c r="B19" s="35">
        <v>4</v>
      </c>
      <c r="C19" s="3"/>
      <c r="D19" s="32" t="s">
        <v>307</v>
      </c>
      <c r="E19" s="16" t="str">
        <f>'PEF - 6  p1, FF1 Inputs '!F35</f>
        <v>230a.5.f</v>
      </c>
      <c r="F19" s="192">
        <v>15658702</v>
      </c>
      <c r="G19" s="32"/>
      <c r="H19" s="104" t="s">
        <v>400</v>
      </c>
      <c r="I19" s="7">
        <f>F14*I15</f>
        <v>0.8498729351098574</v>
      </c>
      <c r="J19" s="33"/>
      <c r="K19" s="36">
        <f>F19*I19</f>
        <v>13307907.028750595</v>
      </c>
    </row>
    <row r="20" spans="2:11" ht="6" customHeight="1">
      <c r="B20" s="8"/>
      <c r="C20" s="3"/>
      <c r="E20" s="2"/>
      <c r="F20" s="58"/>
      <c r="H20" s="50"/>
      <c r="I20" s="7"/>
      <c r="J20" s="7"/>
      <c r="K20" s="10"/>
    </row>
    <row r="21" spans="2:11" ht="12.75" customHeight="1">
      <c r="B21" s="8"/>
      <c r="C21" s="3"/>
      <c r="D21" t="s">
        <v>184</v>
      </c>
      <c r="E21" s="2"/>
      <c r="F21" s="58"/>
      <c r="H21" s="50"/>
      <c r="I21" s="7"/>
      <c r="J21" s="7"/>
      <c r="K21" s="10"/>
    </row>
    <row r="22" spans="2:11" ht="12.75" customHeight="1">
      <c r="B22" s="8">
        <v>5</v>
      </c>
      <c r="C22" s="3"/>
      <c r="D22" t="s">
        <v>185</v>
      </c>
      <c r="E22" s="2" t="s">
        <v>280</v>
      </c>
      <c r="F22" s="58">
        <v>434000</v>
      </c>
      <c r="H22" s="2" t="s">
        <v>400</v>
      </c>
      <c r="I22" s="47">
        <f>F22/6000000</f>
        <v>7.2333333333333333E-2</v>
      </c>
      <c r="J22" s="7"/>
      <c r="K22" s="10"/>
    </row>
    <row r="23" spans="2:11" ht="12.75" customHeight="1">
      <c r="B23" s="8">
        <v>6</v>
      </c>
      <c r="C23" s="3"/>
      <c r="D23" t="s">
        <v>186</v>
      </c>
      <c r="E23" s="2"/>
      <c r="F23" s="58">
        <f>130000000/(1-I22)</f>
        <v>140136543.29859865</v>
      </c>
      <c r="H23" s="50"/>
      <c r="I23" s="7"/>
      <c r="J23" s="7"/>
      <c r="K23" s="10"/>
    </row>
    <row r="24" spans="2:11" ht="12.75" customHeight="1">
      <c r="B24" s="8">
        <v>7</v>
      </c>
      <c r="C24" s="3"/>
      <c r="D24" s="173" t="s">
        <v>306</v>
      </c>
      <c r="E24" s="2"/>
      <c r="F24" s="58">
        <f>F23-130000000</f>
        <v>10136543.298598647</v>
      </c>
      <c r="H24" s="104" t="s">
        <v>400</v>
      </c>
      <c r="I24" s="7">
        <f>I19</f>
        <v>0.8498729351098574</v>
      </c>
      <c r="J24" s="33"/>
      <c r="K24" s="36">
        <f>F24*I24</f>
        <v>8614773.8050481882</v>
      </c>
    </row>
    <row r="25" spans="2:11" ht="12.75" customHeight="1">
      <c r="B25" s="8"/>
      <c r="C25" s="3"/>
      <c r="E25" s="2"/>
      <c r="F25" s="9"/>
      <c r="H25" s="50"/>
      <c r="I25" s="7"/>
      <c r="J25" s="7"/>
      <c r="K25" s="10"/>
    </row>
    <row r="26" spans="2:11" ht="12.75" customHeight="1">
      <c r="B26" s="8">
        <f>B24+1</f>
        <v>8</v>
      </c>
      <c r="C26" s="3" t="s">
        <v>422</v>
      </c>
      <c r="E26" s="2" t="s">
        <v>280</v>
      </c>
      <c r="F26" s="9">
        <f>F22</f>
        <v>434000</v>
      </c>
      <c r="G26" s="32"/>
      <c r="H26" s="34" t="s">
        <v>400</v>
      </c>
      <c r="I26" s="7">
        <f>I19</f>
        <v>0.8498729351098574</v>
      </c>
      <c r="J26" s="33"/>
      <c r="K26" s="9">
        <f>F26*I26</f>
        <v>368844.85383767809</v>
      </c>
    </row>
    <row r="27" spans="2:11" ht="12.75" customHeight="1">
      <c r="B27" s="8"/>
      <c r="C27" s="3"/>
      <c r="E27" s="2"/>
      <c r="F27" s="9"/>
      <c r="G27" s="32"/>
      <c r="H27" s="34"/>
      <c r="I27" s="33"/>
      <c r="J27" s="33"/>
      <c r="K27" s="9"/>
    </row>
    <row r="28" spans="2:11" ht="12.75" customHeight="1">
      <c r="B28" s="8">
        <f>B26+1</f>
        <v>9</v>
      </c>
      <c r="C28" s="51" t="s">
        <v>423</v>
      </c>
      <c r="E28" s="2"/>
      <c r="F28" s="9"/>
      <c r="G28" s="32"/>
      <c r="H28" s="34"/>
      <c r="I28" s="33"/>
      <c r="J28" s="33"/>
      <c r="K28" s="137">
        <f>'PEF - 6 p2, Levelized Storm'!F42</f>
        <v>140.49561401738774</v>
      </c>
    </row>
    <row r="29" spans="2:11" ht="12.75" customHeight="1">
      <c r="B29" s="8"/>
      <c r="C29" s="3"/>
      <c r="E29" s="2"/>
      <c r="F29" s="9"/>
      <c r="G29" s="32"/>
      <c r="H29" s="34"/>
      <c r="I29" s="33"/>
      <c r="J29" s="33"/>
      <c r="K29" s="9"/>
    </row>
    <row r="30" spans="2:11">
      <c r="B30" s="2"/>
      <c r="C30" s="3" t="s">
        <v>97</v>
      </c>
      <c r="E30" s="2"/>
      <c r="F30" s="9"/>
      <c r="H30" s="2"/>
      <c r="I30" s="7"/>
      <c r="J30" s="7"/>
      <c r="K30" s="1"/>
    </row>
    <row r="31" spans="2:11">
      <c r="B31" s="2">
        <f>B28+1</f>
        <v>10</v>
      </c>
      <c r="C31" s="3"/>
      <c r="D31" s="105" t="str">
        <f>'PEF - 6  p1, FF1 Inputs '!E62</f>
        <v>Firm Network Service for Self</v>
      </c>
      <c r="E31" s="2" t="str">
        <f>'PEF - 6  p1, FF1 Inputs '!F62</f>
        <v>400.17.e</v>
      </c>
      <c r="F31" s="1">
        <f>'PEF - 6  p1, FF1 Inputs '!J62</f>
        <v>0</v>
      </c>
      <c r="H31" s="2"/>
      <c r="I31" s="47">
        <v>0</v>
      </c>
      <c r="J31" s="7"/>
      <c r="K31" s="1">
        <f>IF(ISNUMBER(I31),F31*I31,"")</f>
        <v>0</v>
      </c>
    </row>
    <row r="32" spans="2:11">
      <c r="B32" s="2">
        <f>B31+1</f>
        <v>11</v>
      </c>
      <c r="C32" s="3"/>
      <c r="D32" s="105" t="str">
        <f>'PEF - 6  p1, FF1 Inputs '!E63&amp;" (Note K)"</f>
        <v>Firm Network Service for Others (Note K)</v>
      </c>
      <c r="E32" s="2" t="str">
        <f>'PEF - 6  p1, FF1 Inputs '!F63</f>
        <v>400.17.f</v>
      </c>
      <c r="F32" s="1">
        <f>'PEF - 6  p1, FF1 Inputs '!J63</f>
        <v>0</v>
      </c>
      <c r="H32" s="2"/>
      <c r="I32" s="47">
        <v>1</v>
      </c>
      <c r="J32" s="7"/>
      <c r="K32" s="1">
        <f>IF(ISNUMBER(I32),F32*I32,"")</f>
        <v>0</v>
      </c>
    </row>
    <row r="33" spans="2:11">
      <c r="B33" s="2">
        <f>B32+1</f>
        <v>12</v>
      </c>
      <c r="C33" s="3"/>
      <c r="D33" s="105" t="str">
        <f>'PEF - 6  p1, FF1 Inputs '!E64</f>
        <v>Long-Term Firm P-t-P Reservations</v>
      </c>
      <c r="E33" s="2" t="str">
        <f>'PEF - 6  p1, FF1 Inputs '!F64</f>
        <v>400.17.g</v>
      </c>
      <c r="F33" s="1">
        <f>'PEF - 6  p1, FF1 Inputs '!J64</f>
        <v>0</v>
      </c>
      <c r="H33" s="2"/>
      <c r="I33" s="47">
        <v>1</v>
      </c>
      <c r="J33" s="7"/>
      <c r="K33" s="1">
        <f>IF(ISNUMBER(I33),F33*I33,"")</f>
        <v>0</v>
      </c>
    </row>
    <row r="34" spans="2:11">
      <c r="B34" s="2">
        <f>B33+1</f>
        <v>13</v>
      </c>
      <c r="C34" s="3"/>
      <c r="D34" s="105" t="str">
        <f>'PEF - 6  p1, FF1 Inputs '!E65</f>
        <v>Other Long-Term Firm Service</v>
      </c>
      <c r="E34" s="2" t="str">
        <f>'PEF - 6  p1, FF1 Inputs '!F65</f>
        <v>400.17.h</v>
      </c>
      <c r="F34" s="1">
        <f>'PEF - 6  p1, FF1 Inputs '!J65</f>
        <v>0</v>
      </c>
      <c r="H34" s="2"/>
      <c r="I34" s="47">
        <v>1</v>
      </c>
      <c r="J34" s="7"/>
      <c r="K34" s="1">
        <f>IF(ISNUMBER(I34),F34*I34,"")</f>
        <v>0</v>
      </c>
    </row>
    <row r="35" spans="2:11" ht="13.5" thickBot="1">
      <c r="B35" s="2">
        <f>B34+1</f>
        <v>14</v>
      </c>
      <c r="C35" s="3"/>
      <c r="D35" s="103" t="s">
        <v>261</v>
      </c>
      <c r="E35" s="50"/>
      <c r="F35" s="176">
        <v>0</v>
      </c>
      <c r="G35" s="44"/>
      <c r="H35" s="50"/>
      <c r="I35" s="47">
        <v>1</v>
      </c>
      <c r="J35" s="47"/>
      <c r="K35" s="46">
        <f>F35*I35</f>
        <v>0</v>
      </c>
    </row>
    <row r="36" spans="2:11" ht="13.5" thickTop="1">
      <c r="B36" s="2">
        <f>B35+1</f>
        <v>15</v>
      </c>
      <c r="C36" s="3"/>
      <c r="D36" s="44" t="s">
        <v>302</v>
      </c>
      <c r="E36" s="50"/>
      <c r="F36" s="59">
        <f>SUM(F31:F35)</f>
        <v>0</v>
      </c>
      <c r="G36" s="44"/>
      <c r="H36" s="50"/>
      <c r="I36" s="47"/>
      <c r="J36" s="47"/>
      <c r="K36" s="59">
        <f>SUM(K31:K35)</f>
        <v>0</v>
      </c>
    </row>
    <row r="37" spans="2:11">
      <c r="B37" s="2"/>
      <c r="C37" s="3"/>
      <c r="E37" s="2"/>
      <c r="F37" s="10"/>
      <c r="H37" s="2"/>
      <c r="I37" s="7"/>
      <c r="J37" s="7"/>
      <c r="K37" s="1"/>
    </row>
    <row r="38" spans="2:11">
      <c r="B38" s="2">
        <f>B36+1</f>
        <v>16</v>
      </c>
      <c r="C38" s="3" t="s">
        <v>439</v>
      </c>
      <c r="E38" s="2"/>
      <c r="F38" s="1"/>
      <c r="H38" s="2"/>
      <c r="I38" s="7"/>
      <c r="J38" s="7"/>
      <c r="K38" s="7">
        <f>IF(K46&lt;&gt;0,F36/K36*I15*F14,0)</f>
        <v>0</v>
      </c>
    </row>
    <row r="40" spans="2:11" ht="3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ht="6" customHeight="1"/>
    <row r="42" spans="2:11">
      <c r="B42" s="16" t="s">
        <v>103</v>
      </c>
      <c r="C42" t="s">
        <v>299</v>
      </c>
    </row>
    <row r="43" spans="2:11">
      <c r="B43" s="16" t="s">
        <v>104</v>
      </c>
      <c r="C43" t="s">
        <v>217</v>
      </c>
    </row>
    <row r="44" spans="2:11">
      <c r="B44" s="16"/>
      <c r="C44" t="s">
        <v>218</v>
      </c>
    </row>
    <row r="45" spans="2:11">
      <c r="B45" s="16"/>
      <c r="C45" t="s">
        <v>216</v>
      </c>
    </row>
    <row r="46" spans="2:11">
      <c r="B46" s="16" t="s">
        <v>105</v>
      </c>
      <c r="C46" t="s">
        <v>128</v>
      </c>
    </row>
    <row r="47" spans="2:11">
      <c r="B47" s="16" t="s">
        <v>106</v>
      </c>
      <c r="C47" t="s">
        <v>315</v>
      </c>
    </row>
    <row r="48" spans="2:11">
      <c r="B48" s="16" t="s">
        <v>107</v>
      </c>
      <c r="C48" t="s">
        <v>305</v>
      </c>
    </row>
    <row r="49" spans="2:3">
      <c r="B49" s="16" t="s">
        <v>129</v>
      </c>
      <c r="C49" t="s">
        <v>177</v>
      </c>
    </row>
    <row r="50" spans="2:3">
      <c r="B50" s="16"/>
      <c r="C50" t="s">
        <v>132</v>
      </c>
    </row>
    <row r="51" spans="2:3">
      <c r="B51" s="16" t="s">
        <v>133</v>
      </c>
      <c r="C51" t="s">
        <v>175</v>
      </c>
    </row>
    <row r="52" spans="2:3" ht="12.75" customHeight="1">
      <c r="B52" s="16" t="s">
        <v>174</v>
      </c>
      <c r="C52" s="173" t="s">
        <v>528</v>
      </c>
    </row>
    <row r="53" spans="2:3" ht="12.75" customHeight="1">
      <c r="B53" s="16"/>
      <c r="C53" s="173" t="s">
        <v>527</v>
      </c>
    </row>
    <row r="54" spans="2:3">
      <c r="B54" s="16" t="s">
        <v>200</v>
      </c>
      <c r="C54" t="s">
        <v>409</v>
      </c>
    </row>
    <row r="55" spans="2:3">
      <c r="C55" t="s">
        <v>410</v>
      </c>
    </row>
    <row r="56" spans="2:3">
      <c r="B56" s="16" t="s">
        <v>212</v>
      </c>
      <c r="C56" t="s">
        <v>213</v>
      </c>
    </row>
    <row r="57" spans="2:3">
      <c r="C57" t="s">
        <v>214</v>
      </c>
    </row>
    <row r="58" spans="2:3">
      <c r="B58" s="16" t="s">
        <v>215</v>
      </c>
      <c r="C58" t="s">
        <v>220</v>
      </c>
    </row>
    <row r="59" spans="2:3">
      <c r="B59" s="16" t="s">
        <v>313</v>
      </c>
      <c r="C59" s="216" t="s">
        <v>563</v>
      </c>
    </row>
    <row r="60" spans="2:3">
      <c r="B60" s="16" t="s">
        <v>395</v>
      </c>
      <c r="C60" t="s">
        <v>396</v>
      </c>
    </row>
    <row r="61" spans="2:3">
      <c r="C61" t="s">
        <v>397</v>
      </c>
    </row>
    <row r="62" spans="2:3">
      <c r="B62" s="16" t="s">
        <v>401</v>
      </c>
      <c r="C62" t="s">
        <v>402</v>
      </c>
    </row>
    <row r="63" spans="2:3">
      <c r="C63" t="s">
        <v>403</v>
      </c>
    </row>
    <row r="64" spans="2:3">
      <c r="B64" s="2" t="s">
        <v>411</v>
      </c>
      <c r="C64" t="s">
        <v>412</v>
      </c>
    </row>
    <row r="65" spans="2:3">
      <c r="C65" t="s">
        <v>413</v>
      </c>
    </row>
    <row r="66" spans="2:3">
      <c r="B66" s="143" t="s">
        <v>426</v>
      </c>
      <c r="C66" t="s">
        <v>427</v>
      </c>
    </row>
    <row r="67" spans="2:3">
      <c r="C67" t="s">
        <v>428</v>
      </c>
    </row>
    <row r="68" spans="2:3">
      <c r="B68" s="2" t="s">
        <v>429</v>
      </c>
      <c r="C68" t="s">
        <v>430</v>
      </c>
    </row>
    <row r="69" spans="2:3">
      <c r="C69" t="s">
        <v>431</v>
      </c>
    </row>
    <row r="70" spans="2:3">
      <c r="B70" s="143" t="s">
        <v>432</v>
      </c>
      <c r="C70" t="s">
        <v>433</v>
      </c>
    </row>
    <row r="71" spans="2:3">
      <c r="C71" t="s">
        <v>434</v>
      </c>
    </row>
    <row r="72" spans="2:3">
      <c r="B72" s="214" t="s">
        <v>517</v>
      </c>
      <c r="C72" s="215" t="s">
        <v>551</v>
      </c>
    </row>
    <row r="73" spans="2:3">
      <c r="B73" s="214"/>
      <c r="C73" s="215" t="s">
        <v>552</v>
      </c>
    </row>
    <row r="74" spans="2:3">
      <c r="B74" s="214"/>
      <c r="C74" s="215" t="s">
        <v>553</v>
      </c>
    </row>
    <row r="75" spans="2:3">
      <c r="B75" s="215"/>
      <c r="C75" s="215" t="s">
        <v>554</v>
      </c>
    </row>
    <row r="76" spans="2:3">
      <c r="B76" s="214" t="s">
        <v>515</v>
      </c>
      <c r="C76" s="215" t="s">
        <v>555</v>
      </c>
    </row>
    <row r="77" spans="2:3">
      <c r="B77" s="214" t="s">
        <v>556</v>
      </c>
      <c r="C77" s="215" t="s">
        <v>567</v>
      </c>
    </row>
    <row r="78" spans="2:3">
      <c r="B78" s="214"/>
      <c r="C78" s="215" t="s">
        <v>557</v>
      </c>
    </row>
    <row r="79" spans="2:3">
      <c r="B79" s="214"/>
      <c r="C79" s="215" t="s">
        <v>558</v>
      </c>
    </row>
    <row r="80" spans="2:3">
      <c r="B80" s="214"/>
      <c r="C80" s="215" t="s">
        <v>559</v>
      </c>
    </row>
    <row r="81" spans="2:11">
      <c r="B81" s="214"/>
      <c r="C81" s="215" t="s">
        <v>560</v>
      </c>
    </row>
    <row r="82" spans="2:11">
      <c r="B82" s="214" t="s">
        <v>561</v>
      </c>
      <c r="C82" s="215" t="s">
        <v>568</v>
      </c>
    </row>
    <row r="83" spans="2:11">
      <c r="B83" s="197"/>
      <c r="C83" s="195" t="s">
        <v>569</v>
      </c>
      <c r="D83" s="195"/>
      <c r="E83" s="195"/>
      <c r="F83" s="195"/>
    </row>
    <row r="84" spans="2:11">
      <c r="B84" s="197" t="s">
        <v>562</v>
      </c>
      <c r="C84" s="195" t="s">
        <v>516</v>
      </c>
      <c r="D84" s="195"/>
      <c r="E84" s="195"/>
      <c r="F84" s="195"/>
      <c r="G84" s="195"/>
      <c r="H84" s="195"/>
      <c r="I84" s="195"/>
      <c r="J84" s="195"/>
      <c r="K84" s="195"/>
    </row>
    <row r="85" spans="2:11">
      <c r="C85" s="195" t="s">
        <v>525</v>
      </c>
    </row>
    <row r="86" spans="2:11">
      <c r="C86" s="195" t="s">
        <v>518</v>
      </c>
    </row>
    <row r="87" spans="2:11">
      <c r="C87" s="195" t="s">
        <v>526</v>
      </c>
    </row>
    <row r="88" spans="2:11">
      <c r="C88" s="195" t="s">
        <v>519</v>
      </c>
    </row>
    <row r="89" spans="2:11">
      <c r="C89" s="195" t="s">
        <v>520</v>
      </c>
    </row>
    <row r="90" spans="2:11">
      <c r="C90" s="195" t="s">
        <v>521</v>
      </c>
    </row>
    <row r="91" spans="2:11">
      <c r="C91" s="195" t="s">
        <v>529</v>
      </c>
    </row>
    <row r="92" spans="2:11">
      <c r="C92" s="195" t="s">
        <v>522</v>
      </c>
    </row>
    <row r="93" spans="2:11">
      <c r="C93" s="195" t="s">
        <v>523</v>
      </c>
    </row>
    <row r="94" spans="2:11">
      <c r="C94" s="195" t="s">
        <v>524</v>
      </c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ageMargins left="0.75" right="0.75" top="1" bottom="1" header="0.5" footer="0.5"/>
  <pageSetup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8" workbookViewId="0">
      <selection activeCell="G50" sqref="G50"/>
    </sheetView>
  </sheetViews>
  <sheetFormatPr defaultRowHeight="12.75"/>
  <cols>
    <col min="1" max="2" width="3.7109375" customWidth="1"/>
    <col min="6" max="6" width="5.7109375" customWidth="1"/>
    <col min="7" max="7" width="11.7109375" customWidth="1"/>
  </cols>
  <sheetData>
    <row r="1" spans="1:13" ht="15">
      <c r="K1" s="236" t="s">
        <v>187</v>
      </c>
      <c r="L1" s="236"/>
      <c r="M1" s="236"/>
    </row>
    <row r="2" spans="1:13" ht="15">
      <c r="K2" s="237" t="s">
        <v>226</v>
      </c>
      <c r="L2" s="237"/>
      <c r="M2" s="238"/>
    </row>
    <row r="3" spans="1:13">
      <c r="K3" s="253" t="str">
        <f>FF1_Year</f>
        <v>Year Ending 12/31/yyyy</v>
      </c>
      <c r="L3" s="254"/>
      <c r="M3" s="254"/>
    </row>
    <row r="6" spans="1:13">
      <c r="A6" s="246" t="s">
        <v>135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55"/>
    </row>
    <row r="7" spans="1:13">
      <c r="A7" s="246" t="s">
        <v>137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55"/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>
      <c r="A9" s="256" t="s">
        <v>227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</row>
    <row r="13" spans="1:13">
      <c r="A13" s="3" t="s">
        <v>229</v>
      </c>
    </row>
    <row r="46" spans="1:7">
      <c r="A46" s="3" t="s">
        <v>550</v>
      </c>
      <c r="G46" s="46"/>
    </row>
    <row r="47" spans="1:7">
      <c r="G47" s="1"/>
    </row>
    <row r="48" spans="1:7">
      <c r="C48" t="s">
        <v>228</v>
      </c>
      <c r="G48" s="46">
        <v>22191000</v>
      </c>
    </row>
    <row r="49" spans="1:7">
      <c r="G49" s="1"/>
    </row>
    <row r="50" spans="1:7">
      <c r="A50" s="43" t="s">
        <v>234</v>
      </c>
      <c r="G50" s="1"/>
    </row>
  </sheetData>
  <mergeCells count="6">
    <mergeCell ref="A6:M6"/>
    <mergeCell ref="A7:M7"/>
    <mergeCell ref="A9:M9"/>
    <mergeCell ref="K1:M1"/>
    <mergeCell ref="K2:M2"/>
    <mergeCell ref="K3:M3"/>
  </mergeCells>
  <phoneticPr fontId="15" type="noConversion"/>
  <printOptions horizontalCentered="1"/>
  <pageMargins left="1" right="0.5" top="1" bottom="1" header="0.5" footer="0.5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selection activeCell="E17" sqref="E17"/>
    </sheetView>
  </sheetViews>
  <sheetFormatPr defaultRowHeight="12.75"/>
  <cols>
    <col min="1" max="1" width="5.7109375" customWidth="1"/>
    <col min="2" max="2" width="38.5703125" bestFit="1" customWidth="1"/>
    <col min="3" max="3" width="4.7109375" customWidth="1"/>
    <col min="4" max="4" width="12.28515625" bestFit="1" customWidth="1"/>
    <col min="5" max="5" width="4.7109375" customWidth="1"/>
    <col min="6" max="6" width="12.140625" bestFit="1" customWidth="1"/>
    <col min="8" max="8" width="11.42578125" customWidth="1"/>
  </cols>
  <sheetData>
    <row r="1" spans="1:9" ht="15">
      <c r="G1" s="237" t="s">
        <v>194</v>
      </c>
      <c r="H1" s="237"/>
    </row>
    <row r="2" spans="1:9" ht="15">
      <c r="G2" s="37" t="s">
        <v>197</v>
      </c>
      <c r="H2" s="37"/>
    </row>
    <row r="3" spans="1:9">
      <c r="G3" s="253" t="str">
        <f>FF1_Year</f>
        <v>Year Ending 12/31/yyyy</v>
      </c>
      <c r="H3" s="254"/>
    </row>
    <row r="4" spans="1:9">
      <c r="G4" s="105"/>
      <c r="H4" s="105"/>
    </row>
    <row r="6" spans="1:9">
      <c r="A6" s="246" t="s">
        <v>135</v>
      </c>
      <c r="B6" s="246"/>
      <c r="C6" s="246"/>
      <c r="D6" s="246"/>
      <c r="E6" s="246"/>
      <c r="F6" s="246"/>
      <c r="G6" s="246"/>
      <c r="H6" s="246"/>
      <c r="I6" s="48"/>
    </row>
    <row r="7" spans="1:9">
      <c r="A7" s="256" t="s">
        <v>387</v>
      </c>
      <c r="B7" s="256"/>
      <c r="C7" s="256"/>
      <c r="D7" s="256"/>
      <c r="E7" s="256"/>
      <c r="F7" s="256"/>
      <c r="G7" s="256"/>
      <c r="H7" s="256"/>
    </row>
    <row r="8" spans="1:9">
      <c r="A8" s="256" t="s">
        <v>388</v>
      </c>
      <c r="B8" s="256"/>
      <c r="C8" s="256"/>
      <c r="D8" s="256"/>
      <c r="E8" s="256"/>
      <c r="F8" s="256"/>
      <c r="G8" s="256"/>
      <c r="H8" s="256"/>
    </row>
    <row r="9" spans="1:9">
      <c r="B9" s="48"/>
      <c r="D9" s="1"/>
      <c r="E9" s="1"/>
      <c r="F9" s="1"/>
      <c r="G9" s="1"/>
      <c r="H9" s="1"/>
    </row>
    <row r="10" spans="1:9">
      <c r="B10" s="48"/>
      <c r="D10" s="1"/>
      <c r="E10" s="1"/>
      <c r="F10" s="98" t="s">
        <v>286</v>
      </c>
      <c r="G10" s="1"/>
      <c r="H10" s="1"/>
    </row>
    <row r="11" spans="1:9">
      <c r="B11" s="48"/>
      <c r="D11" s="1"/>
      <c r="E11" s="1"/>
      <c r="F11" s="98"/>
      <c r="G11" s="1"/>
      <c r="H11" s="1"/>
    </row>
    <row r="12" spans="1:9" ht="13.5" thickBot="1">
      <c r="B12" s="99" t="s">
        <v>287</v>
      </c>
      <c r="C12" s="99"/>
      <c r="D12" s="212">
        <f>SUM(D11:D11)</f>
        <v>0</v>
      </c>
      <c r="E12" s="213"/>
      <c r="F12" s="212">
        <f>SUM(F11:F11)</f>
        <v>0</v>
      </c>
      <c r="G12" s="1"/>
      <c r="H12" s="1"/>
    </row>
    <row r="13" spans="1:9" ht="13.5" thickTop="1"/>
  </sheetData>
  <mergeCells count="5">
    <mergeCell ref="A8:H8"/>
    <mergeCell ref="G1:H1"/>
    <mergeCell ref="G3:H3"/>
    <mergeCell ref="A6:H6"/>
    <mergeCell ref="A7:H7"/>
  </mergeCells>
  <phoneticPr fontId="15" type="noConversion"/>
  <pageMargins left="0.75" right="0.75" top="1" bottom="1" header="0.5" footer="0.5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G3" sqref="G3:H3"/>
    </sheetView>
  </sheetViews>
  <sheetFormatPr defaultRowHeight="12.75"/>
  <cols>
    <col min="1" max="1" width="5.7109375" customWidth="1"/>
    <col min="2" max="2" width="11" bestFit="1" customWidth="1"/>
    <col min="3" max="3" width="3.7109375" customWidth="1"/>
    <col min="4" max="4" width="43" bestFit="1" customWidth="1"/>
    <col min="5" max="5" width="13.140625" bestFit="1" customWidth="1"/>
    <col min="6" max="6" width="14.42578125" bestFit="1" customWidth="1"/>
    <col min="7" max="7" width="15.140625" bestFit="1" customWidth="1"/>
    <col min="8" max="8" width="5.7109375" customWidth="1"/>
  </cols>
  <sheetData>
    <row r="1" spans="1:8" ht="15">
      <c r="G1" s="237" t="s">
        <v>194</v>
      </c>
      <c r="H1" s="237"/>
    </row>
    <row r="2" spans="1:8" ht="15">
      <c r="G2" s="37" t="s">
        <v>198</v>
      </c>
      <c r="H2" s="37"/>
    </row>
    <row r="3" spans="1:8">
      <c r="G3" s="253" t="str">
        <f>FF1_Year</f>
        <v>Year Ending 12/31/yyyy</v>
      </c>
      <c r="H3" s="254"/>
    </row>
    <row r="5" spans="1:8">
      <c r="A5" s="246" t="s">
        <v>135</v>
      </c>
      <c r="B5" s="246"/>
      <c r="C5" s="246"/>
      <c r="D5" s="246"/>
      <c r="E5" s="246"/>
      <c r="F5" s="246"/>
      <c r="G5" s="246"/>
      <c r="H5" s="246"/>
    </row>
    <row r="6" spans="1:8">
      <c r="A6" s="256" t="s">
        <v>389</v>
      </c>
      <c r="B6" s="256"/>
      <c r="C6" s="256"/>
      <c r="D6" s="256"/>
      <c r="E6" s="256"/>
      <c r="F6" s="256"/>
      <c r="G6" s="256"/>
      <c r="H6" s="256"/>
    </row>
    <row r="7" spans="1:8">
      <c r="A7" s="256" t="s">
        <v>482</v>
      </c>
      <c r="B7" s="256"/>
      <c r="C7" s="256"/>
      <c r="D7" s="256"/>
      <c r="E7" s="256"/>
      <c r="F7" s="256"/>
      <c r="G7" s="256"/>
      <c r="H7" s="256"/>
    </row>
    <row r="10" spans="1:8">
      <c r="B10" s="258" t="s">
        <v>118</v>
      </c>
      <c r="C10" s="14"/>
      <c r="D10" s="4" t="s">
        <v>119</v>
      </c>
      <c r="E10" s="4" t="s">
        <v>120</v>
      </c>
      <c r="F10" s="4" t="s">
        <v>121</v>
      </c>
      <c r="G10" s="4" t="s">
        <v>125</v>
      </c>
    </row>
    <row r="11" spans="1:8">
      <c r="B11" s="258"/>
      <c r="C11" s="14"/>
      <c r="D11" s="4" t="s">
        <v>122</v>
      </c>
      <c r="E11" s="4" t="s">
        <v>123</v>
      </c>
      <c r="F11" s="4" t="s">
        <v>124</v>
      </c>
      <c r="G11" s="4" t="s">
        <v>126</v>
      </c>
    </row>
    <row r="12" spans="1:8" ht="13.5" thickBot="1">
      <c r="B12" s="14"/>
      <c r="C12" s="14"/>
      <c r="D12" s="4"/>
      <c r="E12" s="4"/>
      <c r="F12" s="4"/>
      <c r="G12" s="4"/>
    </row>
    <row r="13" spans="1:8" ht="13.5" thickTop="1">
      <c r="D13" s="3" t="s">
        <v>127</v>
      </c>
      <c r="E13" s="3"/>
      <c r="F13" s="3"/>
      <c r="G13" s="100">
        <f>SUM(G12:G12)</f>
        <v>0</v>
      </c>
    </row>
    <row r="14" spans="1:8">
      <c r="G14" s="44"/>
    </row>
    <row r="15" spans="1:8">
      <c r="D15" s="3" t="s">
        <v>219</v>
      </c>
      <c r="E15" s="3"/>
      <c r="F15" s="3"/>
      <c r="G15" s="188">
        <f>SUMIF(E$12:E$12,"NF",G$12:G$12)</f>
        <v>0</v>
      </c>
    </row>
    <row r="16" spans="1:8">
      <c r="D16" s="3" t="s">
        <v>298</v>
      </c>
      <c r="G16" s="188">
        <f>SUMIF(E$12:E$12,"NF",G$12:G$12)</f>
        <v>0</v>
      </c>
    </row>
    <row r="17" spans="4:7" ht="4.5" customHeight="1">
      <c r="G17" s="44"/>
    </row>
    <row r="18" spans="4:7">
      <c r="D18" s="3" t="s">
        <v>260</v>
      </c>
      <c r="G18" s="101">
        <f>G15+G16</f>
        <v>0</v>
      </c>
    </row>
    <row r="19" spans="4:7">
      <c r="D19" s="51" t="s">
        <v>297</v>
      </c>
      <c r="E19" s="44"/>
      <c r="F19" s="44"/>
      <c r="G19" s="101">
        <v>0</v>
      </c>
    </row>
    <row r="20" spans="4:7">
      <c r="D20" s="44"/>
      <c r="E20" s="44"/>
      <c r="F20" s="44"/>
      <c r="G20" s="44"/>
    </row>
    <row r="21" spans="4:7">
      <c r="D21" s="51" t="s">
        <v>262</v>
      </c>
      <c r="E21" s="44"/>
      <c r="F21" s="44"/>
      <c r="G21" s="101">
        <f>G18+G19</f>
        <v>0</v>
      </c>
    </row>
    <row r="22" spans="4:7">
      <c r="G22" s="44"/>
    </row>
  </sheetData>
  <mergeCells count="6">
    <mergeCell ref="B10:B11"/>
    <mergeCell ref="G1:H1"/>
    <mergeCell ref="G3:H3"/>
    <mergeCell ref="A5:H5"/>
    <mergeCell ref="A6:H6"/>
    <mergeCell ref="A7:H7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C17" sqref="C17"/>
    </sheetView>
  </sheetViews>
  <sheetFormatPr defaultRowHeight="12.75"/>
  <cols>
    <col min="1" max="1" width="5.7109375" customWidth="1"/>
    <col min="2" max="2" width="18.7109375" customWidth="1"/>
    <col min="4" max="4" width="5.7109375" customWidth="1"/>
    <col min="5" max="5" width="11" bestFit="1" customWidth="1"/>
    <col min="6" max="6" width="5.7109375" customWidth="1"/>
    <col min="7" max="7" width="13.7109375" customWidth="1"/>
    <col min="8" max="8" width="5.7109375" customWidth="1"/>
    <col min="9" max="9" width="14.85546875" customWidth="1"/>
    <col min="10" max="10" width="5.7109375" customWidth="1"/>
  </cols>
  <sheetData>
    <row r="1" spans="1:10" ht="15">
      <c r="I1" s="237" t="s">
        <v>390</v>
      </c>
      <c r="J1" s="237"/>
    </row>
    <row r="2" spans="1:10" ht="15">
      <c r="I2" s="37" t="s">
        <v>392</v>
      </c>
      <c r="J2" s="37"/>
    </row>
    <row r="3" spans="1:10">
      <c r="I3" s="253" t="str">
        <f>FF1_Year</f>
        <v>Year Ending 12/31/yyyy</v>
      </c>
      <c r="J3" s="254"/>
    </row>
    <row r="5" spans="1:10">
      <c r="A5" s="246" t="s">
        <v>135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>
      <c r="A6" s="256" t="s">
        <v>155</v>
      </c>
      <c r="B6" s="256"/>
      <c r="C6" s="256"/>
      <c r="D6" s="256"/>
      <c r="E6" s="256"/>
      <c r="F6" s="256"/>
      <c r="G6" s="256"/>
      <c r="H6" s="256"/>
      <c r="I6" s="256"/>
      <c r="J6" s="256"/>
    </row>
    <row r="8" spans="1:10">
      <c r="B8" s="21"/>
      <c r="C8" s="21"/>
      <c r="D8" s="21"/>
      <c r="E8" s="21"/>
      <c r="F8" s="21"/>
      <c r="G8" s="21"/>
      <c r="H8" s="21"/>
      <c r="I8" s="21"/>
      <c r="J8" s="21"/>
    </row>
    <row r="9" spans="1:10">
      <c r="B9" s="21"/>
      <c r="C9" s="21"/>
      <c r="D9" s="21"/>
      <c r="E9" s="22" t="s">
        <v>142</v>
      </c>
      <c r="F9" s="22"/>
      <c r="G9" s="22"/>
      <c r="H9" s="22"/>
      <c r="I9" s="21"/>
      <c r="J9" s="21"/>
    </row>
    <row r="10" spans="1:10">
      <c r="B10" s="40" t="s">
        <v>143</v>
      </c>
      <c r="C10" s="41" t="s">
        <v>222</v>
      </c>
      <c r="D10" s="21"/>
      <c r="E10" s="23" t="s">
        <v>221</v>
      </c>
      <c r="F10" s="29"/>
      <c r="G10" s="24" t="s">
        <v>144</v>
      </c>
      <c r="H10" s="24"/>
      <c r="I10" s="24" t="s">
        <v>154</v>
      </c>
    </row>
    <row r="11" spans="1:10">
      <c r="B11" s="21"/>
      <c r="C11" s="21"/>
      <c r="D11" s="21"/>
      <c r="E11" s="21"/>
      <c r="F11" s="21"/>
      <c r="G11" s="193"/>
      <c r="H11" s="26"/>
      <c r="I11" s="28"/>
    </row>
    <row r="12" spans="1:10">
      <c r="B12" s="21"/>
      <c r="C12" s="21"/>
      <c r="D12" s="21"/>
      <c r="E12" s="21"/>
      <c r="F12" s="21"/>
      <c r="G12" s="199"/>
      <c r="H12" s="25"/>
    </row>
    <row r="13" spans="1:10" ht="13.5" thickBot="1">
      <c r="B13" s="21" t="s">
        <v>22</v>
      </c>
      <c r="C13" s="21"/>
      <c r="D13" s="21"/>
      <c r="E13" s="21"/>
      <c r="F13" s="21"/>
      <c r="G13" s="27">
        <f>SUM(G11:G12)/2</f>
        <v>0</v>
      </c>
      <c r="H13" s="30"/>
    </row>
    <row r="14" spans="1:10" ht="13.5" thickTop="1"/>
  </sheetData>
  <mergeCells count="4">
    <mergeCell ref="I1:J1"/>
    <mergeCell ref="I3:J3"/>
    <mergeCell ref="A5:J5"/>
    <mergeCell ref="A6:J6"/>
  </mergeCells>
  <phoneticPr fontId="0" type="noConversion"/>
  <printOptions horizontalCentered="1"/>
  <pageMargins left="0.5" right="0.5" top="0.7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PEF - 2 -Page 1 Summary</vt:lpstr>
      <vt:lpstr>PEF - 2 Page 2 Rate Base</vt:lpstr>
      <vt:lpstr>PEF - 2 - Page 3 Rev Reqt</vt:lpstr>
      <vt:lpstr>PEF - 2 - Page 4 Support</vt:lpstr>
      <vt:lpstr>PEF - 2 - Page 5 Storm, Notes</vt:lpstr>
      <vt:lpstr>PEF - 2 - Page 6, PBOPs</vt:lpstr>
      <vt:lpstr>PEF -3, p1, 454 Rev Credits</vt:lpstr>
      <vt:lpstr>PEF - 3,  p2, 456 Rev Credits</vt:lpstr>
      <vt:lpstr>PEF - 4 Step Ups </vt:lpstr>
      <vt:lpstr>PEF - 4, Order 2003 </vt:lpstr>
      <vt:lpstr>PEF -5 p1 Prior Year ADIT</vt:lpstr>
      <vt:lpstr>PEF - 5 p2 Current Year ADIT</vt:lpstr>
      <vt:lpstr>PEF - 5A</vt:lpstr>
      <vt:lpstr>PEF - 6  p1, FF1 Inputs </vt:lpstr>
      <vt:lpstr>PEF - 6 p2, Levelized Storm</vt:lpstr>
      <vt:lpstr>PEF - 6 p3, Prepay Accting</vt:lpstr>
      <vt:lpstr>PEF - 7, Retail Radials</vt:lpstr>
      <vt:lpstr>FF1_Year</vt:lpstr>
      <vt:lpstr>'PEF - 2 - Page 3 Rev Reqt'!Print_Area</vt:lpstr>
      <vt:lpstr>'PEF - 2 - Page 4 Support'!Print_Area</vt:lpstr>
      <vt:lpstr>'PEF - 2 - Page 5 Storm, Notes'!Print_Area</vt:lpstr>
      <vt:lpstr>'PEF - 2 - Page 6, PBOPs'!Print_Area</vt:lpstr>
      <vt:lpstr>'PEF - 2 -Page 1 Summary'!Print_Area</vt:lpstr>
      <vt:lpstr>'PEF - 2 Page 2 Rate Base'!Print_Area</vt:lpstr>
      <vt:lpstr>'PEF - 3,  p2, 456 Rev Credits'!Print_Area</vt:lpstr>
      <vt:lpstr>'PEF - 4 Step Ups '!Print_Area</vt:lpstr>
      <vt:lpstr>'PEF - 4, Order 2003 '!Print_Area</vt:lpstr>
      <vt:lpstr>'PEF - 5 p2 Current Year ADIT'!Print_Area</vt:lpstr>
      <vt:lpstr>'PEF - 6  p1, FF1 Inputs '!Print_Area</vt:lpstr>
      <vt:lpstr>'PEF - 6 p2, Levelized Storm'!Print_Area</vt:lpstr>
      <vt:lpstr>'PEF - 6 p3, Prepay Accting'!Print_Area</vt:lpstr>
      <vt:lpstr>'PEF - 7, Retail Radials'!Print_Area</vt:lpstr>
      <vt:lpstr>'PEF -3, p1, 454 Rev Credits'!Print_Area</vt:lpstr>
      <vt:lpstr>'PEF -5 p1 Prior Year ADIT'!Print_Area</vt:lpstr>
      <vt:lpstr>'PEF - 4 Step Ups '!Print_Titles</vt:lpstr>
      <vt:lpstr>'PEF - 4, Order 2003 '!Print_Titles</vt:lpstr>
    </vt:vector>
  </TitlesOfParts>
  <Company>Progress Energy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Pistole</dc:creator>
  <cp:lastModifiedBy>Antonia A. Frost</cp:lastModifiedBy>
  <cp:lastPrinted>2009-08-31T19:53:41Z</cp:lastPrinted>
  <dcterms:created xsi:type="dcterms:W3CDTF">2007-01-29T20:10:20Z</dcterms:created>
  <dcterms:modified xsi:type="dcterms:W3CDTF">2009-08-31T19:54:54Z</dcterms:modified>
</cp:coreProperties>
</file>