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20640" windowHeight="9915"/>
  </bookViews>
  <sheets>
    <sheet name="PEF - 2 -Page 1 Summary" sheetId="12" r:id="rId1"/>
    <sheet name="PEF - 2 Page 2 Rate Base" sheetId="13" r:id="rId2"/>
    <sheet name="PEF - 2 - Page 3 Rev Reqt" sheetId="14" r:id="rId3"/>
    <sheet name="PEF - 2 - Page 4 Support" sheetId="15" r:id="rId4"/>
    <sheet name="PEF - 2 - Page 5 Storm, Notes" sheetId="16" r:id="rId5"/>
    <sheet name="PEF - 2 - Page 6, PBOPs" sheetId="10" r:id="rId6"/>
    <sheet name="PEF - 3, p1, 454 Rev Credits" sheetId="8" r:id="rId7"/>
    <sheet name="PEF - 3, p2, 456 Rev Credits" sheetId="9" r:id="rId8"/>
    <sheet name="PEF - 4, p1 Step Ups " sheetId="18" r:id="rId9"/>
    <sheet name="PEF - 4, p2 Step Ups " sheetId="19" r:id="rId10"/>
    <sheet name="PEF - 4,  p3 Order 2003 " sheetId="11" r:id="rId11"/>
    <sheet name="PEF - 5, p1 PY ADIT 190" sheetId="4" r:id="rId12"/>
    <sheet name="PEF - 5, p2 PY ADIT 28x" sheetId="5" r:id="rId13"/>
    <sheet name="PEF - 5, p3 CY ADIT 190" sheetId="6" r:id="rId14"/>
    <sheet name="PEF - 5, p4 CY ADIT 28x" sheetId="7" r:id="rId15"/>
    <sheet name="PEF - 5A" sheetId="22" r:id="rId16"/>
    <sheet name="PEF - 6  p1, FF1 Inputs " sheetId="3" r:id="rId17"/>
    <sheet name="PEF - 6 p2, Levelized Storm" sheetId="17" r:id="rId18"/>
    <sheet name="PEF - 6 p3, Prepay Accting" sheetId="2" r:id="rId19"/>
    <sheet name="Alloc_Table" sheetId="20" state="hidden" r:id="rId20"/>
  </sheets>
  <externalReferences>
    <externalReference r:id="rId21"/>
    <externalReference r:id="rId22"/>
    <externalReference r:id="rId23"/>
    <externalReference r:id="rId24"/>
  </externalReferences>
  <definedNames>
    <definedName name="___fsd44" hidden="1">{#N/A,#N/A,FALSE,"Aging Summary";#N/A,#N/A,FALSE,"Ratio Analysis";#N/A,#N/A,FALSE,"Test 120 Day Accts";#N/A,#N/A,FALSE,"Tickmarks"}</definedName>
    <definedName name="__123Graph_A" localSheetId="5" hidden="1">[1]Provision!#REF!</definedName>
    <definedName name="__123Graph_A" localSheetId="10" hidden="1">[1]Provision!#REF!</definedName>
    <definedName name="__123Graph_A" localSheetId="8" hidden="1">[1]Provision!#REF!</definedName>
    <definedName name="__123Graph_A" localSheetId="9" hidden="1">[1]Provision!#REF!</definedName>
    <definedName name="__123Graph_A" localSheetId="12" hidden="1">[1]Provision!#REF!</definedName>
    <definedName name="__123Graph_A" localSheetId="13" hidden="1">[1]Provision!#REF!</definedName>
    <definedName name="__123Graph_A" localSheetId="14" hidden="1">[1]Provision!#REF!</definedName>
    <definedName name="__123Graph_A" localSheetId="15" hidden="1">[1]Provision!#REF!</definedName>
    <definedName name="__123Graph_A" localSheetId="16" hidden="1">[1]Provision!#REF!</definedName>
    <definedName name="__123Graph_A" localSheetId="17" hidden="1">[1]Provision!#REF!</definedName>
    <definedName name="__123Graph_A" localSheetId="18" hidden="1">[1]Provision!#REF!</definedName>
    <definedName name="__123Graph_A" hidden="1">[1]Provision!#REF!</definedName>
    <definedName name="__123Graph_B" localSheetId="5" hidden="1">[1]Provision!#REF!</definedName>
    <definedName name="__123Graph_B" localSheetId="10" hidden="1">[1]Provision!#REF!</definedName>
    <definedName name="__123Graph_B" localSheetId="8" hidden="1">[1]Provision!#REF!</definedName>
    <definedName name="__123Graph_B" localSheetId="9" hidden="1">[1]Provision!#REF!</definedName>
    <definedName name="__123Graph_B" localSheetId="12" hidden="1">[1]Provision!#REF!</definedName>
    <definedName name="__123Graph_B" localSheetId="13" hidden="1">[1]Provision!#REF!</definedName>
    <definedName name="__123Graph_B" localSheetId="14" hidden="1">[1]Provision!#REF!</definedName>
    <definedName name="__123Graph_B" localSheetId="15" hidden="1">[1]Provision!#REF!</definedName>
    <definedName name="__123Graph_B" localSheetId="16" hidden="1">[1]Provision!#REF!</definedName>
    <definedName name="__123Graph_B" localSheetId="17" hidden="1">[1]Provision!#REF!</definedName>
    <definedName name="__123Graph_B" localSheetId="18" hidden="1">[1]Provision!#REF!</definedName>
    <definedName name="__123Graph_B" hidden="1">[1]Provision!#REF!</definedName>
    <definedName name="__123Graph_C" localSheetId="5" hidden="1">[1]Provision!#REF!</definedName>
    <definedName name="__123Graph_C" localSheetId="10" hidden="1">[1]Provision!#REF!</definedName>
    <definedName name="__123Graph_C" localSheetId="8" hidden="1">[1]Provision!#REF!</definedName>
    <definedName name="__123Graph_C" localSheetId="9" hidden="1">[1]Provision!#REF!</definedName>
    <definedName name="__123Graph_C" localSheetId="12" hidden="1">[1]Provision!#REF!</definedName>
    <definedName name="__123Graph_C" localSheetId="13" hidden="1">[1]Provision!#REF!</definedName>
    <definedName name="__123Graph_C" localSheetId="14" hidden="1">[1]Provision!#REF!</definedName>
    <definedName name="__123Graph_C" localSheetId="15" hidden="1">[1]Provision!#REF!</definedName>
    <definedName name="__123Graph_C" localSheetId="16" hidden="1">[1]Provision!#REF!</definedName>
    <definedName name="__123Graph_C" localSheetId="17" hidden="1">[1]Provision!#REF!</definedName>
    <definedName name="__123Graph_C" localSheetId="18" hidden="1">[1]Provision!#REF!</definedName>
    <definedName name="__123Graph_C" hidden="1">[1]Provision!#REF!</definedName>
    <definedName name="__123Graph_D" localSheetId="5" hidden="1">[1]Provision!#REF!</definedName>
    <definedName name="__123Graph_D" localSheetId="10" hidden="1">[1]Provision!#REF!</definedName>
    <definedName name="__123Graph_D" localSheetId="8" hidden="1">[1]Provision!#REF!</definedName>
    <definedName name="__123Graph_D" localSheetId="9" hidden="1">[1]Provision!#REF!</definedName>
    <definedName name="__123Graph_D" localSheetId="12" hidden="1">[1]Provision!#REF!</definedName>
    <definedName name="__123Graph_D" localSheetId="13" hidden="1">[1]Provision!#REF!</definedName>
    <definedName name="__123Graph_D" localSheetId="14" hidden="1">[1]Provision!#REF!</definedName>
    <definedName name="__123Graph_D" localSheetId="15" hidden="1">[1]Provision!#REF!</definedName>
    <definedName name="__123Graph_D" localSheetId="16" hidden="1">[1]Provision!#REF!</definedName>
    <definedName name="__123Graph_D" localSheetId="17" hidden="1">[1]Provision!#REF!</definedName>
    <definedName name="__123Graph_D" localSheetId="18" hidden="1">[1]Provision!#REF!</definedName>
    <definedName name="__123Graph_D" hidden="1">[1]Provision!#REF!</definedName>
    <definedName name="__123Graph_E" localSheetId="5" hidden="1">[1]Provision!#REF!</definedName>
    <definedName name="__123Graph_E" localSheetId="10" hidden="1">[1]Provision!#REF!</definedName>
    <definedName name="__123Graph_E" localSheetId="8" hidden="1">[1]Provision!#REF!</definedName>
    <definedName name="__123Graph_E" localSheetId="9" hidden="1">[1]Provision!#REF!</definedName>
    <definedName name="__123Graph_E" localSheetId="12" hidden="1">[1]Provision!#REF!</definedName>
    <definedName name="__123Graph_E" localSheetId="13" hidden="1">[1]Provision!#REF!</definedName>
    <definedName name="__123Graph_E" localSheetId="14" hidden="1">[1]Provision!#REF!</definedName>
    <definedName name="__123Graph_E" localSheetId="15" hidden="1">[1]Provision!#REF!</definedName>
    <definedName name="__123Graph_E" localSheetId="16" hidden="1">[1]Provision!#REF!</definedName>
    <definedName name="__123Graph_E" localSheetId="17" hidden="1">[1]Provision!#REF!</definedName>
    <definedName name="__123Graph_E" localSheetId="18" hidden="1">[1]Provision!#REF!</definedName>
    <definedName name="__123Graph_E" hidden="1">[1]Provision!#REF!</definedName>
    <definedName name="__123Graph_X" localSheetId="10" hidden="1">[1]Provision!#REF!</definedName>
    <definedName name="__123Graph_X" localSheetId="9" hidden="1">[1]Provision!#REF!</definedName>
    <definedName name="__123Graph_X" localSheetId="12" hidden="1">[1]Provision!#REF!</definedName>
    <definedName name="__123Graph_X" localSheetId="13" hidden="1">[1]Provision!#REF!</definedName>
    <definedName name="__123Graph_X" localSheetId="14" hidden="1">[1]Provision!#REF!</definedName>
    <definedName name="__123Graph_X" localSheetId="16" hidden="1">[1]Provision!#REF!</definedName>
    <definedName name="__123Graph_X" localSheetId="17" hidden="1">[1]Provision!#REF!</definedName>
    <definedName name="__123Graph_X" localSheetId="18" hidden="1">[1]Provision!#REF!</definedName>
    <definedName name="__123Graph_X" hidden="1">[1]Provision!#REF!</definedName>
    <definedName name="__fsd44" hidden="1">{#N/A,#N/A,FALSE,"Aging Summary";#N/A,#N/A,FALSE,"Ratio Analysis";#N/A,#N/A,FALSE,"Test 120 Day Accts";#N/A,#N/A,FALSE,"Tickmarks"}</definedName>
    <definedName name="_Fill" localSheetId="5" hidden="1">#REF!</definedName>
    <definedName name="_Fill" localSheetId="10" hidden="1">#REF!</definedName>
    <definedName name="_Fill" localSheetId="8" hidden="1">#REF!</definedName>
    <definedName name="_Fill" localSheetId="9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7" hidden="1">#REF!</definedName>
    <definedName name="_Fill" localSheetId="18" hidden="1">#REF!</definedName>
    <definedName name="_Fill" hidden="1">#REF!</definedName>
    <definedName name="_fsd44" localSheetId="4" hidden="1">{#N/A,#N/A,FALSE,"Aging Summary";#N/A,#N/A,FALSE,"Ratio Analysis";#N/A,#N/A,FALSE,"Test 120 Day Accts";#N/A,#N/A,FALSE,"Tickmarks"}</definedName>
    <definedName name="_fsd44" localSheetId="5" hidden="1">{#N/A,#N/A,FALSE,"Aging Summary";#N/A,#N/A,FALSE,"Ratio Analysis";#N/A,#N/A,FALSE,"Test 120 Day Accts";#N/A,#N/A,FALSE,"Tickmarks"}</definedName>
    <definedName name="_fsd44" localSheetId="10" hidden="1">{#N/A,#N/A,FALSE,"Aging Summary";#N/A,#N/A,FALSE,"Ratio Analysis";#N/A,#N/A,FALSE,"Test 120 Day Accts";#N/A,#N/A,FALSE,"Tickmarks"}</definedName>
    <definedName name="_fsd44" localSheetId="8" hidden="1">{#N/A,#N/A,FALSE,"Aging Summary";#N/A,#N/A,FALSE,"Ratio Analysis";#N/A,#N/A,FALSE,"Test 120 Day Accts";#N/A,#N/A,FALSE,"Tickmarks"}</definedName>
    <definedName name="_fsd44" localSheetId="9" hidden="1">{#N/A,#N/A,FALSE,"Aging Summary";#N/A,#N/A,FALSE,"Ratio Analysis";#N/A,#N/A,FALSE,"Test 120 Day Accts";#N/A,#N/A,FALSE,"Tickmarks"}</definedName>
    <definedName name="_fsd44" localSheetId="15" hidden="1">{#N/A,#N/A,FALSE,"Aging Summary";#N/A,#N/A,FALSE,"Ratio Analysis";#N/A,#N/A,FALSE,"Test 120 Day Accts";#N/A,#N/A,FALSE,"Tickmarks"}</definedName>
    <definedName name="_fsd44" localSheetId="17" hidden="1">{#N/A,#N/A,FALSE,"Aging Summary";#N/A,#N/A,FALSE,"Ratio Analysis";#N/A,#N/A,FALSE,"Test 120 Day Accts";#N/A,#N/A,FALSE,"Tickmarks"}</definedName>
    <definedName name="_fsd44" hidden="1">{#N/A,#N/A,FALSE,"Aging Summary";#N/A,#N/A,FALSE,"Ratio Analysis";#N/A,#N/A,FALSE,"Test 120 Day Accts";#N/A,#N/A,FALSE,"Tickmarks"}</definedName>
    <definedName name="_Key1" localSheetId="5" hidden="1">#REF!</definedName>
    <definedName name="_Key1" localSheetId="10" hidden="1">#REF!</definedName>
    <definedName name="_Key1" localSheetId="8" hidden="1">#REF!</definedName>
    <definedName name="_Key1" localSheetId="9" hidden="1">#REF!</definedName>
    <definedName name="_Key1" localSheetId="12" hidden="1">#REF!</definedName>
    <definedName name="_Key1" localSheetId="13" hidden="1">#REF!</definedName>
    <definedName name="_Key1" localSheetId="14" hidden="1">#REF!</definedName>
    <definedName name="_Key1" localSheetId="15" hidden="1">#REF!</definedName>
    <definedName name="_Key1" localSheetId="16" hidden="1">#REF!</definedName>
    <definedName name="_Key1" localSheetId="17" hidden="1">#REF!</definedName>
    <definedName name="_Key1" localSheetId="18" hidden="1">#REF!</definedName>
    <definedName name="_Key1" hidden="1">#REF!</definedName>
    <definedName name="_Key2" localSheetId="5" hidden="1">#REF!</definedName>
    <definedName name="_Key2" localSheetId="10" hidden="1">#REF!</definedName>
    <definedName name="_Key2" localSheetId="8" hidden="1">#REF!</definedName>
    <definedName name="_Key2" localSheetId="9" hidden="1">#REF!</definedName>
    <definedName name="_Key2" localSheetId="12" hidden="1">#REF!</definedName>
    <definedName name="_Key2" localSheetId="13" hidden="1">#REF!</definedName>
    <definedName name="_Key2" localSheetId="14" hidden="1">#REF!</definedName>
    <definedName name="_Key2" localSheetId="15" hidden="1">#REF!</definedName>
    <definedName name="_Key2" localSheetId="16" hidden="1">#REF!</definedName>
    <definedName name="_Key2" localSheetId="17" hidden="1">#REF!</definedName>
    <definedName name="_Key2" localSheetId="18" hidden="1">#REF!</definedName>
    <definedName name="_Key2" hidden="1">#REF!</definedName>
    <definedName name="_Order1" hidden="1">0</definedName>
    <definedName name="_Order2" hidden="1">0</definedName>
    <definedName name="_Sort" localSheetId="5" hidden="1">#REF!</definedName>
    <definedName name="_Sort" localSheetId="10" hidden="1">#REF!</definedName>
    <definedName name="_Sort" localSheetId="8" hidden="1">#REF!</definedName>
    <definedName name="_Sort" localSheetId="9" hidden="1">#REF!</definedName>
    <definedName name="_Sort" localSheetId="12" hidden="1">#REF!</definedName>
    <definedName name="_Sort" localSheetId="13" hidden="1">#REF!</definedName>
    <definedName name="_Sort" localSheetId="14" hidden="1">#REF!</definedName>
    <definedName name="_Sort" localSheetId="15" hidden="1">#REF!</definedName>
    <definedName name="_Sort" localSheetId="16" hidden="1">#REF!</definedName>
    <definedName name="_Sort" localSheetId="17" hidden="1">#REF!</definedName>
    <definedName name="_Sort" localSheetId="18" hidden="1">#REF!</definedName>
    <definedName name="_Sort" hidden="1">#REF!</definedName>
    <definedName name="_Table1_In1" localSheetId="5" hidden="1">#REF!</definedName>
    <definedName name="_Table1_In1" localSheetId="10" hidden="1">#REF!</definedName>
    <definedName name="_Table1_In1" localSheetId="8" hidden="1">#REF!</definedName>
    <definedName name="_Table1_In1" localSheetId="9" hidden="1">#REF!</definedName>
    <definedName name="_Table1_In1" localSheetId="12" hidden="1">#REF!</definedName>
    <definedName name="_Table1_In1" localSheetId="13" hidden="1">#REF!</definedName>
    <definedName name="_Table1_In1" localSheetId="14" hidden="1">#REF!</definedName>
    <definedName name="_Table1_In1" localSheetId="15" hidden="1">#REF!</definedName>
    <definedName name="_Table1_In1" localSheetId="16" hidden="1">#REF!</definedName>
    <definedName name="_Table1_In1" localSheetId="17" hidden="1">#REF!</definedName>
    <definedName name="_Table1_In1" localSheetId="18" hidden="1">#REF!</definedName>
    <definedName name="_Table1_In1" hidden="1">#REF!</definedName>
    <definedName name="_Table1_Out" localSheetId="5" hidden="1">#REF!</definedName>
    <definedName name="_Table1_Out" localSheetId="10" hidden="1">#REF!</definedName>
    <definedName name="_Table1_Out" localSheetId="8" hidden="1">#REF!</definedName>
    <definedName name="_Table1_Out" localSheetId="9" hidden="1">#REF!</definedName>
    <definedName name="_Table1_Out" localSheetId="12" hidden="1">#REF!</definedName>
    <definedName name="_Table1_Out" localSheetId="13" hidden="1">#REF!</definedName>
    <definedName name="_Table1_Out" localSheetId="14" hidden="1">#REF!</definedName>
    <definedName name="_Table1_Out" localSheetId="15" hidden="1">#REF!</definedName>
    <definedName name="_Table1_Out" localSheetId="16" hidden="1">#REF!</definedName>
    <definedName name="_Table1_Out" localSheetId="17" hidden="1">#REF!</definedName>
    <definedName name="_Table1_Out" localSheetId="18" hidden="1">#REF!</definedName>
    <definedName name="_Table1_Out" hidden="1">#REF!</definedName>
    <definedName name="_Table2_In1" localSheetId="9" hidden="1">#REF!</definedName>
    <definedName name="_Table2_In1" localSheetId="12" hidden="1">#REF!</definedName>
    <definedName name="_Table2_In1" localSheetId="13" hidden="1">#REF!</definedName>
    <definedName name="_Table2_In1" localSheetId="14" hidden="1">#REF!</definedName>
    <definedName name="_Table2_In1" localSheetId="16" hidden="1">#REF!</definedName>
    <definedName name="_Table2_In1" localSheetId="18" hidden="1">#REF!</definedName>
    <definedName name="_Table2_In1" hidden="1">#REF!</definedName>
    <definedName name="_Table2_Out" localSheetId="9" hidden="1">#REF!</definedName>
    <definedName name="_Table2_Out" localSheetId="12" hidden="1">#REF!</definedName>
    <definedName name="_Table2_Out" localSheetId="13" hidden="1">#REF!</definedName>
    <definedName name="_Table2_Out" localSheetId="14" hidden="1">#REF!</definedName>
    <definedName name="_Table2_Out" localSheetId="16" hidden="1">#REF!</definedName>
    <definedName name="_Table2_Out" localSheetId="18" hidden="1">#REF!</definedName>
    <definedName name="_Table2_Out" hidden="1">#REF!</definedName>
    <definedName name="Alloc_Factors">Alloc_Table!$B$6:$C$15</definedName>
    <definedName name="Alloc_Table">#REF!</definedName>
    <definedName name="AS2DocOpenMode" hidden="1">"AS2DocumentBrowse"</definedName>
    <definedName name="frt" localSheetId="4" hidden="1">{#N/A,#N/A,FALSE,"Aging Summary";#N/A,#N/A,FALSE,"Ratio Analysis";#N/A,#N/A,FALSE,"Test 120 Day Accts";#N/A,#N/A,FALSE,"Tickmarks"}</definedName>
    <definedName name="frt" localSheetId="5" hidden="1">{#N/A,#N/A,FALSE,"Aging Summary";#N/A,#N/A,FALSE,"Ratio Analysis";#N/A,#N/A,FALSE,"Test 120 Day Accts";#N/A,#N/A,FALSE,"Tickmarks"}</definedName>
    <definedName name="frt" localSheetId="10" hidden="1">{#N/A,#N/A,FALSE,"Aging Summary";#N/A,#N/A,FALSE,"Ratio Analysis";#N/A,#N/A,FALSE,"Test 120 Day Accts";#N/A,#N/A,FALSE,"Tickmarks"}</definedName>
    <definedName name="frt" localSheetId="8" hidden="1">{#N/A,#N/A,FALSE,"Aging Summary";#N/A,#N/A,FALSE,"Ratio Analysis";#N/A,#N/A,FALSE,"Test 120 Day Accts";#N/A,#N/A,FALSE,"Tickmarks"}</definedName>
    <definedName name="frt" localSheetId="9" hidden="1">{#N/A,#N/A,FALSE,"Aging Summary";#N/A,#N/A,FALSE,"Ratio Analysis";#N/A,#N/A,FALSE,"Test 120 Day Accts";#N/A,#N/A,FALSE,"Tickmarks"}</definedName>
    <definedName name="frt" localSheetId="15" hidden="1">{#N/A,#N/A,FALSE,"Aging Summary";#N/A,#N/A,FALSE,"Ratio Analysis";#N/A,#N/A,FALSE,"Test 120 Day Accts";#N/A,#N/A,FALSE,"Tickmarks"}</definedName>
    <definedName name="frt" localSheetId="16" hidden="1">{#N/A,#N/A,FALSE,"Aging Summary";#N/A,#N/A,FALSE,"Ratio Analysis";#N/A,#N/A,FALSE,"Test 120 Day Accts";#N/A,#N/A,FALSE,"Tickmarks"}</definedName>
    <definedName name="frt" localSheetId="17" hidden="1">{#N/A,#N/A,FALSE,"Aging Summary";#N/A,#N/A,FALSE,"Ratio Analysis";#N/A,#N/A,FALSE,"Test 120 Day Accts";#N/A,#N/A,FALSE,"Tickmarks"}</definedName>
    <definedName name="frt" localSheetId="18" hidden="1">{#N/A,#N/A,FALSE,"Aging Summary";#N/A,#N/A,FALSE,"Ratio Analysis";#N/A,#N/A,FALSE,"Test 120 Day Accts";#N/A,#N/A,FALSE,"Tickmarks"}</definedName>
    <definedName name="frt" hidden="1">{#N/A,#N/A,FALSE,"Aging Summary";#N/A,#N/A,FALSE,"Ratio Analysis";#N/A,#N/A,FALSE,"Test 120 Day Accts";#N/A,#N/A,FALSE,"Tickmarks"}</definedName>
    <definedName name="fsd" localSheetId="4" hidden="1">{#N/A,#N/A,FALSE,"Aging Summary";#N/A,#N/A,FALSE,"Ratio Analysis";#N/A,#N/A,FALSE,"Test 120 Day Accts";#N/A,#N/A,FALSE,"Tickmarks"}</definedName>
    <definedName name="fsd" localSheetId="5" hidden="1">{#N/A,#N/A,FALSE,"Aging Summary";#N/A,#N/A,FALSE,"Ratio Analysis";#N/A,#N/A,FALSE,"Test 120 Day Accts";#N/A,#N/A,FALSE,"Tickmarks"}</definedName>
    <definedName name="fsd" localSheetId="10" hidden="1">{#N/A,#N/A,FALSE,"Aging Summary";#N/A,#N/A,FALSE,"Ratio Analysis";#N/A,#N/A,FALSE,"Test 120 Day Accts";#N/A,#N/A,FALSE,"Tickmarks"}</definedName>
    <definedName name="fsd" localSheetId="8" hidden="1">{#N/A,#N/A,FALSE,"Aging Summary";#N/A,#N/A,FALSE,"Ratio Analysis";#N/A,#N/A,FALSE,"Test 120 Day Accts";#N/A,#N/A,FALSE,"Tickmarks"}</definedName>
    <definedName name="fsd" localSheetId="9" hidden="1">{#N/A,#N/A,FALSE,"Aging Summary";#N/A,#N/A,FALSE,"Ratio Analysis";#N/A,#N/A,FALSE,"Test 120 Day Accts";#N/A,#N/A,FALSE,"Tickmarks"}</definedName>
    <definedName name="fsd" localSheetId="15" hidden="1">{#N/A,#N/A,FALSE,"Aging Summary";#N/A,#N/A,FALSE,"Ratio Analysis";#N/A,#N/A,FALSE,"Test 120 Day Accts";#N/A,#N/A,FALSE,"Tickmarks"}</definedName>
    <definedName name="fsd" localSheetId="16" hidden="1">{#N/A,#N/A,FALSE,"Aging Summary";#N/A,#N/A,FALSE,"Ratio Analysis";#N/A,#N/A,FALSE,"Test 120 Day Accts";#N/A,#N/A,FALSE,"Tickmarks"}</definedName>
    <definedName name="fsd" localSheetId="17" hidden="1">{#N/A,#N/A,FALSE,"Aging Summary";#N/A,#N/A,FALSE,"Ratio Analysis";#N/A,#N/A,FALSE,"Test 120 Day Accts";#N/A,#N/A,FALSE,"Tickmarks"}</definedName>
    <definedName name="fsd" localSheetId="18" hidden="1">{#N/A,#N/A,FALSE,"Aging Summary";#N/A,#N/A,FALSE,"Ratio Analysis";#N/A,#N/A,FALSE,"Test 120 Day Accts";#N/A,#N/A,FALSE,"Tickmarks"}</definedName>
    <definedName name="fsd" hidden="1">{#N/A,#N/A,FALSE,"Aging Summary";#N/A,#N/A,FALSE,"Ratio Analysis";#N/A,#N/A,FALSE,"Test 120 Day Accts";#N/A,#N/A,FALSE,"Tickmarks"}</definedName>
    <definedName name="kkk" localSheetId="4" hidden="1">{#N/A,#N/A,FALSE,"Aging Summary";#N/A,#N/A,FALSE,"Ratio Analysis";#N/A,#N/A,FALSE,"Test 120 Day Accts";#N/A,#N/A,FALSE,"Tickmarks"}</definedName>
    <definedName name="kkk" localSheetId="5" hidden="1">{#N/A,#N/A,FALSE,"Aging Summary";#N/A,#N/A,FALSE,"Ratio Analysis";#N/A,#N/A,FALSE,"Test 120 Day Accts";#N/A,#N/A,FALSE,"Tickmarks"}</definedName>
    <definedName name="kkk" localSheetId="10" hidden="1">{#N/A,#N/A,FALSE,"Aging Summary";#N/A,#N/A,FALSE,"Ratio Analysis";#N/A,#N/A,FALSE,"Test 120 Day Accts";#N/A,#N/A,FALSE,"Tickmarks"}</definedName>
    <definedName name="kkk" localSheetId="8" hidden="1">{#N/A,#N/A,FALSE,"Aging Summary";#N/A,#N/A,FALSE,"Ratio Analysis";#N/A,#N/A,FALSE,"Test 120 Day Accts";#N/A,#N/A,FALSE,"Tickmarks"}</definedName>
    <definedName name="kkk" localSheetId="9" hidden="1">{#N/A,#N/A,FALSE,"Aging Summary";#N/A,#N/A,FALSE,"Ratio Analysis";#N/A,#N/A,FALSE,"Test 120 Day Accts";#N/A,#N/A,FALSE,"Tickmarks"}</definedName>
    <definedName name="kkk" localSheetId="15" hidden="1">{#N/A,#N/A,FALSE,"Aging Summary";#N/A,#N/A,FALSE,"Ratio Analysis";#N/A,#N/A,FALSE,"Test 120 Day Accts";#N/A,#N/A,FALSE,"Tickmarks"}</definedName>
    <definedName name="kkk" localSheetId="16" hidden="1">{#N/A,#N/A,FALSE,"Aging Summary";#N/A,#N/A,FALSE,"Ratio Analysis";#N/A,#N/A,FALSE,"Test 120 Day Accts";#N/A,#N/A,FALSE,"Tickmarks"}</definedName>
    <definedName name="kkk" localSheetId="17" hidden="1">{#N/A,#N/A,FALSE,"Aging Summary";#N/A,#N/A,FALSE,"Ratio Analysis";#N/A,#N/A,FALSE,"Test 120 Day Accts";#N/A,#N/A,FALSE,"Tickmarks"}</definedName>
    <definedName name="kkk" localSheetId="18" hidden="1">{#N/A,#N/A,FALSE,"Aging Summary";#N/A,#N/A,FALSE,"Ratio Analysis";#N/A,#N/A,FALSE,"Test 120 Day Accts";#N/A,#N/A,FALSE,"Tickmarks"}</definedName>
    <definedName name="kkk" hidden="1">{#N/A,#N/A,FALSE,"Aging Summary";#N/A,#N/A,FALSE,"Ratio Analysis";#N/A,#N/A,FALSE,"Test 120 Day Accts";#N/A,#N/A,FALSE,"Tickmarks"}</definedName>
    <definedName name="lku" localSheetId="4" hidden="1">{#N/A,#N/A,FALSE,"Aging Summary";#N/A,#N/A,FALSE,"Ratio Analysis";#N/A,#N/A,FALSE,"Test 120 Day Accts";#N/A,#N/A,FALSE,"Tickmarks"}</definedName>
    <definedName name="lku" localSheetId="5" hidden="1">{#N/A,#N/A,FALSE,"Aging Summary";#N/A,#N/A,FALSE,"Ratio Analysis";#N/A,#N/A,FALSE,"Test 120 Day Accts";#N/A,#N/A,FALSE,"Tickmarks"}</definedName>
    <definedName name="lku" localSheetId="10" hidden="1">{#N/A,#N/A,FALSE,"Aging Summary";#N/A,#N/A,FALSE,"Ratio Analysis";#N/A,#N/A,FALSE,"Test 120 Day Accts";#N/A,#N/A,FALSE,"Tickmarks"}</definedName>
    <definedName name="lku" localSheetId="8" hidden="1">{#N/A,#N/A,FALSE,"Aging Summary";#N/A,#N/A,FALSE,"Ratio Analysis";#N/A,#N/A,FALSE,"Test 120 Day Accts";#N/A,#N/A,FALSE,"Tickmarks"}</definedName>
    <definedName name="lku" localSheetId="9" hidden="1">{#N/A,#N/A,FALSE,"Aging Summary";#N/A,#N/A,FALSE,"Ratio Analysis";#N/A,#N/A,FALSE,"Test 120 Day Accts";#N/A,#N/A,FALSE,"Tickmarks"}</definedName>
    <definedName name="lku" localSheetId="15" hidden="1">{#N/A,#N/A,FALSE,"Aging Summary";#N/A,#N/A,FALSE,"Ratio Analysis";#N/A,#N/A,FALSE,"Test 120 Day Accts";#N/A,#N/A,FALSE,"Tickmarks"}</definedName>
    <definedName name="lku" localSheetId="16" hidden="1">{#N/A,#N/A,FALSE,"Aging Summary";#N/A,#N/A,FALSE,"Ratio Analysis";#N/A,#N/A,FALSE,"Test 120 Day Accts";#N/A,#N/A,FALSE,"Tickmarks"}</definedName>
    <definedName name="lku" localSheetId="17" hidden="1">{#N/A,#N/A,FALSE,"Aging Summary";#N/A,#N/A,FALSE,"Ratio Analysis";#N/A,#N/A,FALSE,"Test 120 Day Accts";#N/A,#N/A,FALSE,"Tickmarks"}</definedName>
    <definedName name="lku" localSheetId="18" hidden="1">{#N/A,#N/A,FALSE,"Aging Summary";#N/A,#N/A,FALSE,"Ratio Analysis";#N/A,#N/A,FALSE,"Test 120 Day Accts";#N/A,#N/A,FALSE,"Tickmarks"}</definedName>
    <definedName name="lku" hidden="1">{#N/A,#N/A,FALSE,"Aging Summary";#N/A,#N/A,FALSE,"Ratio Analysis";#N/A,#N/A,FALSE,"Test 120 Day Accts";#N/A,#N/A,FALSE,"Tickmarks"}</definedName>
    <definedName name="lll" localSheetId="4" hidden="1">{#N/A,#N/A,FALSE,"Aging Summary";#N/A,#N/A,FALSE,"Ratio Analysis";#N/A,#N/A,FALSE,"Test 120 Day Accts";#N/A,#N/A,FALSE,"Tickmarks"}</definedName>
    <definedName name="lll" localSheetId="5" hidden="1">{#N/A,#N/A,FALSE,"Aging Summary";#N/A,#N/A,FALSE,"Ratio Analysis";#N/A,#N/A,FALSE,"Test 120 Day Accts";#N/A,#N/A,FALSE,"Tickmarks"}</definedName>
    <definedName name="lll" localSheetId="10" hidden="1">{#N/A,#N/A,FALSE,"Aging Summary";#N/A,#N/A,FALSE,"Ratio Analysis";#N/A,#N/A,FALSE,"Test 120 Day Accts";#N/A,#N/A,FALSE,"Tickmarks"}</definedName>
    <definedName name="lll" localSheetId="8" hidden="1">{#N/A,#N/A,FALSE,"Aging Summary";#N/A,#N/A,FALSE,"Ratio Analysis";#N/A,#N/A,FALSE,"Test 120 Day Accts";#N/A,#N/A,FALSE,"Tickmarks"}</definedName>
    <definedName name="lll" localSheetId="9" hidden="1">{#N/A,#N/A,FALSE,"Aging Summary";#N/A,#N/A,FALSE,"Ratio Analysis";#N/A,#N/A,FALSE,"Test 120 Day Accts";#N/A,#N/A,FALSE,"Tickmarks"}</definedName>
    <definedName name="lll" localSheetId="15" hidden="1">{#N/A,#N/A,FALSE,"Aging Summary";#N/A,#N/A,FALSE,"Ratio Analysis";#N/A,#N/A,FALSE,"Test 120 Day Accts";#N/A,#N/A,FALSE,"Tickmarks"}</definedName>
    <definedName name="lll" localSheetId="16" hidden="1">{#N/A,#N/A,FALSE,"Aging Summary";#N/A,#N/A,FALSE,"Ratio Analysis";#N/A,#N/A,FALSE,"Test 120 Day Accts";#N/A,#N/A,FALSE,"Tickmarks"}</definedName>
    <definedName name="lll" localSheetId="17" hidden="1">{#N/A,#N/A,FALSE,"Aging Summary";#N/A,#N/A,FALSE,"Ratio Analysis";#N/A,#N/A,FALSE,"Test 120 Day Accts";#N/A,#N/A,FALSE,"Tickmarks"}</definedName>
    <definedName name="lll" localSheetId="18" hidden="1">{#N/A,#N/A,FALSE,"Aging Summary";#N/A,#N/A,FALSE,"Ratio Analysis";#N/A,#N/A,FALSE,"Test 120 Day Accts";#N/A,#N/A,FALSE,"Tickmarks"}</definedName>
    <definedName name="lll" hidden="1">{#N/A,#N/A,FALSE,"Aging Summary";#N/A,#N/A,FALSE,"Ratio Analysis";#N/A,#N/A,FALSE,"Test 120 Day Accts";#N/A,#N/A,FALSE,"Tickmarks"}</definedName>
    <definedName name="oiu" localSheetId="4" hidden="1">{#N/A,#N/A,FALSE,"Aging Summary";#N/A,#N/A,FALSE,"Ratio Analysis";#N/A,#N/A,FALSE,"Test 120 Day Accts";#N/A,#N/A,FALSE,"Tickmarks"}</definedName>
    <definedName name="oiu" localSheetId="5" hidden="1">{#N/A,#N/A,FALSE,"Aging Summary";#N/A,#N/A,FALSE,"Ratio Analysis";#N/A,#N/A,FALSE,"Test 120 Day Accts";#N/A,#N/A,FALSE,"Tickmarks"}</definedName>
    <definedName name="oiu" localSheetId="10" hidden="1">{#N/A,#N/A,FALSE,"Aging Summary";#N/A,#N/A,FALSE,"Ratio Analysis";#N/A,#N/A,FALSE,"Test 120 Day Accts";#N/A,#N/A,FALSE,"Tickmarks"}</definedName>
    <definedName name="oiu" localSheetId="8" hidden="1">{#N/A,#N/A,FALSE,"Aging Summary";#N/A,#N/A,FALSE,"Ratio Analysis";#N/A,#N/A,FALSE,"Test 120 Day Accts";#N/A,#N/A,FALSE,"Tickmarks"}</definedName>
    <definedName name="oiu" localSheetId="9" hidden="1">{#N/A,#N/A,FALSE,"Aging Summary";#N/A,#N/A,FALSE,"Ratio Analysis";#N/A,#N/A,FALSE,"Test 120 Day Accts";#N/A,#N/A,FALSE,"Tickmarks"}</definedName>
    <definedName name="oiu" localSheetId="15" hidden="1">{#N/A,#N/A,FALSE,"Aging Summary";#N/A,#N/A,FALSE,"Ratio Analysis";#N/A,#N/A,FALSE,"Test 120 Day Accts";#N/A,#N/A,FALSE,"Tickmarks"}</definedName>
    <definedName name="oiu" localSheetId="16" hidden="1">{#N/A,#N/A,FALSE,"Aging Summary";#N/A,#N/A,FALSE,"Ratio Analysis";#N/A,#N/A,FALSE,"Test 120 Day Accts";#N/A,#N/A,FALSE,"Tickmarks"}</definedName>
    <definedName name="oiu" localSheetId="17" hidden="1">{#N/A,#N/A,FALSE,"Aging Summary";#N/A,#N/A,FALSE,"Ratio Analysis";#N/A,#N/A,FALSE,"Test 120 Day Accts";#N/A,#N/A,FALSE,"Tickmarks"}</definedName>
    <definedName name="oiu" localSheetId="18" hidden="1">{#N/A,#N/A,FALSE,"Aging Summary";#N/A,#N/A,FALSE,"Ratio Analysis";#N/A,#N/A,FALSE,"Test 120 Day Accts";#N/A,#N/A,FALSE,"Tickmarks"}</definedName>
    <definedName name="oiu" hidden="1">{#N/A,#N/A,FALSE,"Aging Summary";#N/A,#N/A,FALSE,"Ratio Analysis";#N/A,#N/A,FALSE,"Test 120 Day Accts";#N/A,#N/A,FALSE,"Tickmarks"}</definedName>
    <definedName name="op" localSheetId="4" hidden="1">{#N/A,#N/A,FALSE,"Aging Summary";#N/A,#N/A,FALSE,"Ratio Analysis";#N/A,#N/A,FALSE,"Test 120 Day Accts";#N/A,#N/A,FALSE,"Tickmarks"}</definedName>
    <definedName name="op" localSheetId="5" hidden="1">{#N/A,#N/A,FALSE,"Aging Summary";#N/A,#N/A,FALSE,"Ratio Analysis";#N/A,#N/A,FALSE,"Test 120 Day Accts";#N/A,#N/A,FALSE,"Tickmarks"}</definedName>
    <definedName name="op" localSheetId="10" hidden="1">{#N/A,#N/A,FALSE,"Aging Summary";#N/A,#N/A,FALSE,"Ratio Analysis";#N/A,#N/A,FALSE,"Test 120 Day Accts";#N/A,#N/A,FALSE,"Tickmarks"}</definedName>
    <definedName name="op" localSheetId="8" hidden="1">{#N/A,#N/A,FALSE,"Aging Summary";#N/A,#N/A,FALSE,"Ratio Analysis";#N/A,#N/A,FALSE,"Test 120 Day Accts";#N/A,#N/A,FALSE,"Tickmarks"}</definedName>
    <definedName name="op" localSheetId="9" hidden="1">{#N/A,#N/A,FALSE,"Aging Summary";#N/A,#N/A,FALSE,"Ratio Analysis";#N/A,#N/A,FALSE,"Test 120 Day Accts";#N/A,#N/A,FALSE,"Tickmarks"}</definedName>
    <definedName name="op" localSheetId="15" hidden="1">{#N/A,#N/A,FALSE,"Aging Summary";#N/A,#N/A,FALSE,"Ratio Analysis";#N/A,#N/A,FALSE,"Test 120 Day Accts";#N/A,#N/A,FALSE,"Tickmarks"}</definedName>
    <definedName name="op" localSheetId="16" hidden="1">{#N/A,#N/A,FALSE,"Aging Summary";#N/A,#N/A,FALSE,"Ratio Analysis";#N/A,#N/A,FALSE,"Test 120 Day Accts";#N/A,#N/A,FALSE,"Tickmarks"}</definedName>
    <definedName name="op" localSheetId="17" hidden="1">{#N/A,#N/A,FALSE,"Aging Summary";#N/A,#N/A,FALSE,"Ratio Analysis";#N/A,#N/A,FALSE,"Test 120 Day Accts";#N/A,#N/A,FALSE,"Tickmarks"}</definedName>
    <definedName name="op" localSheetId="18" hidden="1">{#N/A,#N/A,FALSE,"Aging Summary";#N/A,#N/A,FALSE,"Ratio Analysis";#N/A,#N/A,FALSE,"Test 120 Day Accts";#N/A,#N/A,FALSE,"Tickmarks"}</definedName>
    <definedName name="op" hidden="1">{#N/A,#N/A,FALSE,"Aging Summary";#N/A,#N/A,FALSE,"Ratio Analysis";#N/A,#N/A,FALSE,"Test 120 Day Accts";#N/A,#N/A,FALSE,"Tickmarks"}</definedName>
    <definedName name="p" localSheetId="4" hidden="1">{#N/A,#N/A,FALSE,"Aging Summary";#N/A,#N/A,FALSE,"Ratio Analysis";#N/A,#N/A,FALSE,"Test 120 Day Accts";#N/A,#N/A,FALSE,"Tickmarks"}</definedName>
    <definedName name="p" localSheetId="5" hidden="1">{#N/A,#N/A,FALSE,"Aging Summary";#N/A,#N/A,FALSE,"Ratio Analysis";#N/A,#N/A,FALSE,"Test 120 Day Accts";#N/A,#N/A,FALSE,"Tickmarks"}</definedName>
    <definedName name="p" localSheetId="10" hidden="1">{#N/A,#N/A,FALSE,"Aging Summary";#N/A,#N/A,FALSE,"Ratio Analysis";#N/A,#N/A,FALSE,"Test 120 Day Accts";#N/A,#N/A,FALSE,"Tickmarks"}</definedName>
    <definedName name="p" localSheetId="8" hidden="1">{#N/A,#N/A,FALSE,"Aging Summary";#N/A,#N/A,FALSE,"Ratio Analysis";#N/A,#N/A,FALSE,"Test 120 Day Accts";#N/A,#N/A,FALSE,"Tickmarks"}</definedName>
    <definedName name="p" localSheetId="9" hidden="1">{#N/A,#N/A,FALSE,"Aging Summary";#N/A,#N/A,FALSE,"Ratio Analysis";#N/A,#N/A,FALSE,"Test 120 Day Accts";#N/A,#N/A,FALSE,"Tickmarks"}</definedName>
    <definedName name="p" localSheetId="15" hidden="1">{#N/A,#N/A,FALSE,"Aging Summary";#N/A,#N/A,FALSE,"Ratio Analysis";#N/A,#N/A,FALSE,"Test 120 Day Accts";#N/A,#N/A,FALSE,"Tickmarks"}</definedName>
    <definedName name="p" localSheetId="16" hidden="1">{#N/A,#N/A,FALSE,"Aging Summary";#N/A,#N/A,FALSE,"Ratio Analysis";#N/A,#N/A,FALSE,"Test 120 Day Accts";#N/A,#N/A,FALSE,"Tickmarks"}</definedName>
    <definedName name="p" localSheetId="17" hidden="1">{#N/A,#N/A,FALSE,"Aging Summary";#N/A,#N/A,FALSE,"Ratio Analysis";#N/A,#N/A,FALSE,"Test 120 Day Accts";#N/A,#N/A,FALSE,"Tickmarks"}</definedName>
    <definedName name="p" localSheetId="18" hidden="1">{#N/A,#N/A,FALSE,"Aging Summary";#N/A,#N/A,FALSE,"Ratio Analysis";#N/A,#N/A,FALSE,"Test 120 Day Accts";#N/A,#N/A,FALSE,"Tickmarks"}</definedName>
    <definedName name="p" hidden="1">{#N/A,#N/A,FALSE,"Aging Summary";#N/A,#N/A,FALSE,"Ratio Analysis";#N/A,#N/A,FALSE,"Test 120 Day Accts";#N/A,#N/A,FALSE,"Tickmarks"}</definedName>
    <definedName name="paul" localSheetId="5" hidden="1">#REF!</definedName>
    <definedName name="paul" localSheetId="10" hidden="1">#REF!</definedName>
    <definedName name="paul" localSheetId="8" hidden="1">#REF!</definedName>
    <definedName name="paul" localSheetId="9" hidden="1">#REF!</definedName>
    <definedName name="paul" localSheetId="12" hidden="1">#REF!</definedName>
    <definedName name="paul" localSheetId="13" hidden="1">#REF!</definedName>
    <definedName name="paul" localSheetId="14" hidden="1">#REF!</definedName>
    <definedName name="paul" localSheetId="15" hidden="1">#REF!</definedName>
    <definedName name="paul" localSheetId="16" hidden="1">#REF!</definedName>
    <definedName name="paul" localSheetId="17" hidden="1">#REF!</definedName>
    <definedName name="paul" localSheetId="18" hidden="1">#REF!</definedName>
    <definedName name="paul" hidden="1">#REF!</definedName>
    <definedName name="pesc1" localSheetId="4" hidden="1">{#N/A,#N/A,FALSE,"Aging Summary";#N/A,#N/A,FALSE,"Ratio Analysis";#N/A,#N/A,FALSE,"Test 120 Day Accts";#N/A,#N/A,FALSE,"Tickmarks"}</definedName>
    <definedName name="pesc1" localSheetId="5" hidden="1">{#N/A,#N/A,FALSE,"Aging Summary";#N/A,#N/A,FALSE,"Ratio Analysis";#N/A,#N/A,FALSE,"Test 120 Day Accts";#N/A,#N/A,FALSE,"Tickmarks"}</definedName>
    <definedName name="pesc1" localSheetId="10" hidden="1">{#N/A,#N/A,FALSE,"Aging Summary";#N/A,#N/A,FALSE,"Ratio Analysis";#N/A,#N/A,FALSE,"Test 120 Day Accts";#N/A,#N/A,FALSE,"Tickmarks"}</definedName>
    <definedName name="pesc1" localSheetId="8" hidden="1">{#N/A,#N/A,FALSE,"Aging Summary";#N/A,#N/A,FALSE,"Ratio Analysis";#N/A,#N/A,FALSE,"Test 120 Day Accts";#N/A,#N/A,FALSE,"Tickmarks"}</definedName>
    <definedName name="pesc1" localSheetId="9" hidden="1">{#N/A,#N/A,FALSE,"Aging Summary";#N/A,#N/A,FALSE,"Ratio Analysis";#N/A,#N/A,FALSE,"Test 120 Day Accts";#N/A,#N/A,FALSE,"Tickmarks"}</definedName>
    <definedName name="pesc1" localSheetId="15" hidden="1">{#N/A,#N/A,FALSE,"Aging Summary";#N/A,#N/A,FALSE,"Ratio Analysis";#N/A,#N/A,FALSE,"Test 120 Day Accts";#N/A,#N/A,FALSE,"Tickmarks"}</definedName>
    <definedName name="pesc1" localSheetId="16" hidden="1">{#N/A,#N/A,FALSE,"Aging Summary";#N/A,#N/A,FALSE,"Ratio Analysis";#N/A,#N/A,FALSE,"Test 120 Day Accts";#N/A,#N/A,FALSE,"Tickmarks"}</definedName>
    <definedName name="pesc1" localSheetId="17" hidden="1">{#N/A,#N/A,FALSE,"Aging Summary";#N/A,#N/A,FALSE,"Ratio Analysis";#N/A,#N/A,FALSE,"Test 120 Day Accts";#N/A,#N/A,FALSE,"Tickmarks"}</definedName>
    <definedName name="pesc1" localSheetId="18" hidden="1">{#N/A,#N/A,FALSE,"Aging Summary";#N/A,#N/A,FALSE,"Ratio Analysis";#N/A,#N/A,FALSE,"Test 120 Day Accts";#N/A,#N/A,FALSE,"Tickmarks"}</definedName>
    <definedName name="pesc1" hidden="1">{#N/A,#N/A,FALSE,"Aging Summary";#N/A,#N/A,FALSE,"Ratio Analysis";#N/A,#N/A,FALSE,"Test 120 Day Accts";#N/A,#N/A,FALSE,"Tickmarks"}</definedName>
    <definedName name="ppp" localSheetId="4" hidden="1">{#N/A,#N/A,FALSE,"Aging Summary";#N/A,#N/A,FALSE,"Ratio Analysis";#N/A,#N/A,FALSE,"Test 120 Day Accts";#N/A,#N/A,FALSE,"Tickmarks"}</definedName>
    <definedName name="ppp" localSheetId="5" hidden="1">{#N/A,#N/A,FALSE,"Aging Summary";#N/A,#N/A,FALSE,"Ratio Analysis";#N/A,#N/A,FALSE,"Test 120 Day Accts";#N/A,#N/A,FALSE,"Tickmarks"}</definedName>
    <definedName name="ppp" localSheetId="10" hidden="1">{#N/A,#N/A,FALSE,"Aging Summary";#N/A,#N/A,FALSE,"Ratio Analysis";#N/A,#N/A,FALSE,"Test 120 Day Accts";#N/A,#N/A,FALSE,"Tickmarks"}</definedName>
    <definedName name="ppp" localSheetId="8" hidden="1">{#N/A,#N/A,FALSE,"Aging Summary";#N/A,#N/A,FALSE,"Ratio Analysis";#N/A,#N/A,FALSE,"Test 120 Day Accts";#N/A,#N/A,FALSE,"Tickmarks"}</definedName>
    <definedName name="ppp" localSheetId="9" hidden="1">{#N/A,#N/A,FALSE,"Aging Summary";#N/A,#N/A,FALSE,"Ratio Analysis";#N/A,#N/A,FALSE,"Test 120 Day Accts";#N/A,#N/A,FALSE,"Tickmarks"}</definedName>
    <definedName name="ppp" localSheetId="15" hidden="1">{#N/A,#N/A,FALSE,"Aging Summary";#N/A,#N/A,FALSE,"Ratio Analysis";#N/A,#N/A,FALSE,"Test 120 Day Accts";#N/A,#N/A,FALSE,"Tickmarks"}</definedName>
    <definedName name="ppp" localSheetId="16" hidden="1">{#N/A,#N/A,FALSE,"Aging Summary";#N/A,#N/A,FALSE,"Ratio Analysis";#N/A,#N/A,FALSE,"Test 120 Day Accts";#N/A,#N/A,FALSE,"Tickmarks"}</definedName>
    <definedName name="ppp" localSheetId="17" hidden="1">{#N/A,#N/A,FALSE,"Aging Summary";#N/A,#N/A,FALSE,"Ratio Analysis";#N/A,#N/A,FALSE,"Test 120 Day Accts";#N/A,#N/A,FALSE,"Tickmarks"}</definedName>
    <definedName name="ppp" localSheetId="18" hidden="1">{#N/A,#N/A,FALSE,"Aging Summary";#N/A,#N/A,FALSE,"Ratio Analysis";#N/A,#N/A,FALSE,"Test 120 Day Accts";#N/A,#N/A,FALSE,"Tickmarks"}</definedName>
    <definedName name="ppp" hidden="1">{#N/A,#N/A,FALSE,"Aging Summary";#N/A,#N/A,FALSE,"Ratio Analysis";#N/A,#N/A,FALSE,"Test 120 Day Accts";#N/A,#N/A,FALSE,"Tickmarks"}</definedName>
    <definedName name="_xlnm.Print_Area" localSheetId="2">'PEF - 2 - Page 3 Rev Reqt'!$A$1:$L$64</definedName>
    <definedName name="_xlnm.Print_Area" localSheetId="3">'PEF - 2 - Page 4 Support'!$A$1:$L$55</definedName>
    <definedName name="_xlnm.Print_Area" localSheetId="4">'PEF - 2 - Page 5 Storm, Notes'!$A$1:$M$82</definedName>
    <definedName name="_xlnm.Print_Area" localSheetId="5">'PEF - 2 - Page 6, PBOPs'!$A$1:$M$50</definedName>
    <definedName name="_xlnm.Print_Area" localSheetId="0">'PEF - 2 -Page 1 Summary'!$A$1:$L$42</definedName>
    <definedName name="_xlnm.Print_Area" localSheetId="1">'PEF - 2 Page 2 Rate Base'!$A$1:$P$83</definedName>
    <definedName name="_xlnm.Print_Area" localSheetId="6">'PEF - 3, p1, 454 Rev Credits'!$A$1:$H$31</definedName>
    <definedName name="_xlnm.Print_Area" localSheetId="7">'PEF - 3, p2, 456 Rev Credits'!$A$1:$H$87</definedName>
    <definedName name="_xlnm.Print_Area" localSheetId="10">'PEF - 4,  p3 Order 2003 '!$A$1:$K$87</definedName>
    <definedName name="_xlnm.Print_Area" localSheetId="8">'PEF - 4, p1 Step Ups '!$A$1:$J$60</definedName>
    <definedName name="_xlnm.Print_Area" localSheetId="9">'PEF - 4, p2 Step Ups '!$A$1:$J$77</definedName>
    <definedName name="_xlnm.Print_Area" localSheetId="11">'PEF - 5, p1 PY ADIT 190'!$A$1:$J$60</definedName>
    <definedName name="_xlnm.Print_Area" localSheetId="12">'PEF - 5, p2 PY ADIT 28x'!$A$1:$J$47</definedName>
    <definedName name="_xlnm.Print_Area" localSheetId="13">'PEF - 5, p3 CY ADIT 190'!$A$1:$J$76</definedName>
    <definedName name="_xlnm.Print_Area" localSheetId="14">'PEF - 5, p4 CY ADIT 28x'!$A$1:$J$47</definedName>
    <definedName name="_xlnm.Print_Area" localSheetId="15">'PEF - 5A'!$A$1:$O$31</definedName>
    <definedName name="_xlnm.Print_Area" localSheetId="16">'PEF - 6  p1, FF1 Inputs '!$A$1:$L$76</definedName>
    <definedName name="_xlnm.Print_Area" localSheetId="17">'PEF - 6 p2, Levelized Storm'!$A$1:$L$72</definedName>
    <definedName name="ret" localSheetId="4" hidden="1">{#N/A,#N/A,FALSE,"Aging Summary";#N/A,#N/A,FALSE,"Ratio Analysis";#N/A,#N/A,FALSE,"Test 120 Day Accts";#N/A,#N/A,FALSE,"Tickmarks"}</definedName>
    <definedName name="ret" localSheetId="5" hidden="1">{#N/A,#N/A,FALSE,"Aging Summary";#N/A,#N/A,FALSE,"Ratio Analysis";#N/A,#N/A,FALSE,"Test 120 Day Accts";#N/A,#N/A,FALSE,"Tickmarks"}</definedName>
    <definedName name="ret" localSheetId="10" hidden="1">{#N/A,#N/A,FALSE,"Aging Summary";#N/A,#N/A,FALSE,"Ratio Analysis";#N/A,#N/A,FALSE,"Test 120 Day Accts";#N/A,#N/A,FALSE,"Tickmarks"}</definedName>
    <definedName name="ret" localSheetId="8" hidden="1">{#N/A,#N/A,FALSE,"Aging Summary";#N/A,#N/A,FALSE,"Ratio Analysis";#N/A,#N/A,FALSE,"Test 120 Day Accts";#N/A,#N/A,FALSE,"Tickmarks"}</definedName>
    <definedName name="ret" localSheetId="9" hidden="1">{#N/A,#N/A,FALSE,"Aging Summary";#N/A,#N/A,FALSE,"Ratio Analysis";#N/A,#N/A,FALSE,"Test 120 Day Accts";#N/A,#N/A,FALSE,"Tickmarks"}</definedName>
    <definedName name="ret" localSheetId="15" hidden="1">{#N/A,#N/A,FALSE,"Aging Summary";#N/A,#N/A,FALSE,"Ratio Analysis";#N/A,#N/A,FALSE,"Test 120 Day Accts";#N/A,#N/A,FALSE,"Tickmarks"}</definedName>
    <definedName name="ret" localSheetId="16" hidden="1">{#N/A,#N/A,FALSE,"Aging Summary";#N/A,#N/A,FALSE,"Ratio Analysis";#N/A,#N/A,FALSE,"Test 120 Day Accts";#N/A,#N/A,FALSE,"Tickmarks"}</definedName>
    <definedName name="ret" localSheetId="17" hidden="1">{#N/A,#N/A,FALSE,"Aging Summary";#N/A,#N/A,FALSE,"Ratio Analysis";#N/A,#N/A,FALSE,"Test 120 Day Accts";#N/A,#N/A,FALSE,"Tickmarks"}</definedName>
    <definedName name="ret" localSheetId="18" hidden="1">{#N/A,#N/A,FALSE,"Aging Summary";#N/A,#N/A,FALSE,"Ratio Analysis";#N/A,#N/A,FALSE,"Test 120 Day Accts";#N/A,#N/A,FALSE,"Tickmarks"}</definedName>
    <definedName name="ret" hidden="1">{#N/A,#N/A,FALSE,"Aging Summary";#N/A,#N/A,FALSE,"Ratio Analysis";#N/A,#N/A,FALSE,"Test 120 Day Accts";#N/A,#N/A,FALSE,"Tickmarks"}</definedName>
    <definedName name="rt" localSheetId="4" hidden="1">{#N/A,#N/A,FALSE,"Aging Summary";#N/A,#N/A,FALSE,"Ratio Analysis";#N/A,#N/A,FALSE,"Test 120 Day Accts";#N/A,#N/A,FALSE,"Tickmarks"}</definedName>
    <definedName name="rt" localSheetId="5" hidden="1">{#N/A,#N/A,FALSE,"Aging Summary";#N/A,#N/A,FALSE,"Ratio Analysis";#N/A,#N/A,FALSE,"Test 120 Day Accts";#N/A,#N/A,FALSE,"Tickmarks"}</definedName>
    <definedName name="rt" localSheetId="10" hidden="1">{#N/A,#N/A,FALSE,"Aging Summary";#N/A,#N/A,FALSE,"Ratio Analysis";#N/A,#N/A,FALSE,"Test 120 Day Accts";#N/A,#N/A,FALSE,"Tickmarks"}</definedName>
    <definedName name="rt" localSheetId="8" hidden="1">{#N/A,#N/A,FALSE,"Aging Summary";#N/A,#N/A,FALSE,"Ratio Analysis";#N/A,#N/A,FALSE,"Test 120 Day Accts";#N/A,#N/A,FALSE,"Tickmarks"}</definedName>
    <definedName name="rt" localSheetId="9" hidden="1">{#N/A,#N/A,FALSE,"Aging Summary";#N/A,#N/A,FALSE,"Ratio Analysis";#N/A,#N/A,FALSE,"Test 120 Day Accts";#N/A,#N/A,FALSE,"Tickmarks"}</definedName>
    <definedName name="rt" localSheetId="15" hidden="1">{#N/A,#N/A,FALSE,"Aging Summary";#N/A,#N/A,FALSE,"Ratio Analysis";#N/A,#N/A,FALSE,"Test 120 Day Accts";#N/A,#N/A,FALSE,"Tickmarks"}</definedName>
    <definedName name="rt" localSheetId="16" hidden="1">{#N/A,#N/A,FALSE,"Aging Summary";#N/A,#N/A,FALSE,"Ratio Analysis";#N/A,#N/A,FALSE,"Test 120 Day Accts";#N/A,#N/A,FALSE,"Tickmarks"}</definedName>
    <definedName name="rt" localSheetId="17" hidden="1">{#N/A,#N/A,FALSE,"Aging Summary";#N/A,#N/A,FALSE,"Ratio Analysis";#N/A,#N/A,FALSE,"Test 120 Day Accts";#N/A,#N/A,FALSE,"Tickmarks"}</definedName>
    <definedName name="rt" localSheetId="18" hidden="1">{#N/A,#N/A,FALSE,"Aging Summary";#N/A,#N/A,FALSE,"Ratio Analysis";#N/A,#N/A,FALSE,"Test 120 Day Accts";#N/A,#N/A,FALSE,"Tickmarks"}</definedName>
    <definedName name="rt" hidden="1">{#N/A,#N/A,FALSE,"Aging Summary";#N/A,#N/A,FALSE,"Ratio Analysis";#N/A,#N/A,FALSE,"Test 120 Day Accts";#N/A,#N/A,FALSE,"Tickmarks"}</definedName>
    <definedName name="temp" localSheetId="4" hidden="1">{#N/A,#N/A,FALSE,"Aging Summary";#N/A,#N/A,FALSE,"Ratio Analysis";#N/A,#N/A,FALSE,"Test 120 Day Accts";#N/A,#N/A,FALSE,"Tickmarks"}</definedName>
    <definedName name="temp" localSheetId="5" hidden="1">{#N/A,#N/A,FALSE,"Aging Summary";#N/A,#N/A,FALSE,"Ratio Analysis";#N/A,#N/A,FALSE,"Test 120 Day Accts";#N/A,#N/A,FALSE,"Tickmarks"}</definedName>
    <definedName name="temp" localSheetId="10" hidden="1">{#N/A,#N/A,FALSE,"Aging Summary";#N/A,#N/A,FALSE,"Ratio Analysis";#N/A,#N/A,FALSE,"Test 120 Day Accts";#N/A,#N/A,FALSE,"Tickmarks"}</definedName>
    <definedName name="temp" localSheetId="8" hidden="1">{#N/A,#N/A,FALSE,"Aging Summary";#N/A,#N/A,FALSE,"Ratio Analysis";#N/A,#N/A,FALSE,"Test 120 Day Accts";#N/A,#N/A,FALSE,"Tickmarks"}</definedName>
    <definedName name="temp" localSheetId="9" hidden="1">{#N/A,#N/A,FALSE,"Aging Summary";#N/A,#N/A,FALSE,"Ratio Analysis";#N/A,#N/A,FALSE,"Test 120 Day Accts";#N/A,#N/A,FALSE,"Tickmarks"}</definedName>
    <definedName name="temp" localSheetId="15" hidden="1">{#N/A,#N/A,FALSE,"Aging Summary";#N/A,#N/A,FALSE,"Ratio Analysis";#N/A,#N/A,FALSE,"Test 120 Day Accts";#N/A,#N/A,FALSE,"Tickmarks"}</definedName>
    <definedName name="temp" localSheetId="16" hidden="1">{#N/A,#N/A,FALSE,"Aging Summary";#N/A,#N/A,FALSE,"Ratio Analysis";#N/A,#N/A,FALSE,"Test 120 Day Accts";#N/A,#N/A,FALSE,"Tickmarks"}</definedName>
    <definedName name="temp" localSheetId="17" hidden="1">{#N/A,#N/A,FALSE,"Aging Summary";#N/A,#N/A,FALSE,"Ratio Analysis";#N/A,#N/A,FALSE,"Test 120 Day Accts";#N/A,#N/A,FALSE,"Tickmarks"}</definedName>
    <definedName name="temp" localSheetId="18" hidden="1">{#N/A,#N/A,FALSE,"Aging Summary";#N/A,#N/A,FALSE,"Ratio Analysis";#N/A,#N/A,FALSE,"Test 120 Day Accts";#N/A,#N/A,FALSE,"Tickmarks"}</definedName>
    <definedName name="temp" hidden="1">{#N/A,#N/A,FALSE,"Aging Summary";#N/A,#N/A,FALSE,"Ratio Analysis";#N/A,#N/A,FALSE,"Test 120 Day Accts";#N/A,#N/A,FALSE,"Tickmarks"}</definedName>
    <definedName name="tre" localSheetId="4" hidden="1">{#N/A,#N/A,FALSE,"Aging Summary";#N/A,#N/A,FALSE,"Ratio Analysis";#N/A,#N/A,FALSE,"Test 120 Day Accts";#N/A,#N/A,FALSE,"Tickmarks"}</definedName>
    <definedName name="tre" localSheetId="5" hidden="1">{#N/A,#N/A,FALSE,"Aging Summary";#N/A,#N/A,FALSE,"Ratio Analysis";#N/A,#N/A,FALSE,"Test 120 Day Accts";#N/A,#N/A,FALSE,"Tickmarks"}</definedName>
    <definedName name="tre" localSheetId="10" hidden="1">{#N/A,#N/A,FALSE,"Aging Summary";#N/A,#N/A,FALSE,"Ratio Analysis";#N/A,#N/A,FALSE,"Test 120 Day Accts";#N/A,#N/A,FALSE,"Tickmarks"}</definedName>
    <definedName name="tre" localSheetId="8" hidden="1">{#N/A,#N/A,FALSE,"Aging Summary";#N/A,#N/A,FALSE,"Ratio Analysis";#N/A,#N/A,FALSE,"Test 120 Day Accts";#N/A,#N/A,FALSE,"Tickmarks"}</definedName>
    <definedName name="tre" localSheetId="9" hidden="1">{#N/A,#N/A,FALSE,"Aging Summary";#N/A,#N/A,FALSE,"Ratio Analysis";#N/A,#N/A,FALSE,"Test 120 Day Accts";#N/A,#N/A,FALSE,"Tickmarks"}</definedName>
    <definedName name="tre" localSheetId="15" hidden="1">{#N/A,#N/A,FALSE,"Aging Summary";#N/A,#N/A,FALSE,"Ratio Analysis";#N/A,#N/A,FALSE,"Test 120 Day Accts";#N/A,#N/A,FALSE,"Tickmarks"}</definedName>
    <definedName name="tre" localSheetId="16" hidden="1">{#N/A,#N/A,FALSE,"Aging Summary";#N/A,#N/A,FALSE,"Ratio Analysis";#N/A,#N/A,FALSE,"Test 120 Day Accts";#N/A,#N/A,FALSE,"Tickmarks"}</definedName>
    <definedName name="tre" localSheetId="17" hidden="1">{#N/A,#N/A,FALSE,"Aging Summary";#N/A,#N/A,FALSE,"Ratio Analysis";#N/A,#N/A,FALSE,"Test 120 Day Accts";#N/A,#N/A,FALSE,"Tickmarks"}</definedName>
    <definedName name="tre" localSheetId="18" hidden="1">{#N/A,#N/A,FALSE,"Aging Summary";#N/A,#N/A,FALSE,"Ratio Analysis";#N/A,#N/A,FALSE,"Test 120 Day Accts";#N/A,#N/A,FALSE,"Tickmarks"}</definedName>
    <definedName name="tre" hidden="1">{#N/A,#N/A,FALSE,"Aging Summary";#N/A,#N/A,FALSE,"Ratio Analysis";#N/A,#N/A,FALSE,"Test 120 Day Accts";#N/A,#N/A,FALSE,"Tickmarks"}</definedName>
    <definedName name="WACC">'[2]Port Value - Monthly'!$B$7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localSheetId="5" hidden="1">{#N/A,#N/A,FALSE,"Aging Summary";#N/A,#N/A,FALSE,"Ratio Analysis";#N/A,#N/A,FALSE,"Test 120 Day Accts";#N/A,#N/A,FALSE,"Tickmarks"}</definedName>
    <definedName name="wrn.Aging._.and._.Trend._.Analysis." localSheetId="10" hidden="1">{#N/A,#N/A,FALSE,"Aging Summary";#N/A,#N/A,FALSE,"Ratio Analysis";#N/A,#N/A,FALSE,"Test 120 Day Accts";#N/A,#N/A,FALSE,"Tickmarks"}</definedName>
    <definedName name="wrn.Aging._.and._.Trend._.Analysis." localSheetId="8" hidden="1">{#N/A,#N/A,FALSE,"Aging Summary";#N/A,#N/A,FALSE,"Ratio Analysis";#N/A,#N/A,FALSE,"Test 120 Day Accts";#N/A,#N/A,FALSE,"Tickmarks"}</definedName>
    <definedName name="wrn.Aging._.and._.Trend._.Analysis." localSheetId="9" hidden="1">{#N/A,#N/A,FALSE,"Aging Summary";#N/A,#N/A,FALSE,"Ratio Analysis";#N/A,#N/A,FALSE,"Test 120 Day Accts";#N/A,#N/A,FALSE,"Tickmarks"}</definedName>
    <definedName name="wrn.Aging._.and._.Trend._.Analysis." localSheetId="15" hidden="1">{#N/A,#N/A,FALSE,"Aging Summary";#N/A,#N/A,FALSE,"Ratio Analysis";#N/A,#N/A,FALSE,"Test 120 Day Accts";#N/A,#N/A,FALSE,"Tickmarks"}</definedName>
    <definedName name="wrn.Aging._.and._.Trend._.Analysis." localSheetId="16" hidden="1">{#N/A,#N/A,FALSE,"Aging Summary";#N/A,#N/A,FALSE,"Ratio Analysis";#N/A,#N/A,FALSE,"Test 120 Day Accts";#N/A,#N/A,FALSE,"Tickmarks"}</definedName>
    <definedName name="wrn.Aging._.and._.Trend._.Analysis." localSheetId="17" hidden="1">{#N/A,#N/A,FALSE,"Aging Summary";#N/A,#N/A,FALSE,"Ratio Analysis";#N/A,#N/A,FALSE,"Test 120 Day Accts";#N/A,#N/A,FALSE,"Tickmarks"}</definedName>
    <definedName name="wrn.Aging._.and._.Trend._.Analysis." localSheetId="18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tyu" localSheetId="4" hidden="1">{#N/A,#N/A,FALSE,"Aging Summary";#N/A,#N/A,FALSE,"Ratio Analysis";#N/A,#N/A,FALSE,"Test 120 Day Accts";#N/A,#N/A,FALSE,"Tickmarks"}</definedName>
    <definedName name="wtyu" localSheetId="5" hidden="1">{#N/A,#N/A,FALSE,"Aging Summary";#N/A,#N/A,FALSE,"Ratio Analysis";#N/A,#N/A,FALSE,"Test 120 Day Accts";#N/A,#N/A,FALSE,"Tickmarks"}</definedName>
    <definedName name="wtyu" localSheetId="10" hidden="1">{#N/A,#N/A,FALSE,"Aging Summary";#N/A,#N/A,FALSE,"Ratio Analysis";#N/A,#N/A,FALSE,"Test 120 Day Accts";#N/A,#N/A,FALSE,"Tickmarks"}</definedName>
    <definedName name="wtyu" localSheetId="8" hidden="1">{#N/A,#N/A,FALSE,"Aging Summary";#N/A,#N/A,FALSE,"Ratio Analysis";#N/A,#N/A,FALSE,"Test 120 Day Accts";#N/A,#N/A,FALSE,"Tickmarks"}</definedName>
    <definedName name="wtyu" localSheetId="9" hidden="1">{#N/A,#N/A,FALSE,"Aging Summary";#N/A,#N/A,FALSE,"Ratio Analysis";#N/A,#N/A,FALSE,"Test 120 Day Accts";#N/A,#N/A,FALSE,"Tickmarks"}</definedName>
    <definedName name="wtyu" localSheetId="15" hidden="1">{#N/A,#N/A,FALSE,"Aging Summary";#N/A,#N/A,FALSE,"Ratio Analysis";#N/A,#N/A,FALSE,"Test 120 Day Accts";#N/A,#N/A,FALSE,"Tickmarks"}</definedName>
    <definedName name="wtyu" localSheetId="16" hidden="1">{#N/A,#N/A,FALSE,"Aging Summary";#N/A,#N/A,FALSE,"Ratio Analysis";#N/A,#N/A,FALSE,"Test 120 Day Accts";#N/A,#N/A,FALSE,"Tickmarks"}</definedName>
    <definedName name="wtyu" localSheetId="17" hidden="1">{#N/A,#N/A,FALSE,"Aging Summary";#N/A,#N/A,FALSE,"Ratio Analysis";#N/A,#N/A,FALSE,"Test 120 Day Accts";#N/A,#N/A,FALSE,"Tickmarks"}</definedName>
    <definedName name="wtyu" localSheetId="18" hidden="1">{#N/A,#N/A,FALSE,"Aging Summary";#N/A,#N/A,FALSE,"Ratio Analysis";#N/A,#N/A,FALSE,"Test 120 Day Accts";#N/A,#N/A,FALSE,"Tickmarks"}</definedName>
    <definedName name="wtyu" hidden="1">{#N/A,#N/A,FALSE,"Aging Summary";#N/A,#N/A,FALSE,"Ratio Analysis";#N/A,#N/A,FALSE,"Test 120 Day Accts";#N/A,#N/A,FALSE,"Tickmarks"}</definedName>
    <definedName name="XRefActiveRow" localSheetId="5" hidden="1">#REF!</definedName>
    <definedName name="XRefActiveRow" localSheetId="10" hidden="1">#REF!</definedName>
    <definedName name="XRefActiveRow" localSheetId="8" hidden="1">#REF!</definedName>
    <definedName name="XRefActiveRow" localSheetId="9" hidden="1">#REF!</definedName>
    <definedName name="XRefActiveRow" localSheetId="12" hidden="1">#REF!</definedName>
    <definedName name="XRefActiveRow" localSheetId="13" hidden="1">#REF!</definedName>
    <definedName name="XRefActiveRow" localSheetId="14" hidden="1">#REF!</definedName>
    <definedName name="XRefActiveRow" localSheetId="15" hidden="1">#REF!</definedName>
    <definedName name="XRefActiveRow" localSheetId="16" hidden="1">#REF!</definedName>
    <definedName name="XRefActiveRow" localSheetId="17" hidden="1">#REF!</definedName>
    <definedName name="XRefActiveRow" localSheetId="18" hidden="1">#REF!</definedName>
    <definedName name="XRefActiveRow" hidden="1">#REF!</definedName>
    <definedName name="XRefColumnsCount" hidden="1">3</definedName>
    <definedName name="XRefCopy1Row" localSheetId="5" hidden="1">#REF!</definedName>
    <definedName name="XRefCopy1Row" localSheetId="10" hidden="1">#REF!</definedName>
    <definedName name="XRefCopy1Row" localSheetId="8" hidden="1">#REF!</definedName>
    <definedName name="XRefCopy1Row" localSheetId="9" hidden="1">#REF!</definedName>
    <definedName name="XRefCopy1Row" localSheetId="12" hidden="1">#REF!</definedName>
    <definedName name="XRefCopy1Row" localSheetId="13" hidden="1">#REF!</definedName>
    <definedName name="XRefCopy1Row" localSheetId="14" hidden="1">#REF!</definedName>
    <definedName name="XRefCopy1Row" localSheetId="15" hidden="1">#REF!</definedName>
    <definedName name="XRefCopy1Row" localSheetId="16" hidden="1">#REF!</definedName>
    <definedName name="XRefCopy1Row" localSheetId="17" hidden="1">#REF!</definedName>
    <definedName name="XRefCopy1Row" localSheetId="18" hidden="1">#REF!</definedName>
    <definedName name="XRefCopy1Row" hidden="1">#REF!</definedName>
    <definedName name="XRefCopy2Row" localSheetId="5" hidden="1">#REF!</definedName>
    <definedName name="XRefCopy2Row" localSheetId="10" hidden="1">#REF!</definedName>
    <definedName name="XRefCopy2Row" localSheetId="8" hidden="1">#REF!</definedName>
    <definedName name="XRefCopy2Row" localSheetId="9" hidden="1">#REF!</definedName>
    <definedName name="XRefCopy2Row" localSheetId="12" hidden="1">#REF!</definedName>
    <definedName name="XRefCopy2Row" localSheetId="13" hidden="1">#REF!</definedName>
    <definedName name="XRefCopy2Row" localSheetId="14" hidden="1">#REF!</definedName>
    <definedName name="XRefCopy2Row" localSheetId="15" hidden="1">#REF!</definedName>
    <definedName name="XRefCopy2Row" localSheetId="16" hidden="1">#REF!</definedName>
    <definedName name="XRefCopy2Row" localSheetId="17" hidden="1">#REF!</definedName>
    <definedName name="XRefCopy2Row" localSheetId="18" hidden="1">#REF!</definedName>
    <definedName name="XRefCopy2Row" hidden="1">#REF!</definedName>
    <definedName name="XRefCopy3Row" localSheetId="5" hidden="1">#REF!</definedName>
    <definedName name="XRefCopy3Row" localSheetId="10" hidden="1">#REF!</definedName>
    <definedName name="XRefCopy3Row" localSheetId="8" hidden="1">#REF!</definedName>
    <definedName name="XRefCopy3Row" localSheetId="9" hidden="1">#REF!</definedName>
    <definedName name="XRefCopy3Row" localSheetId="12" hidden="1">#REF!</definedName>
    <definedName name="XRefCopy3Row" localSheetId="13" hidden="1">#REF!</definedName>
    <definedName name="XRefCopy3Row" localSheetId="14" hidden="1">#REF!</definedName>
    <definedName name="XRefCopy3Row" localSheetId="15" hidden="1">#REF!</definedName>
    <definedName name="XRefCopy3Row" localSheetId="16" hidden="1">#REF!</definedName>
    <definedName name="XRefCopy3Row" localSheetId="17" hidden="1">#REF!</definedName>
    <definedName name="XRefCopy3Row" localSheetId="18" hidden="1">#REF!</definedName>
    <definedName name="XRefCopy3Row" hidden="1">#REF!</definedName>
    <definedName name="XRefCopyRangeCount" hidden="1">3</definedName>
    <definedName name="XRefPaste1Row" localSheetId="5" hidden="1">#REF!</definedName>
    <definedName name="XRefPaste1Row" localSheetId="10" hidden="1">#REF!</definedName>
    <definedName name="XRefPaste1Row" localSheetId="8" hidden="1">#REF!</definedName>
    <definedName name="XRefPaste1Row" localSheetId="9" hidden="1">#REF!</definedName>
    <definedName name="XRefPaste1Row" localSheetId="12" hidden="1">#REF!</definedName>
    <definedName name="XRefPaste1Row" localSheetId="13" hidden="1">#REF!</definedName>
    <definedName name="XRefPaste1Row" localSheetId="14" hidden="1">#REF!</definedName>
    <definedName name="XRefPaste1Row" localSheetId="15" hidden="1">#REF!</definedName>
    <definedName name="XRefPaste1Row" localSheetId="16" hidden="1">#REF!</definedName>
    <definedName name="XRefPaste1Row" localSheetId="17" hidden="1">#REF!</definedName>
    <definedName name="XRefPaste1Row" localSheetId="18" hidden="1">#REF!</definedName>
    <definedName name="XRefPaste1Row" hidden="1">#REF!</definedName>
    <definedName name="XRefPaste2Row" localSheetId="5" hidden="1">#REF!</definedName>
    <definedName name="XRefPaste2Row" localSheetId="10" hidden="1">#REF!</definedName>
    <definedName name="XRefPaste2Row" localSheetId="8" hidden="1">#REF!</definedName>
    <definedName name="XRefPaste2Row" localSheetId="9" hidden="1">#REF!</definedName>
    <definedName name="XRefPaste2Row" localSheetId="12" hidden="1">#REF!</definedName>
    <definedName name="XRefPaste2Row" localSheetId="13" hidden="1">#REF!</definedName>
    <definedName name="XRefPaste2Row" localSheetId="14" hidden="1">#REF!</definedName>
    <definedName name="XRefPaste2Row" localSheetId="15" hidden="1">#REF!</definedName>
    <definedName name="XRefPaste2Row" localSheetId="16" hidden="1">#REF!</definedName>
    <definedName name="XRefPaste2Row" localSheetId="17" hidden="1">#REF!</definedName>
    <definedName name="XRefPaste2Row" localSheetId="18" hidden="1">#REF!</definedName>
    <definedName name="XRefPaste2Row" hidden="1">#REF!</definedName>
    <definedName name="XRefPasteRangeCount" hidden="1">2</definedName>
    <definedName name="y" localSheetId="4" hidden="1">{#N/A,#N/A,FALSE,"Aging Summary";#N/A,#N/A,FALSE,"Ratio Analysis";#N/A,#N/A,FALSE,"Test 120 Day Accts";#N/A,#N/A,FALSE,"Tickmarks"}</definedName>
    <definedName name="y" localSheetId="5" hidden="1">{#N/A,#N/A,FALSE,"Aging Summary";#N/A,#N/A,FALSE,"Ratio Analysis";#N/A,#N/A,FALSE,"Test 120 Day Accts";#N/A,#N/A,FALSE,"Tickmarks"}</definedName>
    <definedName name="y" localSheetId="10" hidden="1">{#N/A,#N/A,FALSE,"Aging Summary";#N/A,#N/A,FALSE,"Ratio Analysis";#N/A,#N/A,FALSE,"Test 120 Day Accts";#N/A,#N/A,FALSE,"Tickmarks"}</definedName>
    <definedName name="y" localSheetId="8" hidden="1">{#N/A,#N/A,FALSE,"Aging Summary";#N/A,#N/A,FALSE,"Ratio Analysis";#N/A,#N/A,FALSE,"Test 120 Day Accts";#N/A,#N/A,FALSE,"Tickmarks"}</definedName>
    <definedName name="y" localSheetId="9" hidden="1">{#N/A,#N/A,FALSE,"Aging Summary";#N/A,#N/A,FALSE,"Ratio Analysis";#N/A,#N/A,FALSE,"Test 120 Day Accts";#N/A,#N/A,FALSE,"Tickmarks"}</definedName>
    <definedName name="y" localSheetId="15" hidden="1">{#N/A,#N/A,FALSE,"Aging Summary";#N/A,#N/A,FALSE,"Ratio Analysis";#N/A,#N/A,FALSE,"Test 120 Day Accts";#N/A,#N/A,FALSE,"Tickmarks"}</definedName>
    <definedName name="y" localSheetId="16" hidden="1">{#N/A,#N/A,FALSE,"Aging Summary";#N/A,#N/A,FALSE,"Ratio Analysis";#N/A,#N/A,FALSE,"Test 120 Day Accts";#N/A,#N/A,FALSE,"Tickmarks"}</definedName>
    <definedName name="y" localSheetId="17" hidden="1">{#N/A,#N/A,FALSE,"Aging Summary";#N/A,#N/A,FALSE,"Ratio Analysis";#N/A,#N/A,FALSE,"Test 120 Day Accts";#N/A,#N/A,FALSE,"Tickmarks"}</definedName>
    <definedName name="y" localSheetId="18" hidden="1">{#N/A,#N/A,FALSE,"Aging Summary";#N/A,#N/A,FALSE,"Ratio Analysis";#N/A,#N/A,FALSE,"Test 120 Day Accts";#N/A,#N/A,FALSE,"Tickmarks"}</definedName>
    <definedName name="y" hidden="1">{#N/A,#N/A,FALSE,"Aging Summary";#N/A,#N/A,FALSE,"Ratio Analysis";#N/A,#N/A,FALSE,"Test 120 Day Accts";#N/A,#N/A,FALSE,"Tickmarks"}</definedName>
  </definedNames>
  <calcPr calcId="125725"/>
</workbook>
</file>

<file path=xl/calcChain.xml><?xml version="1.0" encoding="utf-8"?>
<calcChain xmlns="http://schemas.openxmlformats.org/spreadsheetml/2006/main">
  <c r="F19" i="14"/>
  <c r="H61" i="13" l="1"/>
  <c r="F61"/>
  <c r="F51"/>
  <c r="F39" i="14"/>
  <c r="F27"/>
  <c r="I39" i="15"/>
  <c r="I26"/>
  <c r="I17"/>
  <c r="F35" i="16"/>
  <c r="F34"/>
  <c r="F33"/>
  <c r="F32"/>
  <c r="F28" i="8"/>
  <c r="F27"/>
  <c r="F26"/>
  <c r="F25"/>
  <c r="F17"/>
  <c r="F16"/>
  <c r="F15"/>
  <c r="F13"/>
  <c r="F12"/>
  <c r="F31"/>
  <c r="D31"/>
  <c r="G59" i="18"/>
  <c r="G56"/>
  <c r="G45"/>
  <c r="G39"/>
  <c r="G38"/>
  <c r="G34"/>
  <c r="G32"/>
  <c r="G29"/>
  <c r="G19"/>
  <c r="G14"/>
  <c r="G12"/>
  <c r="G57" i="19"/>
  <c r="G58"/>
  <c r="G59"/>
  <c r="G61"/>
  <c r="G64" s="1"/>
  <c r="G75"/>
  <c r="G76" s="1"/>
  <c r="G70"/>
  <c r="G54"/>
  <c r="G55" s="1"/>
  <c r="G50"/>
  <c r="G45"/>
  <c r="G40"/>
  <c r="G26"/>
  <c r="G31" s="1"/>
  <c r="G20"/>
  <c r="G17"/>
  <c r="J85" i="11"/>
  <c r="H85"/>
  <c r="F85"/>
  <c r="J83"/>
  <c r="J81"/>
  <c r="J79"/>
  <c r="J77"/>
  <c r="J75"/>
  <c r="D19" i="5"/>
  <c r="G16"/>
  <c r="I16" s="1"/>
  <c r="G17"/>
  <c r="I17" s="1"/>
  <c r="G69" i="6"/>
  <c r="G72"/>
  <c r="G74"/>
  <c r="I74" s="1"/>
  <c r="D72"/>
  <c r="D69"/>
  <c r="G28" i="22"/>
  <c r="E28"/>
  <c r="E24"/>
  <c r="E31" s="1"/>
  <c r="F45" i="13" s="1"/>
  <c r="E21" i="22"/>
  <c r="G17"/>
  <c r="G24" s="1"/>
  <c r="G31" s="1"/>
  <c r="H45" i="13" s="1"/>
  <c r="J48" i="3"/>
  <c r="J27"/>
  <c r="J26"/>
  <c r="J25"/>
  <c r="H25"/>
  <c r="J23"/>
  <c r="H23"/>
  <c r="J22"/>
  <c r="H22"/>
  <c r="H21"/>
  <c r="J18"/>
  <c r="I27" i="22"/>
  <c r="I28" s="1"/>
  <c r="I23"/>
  <c r="I22"/>
  <c r="I21"/>
  <c r="I20"/>
  <c r="I19"/>
  <c r="I18"/>
  <c r="I17"/>
  <c r="I16"/>
  <c r="I15"/>
  <c r="I14"/>
  <c r="I24" s="1"/>
  <c r="I31" s="1"/>
  <c r="I72" i="6" l="1"/>
  <c r="I69"/>
  <c r="G15" i="18"/>
  <c r="G36"/>
  <c r="G41"/>
  <c r="G60" i="19"/>
  <c r="G63" s="1"/>
  <c r="G65"/>
  <c r="G62"/>
  <c r="G23"/>
  <c r="G71"/>
  <c r="G72" s="1"/>
  <c r="C37" i="14"/>
  <c r="B65" i="13"/>
  <c r="C15"/>
  <c r="C23"/>
  <c r="G77" i="19" l="1"/>
  <c r="I15" i="15" s="1"/>
  <c r="G68" i="19"/>
  <c r="J3" i="15" l="1"/>
  <c r="F62" i="13"/>
  <c r="N3" l="1"/>
  <c r="J45" l="1"/>
  <c r="J3" i="14" l="1"/>
  <c r="G40" i="7" l="1"/>
  <c r="I40" s="1"/>
  <c r="G36"/>
  <c r="I36" s="1"/>
  <c r="G32"/>
  <c r="I32" s="1"/>
  <c r="G28"/>
  <c r="I28" s="1"/>
  <c r="G27"/>
  <c r="I27" s="1"/>
  <c r="G26"/>
  <c r="I26" s="1"/>
  <c r="G25"/>
  <c r="I25" s="1"/>
  <c r="G24"/>
  <c r="I24" s="1"/>
  <c r="G23"/>
  <c r="I23" s="1"/>
  <c r="G22"/>
  <c r="I22" s="1"/>
  <c r="G21"/>
  <c r="I21" s="1"/>
  <c r="G17"/>
  <c r="I17" s="1"/>
  <c r="G16"/>
  <c r="I16" s="1"/>
  <c r="G12"/>
  <c r="I12" s="1"/>
  <c r="I13" s="1"/>
  <c r="G39" i="5"/>
  <c r="I39" s="1"/>
  <c r="G32"/>
  <c r="I32" s="1"/>
  <c r="G30"/>
  <c r="I30" s="1"/>
  <c r="G29"/>
  <c r="I29" s="1"/>
  <c r="G28"/>
  <c r="I28" s="1"/>
  <c r="G27"/>
  <c r="I27" s="1"/>
  <c r="G26"/>
  <c r="I26" s="1"/>
  <c r="G25"/>
  <c r="I25" s="1"/>
  <c r="G24"/>
  <c r="I24" s="1"/>
  <c r="G23"/>
  <c r="I23" s="1"/>
  <c r="G21"/>
  <c r="I21" s="1"/>
  <c r="G12"/>
  <c r="I12" s="1"/>
  <c r="I13" s="1"/>
  <c r="G58" i="6"/>
  <c r="I58" s="1"/>
  <c r="G57"/>
  <c r="I57" s="1"/>
  <c r="G56"/>
  <c r="I56" s="1"/>
  <c r="G55"/>
  <c r="I55" s="1"/>
  <c r="G43"/>
  <c r="I43" s="1"/>
  <c r="G41"/>
  <c r="I41" s="1"/>
  <c r="G38"/>
  <c r="I38" s="1"/>
  <c r="G35"/>
  <c r="I35" s="1"/>
  <c r="G25"/>
  <c r="I25" s="1"/>
  <c r="G23"/>
  <c r="I23" s="1"/>
  <c r="G14"/>
  <c r="I14" s="1"/>
  <c r="G12"/>
  <c r="I12" s="1"/>
  <c r="G56" i="4"/>
  <c r="I56" s="1"/>
  <c r="G54"/>
  <c r="I54" s="1"/>
  <c r="G43"/>
  <c r="I43" s="1"/>
  <c r="G41"/>
  <c r="I41" s="1"/>
  <c r="G40"/>
  <c r="I40" s="1"/>
  <c r="G33"/>
  <c r="I33" s="1"/>
  <c r="G32"/>
  <c r="I32" s="1"/>
  <c r="G26"/>
  <c r="I26" s="1"/>
  <c r="G25"/>
  <c r="I25" s="1"/>
  <c r="G14"/>
  <c r="I14" s="1"/>
  <c r="G12"/>
  <c r="I12" s="1"/>
  <c r="I3" i="19"/>
  <c r="I3" i="18"/>
  <c r="O39" i="13" l="1"/>
  <c r="G39" i="7"/>
  <c r="I39" s="1"/>
  <c r="J3" i="16"/>
  <c r="E35"/>
  <c r="D35"/>
  <c r="E34"/>
  <c r="D34"/>
  <c r="E33"/>
  <c r="D33"/>
  <c r="E32"/>
  <c r="D32"/>
  <c r="E20"/>
  <c r="F14"/>
  <c r="E14"/>
  <c r="J48" i="17"/>
  <c r="I48"/>
  <c r="H48"/>
  <c r="G48"/>
  <c r="F48"/>
  <c r="K48" s="1"/>
  <c r="J47"/>
  <c r="J49" s="1"/>
  <c r="I47"/>
  <c r="I49" s="1"/>
  <c r="H47"/>
  <c r="H49" s="1"/>
  <c r="G47"/>
  <c r="G49" s="1"/>
  <c r="F47"/>
  <c r="F49" s="1"/>
  <c r="J32"/>
  <c r="I32"/>
  <c r="H32"/>
  <c r="G32"/>
  <c r="F32"/>
  <c r="K31"/>
  <c r="K30"/>
  <c r="K32" s="1"/>
  <c r="F22"/>
  <c r="I66" s="1"/>
  <c r="F18"/>
  <c r="J70" s="1"/>
  <c r="F17"/>
  <c r="F19" s="1"/>
  <c r="A13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I43" i="15"/>
  <c r="G43"/>
  <c r="G39"/>
  <c r="I31"/>
  <c r="G31"/>
  <c r="E31"/>
  <c r="I27"/>
  <c r="G27"/>
  <c r="E27"/>
  <c r="G26"/>
  <c r="E26"/>
  <c r="F58" i="14"/>
  <c r="D58"/>
  <c r="C58"/>
  <c r="F44"/>
  <c r="F43"/>
  <c r="D39"/>
  <c r="C39"/>
  <c r="F38"/>
  <c r="D38"/>
  <c r="C38"/>
  <c r="F37"/>
  <c r="D37"/>
  <c r="F26"/>
  <c r="F28" s="1"/>
  <c r="D26"/>
  <c r="C26"/>
  <c r="F23"/>
  <c r="F22"/>
  <c r="D22"/>
  <c r="C22"/>
  <c r="F21"/>
  <c r="D21"/>
  <c r="C21"/>
  <c r="F20"/>
  <c r="D20"/>
  <c r="C20"/>
  <c r="D19"/>
  <c r="F16"/>
  <c r="D16"/>
  <c r="F15"/>
  <c r="F14"/>
  <c r="D14"/>
  <c r="C14"/>
  <c r="H80" i="13"/>
  <c r="F80"/>
  <c r="D80"/>
  <c r="H78"/>
  <c r="F78"/>
  <c r="D78"/>
  <c r="H75"/>
  <c r="F75"/>
  <c r="F79" s="1"/>
  <c r="D75"/>
  <c r="H71"/>
  <c r="F71"/>
  <c r="D71"/>
  <c r="H70"/>
  <c r="F70"/>
  <c r="D70"/>
  <c r="H69"/>
  <c r="F69"/>
  <c r="D69"/>
  <c r="C69"/>
  <c r="H62"/>
  <c r="D62"/>
  <c r="D61"/>
  <c r="H60"/>
  <c r="F60"/>
  <c r="D60"/>
  <c r="H49"/>
  <c r="F49"/>
  <c r="D49"/>
  <c r="H47"/>
  <c r="F47"/>
  <c r="D47"/>
  <c r="H42"/>
  <c r="F42"/>
  <c r="D42"/>
  <c r="C42"/>
  <c r="H41"/>
  <c r="F41"/>
  <c r="D41"/>
  <c r="H40"/>
  <c r="F40"/>
  <c r="D40"/>
  <c r="H39"/>
  <c r="F39"/>
  <c r="D39"/>
  <c r="H38"/>
  <c r="F38"/>
  <c r="D38"/>
  <c r="H26"/>
  <c r="F26"/>
  <c r="D26"/>
  <c r="C26"/>
  <c r="H25"/>
  <c r="F25"/>
  <c r="D25"/>
  <c r="C25"/>
  <c r="H24"/>
  <c r="F24"/>
  <c r="D24"/>
  <c r="C24"/>
  <c r="H23"/>
  <c r="F23"/>
  <c r="D23"/>
  <c r="H22"/>
  <c r="F22"/>
  <c r="D22"/>
  <c r="C22"/>
  <c r="H18"/>
  <c r="F18"/>
  <c r="D18"/>
  <c r="C18"/>
  <c r="H17"/>
  <c r="F17"/>
  <c r="D17"/>
  <c r="C17"/>
  <c r="H16"/>
  <c r="F16"/>
  <c r="D16"/>
  <c r="C16"/>
  <c r="H15"/>
  <c r="F15"/>
  <c r="D15"/>
  <c r="H14"/>
  <c r="F14"/>
  <c r="D14"/>
  <c r="C14"/>
  <c r="J3" i="12"/>
  <c r="K36" i="16"/>
  <c r="K35"/>
  <c r="K34"/>
  <c r="K33"/>
  <c r="K32"/>
  <c r="F27"/>
  <c r="B27"/>
  <c r="B29" s="1"/>
  <c r="I23"/>
  <c r="F24" s="1"/>
  <c r="F25" s="1"/>
  <c r="I16"/>
  <c r="F15"/>
  <c r="E46" i="15"/>
  <c r="I41"/>
  <c r="I29"/>
  <c r="F54" i="14"/>
  <c r="F57" s="1"/>
  <c r="F61" s="1"/>
  <c r="F40"/>
  <c r="K31"/>
  <c r="K30"/>
  <c r="K19"/>
  <c r="A15"/>
  <c r="A16" s="1"/>
  <c r="A17" s="1"/>
  <c r="J80" i="13"/>
  <c r="H79"/>
  <c r="D79"/>
  <c r="J72"/>
  <c r="J71"/>
  <c r="J69"/>
  <c r="J61"/>
  <c r="J55"/>
  <c r="O55" s="1"/>
  <c r="J54"/>
  <c r="O54" s="1"/>
  <c r="J51"/>
  <c r="O51" s="1"/>
  <c r="J41"/>
  <c r="J39"/>
  <c r="J26"/>
  <c r="O24"/>
  <c r="J23"/>
  <c r="O22"/>
  <c r="J22"/>
  <c r="J17"/>
  <c r="O16"/>
  <c r="O32" s="1"/>
  <c r="J16"/>
  <c r="A15"/>
  <c r="A16" s="1"/>
  <c r="A17" s="1"/>
  <c r="A18" s="1"/>
  <c r="A19" s="1"/>
  <c r="A22" s="1"/>
  <c r="A23" s="1"/>
  <c r="A24" s="1"/>
  <c r="A25" s="1"/>
  <c r="A26" s="1"/>
  <c r="A27" s="1"/>
  <c r="A30" s="1"/>
  <c r="A31" s="1"/>
  <c r="A32" s="1"/>
  <c r="A33" s="1"/>
  <c r="A34" s="1"/>
  <c r="A35" s="1"/>
  <c r="O14"/>
  <c r="A24" i="12"/>
  <c r="A22"/>
  <c r="K14"/>
  <c r="J47" i="13" l="1"/>
  <c r="J24"/>
  <c r="J25"/>
  <c r="J33" s="1"/>
  <c r="I20" i="16"/>
  <c r="C14" i="20" s="1"/>
  <c r="G38" i="7" s="1"/>
  <c r="I38" s="1"/>
  <c r="F16" i="16"/>
  <c r="K16" s="1"/>
  <c r="G40" i="5"/>
  <c r="I40" s="1"/>
  <c r="J15" i="13"/>
  <c r="J31" s="1"/>
  <c r="J18"/>
  <c r="J70"/>
  <c r="J38"/>
  <c r="J40"/>
  <c r="J42"/>
  <c r="J49"/>
  <c r="O49" s="1"/>
  <c r="F66" i="17"/>
  <c r="J66"/>
  <c r="I70"/>
  <c r="H66"/>
  <c r="G70"/>
  <c r="K70"/>
  <c r="F45" i="14"/>
  <c r="J60" i="13"/>
  <c r="J62"/>
  <c r="F17" i="14"/>
  <c r="J34" i="13"/>
  <c r="J79"/>
  <c r="J78"/>
  <c r="F34" i="17"/>
  <c r="H34"/>
  <c r="J34"/>
  <c r="G34"/>
  <c r="I34"/>
  <c r="K47"/>
  <c r="K49" s="1"/>
  <c r="F23"/>
  <c r="F25" s="1"/>
  <c r="G66"/>
  <c r="F70"/>
  <c r="H70"/>
  <c r="J32" i="13"/>
  <c r="J73"/>
  <c r="I45" i="15" s="1"/>
  <c r="A38" i="13"/>
  <c r="A39" s="1"/>
  <c r="A40" s="1"/>
  <c r="A41" s="1"/>
  <c r="A42" s="1"/>
  <c r="A43" s="1"/>
  <c r="A47" s="1"/>
  <c r="A49" s="1"/>
  <c r="A51" s="1"/>
  <c r="A54" s="1"/>
  <c r="A55" s="1"/>
  <c r="A56" s="1"/>
  <c r="A59" s="1"/>
  <c r="A60" s="1"/>
  <c r="A61" s="1"/>
  <c r="A62" s="1"/>
  <c r="A63" s="1"/>
  <c r="A65" s="1"/>
  <c r="I14" i="15"/>
  <c r="A19" i="14"/>
  <c r="A20" s="1"/>
  <c r="A21" s="1"/>
  <c r="A22" s="1"/>
  <c r="A23" s="1"/>
  <c r="A24" s="1"/>
  <c r="A26" s="1"/>
  <c r="A27" s="1"/>
  <c r="A28" s="1"/>
  <c r="A30" s="1"/>
  <c r="A31" s="1"/>
  <c r="A32" s="1"/>
  <c r="A34" s="1"/>
  <c r="I27" i="16"/>
  <c r="K27" s="1"/>
  <c r="I25"/>
  <c r="K20"/>
  <c r="O30" i="13"/>
  <c r="D29" i="12"/>
  <c r="B32" i="16"/>
  <c r="B33" s="1"/>
  <c r="B34" s="1"/>
  <c r="B35" s="1"/>
  <c r="B36" s="1"/>
  <c r="B37" s="1"/>
  <c r="K25"/>
  <c r="A26" i="12"/>
  <c r="A28" s="1"/>
  <c r="J14" i="13"/>
  <c r="O56"/>
  <c r="I33" i="15"/>
  <c r="K37" i="16"/>
  <c r="F37"/>
  <c r="J75" i="13"/>
  <c r="I46" i="15" s="1"/>
  <c r="J81" i="13" l="1"/>
  <c r="I47" i="15" s="1"/>
  <c r="J43" i="13"/>
  <c r="J27"/>
  <c r="B34" i="14"/>
  <c r="I38" i="17"/>
  <c r="I37"/>
  <c r="H37"/>
  <c r="H38"/>
  <c r="G38"/>
  <c r="G37"/>
  <c r="J37"/>
  <c r="J38"/>
  <c r="F37"/>
  <c r="K34"/>
  <c r="F38"/>
  <c r="K39" i="16"/>
  <c r="M47" i="13" s="1"/>
  <c r="O47" s="1"/>
  <c r="K26" i="12"/>
  <c r="D30"/>
  <c r="A29"/>
  <c r="A30" s="1"/>
  <c r="D26"/>
  <c r="B39" i="16"/>
  <c r="L47" i="13" s="1"/>
  <c r="I48" i="15"/>
  <c r="F51" s="1"/>
  <c r="C48" i="14"/>
  <c r="A69" i="13"/>
  <c r="A70" s="1"/>
  <c r="A71" s="1"/>
  <c r="A72" s="1"/>
  <c r="A73" s="1"/>
  <c r="G52" i="15"/>
  <c r="J19" i="13"/>
  <c r="J30"/>
  <c r="J35" s="1"/>
  <c r="A37" i="14"/>
  <c r="A38" s="1"/>
  <c r="A39" s="1"/>
  <c r="A40" s="1"/>
  <c r="A43" s="1"/>
  <c r="A44" s="1"/>
  <c r="A45" s="1"/>
  <c r="A48" s="1"/>
  <c r="D59" i="13"/>
  <c r="F53" i="15"/>
  <c r="I53" s="1"/>
  <c r="G51"/>
  <c r="J83" i="13"/>
  <c r="D28" i="12"/>
  <c r="G39" i="17" l="1"/>
  <c r="G42" s="1"/>
  <c r="I39"/>
  <c r="I42" s="1"/>
  <c r="K38"/>
  <c r="H39"/>
  <c r="H42" s="1"/>
  <c r="G65"/>
  <c r="H65"/>
  <c r="F39"/>
  <c r="K37"/>
  <c r="J39"/>
  <c r="I51" i="15"/>
  <c r="F52"/>
  <c r="I52" s="1"/>
  <c r="A52" i="14"/>
  <c r="A53" s="1"/>
  <c r="A54" s="1"/>
  <c r="A56" s="1"/>
  <c r="A57" s="1"/>
  <c r="A75" i="13"/>
  <c r="G45" i="15"/>
  <c r="D32" i="12"/>
  <c r="A32"/>
  <c r="I65" i="17" l="1"/>
  <c r="C60" i="14"/>
  <c r="K39" i="17"/>
  <c r="K42" s="1"/>
  <c r="I54" i="15"/>
  <c r="F56" i="14" s="1"/>
  <c r="G45" i="6"/>
  <c r="I45" s="1"/>
  <c r="G29"/>
  <c r="I29" s="1"/>
  <c r="G27"/>
  <c r="I27" s="1"/>
  <c r="G22" i="5"/>
  <c r="I22" s="1"/>
  <c r="G34" i="6"/>
  <c r="I34" s="1"/>
  <c r="G30"/>
  <c r="I30" s="1"/>
  <c r="G24"/>
  <c r="I24" s="1"/>
  <c r="G21" i="4"/>
  <c r="I21" s="1"/>
  <c r="G35"/>
  <c r="I35" s="1"/>
  <c r="G57"/>
  <c r="I57" s="1"/>
  <c r="G22"/>
  <c r="I22" s="1"/>
  <c r="G42"/>
  <c r="I42" s="1"/>
  <c r="G23"/>
  <c r="I23" s="1"/>
  <c r="G38"/>
  <c r="I38" s="1"/>
  <c r="J65" i="17"/>
  <c r="J42"/>
  <c r="F65"/>
  <c r="F68" s="1"/>
  <c r="F42"/>
  <c r="K29" i="16" s="1"/>
  <c r="K29" i="12" s="1"/>
  <c r="I52" i="17"/>
  <c r="I53"/>
  <c r="H53"/>
  <c r="H52"/>
  <c r="G52"/>
  <c r="G53"/>
  <c r="A34" i="12"/>
  <c r="D34"/>
  <c r="G46" i="15"/>
  <c r="A78" i="13"/>
  <c r="A79" s="1"/>
  <c r="A80" s="1"/>
  <c r="A81" s="1"/>
  <c r="A58" i="14"/>
  <c r="A60" s="1"/>
  <c r="A61" s="1"/>
  <c r="A62" s="1"/>
  <c r="G54" i="17" l="1"/>
  <c r="G57" s="1"/>
  <c r="I54"/>
  <c r="I57" s="1"/>
  <c r="G63"/>
  <c r="G68" s="1"/>
  <c r="F72"/>
  <c r="F53"/>
  <c r="F52"/>
  <c r="J53"/>
  <c r="J52"/>
  <c r="H54"/>
  <c r="H57" s="1"/>
  <c r="A64" i="14"/>
  <c r="D13" i="12" s="1"/>
  <c r="B64" i="14"/>
  <c r="G47" i="15"/>
  <c r="A83" i="13"/>
  <c r="C83"/>
  <c r="D37" i="12"/>
  <c r="D38"/>
  <c r="A37"/>
  <c r="C61" i="14"/>
  <c r="J54" i="17" l="1"/>
  <c r="J57" s="1"/>
  <c r="H63"/>
  <c r="H68" s="1"/>
  <c r="G72"/>
  <c r="K53"/>
  <c r="K52"/>
  <c r="F54"/>
  <c r="F57" s="1"/>
  <c r="K57" s="1"/>
  <c r="D41" i="12"/>
  <c r="A38"/>
  <c r="K54" i="17" l="1"/>
  <c r="G36" i="6"/>
  <c r="I36" s="1"/>
  <c r="I63" i="17"/>
  <c r="I68" s="1"/>
  <c r="H72"/>
  <c r="D42" i="12"/>
  <c r="A41"/>
  <c r="A42" s="1"/>
  <c r="J63" i="17" l="1"/>
  <c r="J68" s="1"/>
  <c r="I72"/>
  <c r="K63" l="1"/>
  <c r="K68"/>
  <c r="K72" s="1"/>
  <c r="J72"/>
  <c r="G41" i="5" l="1"/>
  <c r="I41" s="1"/>
  <c r="G13" i="6"/>
  <c r="I13" s="1"/>
  <c r="G36" i="5"/>
  <c r="I36" s="1"/>
  <c r="G44" i="6"/>
  <c r="I44" s="1"/>
  <c r="G16"/>
  <c r="I16" s="1"/>
  <c r="G31" i="4"/>
  <c r="I31" s="1"/>
  <c r="G37" i="5"/>
  <c r="I37" s="1"/>
  <c r="G38"/>
  <c r="I38" s="1"/>
  <c r="G46" i="6"/>
  <c r="I46" s="1"/>
  <c r="G58" i="4"/>
  <c r="I58" s="1"/>
  <c r="G55"/>
  <c r="I55" s="1"/>
  <c r="J3" i="11" l="1"/>
  <c r="I16" i="15"/>
  <c r="I18" s="1"/>
  <c r="I22" l="1"/>
  <c r="I23" s="1"/>
  <c r="I17" i="14" s="1"/>
  <c r="K17" s="1"/>
  <c r="I20" i="15"/>
  <c r="Q60" i="3"/>
  <c r="K3" i="10"/>
  <c r="G50"/>
  <c r="F32" i="14" s="1"/>
  <c r="G81" i="9"/>
  <c r="G80"/>
  <c r="G82" s="1"/>
  <c r="G87" s="1"/>
  <c r="F17" i="12" s="1"/>
  <c r="G78" i="9"/>
  <c r="G3"/>
  <c r="G3" i="8"/>
  <c r="C15" i="20" l="1"/>
  <c r="M23" i="13"/>
  <c r="O23" s="1"/>
  <c r="I35" i="15"/>
  <c r="I37" i="14"/>
  <c r="K37" s="1"/>
  <c r="M15" i="13"/>
  <c r="O15" s="1"/>
  <c r="M60"/>
  <c r="O60" s="1"/>
  <c r="K17" i="12"/>
  <c r="D19" i="7"/>
  <c r="D44"/>
  <c r="D13"/>
  <c r="I3"/>
  <c r="D76" i="6"/>
  <c r="I3"/>
  <c r="D13" i="5"/>
  <c r="I3"/>
  <c r="D60" i="4"/>
  <c r="I3"/>
  <c r="O31" i="13" l="1"/>
  <c r="M45"/>
  <c r="I38" i="14"/>
  <c r="K38" s="1"/>
  <c r="I24"/>
  <c r="C8" i="20"/>
  <c r="I43" i="14"/>
  <c r="K43" s="1"/>
  <c r="M61" i="13"/>
  <c r="O61" s="1"/>
  <c r="I32" i="14"/>
  <c r="K32" s="1"/>
  <c r="M25" i="13"/>
  <c r="I39" i="14"/>
  <c r="K39" s="1"/>
  <c r="M17" i="13"/>
  <c r="D44" i="5"/>
  <c r="D47"/>
  <c r="D47" i="7"/>
  <c r="F24" i="14"/>
  <c r="F76" i="3"/>
  <c r="F75"/>
  <c r="F74"/>
  <c r="F73"/>
  <c r="F72"/>
  <c r="F71"/>
  <c r="F70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50" i="2"/>
  <c r="D27"/>
  <c r="B43" s="1"/>
  <c r="C26"/>
  <c r="B41" s="1"/>
  <c r="B48" s="1"/>
  <c r="B49" s="1"/>
  <c r="C20"/>
  <c r="C34" s="1"/>
  <c r="K24" i="14" l="1"/>
  <c r="K40"/>
  <c r="M18" i="13"/>
  <c r="O18" s="1"/>
  <c r="O17"/>
  <c r="O25"/>
  <c r="M26"/>
  <c r="O26" s="1"/>
  <c r="G51" i="6"/>
  <c r="I51" s="1"/>
  <c r="G39"/>
  <c r="I39" s="1"/>
  <c r="G19"/>
  <c r="I19" s="1"/>
  <c r="G50"/>
  <c r="I50" s="1"/>
  <c r="G17" i="4"/>
  <c r="I17" s="1"/>
  <c r="G45"/>
  <c r="I45" s="1"/>
  <c r="G15"/>
  <c r="I15" s="1"/>
  <c r="G53" i="6"/>
  <c r="I53" s="1"/>
  <c r="G37"/>
  <c r="I37" s="1"/>
  <c r="G18"/>
  <c r="I18" s="1"/>
  <c r="G19" i="4"/>
  <c r="I19" s="1"/>
  <c r="G37"/>
  <c r="I37" s="1"/>
  <c r="G20" i="6"/>
  <c r="I20" s="1"/>
  <c r="G29" i="4"/>
  <c r="I29" s="1"/>
  <c r="G20"/>
  <c r="I20" s="1"/>
  <c r="G48"/>
  <c r="I48" s="1"/>
  <c r="G62" i="6"/>
  <c r="I62" s="1"/>
  <c r="G66"/>
  <c r="I66" s="1"/>
  <c r="G70"/>
  <c r="I70" s="1"/>
  <c r="G59"/>
  <c r="I59" s="1"/>
  <c r="G61"/>
  <c r="I61" s="1"/>
  <c r="G65"/>
  <c r="I65" s="1"/>
  <c r="G51" i="4"/>
  <c r="I51" s="1"/>
  <c r="G28"/>
  <c r="I28" s="1"/>
  <c r="G42" i="6"/>
  <c r="I42" s="1"/>
  <c r="G32"/>
  <c r="I32" s="1"/>
  <c r="G21"/>
  <c r="I21" s="1"/>
  <c r="G31"/>
  <c r="I31" s="1"/>
  <c r="G24" i="4"/>
  <c r="I24" s="1"/>
  <c r="L21" i="22"/>
  <c r="N21" s="1"/>
  <c r="L27"/>
  <c r="N27" s="1"/>
  <c r="N28" s="1"/>
  <c r="L16"/>
  <c r="N16" s="1"/>
  <c r="G64" i="6"/>
  <c r="I64" s="1"/>
  <c r="G68"/>
  <c r="I68" s="1"/>
  <c r="G71"/>
  <c r="I71" s="1"/>
  <c r="G60"/>
  <c r="I60" s="1"/>
  <c r="G63"/>
  <c r="I63" s="1"/>
  <c r="G67"/>
  <c r="I67" s="1"/>
  <c r="G33"/>
  <c r="I33" s="1"/>
  <c r="G39" i="4"/>
  <c r="I39" s="1"/>
  <c r="G54" i="6"/>
  <c r="I54" s="1"/>
  <c r="G40"/>
  <c r="I40" s="1"/>
  <c r="G26"/>
  <c r="I26" s="1"/>
  <c r="G50" i="4"/>
  <c r="I50" s="1"/>
  <c r="G27"/>
  <c r="I27" s="1"/>
  <c r="G22" i="6"/>
  <c r="I22" s="1"/>
  <c r="G49" i="4"/>
  <c r="I49" s="1"/>
  <c r="G34"/>
  <c r="I34" s="1"/>
  <c r="L23" i="22"/>
  <c r="N23" s="1"/>
  <c r="L19"/>
  <c r="N19" s="1"/>
  <c r="L15"/>
  <c r="N15" s="1"/>
  <c r="L22"/>
  <c r="N22" s="1"/>
  <c r="L18"/>
  <c r="N18" s="1"/>
  <c r="L14"/>
  <c r="N14" s="1"/>
  <c r="G30" i="4"/>
  <c r="I30" s="1"/>
  <c r="G53"/>
  <c r="I53" s="1"/>
  <c r="G31" i="5"/>
  <c r="I31" s="1"/>
  <c r="L17" i="22"/>
  <c r="N17" s="1"/>
  <c r="L20"/>
  <c r="N20" s="1"/>
  <c r="G36" i="4"/>
  <c r="I36" s="1"/>
  <c r="G52" i="6"/>
  <c r="I52" s="1"/>
  <c r="G18" i="4"/>
  <c r="I18" s="1"/>
  <c r="G50" i="2"/>
  <c r="C35"/>
  <c r="B44" s="1"/>
  <c r="F16" i="12" l="1"/>
  <c r="K16" s="1"/>
  <c r="K18" s="1"/>
  <c r="O27" i="13"/>
  <c r="O34"/>
  <c r="O33"/>
  <c r="O19"/>
  <c r="M19" s="1"/>
  <c r="N24" i="22"/>
  <c r="N31" s="1"/>
  <c r="O45" i="13" s="1"/>
  <c r="G51" i="2"/>
  <c r="H30"/>
  <c r="D33"/>
  <c r="B45" s="1"/>
  <c r="D46"/>
  <c r="D44"/>
  <c r="B46"/>
  <c r="B51" s="1"/>
  <c r="F18" i="12" l="1"/>
  <c r="C7" i="20"/>
  <c r="I28" i="14"/>
  <c r="K28" s="1"/>
  <c r="K34" s="1"/>
  <c r="O59" i="13" s="1"/>
  <c r="I44" i="14"/>
  <c r="K44" s="1"/>
  <c r="K45" s="1"/>
  <c r="M62" i="13"/>
  <c r="O62" s="1"/>
  <c r="O35"/>
  <c r="B52" i="2"/>
  <c r="I31"/>
  <c r="H36"/>
  <c r="G52"/>
  <c r="I52" s="1"/>
  <c r="I51"/>
  <c r="I53" s="1"/>
  <c r="M35" i="13" l="1"/>
  <c r="O63"/>
  <c r="H37" i="2"/>
  <c r="I38" s="1"/>
  <c r="I35"/>
  <c r="D54"/>
  <c r="D52"/>
  <c r="G53"/>
  <c r="B54"/>
  <c r="I61" i="14" l="1"/>
  <c r="K61" s="1"/>
  <c r="C9" i="20"/>
  <c r="M42" i="13"/>
  <c r="O42" s="1"/>
  <c r="G54" i="2"/>
  <c r="G29" i="7" l="1"/>
  <c r="I29" s="1"/>
  <c r="G41"/>
  <c r="I41" s="1"/>
  <c r="G30"/>
  <c r="I30" s="1"/>
  <c r="G37"/>
  <c r="I37" s="1"/>
  <c r="G31"/>
  <c r="I31" s="1"/>
  <c r="G73" i="6"/>
  <c r="I73" s="1"/>
  <c r="G35" i="5"/>
  <c r="I35" s="1"/>
  <c r="G47" i="4"/>
  <c r="I47" s="1"/>
  <c r="G15" i="6"/>
  <c r="I15" s="1"/>
  <c r="G33" i="5"/>
  <c r="I33" s="1"/>
  <c r="G34"/>
  <c r="I34" s="1"/>
  <c r="G44" i="4"/>
  <c r="I44" s="1"/>
  <c r="G18" i="7"/>
  <c r="I18" s="1"/>
  <c r="G75" i="6"/>
  <c r="I75" s="1"/>
  <c r="G34" i="7"/>
  <c r="I34" s="1"/>
  <c r="G33"/>
  <c r="I33" s="1"/>
  <c r="G42"/>
  <c r="I42" s="1"/>
  <c r="G18" i="5"/>
  <c r="I18" s="1"/>
  <c r="G46" i="4"/>
  <c r="I46" s="1"/>
  <c r="G52"/>
  <c r="I52" s="1"/>
  <c r="G49" i="6"/>
  <c r="I49" s="1"/>
  <c r="G48"/>
  <c r="I48" s="1"/>
  <c r="G17"/>
  <c r="I17" s="1"/>
  <c r="G16" i="4"/>
  <c r="I16" s="1"/>
  <c r="G35" i="7"/>
  <c r="I35" s="1"/>
  <c r="G42" i="5"/>
  <c r="I42" s="1"/>
  <c r="G43" i="7"/>
  <c r="I43" s="1"/>
  <c r="G43" i="5"/>
  <c r="I43" s="1"/>
  <c r="G47" i="6"/>
  <c r="I47" s="1"/>
  <c r="G15" i="7"/>
  <c r="I15" s="1"/>
  <c r="G15" i="5"/>
  <c r="I15" s="1"/>
  <c r="I19" s="1"/>
  <c r="G28" i="6"/>
  <c r="I28" s="1"/>
  <c r="G59" i="4"/>
  <c r="I59" s="1"/>
  <c r="G13"/>
  <c r="I13" s="1"/>
  <c r="G56" i="2"/>
  <c r="G55"/>
  <c r="I55" s="1"/>
  <c r="I54"/>
  <c r="I56" s="1"/>
  <c r="I60" i="4" l="1"/>
  <c r="I19" i="7"/>
  <c r="O40" i="13" s="1"/>
  <c r="I44" i="7"/>
  <c r="I44" i="5"/>
  <c r="I76" i="6"/>
  <c r="G57" i="2"/>
  <c r="O38" i="13" l="1"/>
  <c r="I47" i="7"/>
  <c r="I47" i="5"/>
  <c r="O41" i="13"/>
  <c r="G59" i="2"/>
  <c r="G58"/>
  <c r="I58" s="1"/>
  <c r="I57"/>
  <c r="I59" s="1"/>
  <c r="O43" i="13" l="1"/>
  <c r="O65" s="1"/>
  <c r="G60" i="2"/>
  <c r="K48" i="14" l="1"/>
  <c r="K60" s="1"/>
  <c r="K62" s="1"/>
  <c r="K64" s="1"/>
  <c r="K13" i="12" s="1"/>
  <c r="K24" s="1"/>
  <c r="K28" s="1"/>
  <c r="K30" s="1"/>
  <c r="K32" s="1"/>
  <c r="K34" s="1"/>
  <c r="G62" i="2"/>
  <c r="G61"/>
  <c r="I61" s="1"/>
  <c r="I60"/>
  <c r="I62" s="1"/>
  <c r="K38" i="12" l="1"/>
  <c r="K42" s="1"/>
  <c r="K37"/>
  <c r="K41" s="1"/>
  <c r="G65" i="2"/>
  <c r="G63"/>
  <c r="G64" l="1"/>
  <c r="I64" s="1"/>
  <c r="I65" s="1"/>
  <c r="I44" s="1"/>
  <c r="H45" s="1"/>
  <c r="I63"/>
  <c r="I66" s="1"/>
  <c r="G66"/>
  <c r="H42"/>
  <c r="I43" s="1"/>
</calcChain>
</file>

<file path=xl/comments1.xml><?xml version="1.0" encoding="utf-8"?>
<comments xmlns="http://schemas.openxmlformats.org/spreadsheetml/2006/main">
  <authors>
    <author>LMiller</author>
  </authors>
  <commentList>
    <comment ref="H51" authorId="0">
      <text>
        <r>
          <rPr>
            <b/>
            <sz val="8"/>
            <color indexed="81"/>
            <rFont val="Tahoma"/>
            <family val="2"/>
          </rPr>
          <t>LMiller:</t>
        </r>
        <r>
          <rPr>
            <sz val="8"/>
            <color indexed="81"/>
            <rFont val="Tahoma"/>
            <family val="2"/>
          </rPr>
          <t xml:space="preserve">
see CWIP file for support</t>
        </r>
      </text>
    </comment>
  </commentList>
</comments>
</file>

<file path=xl/comments2.xml><?xml version="1.0" encoding="utf-8"?>
<comments xmlns="http://schemas.openxmlformats.org/spreadsheetml/2006/main">
  <authors>
    <author>LMiller</author>
  </authors>
  <commentList>
    <comment ref="F27" authorId="0">
      <text>
        <r>
          <rPr>
            <b/>
            <sz val="8"/>
            <color indexed="81"/>
            <rFont val="Tahoma"/>
            <family val="2"/>
          </rPr>
          <t>LMiller:</t>
        </r>
        <r>
          <rPr>
            <sz val="8"/>
            <color indexed="81"/>
            <rFont val="Tahoma"/>
            <family val="2"/>
          </rPr>
          <t xml:space="preserve">
comprised of $6,000,000 annual accrual (ended 12/31/09) and acc 9240001</t>
        </r>
      </text>
    </comment>
  </commentList>
</comments>
</file>

<file path=xl/comments3.xml><?xml version="1.0" encoding="utf-8"?>
<comments xmlns="http://schemas.openxmlformats.org/spreadsheetml/2006/main">
  <authors>
    <author>:</author>
  </authors>
  <commentList>
    <comment ref="G57" authorId="0">
      <text>
        <r>
          <rPr>
            <sz val="8"/>
            <color indexed="81"/>
            <rFont val="Tahoma"/>
            <family val="2"/>
          </rPr>
          <t xml:space="preserve">Hyundai contract was 3.15M plus 20% for Work order ovrhds then divided by 500MW times 250MW for the steam turbine
</t>
        </r>
      </text>
    </comment>
    <comment ref="G58" authorId="0">
      <text>
        <r>
          <rPr>
            <sz val="8"/>
            <color indexed="81"/>
            <rFont val="Tahoma"/>
            <family val="2"/>
          </rPr>
          <t xml:space="preserve">Hyundai contract was 3.15M plus 20% for Work order ovrhds then divided by 500MW times 250MW for the CT's
</t>
        </r>
      </text>
    </comment>
    <comment ref="G59" authorId="0">
      <text>
        <r>
          <rPr>
            <sz val="8"/>
            <color indexed="81"/>
            <rFont val="Tahoma"/>
            <family val="2"/>
          </rPr>
          <t xml:space="preserve">Hyundai contract was 3.15M plus 20% for Work order ovrhds then divided by 500MW times 250MW for the CT's
</t>
        </r>
      </text>
    </comment>
    <comment ref="G60" authorId="0">
      <text>
        <r>
          <rPr>
            <sz val="8"/>
            <color indexed="81"/>
            <rFont val="Tahoma"/>
            <family val="2"/>
          </rPr>
          <t xml:space="preserve">the total for Hines from PP detail worksheet minus assumed for Hines 1 then 250 of 500MW to Steam turbine
</t>
        </r>
      </text>
    </comment>
    <comment ref="G61" authorId="0">
      <text>
        <r>
          <rPr>
            <sz val="8"/>
            <color indexed="81"/>
            <rFont val="Tahoma"/>
            <family val="2"/>
          </rPr>
          <t xml:space="preserve">the total for Hines from PP detail worksheet minus assumed for Hines 1 then 250 of 500MW to CT's
</t>
        </r>
      </text>
    </comment>
    <comment ref="G62" authorId="0">
      <text>
        <r>
          <rPr>
            <sz val="8"/>
            <color indexed="81"/>
            <rFont val="Tahoma"/>
            <family val="2"/>
          </rPr>
          <t xml:space="preserve">the total for Hines from PP detail worksheet minus assumed for Hines 1 then 250 of 500MW to CT's
</t>
        </r>
      </text>
    </comment>
  </commentList>
</comments>
</file>

<file path=xl/comments4.xml><?xml version="1.0" encoding="utf-8"?>
<comments xmlns="http://schemas.openxmlformats.org/spreadsheetml/2006/main">
  <authors>
    <author>:</author>
  </authors>
  <commentList>
    <comment ref="F24" authorId="0">
      <text>
        <r>
          <rPr>
            <sz val="8"/>
            <color indexed="81"/>
            <rFont val="Tahoma"/>
            <family val="2"/>
          </rPr>
          <t>per Rob Traylor
don’t remove the 1958 asset as we need the accum reserve, ignore the dep exp on the 6609 immat</t>
        </r>
      </text>
    </comment>
  </commentList>
</comments>
</file>

<file path=xl/comments5.xml><?xml version="1.0" encoding="utf-8"?>
<comments xmlns="http://schemas.openxmlformats.org/spreadsheetml/2006/main">
  <authors>
    <author>LMiller</author>
  </authors>
  <commentList>
    <comment ref="H22" authorId="0">
      <text>
        <r>
          <rPr>
            <b/>
            <sz val="8"/>
            <color indexed="81"/>
            <rFont val="Tahoma"/>
            <family val="2"/>
          </rPr>
          <t>LMiller:</t>
        </r>
        <r>
          <rPr>
            <sz val="8"/>
            <color indexed="81"/>
            <rFont val="Tahoma"/>
            <family val="2"/>
          </rPr>
          <t xml:space="preserve">
excludes ARO</t>
        </r>
      </text>
    </comment>
    <comment ref="J22" authorId="0">
      <text>
        <r>
          <rPr>
            <b/>
            <sz val="8"/>
            <color indexed="81"/>
            <rFont val="Tahoma"/>
            <family val="2"/>
          </rPr>
          <t>LMiller:</t>
        </r>
        <r>
          <rPr>
            <sz val="8"/>
            <color indexed="81"/>
            <rFont val="Tahoma"/>
            <family val="2"/>
          </rPr>
          <t xml:space="preserve">
excludes ARO</t>
        </r>
      </text>
    </comment>
    <comment ref="J23" authorId="0">
      <text>
        <r>
          <rPr>
            <b/>
            <sz val="8"/>
            <color indexed="81"/>
            <rFont val="Tahoma"/>
            <family val="2"/>
          </rPr>
          <t>LMiller:</t>
        </r>
        <r>
          <rPr>
            <sz val="8"/>
            <color indexed="81"/>
            <rFont val="Tahoma"/>
            <family val="2"/>
          </rPr>
          <t xml:space="preserve">
excludes 50% of contra AFUDC related to Bartow in-service in 2009 - see CWIP file for support</t>
        </r>
      </text>
    </comment>
    <comment ref="H25" authorId="0">
      <text>
        <r>
          <rPr>
            <b/>
            <sz val="8"/>
            <color indexed="81"/>
            <rFont val="Tahoma"/>
            <family val="2"/>
          </rPr>
          <t>LMiller:</t>
        </r>
        <r>
          <rPr>
            <sz val="8"/>
            <color indexed="81"/>
            <rFont val="Tahoma"/>
            <family val="2"/>
          </rPr>
          <t xml:space="preserve">
excludes ARO</t>
        </r>
      </text>
    </comment>
    <comment ref="J25" authorId="0">
      <text>
        <r>
          <rPr>
            <b/>
            <sz val="8"/>
            <color indexed="81"/>
            <rFont val="Tahoma"/>
            <family val="2"/>
          </rPr>
          <t>LMiller:</t>
        </r>
        <r>
          <rPr>
            <sz val="8"/>
            <color indexed="81"/>
            <rFont val="Tahoma"/>
            <family val="2"/>
          </rPr>
          <t xml:space="preserve">
excludes ARO</t>
        </r>
      </text>
    </comment>
    <comment ref="J26" authorId="0">
      <text>
        <r>
          <rPr>
            <b/>
            <sz val="8"/>
            <color indexed="81"/>
            <rFont val="Tahoma"/>
            <family val="2"/>
          </rPr>
          <t>LMiller:</t>
        </r>
        <r>
          <rPr>
            <sz val="8"/>
            <color indexed="81"/>
            <rFont val="Tahoma"/>
            <family val="2"/>
          </rPr>
          <t xml:space="preserve">
FF1 ref: 214.2.d, 214.3.d, 214.4.d, 214.22.d</t>
        </r>
      </text>
    </comment>
    <comment ref="J62" authorId="0">
      <text>
        <r>
          <rPr>
            <b/>
            <sz val="8"/>
            <color indexed="81"/>
            <rFont val="Tahoma"/>
            <family val="2"/>
          </rPr>
          <t>LMiller:</t>
        </r>
        <r>
          <rPr>
            <sz val="8"/>
            <color indexed="81"/>
            <rFont val="Tahoma"/>
            <family val="2"/>
          </rPr>
          <t xml:space="preserve">
adjusted to move Chattahoochee and SEPA into Other LT Firm, and add amount equal to CR3 Joint Owner to avoid double-counting</t>
        </r>
      </text>
    </comment>
    <comment ref="J65" authorId="0">
      <text>
        <r>
          <rPr>
            <b/>
            <sz val="8"/>
            <color indexed="81"/>
            <rFont val="Tahoma"/>
            <family val="2"/>
          </rPr>
          <t>LMiller:</t>
        </r>
        <r>
          <rPr>
            <sz val="8"/>
            <color indexed="81"/>
            <rFont val="Tahoma"/>
            <family val="2"/>
          </rPr>
          <t xml:space="preserve">
adjusted to move Chattahoochee and SEPA into Other LT Firm, and add amount equal to CR3 Joint Owner to avoid double-counting</t>
        </r>
      </text>
    </comment>
  </commentList>
</comments>
</file>

<file path=xl/sharedStrings.xml><?xml version="1.0" encoding="utf-8"?>
<sst xmlns="http://schemas.openxmlformats.org/spreadsheetml/2006/main" count="1581" uniqueCount="920">
  <si>
    <t>Line</t>
  </si>
  <si>
    <t>Balance</t>
  </si>
  <si>
    <t>Beginning</t>
  </si>
  <si>
    <t>Exhibit PEF - 6</t>
  </si>
  <si>
    <t>Page 3 of 3</t>
  </si>
  <si>
    <t>PROGRESS ENERGY FLORIDA</t>
  </si>
  <si>
    <t>PREPAYMENTS FOR NETWORK UPGRADES</t>
  </si>
  <si>
    <t>252 Customer advances for construction.</t>
  </si>
  <si>
    <t>This account shall include advances by customers for construction which are to be</t>
  </si>
  <si>
    <t>refunded either wholly or in part. When a customer is refunded the entire amount to</t>
  </si>
  <si>
    <t>which he is entitled, according to the agreement or rule under which the advance was</t>
  </si>
  <si>
    <t>made the balance, if any, remaining in this account shall be credited to the respective</t>
  </si>
  <si>
    <t>plant account.</t>
  </si>
  <si>
    <t>EXAMPLE</t>
  </si>
  <si>
    <t>NETWORK UPGRADE COST</t>
  </si>
  <si>
    <t>DEPRECIABLE LIFE</t>
  </si>
  <si>
    <t>40-YRS</t>
  </si>
  <si>
    <t>ANNUAL FERC INTEREST RATE</t>
  </si>
  <si>
    <t>ANNUALLY</t>
  </si>
  <si>
    <t>REFUND OVER 5 -YRS</t>
  </si>
  <si>
    <t>SCENARIO 1:</t>
  </si>
  <si>
    <t>SCENARIO 2:</t>
  </si>
  <si>
    <t>RECOVERY OF INTEREST:  PER AGREEMENT WITH CUSTOMERS, INTEREST</t>
  </si>
  <si>
    <t>YEAR OF IN-SERVICE:</t>
  </si>
  <si>
    <t>WILL BE RECOVERED UPON PAYMENT AND NOT AS ACCRUED.  THIS WILL</t>
  </si>
  <si>
    <t>DESCRIPTION</t>
  </si>
  <si>
    <t>FERC</t>
  </si>
  <si>
    <t>DEBIT</t>
  </si>
  <si>
    <t>CREDIT</t>
  </si>
  <si>
    <t>CREATE A REGULATORY ASSET TO RECOGNIZE THE DEFERRED COST</t>
  </si>
  <si>
    <t>ELEC. PLNT IN-SVC</t>
  </si>
  <si>
    <t>RECOVERY.</t>
  </si>
  <si>
    <t>CUSTOMER ADVANCES</t>
  </si>
  <si>
    <t>1st REFUND:</t>
  </si>
  <si>
    <t>CASH</t>
  </si>
  <si>
    <t>YR-1 NO REFUND:</t>
  </si>
  <si>
    <t>INTEREST EXP</t>
  </si>
  <si>
    <t>INTEREST ACCRUED</t>
  </si>
  <si>
    <r>
      <t xml:space="preserve">REG ASSET </t>
    </r>
    <r>
      <rPr>
        <sz val="8"/>
        <rFont val="Arial"/>
        <family val="2"/>
      </rPr>
      <t>(INTEREST ACCRUED)</t>
    </r>
  </si>
  <si>
    <t>RATE BASE</t>
  </si>
  <si>
    <t>EXPENSE</t>
  </si>
  <si>
    <t>INTEREST ACCRUED DEFERRAL</t>
  </si>
  <si>
    <t>YR-5 WITH REFUND:</t>
  </si>
  <si>
    <r>
      <t xml:space="preserve">FORMULA INPUT - EPIS </t>
    </r>
    <r>
      <rPr>
        <b/>
        <vertAlign val="subscript"/>
        <sz val="10"/>
        <rFont val="Arial"/>
        <family val="2"/>
      </rPr>
      <t>YR-1</t>
    </r>
  </si>
  <si>
    <t>BEGINNING BAL.</t>
  </si>
  <si>
    <r>
      <t xml:space="preserve">INTEREST EXPENSE </t>
    </r>
    <r>
      <rPr>
        <vertAlign val="subscript"/>
        <sz val="10"/>
        <rFont val="Arial"/>
        <family val="2"/>
      </rPr>
      <t>YR-1</t>
    </r>
  </si>
  <si>
    <r>
      <t xml:space="preserve">REFUND </t>
    </r>
    <r>
      <rPr>
        <vertAlign val="subscript"/>
        <sz val="10"/>
        <rFont val="Arial"/>
        <family val="2"/>
      </rPr>
      <t>YR-1</t>
    </r>
  </si>
  <si>
    <r>
      <t xml:space="preserve">FORMULA INPUT </t>
    </r>
    <r>
      <rPr>
        <b/>
        <vertAlign val="subscript"/>
        <sz val="10"/>
        <rFont val="Arial"/>
        <family val="2"/>
      </rPr>
      <t>YR-1</t>
    </r>
  </si>
  <si>
    <r>
      <t xml:space="preserve">FORMULA INPUT - EPIS </t>
    </r>
    <r>
      <rPr>
        <b/>
        <vertAlign val="subscript"/>
        <sz val="10"/>
        <rFont val="Arial"/>
        <family val="2"/>
      </rPr>
      <t>YR-2</t>
    </r>
  </si>
  <si>
    <r>
      <t xml:space="preserve">FORMULA ACCUM. DEP </t>
    </r>
    <r>
      <rPr>
        <b/>
        <vertAlign val="subscript"/>
        <sz val="10"/>
        <rFont val="Arial"/>
        <family val="2"/>
      </rPr>
      <t>YR-2</t>
    </r>
  </si>
  <si>
    <t>IF NOT REFUNDED UNTIL YR 5, THAN:</t>
  </si>
  <si>
    <r>
      <t xml:space="preserve">INTEREST ACCRUED </t>
    </r>
    <r>
      <rPr>
        <vertAlign val="subscript"/>
        <sz val="10"/>
        <rFont val="Arial"/>
        <family val="2"/>
      </rPr>
      <t>YR-1</t>
    </r>
  </si>
  <si>
    <r>
      <t xml:space="preserve">INTEREST EXPENSE </t>
    </r>
    <r>
      <rPr>
        <vertAlign val="subscript"/>
        <sz val="10"/>
        <rFont val="Arial"/>
        <family val="2"/>
      </rPr>
      <t>YR-2</t>
    </r>
  </si>
  <si>
    <r>
      <t>REG. ASSET</t>
    </r>
    <r>
      <rPr>
        <sz val="8"/>
        <rFont val="Arial"/>
        <family val="2"/>
      </rPr>
      <t xml:space="preserve"> (INTEREST ACCRUED) </t>
    </r>
    <r>
      <rPr>
        <vertAlign val="subscript"/>
        <sz val="10"/>
        <rFont val="Arial"/>
        <family val="2"/>
      </rPr>
      <t>YR-1</t>
    </r>
  </si>
  <si>
    <r>
      <t xml:space="preserve">REFUND </t>
    </r>
    <r>
      <rPr>
        <vertAlign val="subscript"/>
        <sz val="10"/>
        <rFont val="Arial"/>
        <family val="2"/>
      </rPr>
      <t>YR-2</t>
    </r>
  </si>
  <si>
    <t xml:space="preserve"> </t>
  </si>
  <si>
    <r>
      <t xml:space="preserve">FORMULA INPUT </t>
    </r>
    <r>
      <rPr>
        <b/>
        <vertAlign val="subscript"/>
        <sz val="10"/>
        <rFont val="Arial"/>
        <family val="2"/>
      </rPr>
      <t>YR-2</t>
    </r>
  </si>
  <si>
    <r>
      <t xml:space="preserve">INTEREST ACCRUED </t>
    </r>
    <r>
      <rPr>
        <vertAlign val="subscript"/>
        <sz val="10"/>
        <rFont val="Arial"/>
        <family val="2"/>
      </rPr>
      <t>YR-2</t>
    </r>
  </si>
  <si>
    <r>
      <t>REG. ASSET</t>
    </r>
    <r>
      <rPr>
        <sz val="8"/>
        <rFont val="Arial"/>
        <family val="2"/>
      </rPr>
      <t xml:space="preserve"> (INTEREST ACCRUED) </t>
    </r>
    <r>
      <rPr>
        <vertAlign val="subscript"/>
        <sz val="10"/>
        <rFont val="Arial"/>
        <family val="2"/>
      </rPr>
      <t>YR-2</t>
    </r>
  </si>
  <si>
    <r>
      <t xml:space="preserve">INTEREST ACCRUED </t>
    </r>
    <r>
      <rPr>
        <vertAlign val="subscript"/>
        <sz val="10"/>
        <rFont val="Arial"/>
        <family val="2"/>
      </rPr>
      <t>YR-3</t>
    </r>
  </si>
  <si>
    <r>
      <t>REG. ASSET</t>
    </r>
    <r>
      <rPr>
        <sz val="8"/>
        <rFont val="Arial"/>
        <family val="2"/>
      </rPr>
      <t xml:space="preserve"> (INTEREST ACCRUED) </t>
    </r>
    <r>
      <rPr>
        <vertAlign val="subscript"/>
        <sz val="10"/>
        <rFont val="Arial"/>
        <family val="2"/>
      </rPr>
      <t>YR-3</t>
    </r>
  </si>
  <si>
    <r>
      <t xml:space="preserve">FORMULA INPUT </t>
    </r>
    <r>
      <rPr>
        <b/>
        <vertAlign val="subscript"/>
        <sz val="10"/>
        <rFont val="Arial"/>
        <family val="2"/>
      </rPr>
      <t>YR-3</t>
    </r>
  </si>
  <si>
    <r>
      <t xml:space="preserve">INTEREST ACCRUED </t>
    </r>
    <r>
      <rPr>
        <vertAlign val="subscript"/>
        <sz val="10"/>
        <rFont val="Arial"/>
        <family val="2"/>
      </rPr>
      <t>YR-4</t>
    </r>
  </si>
  <si>
    <r>
      <t>REG. ASSET</t>
    </r>
    <r>
      <rPr>
        <sz val="8"/>
        <rFont val="Arial"/>
        <family val="2"/>
      </rPr>
      <t xml:space="preserve"> (INTEREST ACCRUED) </t>
    </r>
    <r>
      <rPr>
        <vertAlign val="subscript"/>
        <sz val="10"/>
        <rFont val="Arial"/>
        <family val="2"/>
      </rPr>
      <t>YR-4</t>
    </r>
  </si>
  <si>
    <r>
      <t xml:space="preserve">FORMULA INPUT </t>
    </r>
    <r>
      <rPr>
        <b/>
        <vertAlign val="subscript"/>
        <sz val="10"/>
        <rFont val="Arial"/>
        <family val="2"/>
      </rPr>
      <t>YR-4</t>
    </r>
  </si>
  <si>
    <r>
      <t xml:space="preserve">INTEREST ACCRUED </t>
    </r>
    <r>
      <rPr>
        <vertAlign val="subscript"/>
        <sz val="10"/>
        <rFont val="Arial"/>
        <family val="2"/>
      </rPr>
      <t>YR-5</t>
    </r>
  </si>
  <si>
    <r>
      <t>REG. ASSET</t>
    </r>
    <r>
      <rPr>
        <sz val="8"/>
        <rFont val="Arial"/>
        <family val="2"/>
      </rPr>
      <t xml:space="preserve"> (INTEREST ACCRUED) </t>
    </r>
    <r>
      <rPr>
        <vertAlign val="subscript"/>
        <sz val="10"/>
        <rFont val="Arial"/>
        <family val="2"/>
      </rPr>
      <t>YR-5</t>
    </r>
  </si>
  <si>
    <r>
      <t xml:space="preserve">REFUND </t>
    </r>
    <r>
      <rPr>
        <vertAlign val="subscript"/>
        <sz val="10"/>
        <rFont val="Arial"/>
        <family val="2"/>
      </rPr>
      <t>YR-5</t>
    </r>
  </si>
  <si>
    <r>
      <t xml:space="preserve">FORMULA INPUT </t>
    </r>
    <r>
      <rPr>
        <b/>
        <vertAlign val="subscript"/>
        <sz val="10"/>
        <rFont val="Arial"/>
        <family val="2"/>
      </rPr>
      <t>YR-5</t>
    </r>
  </si>
  <si>
    <t>Page 1 of 3</t>
  </si>
  <si>
    <t>PROGRESS ENERGY FLORIDA, INC.</t>
  </si>
  <si>
    <t>Transmission Rate Formula Support - List of Inputs from FERC Form-1</t>
  </si>
  <si>
    <t>Page</t>
  </si>
  <si>
    <t>Row</t>
  </si>
  <si>
    <t>Column</t>
  </si>
  <si>
    <t>Description</t>
  </si>
  <si>
    <t>Reference</t>
  </si>
  <si>
    <t>Beginning Balance</t>
  </si>
  <si>
    <t>Ending Balance or Annual Value</t>
  </si>
  <si>
    <t>c&amp;d</t>
  </si>
  <si>
    <t>Prepayments</t>
  </si>
  <si>
    <t>Loss on Reacquired Debt</t>
  </si>
  <si>
    <t>Preferred Stock Issued</t>
  </si>
  <si>
    <t>Account 216.1</t>
  </si>
  <si>
    <t>Proprietary Capital</t>
  </si>
  <si>
    <t>Long Term Debt</t>
  </si>
  <si>
    <t>Gain on Reacquired Debt</t>
  </si>
  <si>
    <t>c</t>
  </si>
  <si>
    <t>Long Term Interest Expense</t>
  </si>
  <si>
    <t>Preferred Dividends (positive)</t>
  </si>
  <si>
    <t>Intangible Amort. Reserve</t>
  </si>
  <si>
    <t>b&amp;g</t>
  </si>
  <si>
    <t>Intangible Plant</t>
  </si>
  <si>
    <t xml:space="preserve">Production Plant </t>
  </si>
  <si>
    <t>Transmission Plant</t>
  </si>
  <si>
    <t>Distribution Plant</t>
  </si>
  <si>
    <t>General Plant</t>
  </si>
  <si>
    <t>d</t>
  </si>
  <si>
    <t>Plant Held for Future Use (Trans. Only)</t>
  </si>
  <si>
    <t>20 thru 24</t>
  </si>
  <si>
    <t>Production Depr. Reserve</t>
  </si>
  <si>
    <t>Transmission Depr. Reserve</t>
  </si>
  <si>
    <t>Distribution Depr. Reserve</t>
  </si>
  <si>
    <t>General Depr. Reserve</t>
  </si>
  <si>
    <t>b&amp;c</t>
  </si>
  <si>
    <t>M&amp;S - Transmission</t>
  </si>
  <si>
    <t>M&amp;S - Stores Expense</t>
  </si>
  <si>
    <t>230a</t>
  </si>
  <si>
    <t>b</t>
  </si>
  <si>
    <t>Total Extraordniary Property Loss - Wholesale</t>
  </si>
  <si>
    <t>e</t>
  </si>
  <si>
    <t>f</t>
  </si>
  <si>
    <t>Extraordinary Property Losses - Balance</t>
  </si>
  <si>
    <t>ADIT - 190</t>
  </si>
  <si>
    <t>i</t>
  </si>
  <si>
    <t>Other Taxes - FICA</t>
  </si>
  <si>
    <t>Other Taxes - Federal Unemployment</t>
  </si>
  <si>
    <t>Other Taxes - Highway Use</t>
  </si>
  <si>
    <t>Other Taxes - State Unemployment</t>
  </si>
  <si>
    <t>Other Taxes - Intangibles</t>
  </si>
  <si>
    <t>Other Taxes - Property County &amp; Local</t>
  </si>
  <si>
    <t>Amortized ITC (Negative)</t>
  </si>
  <si>
    <t>b&amp;h</t>
  </si>
  <si>
    <t>Accum Deferred ITC - 255 (Negative)</t>
  </si>
  <si>
    <t>b&amp;k</t>
  </si>
  <si>
    <t>ADIT - 281 (Negative)</t>
  </si>
  <si>
    <t>ADIT - 282 (Negative)</t>
  </si>
  <si>
    <t>ADIT - 283  Excluding FAS 109 (Neg.)</t>
  </si>
  <si>
    <t>84 thru 92</t>
  </si>
  <si>
    <t>(565) Transmission of Electricity by Others</t>
  </si>
  <si>
    <t>TOTAL Transmission Expenses</t>
  </si>
  <si>
    <t>(924) Property Insurance</t>
  </si>
  <si>
    <t>(928) Regulatory Commission Expenses</t>
  </si>
  <si>
    <t>(930.1) General Advertising Expenses</t>
  </si>
  <si>
    <t xml:space="preserve">Total Admin &amp; General Expenses </t>
  </si>
  <si>
    <t>Industry Association Dues</t>
  </si>
  <si>
    <t>Intangible Amortization</t>
  </si>
  <si>
    <t>Transmission Depr. Expense</t>
  </si>
  <si>
    <t>General Depr. Expense</t>
  </si>
  <si>
    <t>Transmission O&amp;M Labor</t>
  </si>
  <si>
    <t>A&amp;G Labor</t>
  </si>
  <si>
    <t>Total Direct Payroll - O&amp;M Labor</t>
  </si>
  <si>
    <t>Firm Network Service for Self</t>
  </si>
  <si>
    <t>Firm Network Service for Others</t>
  </si>
  <si>
    <t>g</t>
  </si>
  <si>
    <t>Long-Term Firm P-t-P Reservations</t>
  </si>
  <si>
    <t>h</t>
  </si>
  <si>
    <t>Other Long-Term Firm Service</t>
  </si>
  <si>
    <t>Short-Term Firm P-t-P Reservations</t>
  </si>
  <si>
    <t>Rate Base Items from Prior Year Form 1 (Year End Value Where Not Available as Beginning Balance Above)</t>
  </si>
  <si>
    <t>Plant Held for Future Use (Trans Only)</t>
  </si>
  <si>
    <t>Year Ending 12/31/2008</t>
  </si>
  <si>
    <t>Total Extraordinary Property Loss - Wholesale</t>
  </si>
  <si>
    <t>Exhibit PEF - 5</t>
  </si>
  <si>
    <t>Page 1 of 4</t>
  </si>
  <si>
    <t>Accumulated Deferred Tax Detail - Prior Year</t>
  </si>
  <si>
    <t>Accumulated Deferred</t>
  </si>
  <si>
    <t>Allocator</t>
  </si>
  <si>
    <t>Factor</t>
  </si>
  <si>
    <t>Result</t>
  </si>
  <si>
    <t>Account</t>
  </si>
  <si>
    <t>Accumulated Provision for Uncollect Accounts</t>
  </si>
  <si>
    <t>Retail</t>
  </si>
  <si>
    <t xml:space="preserve"> Inventory Reserve</t>
  </si>
  <si>
    <t>NP</t>
  </si>
  <si>
    <t xml:space="preserve"> Interest On Income Tax Deficiency</t>
  </si>
  <si>
    <t>Other</t>
  </si>
  <si>
    <t>Deferred Rent - Exit Costs</t>
  </si>
  <si>
    <t>LABOR</t>
  </si>
  <si>
    <t xml:space="preserve"> Curr &amp; Accr Liab - FPC LTD</t>
  </si>
  <si>
    <t xml:space="preserve"> Curr &amp; Accr Liab - Severance</t>
  </si>
  <si>
    <t>Curr &amp; Accr Liab Workers Comp</t>
  </si>
  <si>
    <t>IRU Indemnification - ST</t>
  </si>
  <si>
    <t>Misc C&amp;A MICP/ECIP/RCIP</t>
  </si>
  <si>
    <t>Prod</t>
  </si>
  <si>
    <t xml:space="preserve"> Emmission Allowances</t>
  </si>
  <si>
    <t>PROD</t>
  </si>
  <si>
    <t xml:space="preserve"> Unbilled Revenue - Service Charge /Equip Rent</t>
  </si>
  <si>
    <t>Unbilled Revenue - Recovery Clauses</t>
  </si>
  <si>
    <t>Accrued Vacation Pay</t>
  </si>
  <si>
    <t>Sales Tax Reserve - Audit reserves</t>
  </si>
  <si>
    <t>State Income Tax - Federal Timing</t>
  </si>
  <si>
    <t xml:space="preserve"> Workman's Comp Reserve</t>
  </si>
  <si>
    <t xml:space="preserve"> Claims Reserve</t>
  </si>
  <si>
    <t>SERP/Deferred SERP/MIC Plan</t>
  </si>
  <si>
    <t>FPC LONG TERM DISABILITY PLAN</t>
  </si>
  <si>
    <t>Last Core Nuclear Fuel</t>
  </si>
  <si>
    <t>EOL Nuclear M&amp;S</t>
  </si>
  <si>
    <t>2000 Class Deferred Compensation</t>
  </si>
  <si>
    <t>Perferred  Shared Sub Plan</t>
  </si>
  <si>
    <t>DIST</t>
  </si>
  <si>
    <t xml:space="preserve"> Environmental Cleanup Reserve</t>
  </si>
  <si>
    <t>GP</t>
  </si>
  <si>
    <t>Mngmnt Incntv Award Deferred Comp</t>
  </si>
  <si>
    <t>Other Defer CR Stranded Cost</t>
  </si>
  <si>
    <t>IRU Indemnification - LT</t>
  </si>
  <si>
    <t>Reg Liab Nuc Decom Trust Ureal Gains</t>
  </si>
  <si>
    <t>Reg Liab Deriv - MTM Oil</t>
  </si>
  <si>
    <t xml:space="preserve"> Wholesale QF Energy</t>
  </si>
  <si>
    <t>Regulatory Liability FAS 109</t>
  </si>
  <si>
    <t xml:space="preserve"> Unamortized Investment Tax Credit</t>
  </si>
  <si>
    <t>Self Insured Medical Reserve</t>
  </si>
  <si>
    <t xml:space="preserve"> Other Def Cr Miscellaneous</t>
  </si>
  <si>
    <t xml:space="preserve">Interest Rate Hedge </t>
  </si>
  <si>
    <t>Restricted Stock</t>
  </si>
  <si>
    <t>PSSP Stock Plan</t>
  </si>
  <si>
    <t>Nonqualified Stock Options</t>
  </si>
  <si>
    <t>Investment in Inflexion</t>
  </si>
  <si>
    <t>State Income Taxes</t>
  </si>
  <si>
    <t>Tie in to Financials</t>
  </si>
  <si>
    <t xml:space="preserve">  Balance in Account 190</t>
  </si>
  <si>
    <t xml:space="preserve"> Electric Plant - Pollution Control</t>
  </si>
  <si>
    <t xml:space="preserve">  Balance in Account 281</t>
  </si>
  <si>
    <t xml:space="preserve"> Electric Plant - Utility</t>
  </si>
  <si>
    <t xml:space="preserve">  Balance in Account 282</t>
  </si>
  <si>
    <t>CR#3-Qual Unreal Gains/Losses</t>
  </si>
  <si>
    <t>CR#3-Non Qual Unreal Gains/Losses</t>
  </si>
  <si>
    <t>Reg Asset - Derivative MTM</t>
  </si>
  <si>
    <t>Reg Asset - Minimum Pension Liab</t>
  </si>
  <si>
    <t>Deferred GPIF Asset</t>
  </si>
  <si>
    <t>Accrued ECRC  - Deferred Expense Bk</t>
  </si>
  <si>
    <t>Pension Restoration</t>
  </si>
  <si>
    <t>Proceeds from Auctioned SO2 Allowances</t>
  </si>
  <si>
    <t xml:space="preserve"> Amort Loss Reacquired Debt</t>
  </si>
  <si>
    <t xml:space="preserve"> Spare Parts Credit to EPIS</t>
  </si>
  <si>
    <t xml:space="preserve"> Amortization OID</t>
  </si>
  <si>
    <t>Regulatory Asset FAS 109</t>
  </si>
  <si>
    <t>Deferred Storm Cost -Wholesale</t>
  </si>
  <si>
    <t>Fixed</t>
  </si>
  <si>
    <t>State NOL Carryforward</t>
  </si>
  <si>
    <t xml:space="preserve">  Balance in Account 283</t>
  </si>
  <si>
    <t>Page 2 of 4</t>
  </si>
  <si>
    <t>Tax at 12/31/2008</t>
  </si>
  <si>
    <t>Accumulated Deferred Tax Detail - Current Year</t>
  </si>
  <si>
    <t>Page 3 of 4</t>
  </si>
  <si>
    <t xml:space="preserve"> Retail Unfunded - Storm Damage </t>
  </si>
  <si>
    <t xml:space="preserve">Nuclear Refuel Outage </t>
  </si>
  <si>
    <t>Pension</t>
  </si>
  <si>
    <t>Regulatory Liability Asbestos SFAS 143</t>
  </si>
  <si>
    <t>Regulatory Nuc Deco SFAS 143</t>
  </si>
  <si>
    <t>Derivative Asset/Liabilities</t>
  </si>
  <si>
    <t>Fleet Hedging</t>
  </si>
  <si>
    <t>Deferred Fuel Wholesale</t>
  </si>
  <si>
    <t>Page 4 of 4</t>
  </si>
  <si>
    <t xml:space="preserve"> Electric Plant -Nuclear Cost Recovery</t>
  </si>
  <si>
    <t>Electric Plant-Nuc Decommissioning</t>
  </si>
  <si>
    <t>Tie to Balance Sheet</t>
  </si>
  <si>
    <t>Derivative Asset/Liability - PEF - MTM Oil</t>
  </si>
  <si>
    <t xml:space="preserve">Recovery Clause - Deferred Fuel </t>
  </si>
  <si>
    <t>Recovery Clause - Environmental</t>
  </si>
  <si>
    <t>Recovery Clause - Capacity - Nuclear</t>
  </si>
  <si>
    <t>Deferred Storm Cost- Transmission</t>
  </si>
  <si>
    <t>FAS 143 ARO Liability</t>
  </si>
  <si>
    <t>Regulatory Asset Asbestos</t>
  </si>
  <si>
    <t xml:space="preserve">Transmission Rate Formula Support -  Revenue Credits </t>
  </si>
  <si>
    <t>Account 454</t>
  </si>
  <si>
    <t>Joint Use Pole Attachments - Distrib</t>
  </si>
  <si>
    <t>Transmission Tower Attachments</t>
  </si>
  <si>
    <t>Wheelabrator Pinellas Cogen (non-CSS)</t>
  </si>
  <si>
    <t>Primary Metering &amp; Prem Distb Svc</t>
  </si>
  <si>
    <t>Premier Power Service</t>
  </si>
  <si>
    <t>Reclass Premier Power Service to 456</t>
  </si>
  <si>
    <t>Georgia Power Joint Owner-11 Rent Common Plant</t>
  </si>
  <si>
    <t>Nuclear Participants Rent</t>
  </si>
  <si>
    <t>Lease Agreement for Antennae Use at Anclote</t>
  </si>
  <si>
    <t>Rent - Transmission - Level 3 &amp; Tower Lease</t>
  </si>
  <si>
    <t>Corporate Allocation Sublease Revenue</t>
  </si>
  <si>
    <t>General Leases - Real Estate</t>
  </si>
  <si>
    <t>Parking Lot Rent &amp; Building Rent</t>
  </si>
  <si>
    <t>Miscellaneous Other</t>
  </si>
  <si>
    <t>Transmission</t>
  </si>
  <si>
    <t xml:space="preserve">---------- </t>
  </si>
  <si>
    <t xml:space="preserve">  Total Account 454</t>
  </si>
  <si>
    <t>Notes</t>
  </si>
  <si>
    <t xml:space="preserve"> Allocated by LABOR</t>
  </si>
  <si>
    <t>Joint Use Transmission Portion</t>
  </si>
  <si>
    <t>Lighting Fixtures &amp; Poles</t>
  </si>
  <si>
    <t>Cogen Equip Rental</t>
  </si>
  <si>
    <t>SECI Equip Rental</t>
  </si>
  <si>
    <t>Account 456.1</t>
  </si>
  <si>
    <t>Form 1 Reference</t>
  </si>
  <si>
    <t>Payment by</t>
  </si>
  <si>
    <t>Classification</t>
  </si>
  <si>
    <t>Rate Schedule</t>
  </si>
  <si>
    <t>Total Revenues</t>
  </si>
  <si>
    <t>(Col (d))</t>
  </si>
  <si>
    <t>(Col (e))</t>
  </si>
  <si>
    <t>(Column (n))</t>
  </si>
  <si>
    <t>CIty of Alachua-Gainesville</t>
  </si>
  <si>
    <t>City of Bartow</t>
  </si>
  <si>
    <t>Calpine Energy Services</t>
  </si>
  <si>
    <t>Cargill Power Markets, LLC.</t>
  </si>
  <si>
    <t>Cobb Electric Membership</t>
  </si>
  <si>
    <t>Conoco, Inc.</t>
  </si>
  <si>
    <t>Eagle Energy Partners</t>
  </si>
  <si>
    <t>Florida Municipal Power Authorty</t>
  </si>
  <si>
    <t>Florida Power &amp; Light Co.</t>
  </si>
  <si>
    <t>Fortis Energy Marketing Trading</t>
  </si>
  <si>
    <t>Gainesville Regional Utilities</t>
  </si>
  <si>
    <t>Georgia Power Company</t>
  </si>
  <si>
    <t>City of Homestead</t>
  </si>
  <si>
    <t>Kissimmee Utility Auth</t>
  </si>
  <si>
    <t>Lakeland Utilites</t>
  </si>
  <si>
    <t>City of Mt. Dora</t>
  </si>
  <si>
    <t>Utilities Comm of New Smyrna Beach</t>
  </si>
  <si>
    <t>Oglethorpe Power Corp</t>
  </si>
  <si>
    <t>Orange Cogen LP</t>
  </si>
  <si>
    <t>Orlando Utilities Commission</t>
  </si>
  <si>
    <t>City of Quincy</t>
  </si>
  <si>
    <t>Rainbow Energy Marketing Corp.</t>
  </si>
  <si>
    <t>Reedy Creek Improvement Dist.</t>
  </si>
  <si>
    <t>Reliant Energy Services</t>
  </si>
  <si>
    <t>Seminole Electric Coop</t>
  </si>
  <si>
    <t>Southern Company of Florida</t>
  </si>
  <si>
    <t>City of Tallahassee</t>
  </si>
  <si>
    <t>Tampa Electric Company</t>
  </si>
  <si>
    <t>The Energy Authority</t>
  </si>
  <si>
    <t>City of Williston</t>
  </si>
  <si>
    <t>City of Winter Park</t>
  </si>
  <si>
    <t>Florida Municipal Power Auth-OS</t>
  </si>
  <si>
    <t>Reedy Creek-OS</t>
  </si>
  <si>
    <t>Seminole Electric Cooperative Inc.</t>
  </si>
  <si>
    <t>Constellation Power Source</t>
  </si>
  <si>
    <t>Alabama Electric Coop</t>
  </si>
  <si>
    <t>City of New Symrna</t>
  </si>
  <si>
    <t>Pa-NJ-Maryland Int (PJM)</t>
  </si>
  <si>
    <t>Tennessee Valley Authority</t>
  </si>
  <si>
    <t>Carolina Power &amp; Light</t>
  </si>
  <si>
    <t>LFP</t>
  </si>
  <si>
    <t>T6/72</t>
  </si>
  <si>
    <t>FNO</t>
  </si>
  <si>
    <t>T6/136</t>
  </si>
  <si>
    <t>NF</t>
  </si>
  <si>
    <t>T6/106</t>
  </si>
  <si>
    <t>T6/230C</t>
  </si>
  <si>
    <t>T6/114</t>
  </si>
  <si>
    <t>T6/232C</t>
  </si>
  <si>
    <t>T6/257C</t>
  </si>
  <si>
    <t>T6/31</t>
  </si>
  <si>
    <t>T6/7C</t>
  </si>
  <si>
    <t>T6/285C</t>
  </si>
  <si>
    <t>T6/73</t>
  </si>
  <si>
    <t>OLF</t>
  </si>
  <si>
    <t>FERC No. 105</t>
  </si>
  <si>
    <t>T6/130</t>
  </si>
  <si>
    <t>T6/52</t>
  </si>
  <si>
    <t>T6/74</t>
  </si>
  <si>
    <t>T6/56</t>
  </si>
  <si>
    <t>T6/133</t>
  </si>
  <si>
    <t>T6/75</t>
  </si>
  <si>
    <t>T6/12</t>
  </si>
  <si>
    <t>T6/187C</t>
  </si>
  <si>
    <t>T6/77</t>
  </si>
  <si>
    <t>T6/76</t>
  </si>
  <si>
    <t>T6/10</t>
  </si>
  <si>
    <t>T6/137</t>
  </si>
  <si>
    <t>T6/35C</t>
  </si>
  <si>
    <t>T6/14</t>
  </si>
  <si>
    <t>T6/92</t>
  </si>
  <si>
    <t>T6/3</t>
  </si>
  <si>
    <t>SFP</t>
  </si>
  <si>
    <t>T6/24</t>
  </si>
  <si>
    <t>T6/23</t>
  </si>
  <si>
    <t>T6/29C</t>
  </si>
  <si>
    <t>T6/96</t>
  </si>
  <si>
    <t>T6/97</t>
  </si>
  <si>
    <t>T6/19</t>
  </si>
  <si>
    <t>T6/25</t>
  </si>
  <si>
    <t>T6/160C</t>
  </si>
  <si>
    <t>T6/98</t>
  </si>
  <si>
    <t>T6/62</t>
  </si>
  <si>
    <t>T6/68C</t>
  </si>
  <si>
    <t>T6/125</t>
  </si>
  <si>
    <t>T6/124</t>
  </si>
  <si>
    <t>T6/53</t>
  </si>
  <si>
    <t>OS</t>
  </si>
  <si>
    <t>T6</t>
  </si>
  <si>
    <t>T8</t>
  </si>
  <si>
    <t>T6/70</t>
  </si>
  <si>
    <t>Total Transmission for Others</t>
  </si>
  <si>
    <t>Short Term Firm  -  Revenue Credit</t>
  </si>
  <si>
    <t xml:space="preserve">  Less Associated Ancillaries</t>
  </si>
  <si>
    <t>Non-Firm  -  Revenue Credit</t>
  </si>
  <si>
    <t xml:space="preserve">  Total 456.1 NF + STF Revenue </t>
  </si>
  <si>
    <t>Exhibit PEF - 2</t>
  </si>
  <si>
    <t>Page 6 of 6</t>
  </si>
  <si>
    <t>OATT Transmission Non-Levelized Rate Formula Template Using Form-1 Data</t>
  </si>
  <si>
    <t>Adjustment to Per Books PBOP Expenses</t>
  </si>
  <si>
    <t xml:space="preserve">Reference for System Amount Basis in Wholesale Rates: </t>
  </si>
  <si>
    <t>vs. Imputed Amount</t>
  </si>
  <si>
    <t xml:space="preserve"> ==&gt; PBOP Expense Adjustment</t>
  </si>
  <si>
    <t>2008 Per Book Amount:</t>
  </si>
  <si>
    <t>62 thru 66</t>
  </si>
  <si>
    <t xml:space="preserve">  Amort ECCR Plt</t>
  </si>
  <si>
    <t>Sebring under/Over</t>
  </si>
  <si>
    <t>404 Int &amp; Gen Exclude:</t>
  </si>
  <si>
    <t xml:space="preserve">  FF1 404</t>
  </si>
  <si>
    <t>(561) Transmission Op Exp - Sch&amp;Disp</t>
  </si>
  <si>
    <t>Exhibit PEF - 4</t>
  </si>
  <si>
    <t>Transmission Rate Formula Support - Interconnection Facilities</t>
  </si>
  <si>
    <t>Generation In-Service After March 15, 2000 per FERC Order 2003</t>
  </si>
  <si>
    <t>Ending</t>
  </si>
  <si>
    <t>Unit(s)</t>
  </si>
  <si>
    <t>B/E Average</t>
  </si>
  <si>
    <t>Bayboro Pk</t>
  </si>
  <si>
    <t>Suwannee 230kv</t>
  </si>
  <si>
    <t>Bartow</t>
  </si>
  <si>
    <t>Higgins Pk</t>
  </si>
  <si>
    <t>Suwannee Plant</t>
  </si>
  <si>
    <t>Rio Pinar</t>
  </si>
  <si>
    <t>Intercession City</t>
  </si>
  <si>
    <t>P11 Seimens</t>
  </si>
  <si>
    <t>Crystal River</t>
  </si>
  <si>
    <t>Intercession City P12-P14</t>
  </si>
  <si>
    <t>Breaker and 1/2 Scheme</t>
  </si>
  <si>
    <t>Hines 2</t>
  </si>
  <si>
    <t>HInes 3</t>
  </si>
  <si>
    <t>HInes 4</t>
  </si>
  <si>
    <t xml:space="preserve">  Total Interconnection Facilities </t>
  </si>
  <si>
    <t>Page 1 of 6</t>
  </si>
  <si>
    <t>Summary of Rates</t>
  </si>
  <si>
    <t>Total</t>
  </si>
  <si>
    <t>OATT Transmission</t>
  </si>
  <si>
    <t>Gross PEF Revenue Requirement</t>
  </si>
  <si>
    <t>Revenue Credits:</t>
  </si>
  <si>
    <t>Acct 454 - Transmission Related</t>
  </si>
  <si>
    <t>Exhibit PEF - 3</t>
  </si>
  <si>
    <t>D/A</t>
  </si>
  <si>
    <t>Acct 456 - NF + STF Service (x/ Ancillaries)</t>
  </si>
  <si>
    <t>Total Revenue Credits</t>
  </si>
  <si>
    <t>Interest Disbursed with Network Prepayment Refunds</t>
  </si>
  <si>
    <t>Revenue Req't - Customer Owned Facilities</t>
  </si>
  <si>
    <t>Divisor - Sum of Monthly MW Transmission System Peaks (Excludes STF)</t>
  </si>
  <si>
    <t xml:space="preserve">Trans. Rev Req't Rate $/MW-Mon.     </t>
  </si>
  <si>
    <t>Storm Reserve Adder</t>
  </si>
  <si>
    <t>Total Firm Monthly Trans. $/MW-Month</t>
  </si>
  <si>
    <t>Annual Firm Trans $/MW-year</t>
  </si>
  <si>
    <t>Weekly Firm/Non-Firm P-t-P Rate $/MW-Week</t>
  </si>
  <si>
    <t>Daily Firm/Non-Firm P-t-P Rates ($/MW):</t>
  </si>
  <si>
    <t>On-Peak Days</t>
  </si>
  <si>
    <t>Off-Peak Days</t>
  </si>
  <si>
    <t>Non-Firm Hourly P-t-P Rates ($/MWh):</t>
  </si>
  <si>
    <t>On-Peak Hours</t>
  </si>
  <si>
    <t>Off-Peak Hours</t>
  </si>
  <si>
    <t>Page 2 of 6</t>
  </si>
  <si>
    <t>Development of Rate Base and Capital Structure</t>
  </si>
  <si>
    <t>RATE BASE:</t>
  </si>
  <si>
    <t>Ending Balance</t>
  </si>
  <si>
    <t>Gross Plant in Service (Note A):</t>
  </si>
  <si>
    <t>N/A</t>
  </si>
  <si>
    <t>TP</t>
  </si>
  <si>
    <t>OATT LABOR</t>
  </si>
  <si>
    <t>Total Gross Plant</t>
  </si>
  <si>
    <t>GP =</t>
  </si>
  <si>
    <t>Accumulated Depreciation:</t>
  </si>
  <si>
    <t>Total Accumulated Depr.</t>
  </si>
  <si>
    <t>Net Plant in Service</t>
  </si>
  <si>
    <t>Net Production Plant</t>
  </si>
  <si>
    <t>Line 1 - Line 7</t>
  </si>
  <si>
    <t>Net Transmission Plant</t>
  </si>
  <si>
    <t>Line 2 - Line 8</t>
  </si>
  <si>
    <t>Net Distribution Plant</t>
  </si>
  <si>
    <t>Line 3 - Line 9</t>
  </si>
  <si>
    <t>Net General Plant</t>
  </si>
  <si>
    <t>Line 4 - Line 10</t>
  </si>
  <si>
    <t>Net Intangible Plant</t>
  </si>
  <si>
    <t>Line 5 - Line 11</t>
  </si>
  <si>
    <t>Total Net Plant</t>
  </si>
  <si>
    <t>NP =</t>
  </si>
  <si>
    <t>Adjustments to Rate Base - Deferred Taxes</t>
  </si>
  <si>
    <t>ADIT - 283  (Negative)</t>
  </si>
  <si>
    <t>Total Deferred Tax Adjustments</t>
  </si>
  <si>
    <t>Net 182.1 (+) / Storm Reserve (-) - Wholesale Transmission (Note B)</t>
  </si>
  <si>
    <t>Plant Held for Future Use</t>
  </si>
  <si>
    <t>Note C</t>
  </si>
  <si>
    <t>Rate Base Adjustments -  Network Upgrade Prepayments (Note O):</t>
  </si>
  <si>
    <t>Interest Accrued/Capitalized on Network Prepayments</t>
  </si>
  <si>
    <t>Total Network Upgrade Prepayment Adjustments</t>
  </si>
  <si>
    <t>Working Capital:</t>
  </si>
  <si>
    <t>Cash Working Capital (1/8 O&amp;M)</t>
  </si>
  <si>
    <t>Prepayments (Note L)</t>
  </si>
  <si>
    <t>Total Working Capital</t>
  </si>
  <si>
    <t>AVERAGE CAPITALIZATION:</t>
  </si>
  <si>
    <t xml:space="preserve">  Less Loss on Reacquired Debt</t>
  </si>
  <si>
    <t xml:space="preserve">  Plus Gain on Reacquired Debt</t>
  </si>
  <si>
    <t xml:space="preserve">  Less Securitization Bonds</t>
  </si>
  <si>
    <t>Note I</t>
  </si>
  <si>
    <t>Net Long Term Debt</t>
  </si>
  <si>
    <t>Preferred Stock</t>
  </si>
  <si>
    <t>Common Stock Development:</t>
  </si>
  <si>
    <t xml:space="preserve">  Proprietary Capital</t>
  </si>
  <si>
    <t xml:space="preserve">  Less Preferred Stock</t>
  </si>
  <si>
    <t xml:space="preserve">  Less Account 216.1</t>
  </si>
  <si>
    <t xml:space="preserve">Common Stock </t>
  </si>
  <si>
    <t>Page 3 of 6</t>
  </si>
  <si>
    <t>Development of Revenue Requirements</t>
  </si>
  <si>
    <t>EXPENSES:</t>
  </si>
  <si>
    <t>O&amp;M Expense</t>
  </si>
  <si>
    <t xml:space="preserve">  Less Account 561</t>
  </si>
  <si>
    <t>321.84-92.b</t>
  </si>
  <si>
    <t xml:space="preserve">  Less Account 565</t>
  </si>
  <si>
    <t xml:space="preserve">Net Transmission O&amp;M </t>
  </si>
  <si>
    <t>Note H</t>
  </si>
  <si>
    <t>TExp</t>
  </si>
  <si>
    <t xml:space="preserve"> Less Industry Dues and R&amp;D Expense</t>
  </si>
  <si>
    <t>335.1-3.b</t>
  </si>
  <si>
    <t>Net Labor Related A&amp;G</t>
  </si>
  <si>
    <t>Less system storm reserve funding</t>
  </si>
  <si>
    <t>Net Allocated Property Insurance</t>
  </si>
  <si>
    <t>Trans. Related Regulatory Expense</t>
  </si>
  <si>
    <t>Note D</t>
  </si>
  <si>
    <t>Trans. Related Advertising Exp.</t>
  </si>
  <si>
    <t>Adj. to Imputed Whlse PBOP Exp. - System</t>
  </si>
  <si>
    <t xml:space="preserve">Page 6 </t>
  </si>
  <si>
    <t>Depreciation Expense</t>
  </si>
  <si>
    <t>Total Depreciation</t>
  </si>
  <si>
    <t>Taxes Other Than Income (Note F)</t>
  </si>
  <si>
    <t xml:space="preserve">Labor Related </t>
  </si>
  <si>
    <t>263.i</t>
  </si>
  <si>
    <t>Property Related</t>
  </si>
  <si>
    <t>Total Other Taxes</t>
  </si>
  <si>
    <t>Return:</t>
  </si>
  <si>
    <t>Income Taxes:</t>
  </si>
  <si>
    <t>State of Florida</t>
  </si>
  <si>
    <t>Note M</t>
  </si>
  <si>
    <t>Federal</t>
  </si>
  <si>
    <t xml:space="preserve">   Composite  T = State + Federal * (1 - State)</t>
  </si>
  <si>
    <t>ITC Gross Up Factor = 1 / (1 -T)</t>
  </si>
  <si>
    <t>Total Income Taxes</t>
  </si>
  <si>
    <t>Page 4 of 6</t>
  </si>
  <si>
    <t>Supporting Allocation Factor and Return Calculations</t>
  </si>
  <si>
    <t>B/E Avg. Transmission Plant Included in OATT Rate:</t>
  </si>
  <si>
    <t>p 2, line 2</t>
  </si>
  <si>
    <t>Less Gen. Step-up Transformers in 353</t>
  </si>
  <si>
    <t>Less Interconnection Facilities (Order 2003)</t>
  </si>
  <si>
    <t xml:space="preserve">Less Energy Control Center </t>
  </si>
  <si>
    <t>Note G</t>
  </si>
  <si>
    <t xml:space="preserve">Avg.Trans Plant for OATT Rate </t>
  </si>
  <si>
    <t>TP Allocator (Line 5 / Line 1)</t>
  </si>
  <si>
    <t>Add Back ECC (Line 4 + Line 5)</t>
  </si>
  <si>
    <t>TExp Allocator (Expenses excluding 561 and 565) (Line 7 / Line 1)</t>
  </si>
  <si>
    <t>Labor Allocation Factor</t>
  </si>
  <si>
    <t>Adj. - RCO Labor in A&amp;G Labor</t>
  </si>
  <si>
    <t>Adjusted Labor w/o A&amp;G (Line 9 - Line 10 + Line 11)</t>
  </si>
  <si>
    <t>Trans Labor Factor (Line 13 / Line 12)</t>
  </si>
  <si>
    <t>OATT LABOR Allocator (Line 6 * Line 14)</t>
  </si>
  <si>
    <t>Return and Average Capitalization:</t>
  </si>
  <si>
    <t xml:space="preserve">  Less Interest on Securitization Bonds</t>
  </si>
  <si>
    <t>Net Long Term Interest Expense</t>
  </si>
  <si>
    <t>Total Capitalization (sum Lines 20, 21, 22)</t>
  </si>
  <si>
    <t>SUMMARY CAP STRUCTURE</t>
  </si>
  <si>
    <t>Weight</t>
  </si>
  <si>
    <t>Cost</t>
  </si>
  <si>
    <t>Weighted Cost</t>
  </si>
  <si>
    <t>Long term Debt</t>
  </si>
  <si>
    <t>Common Equity</t>
  </si>
  <si>
    <t>Page 5 of 6</t>
  </si>
  <si>
    <t>Wholesale Storm Reserve Funding and Explanatory Notes</t>
  </si>
  <si>
    <t xml:space="preserve">Whlse Extraordinary Property Loss </t>
  </si>
  <si>
    <t xml:space="preserve">Trans. Related Pct of Whlse Loss </t>
  </si>
  <si>
    <t>Note J</t>
  </si>
  <si>
    <t>WEPL-T</t>
  </si>
  <si>
    <t xml:space="preserve">Whlse Trans. Extraordinary Propery Loss </t>
  </si>
  <si>
    <t>TP2006</t>
  </si>
  <si>
    <t>Components of Storm Amortization/Reserve Funding Adder (2008-2012 Rate Years only - Note N):</t>
  </si>
  <si>
    <t xml:space="preserve">Balance 2004 Loss as of  Jan 1, 2008 </t>
  </si>
  <si>
    <t>Rebuild Reserve Equivalent to $130MM Retail:</t>
  </si>
  <si>
    <t xml:space="preserve">    Whlse Portion of $6MM Funding</t>
  </si>
  <si>
    <t>ER95-469</t>
  </si>
  <si>
    <t xml:space="preserve">    System Total Reserve Req't = 130MM/(1 - Line 5 %)</t>
  </si>
  <si>
    <t>Whlse Reserve Needed = Line 6 - $130MM</t>
  </si>
  <si>
    <t>Whlse Portion of Existing Storm Accrual</t>
  </si>
  <si>
    <t>Denominator for Wholesale Transmission:</t>
  </si>
  <si>
    <t>Contract Demand Adjustment</t>
  </si>
  <si>
    <t>Note A:</t>
  </si>
  <si>
    <t>Excludes Asset Retirement Obligations from plant balances</t>
  </si>
  <si>
    <t>Note B:</t>
  </si>
  <si>
    <t>Because the Page 2 Rate Base amounts are total system numbers, the wholesale specific loss/reserve balance is grossed up</t>
  </si>
  <si>
    <t>using the relationship between system and wholesale only transmission demands times the percent of the balance applicable</t>
  </si>
  <si>
    <t>to the OATT. See also Notes H and J.</t>
  </si>
  <si>
    <t>Note C:</t>
  </si>
  <si>
    <t xml:space="preserve">FERC Form 1 page 214 excluding non-transmission related items </t>
  </si>
  <si>
    <t>Note D:</t>
  </si>
  <si>
    <t xml:space="preserve">Analysis of Company books. Regulatory expense excludes charges by FERC pursuant to 18 CFR § 382.201  </t>
  </si>
  <si>
    <t>Note E:</t>
  </si>
  <si>
    <t>Excludes Retail ECCR and Sebring amortizations from Form-1 reported value</t>
  </si>
  <si>
    <t>Note F:</t>
  </si>
  <si>
    <t>Excludes all income and gross receipts taxes.  Labor related other taxes include FICA and unemployment taxes.  Property</t>
  </si>
  <si>
    <t>related taxes include county and local property, highway use, and intangible taxes.</t>
  </si>
  <si>
    <t>Note G:</t>
  </si>
  <si>
    <t>Investment in Transmission Energy Control Center included in Schedule 1 Ancillary Service cost</t>
  </si>
  <si>
    <t>Note H:</t>
  </si>
  <si>
    <t>step-up transformer investment.  It also serves as the basis for deriving OATT-related transmission labor from the Form-1 reported value.</t>
  </si>
  <si>
    <t>Note I:</t>
  </si>
  <si>
    <t>To the extent PEF is authorized by the Florida Public Service Commission and issues bonds for distribution facilities to securitize retail</t>
  </si>
  <si>
    <t xml:space="preserve">recovery of extraordinary property losses, associated principal and interest expense are excluded in capitalization and return basis.  </t>
  </si>
  <si>
    <t>Note J:</t>
  </si>
  <si>
    <t>Functionalized Transmission part 182.1 Extraordinary Property Losses balance only, "WEPL-T."  Consistent with the process</t>
  </si>
  <si>
    <t>described in Note H above, the OATT-related amount of the transmission loss is then derived using the TP allocation factor</t>
  </si>
  <si>
    <t>Note K:</t>
  </si>
  <si>
    <t>Includes Network Integration Service and Network Contract Demand Service</t>
  </si>
  <si>
    <t>Note L:</t>
  </si>
  <si>
    <t>Note M:</t>
  </si>
  <si>
    <t>If income tax rates change during a calendar year, the income tax rates will be pro-rated based on the number of days each income</t>
  </si>
  <si>
    <t>tax rate was in effect.</t>
  </si>
  <si>
    <t>Note N:</t>
  </si>
  <si>
    <t>Pursuant to the settlement agreement, annual amounts included in line 11 will be adjusted and reversed as necessary to ensure no</t>
  </si>
  <si>
    <t xml:space="preserve">overfunding of the wholesale reserve; i.e., the year-end reserve balance for OATT rates will not exceed the $8,614,774 shown on line 7 </t>
  </si>
  <si>
    <t>Note O:</t>
  </si>
  <si>
    <t>Payments by PEF to an Affected System Operator pursuant to Orders 2003 or 2006 (including rehearing orders) are not to be included</t>
  </si>
  <si>
    <t>in the formula rate regardless of the accounting.</t>
  </si>
  <si>
    <t xml:space="preserve">Note P:  </t>
  </si>
  <si>
    <t xml:space="preserve">Target percentages are fixed for 2008 - 2012 and were derived from projected OATT LTF billing MW-months and the MW-month equivalent  </t>
  </si>
  <si>
    <t xml:space="preserve">billings for STF and non-firm transmission revenues in the September 2007 PEF financial forecast. </t>
  </si>
  <si>
    <t>Note Q:</t>
  </si>
  <si>
    <t xml:space="preserve">Actual LTF OATT MW-Months are the sum of Lines 11 and 12 above, as reported in Form-1 for Firm Network Service for Others and  </t>
  </si>
  <si>
    <t>Long Term Firm Point-to-Point Service</t>
  </si>
  <si>
    <t xml:space="preserve">Note R:  </t>
  </si>
  <si>
    <r>
      <t xml:space="preserve">Net Revenue Requirements </t>
    </r>
    <r>
      <rPr>
        <sz val="11"/>
        <rFont val="Calibri"/>
        <family val="2"/>
        <scheme val="minor"/>
      </rPr>
      <t>(Line 1 - Line 4 + Line 5 + Line 6)</t>
    </r>
  </si>
  <si>
    <t>LEVELIZED RATE, FUNDING ADJUSTED FOR RESERVE MAXIMUM per NOTE N</t>
  </si>
  <si>
    <t>Page 2 of 3</t>
  </si>
  <si>
    <t>OATT Settlement - 2004 Storm Treatment</t>
  </si>
  <si>
    <t>Line No.</t>
  </si>
  <si>
    <t>Determination of Levelized Storm Damage Recovery Adder</t>
  </si>
  <si>
    <t>Total Funding Requirements</t>
  </si>
  <si>
    <t>Amortize Existing Loss</t>
  </si>
  <si>
    <t xml:space="preserve"> (PEF-2, Page 5, Line 4)</t>
  </si>
  <si>
    <t>Rebuild Reserve</t>
  </si>
  <si>
    <t xml:space="preserve"> (PEF-2, Page 5, Line 7)</t>
  </si>
  <si>
    <t xml:space="preserve">  Total 2008-2012</t>
  </si>
  <si>
    <t>Less:</t>
  </si>
  <si>
    <t>Amount assumed to be collected from non-OATT service:</t>
  </si>
  <si>
    <t>Annual Amount</t>
  </si>
  <si>
    <t xml:space="preserve"> (PEF-2, Page 5, Line 8)</t>
  </si>
  <si>
    <t>Five-Year Total</t>
  </si>
  <si>
    <t xml:space="preserve"> (Line 11 * 5)</t>
  </si>
  <si>
    <t>Net 5-Year Requirement</t>
  </si>
  <si>
    <t xml:space="preserve"> (Line 8 - Line 12)</t>
  </si>
  <si>
    <t>Annual Recovery Requirements</t>
  </si>
  <si>
    <t>Projected Billing Units (MW-months)</t>
  </si>
  <si>
    <t xml:space="preserve">LTF on OATT </t>
  </si>
  <si>
    <t>(Projected and Fixed)</t>
  </si>
  <si>
    <t>STF/Non-Firm on OATT</t>
  </si>
  <si>
    <t xml:space="preserve">  Total Projected Billing Units</t>
  </si>
  <si>
    <t>Annual Percentages</t>
  </si>
  <si>
    <t>(Fixed - Note P)</t>
  </si>
  <si>
    <t>(Ln 23 * Ln 6 / Ln 8 * Ln 14)</t>
  </si>
  <si>
    <t>(Ln 23 * Ln 7 / Ln 8 * Ln 14)</t>
  </si>
  <si>
    <t xml:space="preserve">  Total</t>
  </si>
  <si>
    <t>Levelized Storm Damage Recovery</t>
  </si>
  <si>
    <t>Adder ($/MW-mo)</t>
  </si>
  <si>
    <t>(Line 28 / Line 21)</t>
  </si>
  <si>
    <t>Example Application of Levelized Adder and Annual True-Up</t>
  </si>
  <si>
    <t>Actual Billing Units (MW-months) (Notes Q and R)</t>
  </si>
  <si>
    <t>(Actual MW-Months)</t>
  </si>
  <si>
    <t>(Actual Equiv. MW-Months)</t>
  </si>
  <si>
    <t xml:space="preserve">  Total Billing Units</t>
  </si>
  <si>
    <t>(Line 36 + Line 37)</t>
  </si>
  <si>
    <t>Actual Recoveries of Existing Loss &amp; Reserve Replenishment</t>
  </si>
  <si>
    <t>(Line 31 * Line 36)</t>
  </si>
  <si>
    <t>(Line 31 * Line 37)</t>
  </si>
  <si>
    <t xml:space="preserve">  Total Collections</t>
  </si>
  <si>
    <t>(Line 41 + Line 42)</t>
  </si>
  <si>
    <t>Over(Under) Recovery to Be Reflected</t>
  </si>
  <si>
    <t>In Annual True-Ups</t>
  </si>
  <si>
    <t>(Line 43 - Line 28)</t>
  </si>
  <si>
    <t>Storm Reserve Balance Tracking:</t>
  </si>
  <si>
    <t>2013 'til  Extraordinary Loss</t>
  </si>
  <si>
    <t>Funding From OATT Adder</t>
  </si>
  <si>
    <t>(Line 28)</t>
  </si>
  <si>
    <t>Existing Wholesale Accrual         (Line 9)</t>
  </si>
  <si>
    <t>(Line 11)</t>
  </si>
  <si>
    <t>Maximum Reserve per Settlement</t>
  </si>
  <si>
    <t>Adjustment:</t>
  </si>
  <si>
    <t xml:space="preserve">  Total System Long Term Firm Transmission Load</t>
  </si>
  <si>
    <t>The allocator "TP" is the percent of gross transmission plant that is OATT related, i.e., after removal of ECC, interconnections and generator</t>
  </si>
  <si>
    <t>CC's</t>
  </si>
  <si>
    <t>CT's</t>
  </si>
  <si>
    <t>CC/CT System Spares</t>
  </si>
  <si>
    <t>ST1</t>
  </si>
  <si>
    <t>CT1</t>
  </si>
  <si>
    <t>Tiger Bay</t>
  </si>
  <si>
    <t>Spare</t>
  </si>
  <si>
    <t>All</t>
  </si>
  <si>
    <t>Hines PB4</t>
  </si>
  <si>
    <t>CT1B</t>
  </si>
  <si>
    <t>CT1A</t>
  </si>
  <si>
    <t>ST1S</t>
  </si>
  <si>
    <t xml:space="preserve">Hines PB3 </t>
  </si>
  <si>
    <t>Hines PB2</t>
  </si>
  <si>
    <t xml:space="preserve">Hines PB1 </t>
  </si>
  <si>
    <t>Peaker #1</t>
  </si>
  <si>
    <t>Bk 4</t>
  </si>
  <si>
    <t xml:space="preserve">Univ of Fla </t>
  </si>
  <si>
    <t>Peaker #1,2</t>
  </si>
  <si>
    <t>Bk 6</t>
  </si>
  <si>
    <t>Avon Park Pk</t>
  </si>
  <si>
    <t>Peaker #3,4</t>
  </si>
  <si>
    <t>BK 6</t>
  </si>
  <si>
    <t>Bk 5</t>
  </si>
  <si>
    <t>Turner Pk</t>
  </si>
  <si>
    <t>Peaker #10</t>
  </si>
  <si>
    <t>Bk 10</t>
  </si>
  <si>
    <t>Peaker #9</t>
  </si>
  <si>
    <t>Bk 9</t>
  </si>
  <si>
    <t>Peaker #8</t>
  </si>
  <si>
    <t>Bk 8</t>
  </si>
  <si>
    <t>Peaker #7</t>
  </si>
  <si>
    <t>Bk 7</t>
  </si>
  <si>
    <t>Peaker #3,5</t>
  </si>
  <si>
    <t>Bk 3</t>
  </si>
  <si>
    <t>Peaker #4,6</t>
  </si>
  <si>
    <t>Bk 2</t>
  </si>
  <si>
    <t>Bk 1</t>
  </si>
  <si>
    <t>Debary</t>
  </si>
  <si>
    <t>Unit #2</t>
  </si>
  <si>
    <t>Unit #1</t>
  </si>
  <si>
    <t>Anclote</t>
  </si>
  <si>
    <t>Unit #5</t>
  </si>
  <si>
    <t>Unit #4</t>
  </si>
  <si>
    <t>Unit #3</t>
  </si>
  <si>
    <t>Bk 1b</t>
  </si>
  <si>
    <t>Bk 1a</t>
  </si>
  <si>
    <t>Peaker #11</t>
  </si>
  <si>
    <t>BK 12</t>
  </si>
  <si>
    <t>Peaker #12-14</t>
  </si>
  <si>
    <t>BK 11</t>
  </si>
  <si>
    <t>BK 10</t>
  </si>
  <si>
    <t>BK 9</t>
  </si>
  <si>
    <t>BK 8</t>
  </si>
  <si>
    <t>Peaker #5,6</t>
  </si>
  <si>
    <t>BK 7</t>
  </si>
  <si>
    <t>BK 5</t>
  </si>
  <si>
    <t>BK 3</t>
  </si>
  <si>
    <t>BK 2</t>
  </si>
  <si>
    <t>BK 1</t>
  </si>
  <si>
    <t>BK 4</t>
  </si>
  <si>
    <t>Peaker #3</t>
  </si>
  <si>
    <t>Peaker #2,4</t>
  </si>
  <si>
    <t>Peaker #1,3</t>
  </si>
  <si>
    <t>Vintage</t>
  </si>
  <si>
    <t>Book Cost</t>
  </si>
  <si>
    <t>Unit</t>
  </si>
  <si>
    <t>Bank</t>
  </si>
  <si>
    <t>Plant</t>
  </si>
  <si>
    <t>Peaker/</t>
  </si>
  <si>
    <t>Transmission Rate Formula Support - Account 353 Generator Step-up Transformers</t>
  </si>
  <si>
    <t>STORM</t>
  </si>
  <si>
    <t>Summary of Allocation Factors:</t>
  </si>
  <si>
    <t>OATT</t>
  </si>
  <si>
    <t xml:space="preserve">  Total Accumulated Deferred Income Tax - Current Year</t>
  </si>
  <si>
    <t xml:space="preserve">  Total Accumulated Deferred Income Tax - Prior Year</t>
  </si>
  <si>
    <t>24A</t>
  </si>
  <si>
    <t>Exhibit PEF-5A</t>
  </si>
  <si>
    <t>Exhibit PEF - 5A</t>
  </si>
  <si>
    <t>Page 1 of 1</t>
  </si>
  <si>
    <t xml:space="preserve">  Description</t>
  </si>
  <si>
    <t>Salary Continuation</t>
  </si>
  <si>
    <t>Medical/Dental/Life</t>
  </si>
  <si>
    <t>Salary Continuation Loading</t>
  </si>
  <si>
    <t>Medical/Dental/Life Loading</t>
  </si>
  <si>
    <t>Medical/Life Res Postemp Retail</t>
  </si>
  <si>
    <t>Medical/Life Res Postemp Whlse</t>
  </si>
  <si>
    <t>Funded Med/Life Res Postemp -W</t>
  </si>
  <si>
    <t>Ending
 Balance</t>
  </si>
  <si>
    <t xml:space="preserve">  Less Imputed Storm Adder </t>
  </si>
  <si>
    <t>Page 1 of 2</t>
  </si>
  <si>
    <t>Page 2 of 2</t>
  </si>
  <si>
    <t xml:space="preserve">  Net OATT Transmission Rate Revenue Credit </t>
  </si>
  <si>
    <t>Deferred Storm Costs (2008) deducted per Tax</t>
  </si>
  <si>
    <t>There is no prepaid pension component in the Form-1 A/C 165 balances.</t>
  </si>
  <si>
    <r>
      <t>Tax Rev.Req't Factor  = T / (1 -T) * (1 - Wtd.Debt.Cost/R</t>
    </r>
    <r>
      <rPr>
        <vertAlign val="subscript"/>
        <sz val="11"/>
        <rFont val="Calibri"/>
        <family val="2"/>
        <scheme val="minor"/>
      </rPr>
      <t>0</t>
    </r>
    <r>
      <rPr>
        <sz val="11"/>
        <rFont val="Calibri"/>
        <family val="2"/>
        <scheme val="minor"/>
      </rPr>
      <t>)</t>
    </r>
  </si>
  <si>
    <r>
      <t xml:space="preserve">     Overall Return:  R</t>
    </r>
    <r>
      <rPr>
        <b/>
        <vertAlign val="subscript"/>
        <sz val="11"/>
        <rFont val="Calibri"/>
        <family val="2"/>
        <scheme val="minor"/>
      </rPr>
      <t>0</t>
    </r>
    <r>
      <rPr>
        <b/>
        <sz val="11"/>
        <rFont val="Calibri"/>
        <family val="2"/>
        <scheme val="minor"/>
      </rPr>
      <t xml:space="preserve"> =</t>
    </r>
  </si>
  <si>
    <r>
      <t xml:space="preserve">Levelized Storm Reserve Funding Rate $/MW-Month </t>
    </r>
    <r>
      <rPr>
        <sz val="11"/>
        <rFont val="Calibri"/>
        <family val="2"/>
        <scheme val="minor"/>
      </rPr>
      <t>(PEF - 6, Page 2)</t>
    </r>
  </si>
  <si>
    <r>
      <t>Gross-up Factor for OATT Wholesale Reserve - System Basis</t>
    </r>
    <r>
      <rPr>
        <sz val="11"/>
        <rFont val="Calibri"/>
        <family val="2"/>
        <scheme val="minor"/>
      </rPr>
      <t xml:space="preserve"> (Total Load/Whlse Load * 0.84987)</t>
    </r>
  </si>
  <si>
    <t xml:space="preserve">"Total Firm Monthly Trans. $/MW-Month" rate (Page 1, Line 11) from which the STF/Non-firm billing rates were derived  </t>
  </si>
  <si>
    <t>Actual STF/Non-Firm equivalent "MW-Months" are equal to monthly STF/Non-firm transmission service revenue divided by the same</t>
  </si>
  <si>
    <t>Transmission Related CWIP - Identified Projects (Note V)</t>
  </si>
  <si>
    <t>Workman's Comp</t>
  </si>
  <si>
    <t>Claims</t>
  </si>
  <si>
    <t>Environmental Cleanup</t>
  </si>
  <si>
    <t>Net Unfunded Reserves</t>
  </si>
  <si>
    <r>
      <t xml:space="preserve">Outstanding Balance - </t>
    </r>
    <r>
      <rPr>
        <sz val="10"/>
        <rFont val="Arial"/>
        <family val="2"/>
      </rPr>
      <t>Network Prepayments (Note T)</t>
    </r>
  </si>
  <si>
    <t>Total Admin &amp; General Expenses (Note S)</t>
  </si>
  <si>
    <t>Total Transmission Plant (Note V)</t>
  </si>
  <si>
    <t>Note S:</t>
  </si>
  <si>
    <t>Section 2.12 of Schedule 10.3 states “The Formula Rate excludes all costs that are properly directly assigned or assignable to one or more</t>
  </si>
  <si>
    <t>particular customers, including costs directly assigned or assignable to PEF.”  Per Settlement of 2008 Annual Update, the amount specified</t>
  </si>
  <si>
    <t>excludes directly assignable retail costs/credits booked to Account 935 and retail sales tax portion of Florida sales tax audit expense booked</t>
  </si>
  <si>
    <t>to Account 930.2 from Form-1 reported value.</t>
  </si>
  <si>
    <t>Note T:</t>
  </si>
  <si>
    <t>Network prepayments include interest that has been accrued but not yet refunded.</t>
  </si>
  <si>
    <t>Note U:</t>
  </si>
  <si>
    <t>Note V:</t>
  </si>
  <si>
    <t xml:space="preserve">Unfunded Reserves </t>
  </si>
  <si>
    <t>Note U</t>
  </si>
  <si>
    <t>Unfunded Reserves</t>
  </si>
  <si>
    <t>Value</t>
  </si>
  <si>
    <t>Identified Reserves:</t>
  </si>
  <si>
    <t xml:space="preserve">   Total Reserves</t>
  </si>
  <si>
    <t>Less Externally Funded Amounts:</t>
  </si>
  <si>
    <t xml:space="preserve">  Total Externally Funded Amounts</t>
  </si>
  <si>
    <t>Self Insured Medical Subaccounts</t>
  </si>
  <si>
    <t>Adjusted to remove AFUDC accruals from CWIP projects that were included in rate base.</t>
  </si>
  <si>
    <t>The inclusion of Line 24A, "Unfunded Reserves," ensures that identified "Unfunded Reserves" are appropriately excluded from rate base in</t>
  </si>
  <si>
    <t>the Formula Rate calculations.  The specific treatment of these "Unfunded Reserves" in no way precludes the Transmission Provider or</t>
  </si>
  <si>
    <t>or interested parties from making any argument in any proceeding at the Commission or in any review or challenge proceeding under the</t>
  </si>
  <si>
    <t>Formula Rate as to the appropriate accounting or ratemaking treatment in the Formula Rate of any unfunded reserve.</t>
  </si>
  <si>
    <t>Year Ending 12/31/2009</t>
  </si>
  <si>
    <t>Accumulated Provision for Uncollect Accounts FPC</t>
  </si>
  <si>
    <t>Accumulated Provision for Uncollect Accounts-Non Elec</t>
  </si>
  <si>
    <t>Accumulated Provision for Uncollect Accounts-Whlsl</t>
  </si>
  <si>
    <t>FPC LT Diability Plan</t>
  </si>
  <si>
    <t>Deferred Fuel Expense- Gl 2540950</t>
  </si>
  <si>
    <t>Health &amp; Life Loading</t>
  </si>
  <si>
    <t>Medical/Dental Life</t>
  </si>
  <si>
    <t>Bargaining Unit Dental Reserve</t>
  </si>
  <si>
    <t>Cur &amp; Accr Liab Medi/Detl Ins Act</t>
  </si>
  <si>
    <t>Funded Med/Life Res Post Emp</t>
  </si>
  <si>
    <t>Fed/Life Res Post Emp Retail</t>
  </si>
  <si>
    <t>Med/Life Res PostEmp Whls</t>
  </si>
  <si>
    <t>OPEB Contributions to Whsl Fund</t>
  </si>
  <si>
    <t>Accrued Liability ARO</t>
  </si>
  <si>
    <t>Misc Deferred Debit Workers Comp</t>
  </si>
  <si>
    <t>Post Retirements Benefits Medicare Subsidy</t>
  </si>
  <si>
    <t>CR 3 Capacity Outage Accrual</t>
  </si>
  <si>
    <t>Imputed Interest Income-City of Zephryhills loan</t>
  </si>
  <si>
    <t xml:space="preserve">Bartow LTSA O&amp;M </t>
  </si>
  <si>
    <t>Tax at 12/31/2009</t>
  </si>
  <si>
    <t>Bartow CC</t>
  </si>
  <si>
    <t>CT1C</t>
  </si>
  <si>
    <t>CT1D</t>
  </si>
  <si>
    <t>328-330, line1</t>
  </si>
  <si>
    <t>328-330, line2</t>
  </si>
  <si>
    <t>328-330, line3</t>
  </si>
  <si>
    <t>328-330, line4</t>
  </si>
  <si>
    <t>328-330, line5</t>
  </si>
  <si>
    <t>Central Power and Lime</t>
  </si>
  <si>
    <t>T6/141</t>
  </si>
  <si>
    <t>328-330, line6</t>
  </si>
  <si>
    <t>328-330, line7</t>
  </si>
  <si>
    <t>328-330, line8</t>
  </si>
  <si>
    <t>328-330, line9</t>
  </si>
  <si>
    <t>328-330, line10</t>
  </si>
  <si>
    <t>328-330, line11</t>
  </si>
  <si>
    <t>328-330, line12</t>
  </si>
  <si>
    <t>328-330, line13</t>
  </si>
  <si>
    <t>328-330, line14</t>
  </si>
  <si>
    <t>328-330, line15</t>
  </si>
  <si>
    <t>328-330, line16</t>
  </si>
  <si>
    <t>328-330, line17</t>
  </si>
  <si>
    <t>328-330, line18</t>
  </si>
  <si>
    <t>328-330, line19</t>
  </si>
  <si>
    <t>328-330, line20</t>
  </si>
  <si>
    <t>JP Morgan Ventures</t>
  </si>
  <si>
    <t>T6/132</t>
  </si>
  <si>
    <t>328-330, line21</t>
  </si>
  <si>
    <t>328-330, line22</t>
  </si>
  <si>
    <t>T6/138</t>
  </si>
  <si>
    <t>328-330, line23</t>
  </si>
  <si>
    <t>328-330, line24</t>
  </si>
  <si>
    <t>328-330, line25</t>
  </si>
  <si>
    <t>328-330, line26</t>
  </si>
  <si>
    <t>328-330, line27</t>
  </si>
  <si>
    <t>328-330, line28</t>
  </si>
  <si>
    <t>328-330, line29</t>
  </si>
  <si>
    <t>328-330, line30</t>
  </si>
  <si>
    <t>328-330, line31</t>
  </si>
  <si>
    <t>328-330, line32</t>
  </si>
  <si>
    <t>328-330, line33</t>
  </si>
  <si>
    <t>328-330, line34</t>
  </si>
  <si>
    <t>328.1-330.1,line1</t>
  </si>
  <si>
    <t>328.1-330.1,line2</t>
  </si>
  <si>
    <t>328.1-330.1,line3</t>
  </si>
  <si>
    <t>328.1-330.1,line4</t>
  </si>
  <si>
    <t>328.1-330.1,line5</t>
  </si>
  <si>
    <t>T6/134</t>
  </si>
  <si>
    <t>328.1-330.1,line6</t>
  </si>
  <si>
    <t>328.1-330.1,line7</t>
  </si>
  <si>
    <t>328.1-330.1,line8</t>
  </si>
  <si>
    <t>328.1-330.1,line9</t>
  </si>
  <si>
    <t>Tennessee Valley Authoritty</t>
  </si>
  <si>
    <t>T6/21C</t>
  </si>
  <si>
    <t>328.1-330.1,line10</t>
  </si>
  <si>
    <t>T6/140</t>
  </si>
  <si>
    <t>328.1-330.1,line11</t>
  </si>
  <si>
    <t>T6/139</t>
  </si>
  <si>
    <t>328.1-330.1,line12</t>
  </si>
  <si>
    <t>T6/142</t>
  </si>
  <si>
    <t>328.1-330.1,line13</t>
  </si>
  <si>
    <t>328.1-330.1,line14</t>
  </si>
  <si>
    <t>328.1-330.1,line15</t>
  </si>
  <si>
    <t>328.1-330.1,line16</t>
  </si>
  <si>
    <t>328.1-330.1,line17</t>
  </si>
  <si>
    <t>Constallation Energy</t>
  </si>
  <si>
    <t>T6/63C</t>
  </si>
  <si>
    <t>328.1-330.1,line18</t>
  </si>
  <si>
    <t>FPC Power Marketing &amp; CPL</t>
  </si>
  <si>
    <t>T6/76C</t>
  </si>
  <si>
    <t>328.1-330.1,line19</t>
  </si>
  <si>
    <t>The Energy Authourity</t>
  </si>
  <si>
    <t>328.1-330.1,line20</t>
  </si>
  <si>
    <t>Seminole Elec Coop, Inc.</t>
  </si>
  <si>
    <t>T6/143</t>
  </si>
  <si>
    <t>328.1-330.1,line21</t>
  </si>
  <si>
    <t>328.1-330.1,line22</t>
  </si>
  <si>
    <t>328.1-330.1,line23</t>
  </si>
  <si>
    <t>328.1-330.1,line24</t>
  </si>
  <si>
    <t>Southeastern Power Admin-OS</t>
  </si>
  <si>
    <t>328.1-330.1,line25</t>
  </si>
  <si>
    <t>328.1-330.1,line26</t>
  </si>
  <si>
    <t>328.1-330.1,line27</t>
  </si>
  <si>
    <t>328.1-330.1,line28</t>
  </si>
  <si>
    <t>328.1-330.1,line29</t>
  </si>
  <si>
    <t>328.1-330.1,line30</t>
  </si>
  <si>
    <t>T8/76</t>
  </si>
  <si>
    <t>328.1-330.1,line31</t>
  </si>
  <si>
    <t>Duke Power</t>
  </si>
  <si>
    <t>(Column (a))</t>
  </si>
  <si>
    <t>Telemetering - Miami Dade Equipment Rental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</si>
</sst>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%_);\(0%\)"/>
    <numFmt numFmtId="166" formatCode="_(&quot;$&quot;* #,##0_);_(&quot;$&quot;* \(#,##0\);_(&quot;$&quot;* &quot;-&quot;??_);_(@_)"/>
    <numFmt numFmtId="167" formatCode="General_)"/>
    <numFmt numFmtId="168" formatCode="0.00000_);\(0.00000\)"/>
    <numFmt numFmtId="169" formatCode="#,##0.000_);\(#,##0.000\)"/>
    <numFmt numFmtId="170" formatCode="#,##0.00000_);\(#,##0.00000\)"/>
    <numFmt numFmtId="171" formatCode="0.0%"/>
    <numFmt numFmtId="172" formatCode="_(* #,##0.0000_);_(* \(#,##0.0000\);_(* &quot;-&quot;??_);_(@_)"/>
    <numFmt numFmtId="173" formatCode="_(* #,##0.0000_);_(* \(#,##0.0000\);_(* &quot;-&quot;????_);_(@_)"/>
  </numFmts>
  <fonts count="33">
    <font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Tahoma"/>
      <family val="2"/>
    </font>
    <font>
      <sz val="8"/>
      <name val="Arial Narrow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vertAlign val="subscript"/>
      <sz val="10"/>
      <name val="Arial"/>
      <family val="2"/>
    </font>
    <font>
      <vertAlign val="subscript"/>
      <sz val="10"/>
      <name val="Arial"/>
      <family val="2"/>
    </font>
    <font>
      <sz val="11"/>
      <color indexed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8"/>
      <color indexed="81"/>
      <name val="Tahoma"/>
      <family val="2"/>
    </font>
    <font>
      <u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trike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b/>
      <sz val="8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gray0625"/>
    </fill>
    <fill>
      <patternFill patternType="solid">
        <fgColor indexed="27"/>
        <bgColor indexed="64"/>
      </patternFill>
    </fill>
    <fill>
      <patternFill patternType="mediumGray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</borders>
  <cellStyleXfs count="2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 applyNumberFormat="0"/>
    <xf numFmtId="40" fontId="6" fillId="3" borderId="0">
      <alignment horizontal="right"/>
    </xf>
    <xf numFmtId="14" fontId="7" fillId="4" borderId="3">
      <alignment horizontal="center" vertical="center" wrapText="1"/>
    </xf>
    <xf numFmtId="165" fontId="1" fillId="0" borderId="0" applyFont="0" applyFill="0" applyBorder="0" applyAlignment="0" applyProtection="0"/>
    <xf numFmtId="0" fontId="8" fillId="0" borderId="0" applyNumberFormat="0" applyFont="0" applyFill="0" applyBorder="0" applyAlignment="0" applyProtection="0">
      <alignment horizontal="left"/>
    </xf>
    <xf numFmtId="15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0" fontId="9" fillId="0" borderId="3">
      <alignment horizontal="center"/>
    </xf>
    <xf numFmtId="3" fontId="10" fillId="0" borderId="0" applyFill="0" applyBorder="0" applyAlignment="0" applyProtection="0"/>
    <xf numFmtId="0" fontId="8" fillId="5" borderId="0" applyNumberFormat="0" applyFont="0" applyBorder="0" applyAlignment="0" applyProtection="0"/>
    <xf numFmtId="39" fontId="11" fillId="0" borderId="0"/>
    <xf numFmtId="0" fontId="1" fillId="0" borderId="0" applyNumberFormat="0" applyFill="0" applyBorder="0" applyAlignment="0" applyProtection="0"/>
    <xf numFmtId="0" fontId="12" fillId="0" borderId="0" applyFill="0" applyBorder="0" applyProtection="0">
      <alignment horizontal="left" vertical="top"/>
    </xf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NumberFormat="0" applyFill="0" applyBorder="0" applyAlignment="0" applyProtection="0"/>
    <xf numFmtId="0" fontId="24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29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/>
    <xf numFmtId="37" fontId="3" fillId="0" borderId="0" xfId="0" applyNumberFormat="1" applyFont="1"/>
    <xf numFmtId="37" fontId="3" fillId="0" borderId="0" xfId="0" applyNumberFormat="1" applyFont="1" applyFill="1"/>
    <xf numFmtId="0" fontId="0" fillId="0" borderId="0" xfId="0" applyFill="1"/>
    <xf numFmtId="0" fontId="13" fillId="0" borderId="0" xfId="0" applyFont="1"/>
    <xf numFmtId="0" fontId="7" fillId="0" borderId="0" xfId="0" applyFont="1"/>
    <xf numFmtId="0" fontId="14" fillId="0" borderId="0" xfId="0" applyFont="1"/>
    <xf numFmtId="0" fontId="0" fillId="0" borderId="0" xfId="0" applyNumberFormat="1"/>
    <xf numFmtId="166" fontId="1" fillId="2" borderId="0" xfId="17" applyNumberFormat="1" applyFill="1"/>
    <xf numFmtId="166" fontId="1" fillId="2" borderId="0" xfId="17" applyNumberFormat="1" applyFont="1" applyFill="1" applyAlignment="1">
      <alignment horizontal="right"/>
    </xf>
    <xf numFmtId="0" fontId="0" fillId="0" borderId="0" xfId="0" applyAlignment="1">
      <alignment horizontal="center"/>
    </xf>
    <xf numFmtId="9" fontId="1" fillId="2" borderId="0" xfId="18" applyFill="1"/>
    <xf numFmtId="166" fontId="1" fillId="0" borderId="0" xfId="17" applyNumberFormat="1"/>
    <xf numFmtId="9" fontId="1" fillId="0" borderId="0" xfId="18"/>
    <xf numFmtId="0" fontId="7" fillId="6" borderId="0" xfId="0" applyFont="1" applyFill="1" applyBorder="1"/>
    <xf numFmtId="0" fontId="0" fillId="6" borderId="0" xfId="0" applyFill="1"/>
    <xf numFmtId="0" fontId="15" fillId="0" borderId="0" xfId="0" applyFont="1" applyFill="1"/>
    <xf numFmtId="0" fontId="0" fillId="0" borderId="1" xfId="0" applyBorder="1" applyAlignment="1">
      <alignment horizontal="center"/>
    </xf>
    <xf numFmtId="166" fontId="0" fillId="0" borderId="0" xfId="0" applyNumberFormat="1"/>
    <xf numFmtId="0" fontId="0" fillId="0" borderId="3" xfId="0" applyBorder="1"/>
    <xf numFmtId="0" fontId="7" fillId="0" borderId="3" xfId="0" applyFont="1" applyBorder="1" applyAlignment="1">
      <alignment horizontal="center"/>
    </xf>
    <xf numFmtId="0" fontId="0" fillId="0" borderId="0" xfId="0" applyFill="1" applyAlignment="1">
      <alignment horizontal="center"/>
    </xf>
    <xf numFmtId="166" fontId="0" fillId="0" borderId="0" xfId="0" applyNumberFormat="1" applyFill="1"/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166" fontId="7" fillId="0" borderId="0" xfId="0" applyNumberFormat="1" applyFont="1" applyBorder="1" applyAlignment="1">
      <alignment horizontal="center"/>
    </xf>
    <xf numFmtId="166" fontId="7" fillId="0" borderId="4" xfId="0" applyNumberFormat="1" applyFont="1" applyBorder="1"/>
    <xf numFmtId="166" fontId="7" fillId="0" borderId="0" xfId="17" applyNumberFormat="1" applyFont="1"/>
    <xf numFmtId="0" fontId="7" fillId="0" borderId="3" xfId="0" applyFont="1" applyBorder="1"/>
    <xf numFmtId="166" fontId="0" fillId="2" borderId="0" xfId="0" applyNumberFormat="1" applyFill="1"/>
    <xf numFmtId="166" fontId="1" fillId="2" borderId="0" xfId="0" applyNumberFormat="1" applyFont="1" applyFill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/>
    </xf>
    <xf numFmtId="44" fontId="3" fillId="0" borderId="0" xfId="0" applyNumberFormat="1" applyFont="1" applyFill="1" applyAlignment="1">
      <alignment horizontal="center"/>
    </xf>
    <xf numFmtId="37" fontId="19" fillId="0" borderId="0" xfId="0" applyNumberFormat="1" applyFont="1" applyFill="1"/>
    <xf numFmtId="0" fontId="19" fillId="0" borderId="0" xfId="0" applyFont="1" applyAlignment="1">
      <alignment horizontal="center"/>
    </xf>
    <xf numFmtId="0" fontId="20" fillId="0" borderId="0" xfId="0" applyFont="1"/>
    <xf numFmtId="37" fontId="21" fillId="0" borderId="0" xfId="0" applyNumberFormat="1" applyFont="1" applyFill="1"/>
    <xf numFmtId="37" fontId="3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/>
    <xf numFmtId="37" fontId="2" fillId="0" borderId="0" xfId="0" applyNumberFormat="1" applyFont="1" applyFill="1" applyAlignment="1">
      <alignment horizontal="center"/>
    </xf>
    <xf numFmtId="37" fontId="2" fillId="0" borderId="0" xfId="0" applyNumberFormat="1" applyFont="1" applyFill="1" applyAlignment="1">
      <alignment horizontal="center" vertical="center"/>
    </xf>
    <xf numFmtId="0" fontId="20" fillId="0" borderId="0" xfId="0" applyFont="1" applyAlignment="1">
      <alignment horizontal="left"/>
    </xf>
    <xf numFmtId="37" fontId="3" fillId="0" borderId="0" xfId="0" applyNumberFormat="1" applyFont="1" applyFill="1" applyAlignment="1">
      <alignment horizontal="center"/>
    </xf>
    <xf numFmtId="37" fontId="2" fillId="0" borderId="4" xfId="0" applyNumberFormat="1" applyFont="1" applyFill="1" applyBorder="1"/>
    <xf numFmtId="167" fontId="3" fillId="0" borderId="0" xfId="0" applyNumberFormat="1" applyFont="1" applyFill="1" applyBorder="1" applyAlignment="1" applyProtection="1">
      <alignment horizontal="left"/>
    </xf>
    <xf numFmtId="164" fontId="22" fillId="0" borderId="0" xfId="19" applyNumberFormat="1" applyFont="1" applyFill="1" applyBorder="1" applyAlignment="1" applyProtection="1">
      <alignment horizontal="left"/>
    </xf>
    <xf numFmtId="37" fontId="2" fillId="0" borderId="0" xfId="0" applyNumberFormat="1" applyFont="1" applyFill="1" applyBorder="1"/>
    <xf numFmtId="42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0" xfId="0" quotePrefix="1" applyAlignment="1">
      <alignment horizontal="right"/>
    </xf>
    <xf numFmtId="0" fontId="3" fillId="0" borderId="0" xfId="0" applyFont="1" applyAlignment="1">
      <alignment vertical="center"/>
    </xf>
    <xf numFmtId="37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37" fontId="2" fillId="0" borderId="5" xfId="0" applyNumberFormat="1" applyFont="1" applyFill="1" applyBorder="1"/>
    <xf numFmtId="37" fontId="2" fillId="0" borderId="0" xfId="20" applyNumberFormat="1" applyFont="1" applyFill="1"/>
    <xf numFmtId="0" fontId="2" fillId="0" borderId="0" xfId="0" applyFont="1" applyFill="1"/>
    <xf numFmtId="0" fontId="24" fillId="0" borderId="0" xfId="21"/>
    <xf numFmtId="0" fontId="3" fillId="0" borderId="0" xfId="21" applyFont="1"/>
    <xf numFmtId="0" fontId="2" fillId="0" borderId="0" xfId="21" applyFont="1" applyAlignment="1">
      <alignment horizontal="center" vertical="center"/>
    </xf>
    <xf numFmtId="0" fontId="2" fillId="0" borderId="0" xfId="21" applyFont="1"/>
    <xf numFmtId="37" fontId="3" fillId="0" borderId="0" xfId="21" applyNumberFormat="1" applyFont="1" applyFill="1"/>
    <xf numFmtId="37" fontId="3" fillId="0" borderId="0" xfId="21" applyNumberFormat="1" applyFont="1"/>
    <xf numFmtId="0" fontId="2" fillId="0" borderId="0" xfId="21" quotePrefix="1" applyFont="1"/>
    <xf numFmtId="0" fontId="20" fillId="0" borderId="0" xfId="21" applyFont="1" applyAlignment="1">
      <alignment horizontal="left"/>
    </xf>
    <xf numFmtId="0" fontId="2" fillId="0" borderId="0" xfId="21" applyFont="1" applyAlignment="1">
      <alignment horizontal="center" vertical="center"/>
    </xf>
    <xf numFmtId="0" fontId="20" fillId="0" borderId="0" xfId="21" applyFont="1" applyAlignment="1">
      <alignment horizontal="left"/>
    </xf>
    <xf numFmtId="0" fontId="24" fillId="0" borderId="0" xfId="21" applyBorder="1"/>
    <xf numFmtId="0" fontId="3" fillId="0" borderId="0" xfId="21" applyNumberFormat="1" applyFont="1"/>
    <xf numFmtId="0" fontId="3" fillId="0" borderId="0" xfId="21" applyNumberFormat="1" applyFont="1" applyBorder="1"/>
    <xf numFmtId="0" fontId="3" fillId="0" borderId="0" xfId="21" applyNumberFormat="1" applyFont="1" applyBorder="1" applyAlignment="1">
      <alignment horizontal="center"/>
    </xf>
    <xf numFmtId="0" fontId="27" fillId="0" borderId="0" xfId="21" applyNumberFormat="1" applyFont="1" applyAlignment="1">
      <alignment horizontal="center"/>
    </xf>
    <xf numFmtId="0" fontId="27" fillId="0" borderId="0" xfId="21" applyNumberFormat="1" applyFont="1" applyBorder="1"/>
    <xf numFmtId="0" fontId="27" fillId="0" borderId="0" xfId="21" applyNumberFormat="1" applyFont="1" applyBorder="1" applyAlignment="1">
      <alignment horizontal="center"/>
    </xf>
    <xf numFmtId="5" fontId="3" fillId="0" borderId="0" xfId="21" applyNumberFormat="1" applyFont="1" applyBorder="1"/>
    <xf numFmtId="37" fontId="3" fillId="0" borderId="0" xfId="21" applyNumberFormat="1" applyFont="1" applyBorder="1"/>
    <xf numFmtId="37" fontId="28" fillId="0" borderId="0" xfId="21" applyNumberFormat="1" applyFont="1" applyBorder="1"/>
    <xf numFmtId="0" fontId="3" fillId="0" borderId="0" xfId="21" quotePrefix="1" applyNumberFormat="1" applyFont="1" applyBorder="1" applyAlignment="1">
      <alignment horizontal="left"/>
    </xf>
    <xf numFmtId="0" fontId="3" fillId="7" borderId="0" xfId="21" applyNumberFormat="1" applyFont="1" applyFill="1" applyBorder="1"/>
    <xf numFmtId="0" fontId="3" fillId="0" borderId="0" xfId="21" applyNumberFormat="1" applyFont="1" applyBorder="1" applyAlignment="1">
      <alignment horizontal="left"/>
    </xf>
    <xf numFmtId="37" fontId="3" fillId="0" borderId="0" xfId="21" applyNumberFormat="1" applyFont="1" applyFill="1" applyBorder="1"/>
    <xf numFmtId="37" fontId="3" fillId="0" borderId="0" xfId="21" applyNumberFormat="1" applyFont="1" applyBorder="1" applyAlignment="1">
      <alignment horizontal="center"/>
    </xf>
    <xf numFmtId="0" fontId="3" fillId="0" borderId="0" xfId="21" applyFont="1" applyBorder="1"/>
    <xf numFmtId="37" fontId="0" fillId="0" borderId="0" xfId="0" applyNumberFormat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168" fontId="3" fillId="0" borderId="0" xfId="0" applyNumberFormat="1" applyFont="1" applyFill="1"/>
    <xf numFmtId="37" fontId="3" fillId="0" borderId="5" xfId="0" applyNumberFormat="1" applyFont="1" applyFill="1" applyBorder="1"/>
    <xf numFmtId="0" fontId="3" fillId="0" borderId="0" xfId="0" applyFont="1" applyFill="1" applyAlignment="1">
      <alignment horizontal="center" vertical="center"/>
    </xf>
    <xf numFmtId="37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Border="1"/>
    <xf numFmtId="2" fontId="3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Alignment="1">
      <alignment vertical="center"/>
    </xf>
    <xf numFmtId="39" fontId="3" fillId="0" borderId="0" xfId="0" applyNumberFormat="1" applyFont="1" applyFill="1"/>
    <xf numFmtId="0" fontId="3" fillId="0" borderId="0" xfId="0" applyFont="1" applyFill="1" applyAlignment="1">
      <alignment horizontal="left" vertical="center"/>
    </xf>
    <xf numFmtId="39" fontId="3" fillId="0" borderId="0" xfId="0" applyNumberFormat="1" applyFont="1" applyFill="1" applyAlignment="1">
      <alignment vertical="center"/>
    </xf>
    <xf numFmtId="0" fontId="1" fillId="0" borderId="0" xfId="24"/>
    <xf numFmtId="0" fontId="13" fillId="0" borderId="0" xfId="24" applyFont="1"/>
    <xf numFmtId="0" fontId="7" fillId="0" borderId="1" xfId="24" applyFont="1" applyBorder="1"/>
    <xf numFmtId="0" fontId="1" fillId="0" borderId="1" xfId="24" applyBorder="1"/>
    <xf numFmtId="0" fontId="7" fillId="0" borderId="1" xfId="24" applyFont="1" applyBorder="1" applyAlignment="1">
      <alignment horizontal="center"/>
    </xf>
    <xf numFmtId="0" fontId="7" fillId="0" borderId="0" xfId="24" applyFont="1" applyAlignment="1">
      <alignment horizontal="center"/>
    </xf>
    <xf numFmtId="0" fontId="7" fillId="9" borderId="2" xfId="24" applyFont="1" applyFill="1" applyBorder="1"/>
    <xf numFmtId="0" fontId="1" fillId="0" borderId="0" xfId="24" applyFill="1"/>
    <xf numFmtId="37" fontId="1" fillId="0" borderId="0" xfId="24" applyNumberFormat="1"/>
    <xf numFmtId="0" fontId="14" fillId="0" borderId="0" xfId="24" applyFont="1" applyAlignment="1">
      <alignment horizontal="left"/>
    </xf>
    <xf numFmtId="0" fontId="1" fillId="0" borderId="0" xfId="24" applyAlignment="1">
      <alignment horizontal="left" indent="1"/>
    </xf>
    <xf numFmtId="0" fontId="1" fillId="0" borderId="0" xfId="24" applyAlignment="1">
      <alignment horizontal="left"/>
    </xf>
    <xf numFmtId="5" fontId="1" fillId="0" borderId="0" xfId="24" applyNumberFormat="1" applyFill="1"/>
    <xf numFmtId="37" fontId="23" fillId="0" borderId="0" xfId="24" applyNumberFormat="1" applyFont="1" applyFill="1"/>
    <xf numFmtId="5" fontId="1" fillId="0" borderId="0" xfId="24" applyNumberFormat="1"/>
    <xf numFmtId="37" fontId="7" fillId="0" borderId="0" xfId="24" applyNumberFormat="1" applyFont="1" applyAlignment="1">
      <alignment horizontal="center" vertical="center"/>
    </xf>
    <xf numFmtId="0" fontId="1" fillId="0" borderId="0" xfId="24" applyFont="1"/>
    <xf numFmtId="37" fontId="7" fillId="0" borderId="0" xfId="24" applyNumberFormat="1" applyFont="1" applyFill="1" applyAlignment="1">
      <alignment horizontal="center" vertical="center"/>
    </xf>
    <xf numFmtId="0" fontId="7" fillId="0" borderId="0" xfId="24" applyFont="1"/>
    <xf numFmtId="0" fontId="1" fillId="0" borderId="0" xfId="24" applyAlignment="1">
      <alignment horizontal="left" indent="2"/>
    </xf>
    <xf numFmtId="0" fontId="14" fillId="0" borderId="0" xfId="24" applyFont="1"/>
    <xf numFmtId="37" fontId="1" fillId="0" borderId="0" xfId="24" applyNumberFormat="1" applyFill="1"/>
    <xf numFmtId="0" fontId="1" fillId="0" borderId="0" xfId="24" applyFont="1" applyAlignment="1">
      <alignment horizontal="left" indent="1"/>
    </xf>
    <xf numFmtId="10" fontId="1" fillId="0" borderId="0" xfId="23" applyNumberFormat="1"/>
    <xf numFmtId="171" fontId="1" fillId="0" borderId="0" xfId="24" applyNumberFormat="1"/>
    <xf numFmtId="37" fontId="23" fillId="0" borderId="0" xfId="24" applyNumberFormat="1" applyFont="1"/>
    <xf numFmtId="0" fontId="7" fillId="0" borderId="0" xfId="24" applyFont="1" applyAlignment="1">
      <alignment horizontal="left" indent="1"/>
    </xf>
    <xf numFmtId="5" fontId="7" fillId="9" borderId="2" xfId="24" applyNumberFormat="1" applyFont="1" applyFill="1" applyBorder="1"/>
    <xf numFmtId="0" fontId="7" fillId="6" borderId="2" xfId="24" applyFont="1" applyFill="1" applyBorder="1"/>
    <xf numFmtId="166" fontId="1" fillId="0" borderId="0" xfId="22" applyNumberFormat="1" applyFont="1"/>
    <xf numFmtId="166" fontId="1" fillId="0" borderId="0" xfId="22" applyNumberFormat="1"/>
    <xf numFmtId="37" fontId="7" fillId="6" borderId="7" xfId="24" applyNumberFormat="1" applyFont="1" applyFill="1" applyBorder="1"/>
    <xf numFmtId="37" fontId="7" fillId="6" borderId="2" xfId="24" applyNumberFormat="1" applyFont="1" applyFill="1" applyBorder="1"/>
    <xf numFmtId="37" fontId="7" fillId="6" borderId="8" xfId="24" applyNumberFormat="1" applyFont="1" applyFill="1" applyBorder="1"/>
    <xf numFmtId="0" fontId="1" fillId="8" borderId="0" xfId="24" applyFill="1"/>
    <xf numFmtId="37" fontId="1" fillId="2" borderId="0" xfId="24" applyNumberFormat="1" applyFill="1"/>
    <xf numFmtId="37" fontId="7" fillId="0" borderId="0" xfId="24" applyNumberFormat="1" applyFont="1"/>
    <xf numFmtId="0" fontId="0" fillId="0" borderId="0" xfId="0" applyFont="1"/>
    <xf numFmtId="37" fontId="0" fillId="0" borderId="0" xfId="0" applyNumberFormat="1" applyFont="1"/>
    <xf numFmtId="0" fontId="0" fillId="0" borderId="0" xfId="0" applyFont="1" applyFill="1"/>
    <xf numFmtId="0" fontId="3" fillId="0" borderId="0" xfId="21" applyNumberFormat="1" applyFont="1" applyAlignment="1">
      <alignment horizontal="center"/>
    </xf>
    <xf numFmtId="0" fontId="27" fillId="0" borderId="0" xfId="21" applyNumberFormat="1" applyFont="1"/>
    <xf numFmtId="0" fontId="3" fillId="0" borderId="1" xfId="21" applyNumberFormat="1" applyFont="1" applyBorder="1" applyAlignment="1">
      <alignment horizontal="center"/>
    </xf>
    <xf numFmtId="0" fontId="3" fillId="0" borderId="12" xfId="21" applyNumberFormat="1" applyFont="1" applyBorder="1" applyAlignment="1">
      <alignment horizontal="center"/>
    </xf>
    <xf numFmtId="37" fontId="22" fillId="7" borderId="0" xfId="21" applyNumberFormat="1" applyFont="1" applyFill="1" applyBorder="1"/>
    <xf numFmtId="168" fontId="3" fillId="0" borderId="0" xfId="0" applyNumberFormat="1" applyFont="1"/>
    <xf numFmtId="37" fontId="27" fillId="0" borderId="0" xfId="0" applyNumberFormat="1" applyFont="1" applyAlignment="1">
      <alignment vertical="center"/>
    </xf>
    <xf numFmtId="0" fontId="0" fillId="0" borderId="0" xfId="21" applyFont="1" applyFill="1"/>
    <xf numFmtId="0" fontId="24" fillId="0" borderId="0" xfId="21" applyFill="1"/>
    <xf numFmtId="0" fontId="20" fillId="0" borderId="0" xfId="0" applyFont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quotePrefix="1" applyFont="1" applyAlignment="1">
      <alignment horizontal="center"/>
    </xf>
    <xf numFmtId="37" fontId="3" fillId="0" borderId="0" xfId="0" applyNumberFormat="1" applyFont="1" applyAlignment="1">
      <alignment horizontal="right"/>
    </xf>
    <xf numFmtId="37" fontId="3" fillId="0" borderId="0" xfId="0" applyNumberFormat="1" applyFont="1" applyFill="1" applyAlignment="1">
      <alignment horizontal="right"/>
    </xf>
    <xf numFmtId="37" fontId="3" fillId="0" borderId="5" xfId="0" applyNumberFormat="1" applyFont="1" applyBorder="1"/>
    <xf numFmtId="37" fontId="3" fillId="0" borderId="0" xfId="0" applyNumberFormat="1" applyFont="1" applyAlignment="1">
      <alignment horizontal="center"/>
    </xf>
    <xf numFmtId="38" fontId="3" fillId="0" borderId="0" xfId="0" applyNumberFormat="1" applyFont="1" applyFill="1"/>
    <xf numFmtId="37" fontId="3" fillId="0" borderId="0" xfId="0" applyNumberFormat="1" applyFont="1" applyAlignment="1">
      <alignment horizontal="right" vertical="center"/>
    </xf>
    <xf numFmtId="168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37" fontId="3" fillId="0" borderId="0" xfId="0" applyNumberFormat="1" applyFont="1" applyAlignment="1">
      <alignment horizontal="center" vertical="center"/>
    </xf>
    <xf numFmtId="37" fontId="3" fillId="0" borderId="0" xfId="0" applyNumberFormat="1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/>
    <xf numFmtId="37" fontId="3" fillId="0" borderId="0" xfId="0" applyNumberFormat="1" applyFont="1" applyFill="1" applyBorder="1"/>
    <xf numFmtId="10" fontId="3" fillId="0" borderId="0" xfId="0" applyNumberFormat="1" applyFont="1" applyFill="1"/>
    <xf numFmtId="10" fontId="27" fillId="0" borderId="0" xfId="0" applyNumberFormat="1" applyFont="1" applyFill="1"/>
    <xf numFmtId="169" fontId="3" fillId="0" borderId="0" xfId="0" applyNumberFormat="1" applyFont="1" applyFill="1"/>
    <xf numFmtId="164" fontId="3" fillId="0" borderId="0" xfId="19" applyNumberFormat="1" applyFont="1" applyFill="1"/>
    <xf numFmtId="170" fontId="3" fillId="0" borderId="0" xfId="0" applyNumberFormat="1" applyFont="1" applyFill="1"/>
    <xf numFmtId="37" fontId="3" fillId="0" borderId="6" xfId="0" applyNumberFormat="1" applyFont="1" applyFill="1" applyBorder="1"/>
    <xf numFmtId="0" fontId="27" fillId="0" borderId="0" xfId="0" applyFont="1" applyFill="1"/>
    <xf numFmtId="0" fontId="27" fillId="0" borderId="0" xfId="0" applyFont="1" applyFill="1" applyAlignment="1">
      <alignment horizontal="center"/>
    </xf>
    <xf numFmtId="10" fontId="2" fillId="0" borderId="0" xfId="0" applyNumberFormat="1" applyFont="1" applyFill="1"/>
    <xf numFmtId="10" fontId="2" fillId="0" borderId="5" xfId="0" applyNumberFormat="1" applyFont="1" applyFill="1" applyBorder="1"/>
    <xf numFmtId="37" fontId="3" fillId="0" borderId="0" xfId="0" applyNumberFormat="1" applyFont="1" applyBorder="1"/>
    <xf numFmtId="170" fontId="3" fillId="0" borderId="0" xfId="0" applyNumberFormat="1" applyFont="1" applyFill="1" applyAlignment="1">
      <alignment horizontal="right"/>
    </xf>
    <xf numFmtId="0" fontId="3" fillId="0" borderId="0" xfId="0" quotePrefix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37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168" fontId="3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37" fontId="2" fillId="0" borderId="0" xfId="0" applyNumberFormat="1" applyFont="1" applyAlignment="1">
      <alignment horizontal="right"/>
    </xf>
    <xf numFmtId="0" fontId="3" fillId="8" borderId="0" xfId="0" applyFont="1" applyFill="1"/>
    <xf numFmtId="0" fontId="3" fillId="0" borderId="0" xfId="0" applyFont="1" applyAlignment="1">
      <alignment horizontal="right"/>
    </xf>
    <xf numFmtId="37" fontId="22" fillId="0" borderId="0" xfId="21" applyNumberFormat="1" applyFont="1" applyFill="1" applyBorder="1"/>
    <xf numFmtId="0" fontId="0" fillId="0" borderId="0" xfId="0" quotePrefix="1"/>
    <xf numFmtId="0" fontId="3" fillId="0" borderId="0" xfId="0" quotePrefix="1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quotePrefix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/>
    <xf numFmtId="0" fontId="1" fillId="0" borderId="0" xfId="0" applyFont="1"/>
    <xf numFmtId="0" fontId="20" fillId="0" borderId="0" xfId="25" applyFont="1" applyAlignment="1">
      <alignment horizontal="left"/>
    </xf>
    <xf numFmtId="0" fontId="27" fillId="0" borderId="0" xfId="0" applyFont="1"/>
    <xf numFmtId="0" fontId="3" fillId="0" borderId="0" xfId="0" applyFont="1" applyFill="1" applyAlignment="1">
      <alignment vertical="center"/>
    </xf>
    <xf numFmtId="37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164" fontId="21" fillId="0" borderId="0" xfId="1" applyNumberFormat="1" applyFont="1" applyFill="1"/>
    <xf numFmtId="37" fontId="21" fillId="0" borderId="13" xfId="0" applyNumberFormat="1" applyFont="1" applyFill="1" applyBorder="1"/>
    <xf numFmtId="37" fontId="27" fillId="0" borderId="0" xfId="0" applyNumberFormat="1" applyFont="1" applyFill="1" applyAlignment="1">
      <alignment vertical="center"/>
    </xf>
    <xf numFmtId="37" fontId="29" fillId="0" borderId="0" xfId="0" applyNumberFormat="1" applyFont="1" applyFill="1"/>
    <xf numFmtId="37" fontId="27" fillId="0" borderId="0" xfId="0" applyNumberFormat="1" applyFont="1" applyFill="1"/>
    <xf numFmtId="37" fontId="3" fillId="0" borderId="0" xfId="0" applyNumberFormat="1" applyFont="1" applyFill="1" applyBorder="1" applyProtection="1"/>
    <xf numFmtId="0" fontId="3" fillId="0" borderId="0" xfId="25" applyNumberFormat="1" applyFont="1" applyFill="1"/>
    <xf numFmtId="0" fontId="3" fillId="0" borderId="0" xfId="25" applyNumberFormat="1" applyFont="1" applyFill="1" applyBorder="1"/>
    <xf numFmtId="0" fontId="3" fillId="0" borderId="0" xfId="25" applyNumberFormat="1" applyFont="1" applyFill="1" applyBorder="1" applyAlignment="1">
      <alignment horizontal="left"/>
    </xf>
    <xf numFmtId="0" fontId="3" fillId="0" borderId="0" xfId="25" quotePrefix="1" applyNumberFormat="1" applyFont="1" applyFill="1" applyBorder="1" applyAlignment="1">
      <alignment horizontal="left"/>
    </xf>
    <xf numFmtId="37" fontId="3" fillId="0" borderId="0" xfId="25" applyNumberFormat="1" applyFont="1" applyFill="1" applyBorder="1" applyAlignment="1">
      <alignment horizontal="center"/>
    </xf>
    <xf numFmtId="37" fontId="3" fillId="0" borderId="0" xfId="25" applyNumberFormat="1" applyFont="1" applyFill="1" applyBorder="1"/>
    <xf numFmtId="0" fontId="3" fillId="0" borderId="0" xfId="25" applyFont="1" applyFill="1"/>
    <xf numFmtId="37" fontId="3" fillId="0" borderId="0" xfId="25" applyNumberFormat="1" applyFont="1" applyFill="1"/>
    <xf numFmtId="0" fontId="3" fillId="0" borderId="0" xfId="25" applyNumberFormat="1" applyFont="1" applyFill="1" applyAlignment="1">
      <alignment horizontal="center"/>
    </xf>
    <xf numFmtId="0" fontId="1" fillId="0" borderId="0" xfId="25" applyFill="1"/>
    <xf numFmtId="0" fontId="3" fillId="0" borderId="0" xfId="25" quotePrefix="1" applyNumberFormat="1" applyFont="1" applyFill="1" applyAlignment="1">
      <alignment horizontal="left"/>
    </xf>
    <xf numFmtId="37" fontId="28" fillId="0" borderId="11" xfId="25" applyNumberFormat="1" applyFont="1" applyFill="1" applyBorder="1"/>
    <xf numFmtId="37" fontId="28" fillId="0" borderId="0" xfId="25" applyNumberFormat="1" applyFont="1" applyFill="1" applyBorder="1"/>
    <xf numFmtId="37" fontId="22" fillId="0" borderId="0" xfId="25" applyNumberFormat="1" applyFont="1" applyFill="1" applyBorder="1"/>
    <xf numFmtId="37" fontId="28" fillId="0" borderId="10" xfId="25" applyNumberFormat="1" applyFont="1" applyFill="1" applyBorder="1"/>
    <xf numFmtId="5" fontId="28" fillId="0" borderId="9" xfId="25" applyNumberFormat="1" applyFont="1" applyFill="1" applyBorder="1"/>
    <xf numFmtId="5" fontId="28" fillId="0" borderId="0" xfId="25" applyNumberFormat="1" applyFont="1" applyFill="1" applyBorder="1"/>
    <xf numFmtId="37" fontId="22" fillId="7" borderId="1" xfId="21" applyNumberFormat="1" applyFont="1" applyFill="1" applyBorder="1"/>
    <xf numFmtId="5" fontId="3" fillId="0" borderId="0" xfId="25" applyNumberFormat="1" applyFont="1" applyFill="1"/>
    <xf numFmtId="0" fontId="3" fillId="0" borderId="0" xfId="25" applyNumberFormat="1" applyFont="1" applyFill="1" applyAlignment="1">
      <alignment horizontal="left"/>
    </xf>
    <xf numFmtId="0" fontId="1" fillId="0" borderId="0" xfId="25" applyNumberFormat="1" applyFont="1" applyFill="1"/>
    <xf numFmtId="37" fontId="1" fillId="0" borderId="0" xfId="25" applyNumberFormat="1" applyFont="1" applyFill="1"/>
    <xf numFmtId="0" fontId="1" fillId="0" borderId="0" xfId="25" applyNumberFormat="1" applyFont="1" applyFill="1" applyAlignment="1">
      <alignment horizontal="center"/>
    </xf>
    <xf numFmtId="0" fontId="0" fillId="0" borderId="0" xfId="0" applyNumberFormat="1" applyFill="1"/>
    <xf numFmtId="37" fontId="2" fillId="0" borderId="3" xfId="0" applyNumberFormat="1" applyFont="1" applyFill="1" applyBorder="1"/>
    <xf numFmtId="0" fontId="0" fillId="0" borderId="0" xfId="0" applyFill="1" applyAlignment="1">
      <alignment vertical="center"/>
    </xf>
    <xf numFmtId="0" fontId="0" fillId="0" borderId="0" xfId="0" applyFill="1" applyAlignment="1">
      <alignment vertical="top"/>
    </xf>
    <xf numFmtId="172" fontId="0" fillId="0" borderId="0" xfId="19" applyNumberFormat="1" applyFont="1"/>
    <xf numFmtId="173" fontId="0" fillId="0" borderId="0" xfId="0" applyNumberFormat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0" fillId="0" borderId="0" xfId="0" applyFont="1" applyAlignment="1"/>
    <xf numFmtId="0" fontId="20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0" fontId="7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0" fillId="0" borderId="0" xfId="0" applyFont="1" applyFill="1" applyAlignment="1"/>
    <xf numFmtId="0" fontId="20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21" applyFont="1" applyAlignment="1">
      <alignment horizontal="center" vertical="center"/>
    </xf>
    <xf numFmtId="0" fontId="3" fillId="0" borderId="0" xfId="21" applyFont="1" applyAlignment="1"/>
    <xf numFmtId="0" fontId="20" fillId="0" borderId="0" xfId="21" applyFont="1" applyAlignment="1"/>
    <xf numFmtId="0" fontId="20" fillId="0" borderId="0" xfId="21" applyFont="1" applyAlignment="1">
      <alignment horizontal="left"/>
    </xf>
    <xf numFmtId="0" fontId="25" fillId="0" borderId="0" xfId="21" applyFont="1" applyAlignment="1">
      <alignment horizontal="left"/>
    </xf>
    <xf numFmtId="0" fontId="3" fillId="0" borderId="0" xfId="21" applyFont="1" applyAlignment="1">
      <alignment horizontal="left"/>
    </xf>
    <xf numFmtId="0" fontId="2" fillId="0" borderId="0" xfId="2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37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20" fillId="0" borderId="0" xfId="25" applyFont="1" applyAlignment="1">
      <alignment horizontal="left"/>
    </xf>
    <xf numFmtId="0" fontId="3" fillId="0" borderId="0" xfId="25" applyFont="1" applyAlignment="1">
      <alignment horizontal="left"/>
    </xf>
    <xf numFmtId="0" fontId="1" fillId="0" borderId="0" xfId="24" applyAlignment="1">
      <alignment horizontal="left"/>
    </xf>
    <xf numFmtId="0" fontId="7" fillId="0" borderId="0" xfId="24" applyFont="1" applyAlignment="1">
      <alignment horizontal="center"/>
    </xf>
    <xf numFmtId="0" fontId="1" fillId="0" borderId="0" xfId="24" applyAlignment="1">
      <alignment horizontal="center"/>
    </xf>
  </cellXfs>
  <cellStyles count="26">
    <cellStyle name="_x0013_" xfId="3"/>
    <cellStyle name="Comma" xfId="19" builtinId="3"/>
    <cellStyle name="Comma 2" xfId="1"/>
    <cellStyle name="Comma(1)" xfId="4"/>
    <cellStyle name="Comma_rev456" xfId="20"/>
    <cellStyle name="Currency" xfId="22" builtinId="4"/>
    <cellStyle name="Currency 2" xfId="17"/>
    <cellStyle name="Detail" xfId="5"/>
    <cellStyle name="Heading" xfId="6"/>
    <cellStyle name="Normal" xfId="0" builtinId="0"/>
    <cellStyle name="Normal 2" xfId="2"/>
    <cellStyle name="Normal 3" xfId="21"/>
    <cellStyle name="Normal 3 2" xfId="25"/>
    <cellStyle name="Normal_Linxwiler Blank OATT Formula Template 10-25-07 Revision 2 2" xfId="24"/>
    <cellStyle name="Percent" xfId="23" builtinId="5"/>
    <cellStyle name="Percent (0)" xfId="7"/>
    <cellStyle name="Percent 2" xfId="18"/>
    <cellStyle name="PSChar" xfId="8"/>
    <cellStyle name="PSDate" xfId="9"/>
    <cellStyle name="PSDec" xfId="10"/>
    <cellStyle name="PSHeading" xfId="11"/>
    <cellStyle name="PSInt" xfId="12"/>
    <cellStyle name="PSSpacer" xfId="13"/>
    <cellStyle name="robyn" xfId="14"/>
    <cellStyle name="Style 1" xfId="15"/>
    <cellStyle name="Tickmark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13</xdr:row>
      <xdr:rowOff>152400</xdr:rowOff>
    </xdr:from>
    <xdr:to>
      <xdr:col>10</xdr:col>
      <xdr:colOff>409575</xdr:colOff>
      <xdr:row>42</xdr:row>
      <xdr:rowOff>19050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2314575"/>
          <a:ext cx="5486400" cy="456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a168\complian\federal\fpc\acct\2000\00_pbc\pbcqtr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ov%20GFF%20Database%20(FL)\Database\Nov%20GFF%20FL%20Database%20-%20Version%203%20with%20smoothed%20reg%20capacit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afrost.BRUDERGENTILE\Local%20Settings\Temporary%20Internet%20Files\Content.Outlook\0U44KJPF\PEF%20OATT%20Formula%20-%20Rates%20Eff%2006-01-10%20DRAFT_05131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\Clon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TR"/>
      <sheetName val="236 Reconciliation (2)"/>
      <sheetName val="236 Reconciliation"/>
      <sheetName val="Provision"/>
    </sheetNames>
    <sheetDataSet>
      <sheetData sheetId="0" refreshError="1"/>
      <sheetData sheetId="1" refreshError="1"/>
      <sheetData sheetId="2">
        <row r="68">
          <cell r="A68" t="str">
            <v>Florida Power Corporation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sion Tracking"/>
      <sheetName val="Analysis - Value Summary"/>
      <sheetName val="Analysis - Sensitivities"/>
      <sheetName val="Analysis - Capacity $"/>
      <sheetName val="Analysis - Capacity $kwm"/>
      <sheetName val="Port Value - Cust Summ"/>
      <sheetName val="Port Value - Annual"/>
      <sheetName val="Port Value - Monthly"/>
      <sheetName val="Customer Info"/>
      <sheetName val="MW &amp; MWh"/>
      <sheetName val="Capacity ECC"/>
      <sheetName val="Fuel by LF"/>
      <sheetName val="VOM by LF"/>
      <sheetName val="Emissions by LF"/>
      <sheetName val="Credit"/>
      <sheetName val="FERC Cap. &amp; Energy"/>
      <sheetName val="Negotiated Capacity Revenue"/>
      <sheetName val="Negotiated Fuel Revenue"/>
      <sheetName val="Negotiated VOM Revenue"/>
      <sheetName val="Retail Capacity Impact"/>
      <sheetName val="Retail Energy Impact"/>
      <sheetName val="Fuel Revenue by Contract"/>
      <sheetName val="CR-1 tariff"/>
      <sheetName val="Docum - Interrelationships"/>
      <sheetName val="Docum - Named Ranges"/>
      <sheetName val="Docum - Gener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B7">
            <v>8.1563040000000003E-2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EF - 2 -Page 1 Summary"/>
      <sheetName val="PEF - 2 Page 2 Rate Base"/>
      <sheetName val="PEF - 2 - Page 3 Rev Reqt"/>
      <sheetName val="PEF - 2 - Page 4 Support"/>
      <sheetName val="PEF - 2 - Page 5 Storm, Notes"/>
      <sheetName val="PEF - 2 - Page 6, PBOPs"/>
      <sheetName val="PEF - 3, p1, 454 Rev Credits"/>
      <sheetName val="PEF - 3, p2, 456 Rev Credits"/>
      <sheetName val="PEF - 4, p1 Step Ups "/>
      <sheetName val="PEF - 4, p2 Step Ups "/>
      <sheetName val="PEF - 4,  p3 Order 2003 "/>
      <sheetName val="PEF - 5, p1 PY ADIT 190"/>
      <sheetName val="PEF - 5, p2 PY ADIT 28x"/>
      <sheetName val="PEF - 5, p3 CY ADIT 190"/>
      <sheetName val="PEF - 5, p4 CY ADIT 28x"/>
      <sheetName val="PEF - 5A"/>
      <sheetName val="PEF - 6  p1, FF1 Inputs "/>
      <sheetName val="PEF - 6 p2, Levelized Storm"/>
      <sheetName val="PEF - 6 p3, Prepay Accting"/>
      <sheetName val="Alloc_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62">
          <cell r="J62">
            <v>93561</v>
          </cell>
        </row>
        <row r="63">
          <cell r="J63">
            <v>9532</v>
          </cell>
        </row>
        <row r="64">
          <cell r="J64">
            <v>5050</v>
          </cell>
        </row>
        <row r="65">
          <cell r="J65">
            <v>24735</v>
          </cell>
        </row>
      </sheetData>
      <sheetData sheetId="17" refreshError="1"/>
      <sheetData sheetId="18" refreshError="1"/>
      <sheetData sheetId="19">
        <row r="8">
          <cell r="C8">
            <v>7.05738175871157E-2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EF - 2 -Page 1 Summary"/>
      <sheetName val="PEF - 2 Page 2 Rate Base"/>
      <sheetName val="PEF - 2 - Page 3 Rev Reqt"/>
      <sheetName val="PEF - 2 - Page 4 Support"/>
      <sheetName val="PEF - 2 - Page 5 Storm, Notes"/>
      <sheetName val="PEF - 2 - Page 6, PBOPs"/>
      <sheetName val="PEF -3, p1, 454 Rev Credits"/>
      <sheetName val="PEF - 3,  p2, 456 Rev Credits"/>
      <sheetName val="PEF - 4 Step Ups page 1"/>
      <sheetName val="PEF - 4 Step Ups page 2"/>
      <sheetName val="PEF - 4,  p3 Order 2003 "/>
      <sheetName val="PEF -5 p1 2006 ADIT 190"/>
      <sheetName val="PEF -5 p2 2006 ADIT 28x"/>
      <sheetName val="PEF - 5 p3 2007 ADIT190"/>
      <sheetName val="PEF - 5 p4 2007 ADIT28x"/>
      <sheetName val="PEF - 6  p1, FF1 Inputs "/>
      <sheetName val="PEF - 6 p2, Levelized Storm"/>
      <sheetName val="PEF - 6 p3, Prepay Accting"/>
      <sheetName val="2007  CWIP "/>
      <sheetName val="2108 All Co 12 2007"/>
      <sheetName val="Projects for 50% CWIP - Alpha"/>
    </sheetNames>
    <sheetDataSet>
      <sheetData sheetId="0"/>
      <sheetData sheetId="1"/>
      <sheetData sheetId="2"/>
      <sheetData sheetId="3"/>
      <sheetData sheetId="4">
        <row r="20">
          <cell r="K20">
            <v>13307907.028750595</v>
          </cell>
        </row>
        <row r="25">
          <cell r="K25">
            <v>8614773.8050481882</v>
          </cell>
        </row>
        <row r="27">
          <cell r="K27">
            <v>368844.85383767809</v>
          </cell>
        </row>
      </sheetData>
      <sheetData sheetId="5"/>
      <sheetData sheetId="6"/>
      <sheetData sheetId="7"/>
      <sheetData sheetId="8" refreshError="1"/>
      <sheetData sheetId="9"/>
      <sheetData sheetId="10"/>
      <sheetData sheetId="11"/>
      <sheetData sheetId="12" refreshError="1"/>
      <sheetData sheetId="13" refreshError="1"/>
      <sheetData sheetId="14">
        <row r="116">
          <cell r="E116" t="str">
            <v>DIST</v>
          </cell>
        </row>
      </sheetData>
      <sheetData sheetId="15">
        <row r="3">
          <cell r="K3" t="str">
            <v>Year Ending 12/31/2007</v>
          </cell>
        </row>
      </sheetData>
      <sheetData sheetId="16"/>
      <sheetData sheetId="17" refreshError="1"/>
      <sheetData sheetId="18">
        <row r="183">
          <cell r="G183">
            <v>52476599.469999991</v>
          </cell>
        </row>
      </sheetData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tabSelected="1" workbookViewId="0">
      <selection activeCell="F25" sqref="F25"/>
    </sheetView>
  </sheetViews>
  <sheetFormatPr defaultRowHeight="12.75"/>
  <cols>
    <col min="2" max="2" width="2.7109375" customWidth="1"/>
    <col min="3" max="3" width="39.7109375" customWidth="1"/>
    <col min="4" max="4" width="15.140625" bestFit="1" customWidth="1"/>
    <col min="5" max="5" width="3.7109375" customWidth="1"/>
    <col min="6" max="6" width="13.42578125" customWidth="1"/>
    <col min="7" max="7" width="3.7109375" customWidth="1"/>
    <col min="10" max="10" width="3.7109375" customWidth="1"/>
    <col min="11" max="11" width="14.7109375" customWidth="1"/>
    <col min="12" max="12" width="3.7109375" customWidth="1"/>
    <col min="13" max="13" width="12.28515625" bestFit="1" customWidth="1"/>
  </cols>
  <sheetData>
    <row r="1" spans="1:12" ht="15.75">
      <c r="A1" s="2"/>
      <c r="B1" s="2"/>
      <c r="C1" s="2"/>
      <c r="D1" s="2"/>
      <c r="E1" s="2"/>
      <c r="F1" s="2"/>
      <c r="G1" s="2"/>
      <c r="H1" s="2"/>
      <c r="I1" s="2"/>
      <c r="J1" s="257" t="s">
        <v>384</v>
      </c>
      <c r="K1" s="257"/>
      <c r="L1" s="257"/>
    </row>
    <row r="2" spans="1:12" ht="15.75">
      <c r="A2" s="2"/>
      <c r="B2" s="2"/>
      <c r="C2" s="2"/>
      <c r="D2" s="2"/>
      <c r="E2" s="2"/>
      <c r="F2" s="2"/>
      <c r="G2" s="2"/>
      <c r="H2" s="2"/>
      <c r="I2" s="2"/>
      <c r="J2" s="258" t="s">
        <v>419</v>
      </c>
      <c r="K2" s="258"/>
      <c r="L2" s="259"/>
    </row>
    <row r="3" spans="1:12" ht="15">
      <c r="A3" s="5"/>
      <c r="B3" s="5"/>
      <c r="C3" s="5"/>
      <c r="D3" s="5"/>
      <c r="E3" s="5"/>
      <c r="F3" s="5"/>
      <c r="G3" s="5"/>
      <c r="H3" s="5"/>
      <c r="I3" s="5"/>
      <c r="J3" s="260" t="str">
        <f>'PEF - 6  p1, FF1 Inputs '!K3</f>
        <v>Year Ending 12/31/2009</v>
      </c>
      <c r="K3" s="260"/>
      <c r="L3" s="260"/>
    </row>
    <row r="4" spans="1:12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5">
      <c r="A5" s="254" t="s">
        <v>70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</row>
    <row r="6" spans="1:12" ht="15">
      <c r="A6" s="254" t="s">
        <v>386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</row>
    <row r="7" spans="1:12" ht="15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</row>
    <row r="8" spans="1:12" ht="15">
      <c r="A8" s="254" t="s">
        <v>420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</row>
    <row r="9" spans="1:12" ht="15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</row>
    <row r="10" spans="1:12" ht="15">
      <c r="A10" s="38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30">
      <c r="A11" s="92" t="s">
        <v>0</v>
      </c>
      <c r="B11" s="93"/>
      <c r="C11" s="94"/>
      <c r="D11" s="92" t="s">
        <v>76</v>
      </c>
      <c r="E11" s="92"/>
      <c r="F11" s="92" t="s">
        <v>421</v>
      </c>
      <c r="G11" s="92"/>
      <c r="H11" s="254" t="s">
        <v>157</v>
      </c>
      <c r="I11" s="254"/>
      <c r="J11" s="92"/>
      <c r="K11" s="95" t="s">
        <v>422</v>
      </c>
      <c r="L11" s="96"/>
    </row>
    <row r="12" spans="1:12" ht="15">
      <c r="A12" s="38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5">
      <c r="A13" s="38">
        <v>1</v>
      </c>
      <c r="B13" s="64" t="s">
        <v>423</v>
      </c>
      <c r="C13" s="5"/>
      <c r="D13" s="5" t="str">
        <f>"Page 3, Line "&amp;'PEF - 2 - Page 3 Rev Reqt'!A64</f>
        <v>Page 3, Line 35</v>
      </c>
      <c r="E13" s="5"/>
      <c r="F13" s="5"/>
      <c r="G13" s="5"/>
      <c r="H13" s="5"/>
      <c r="I13" s="5"/>
      <c r="J13" s="5"/>
      <c r="K13" s="7">
        <f>'PEF - 2 - Page 3 Rev Reqt'!K64</f>
        <v>217231979.00570366</v>
      </c>
      <c r="L13" s="5"/>
    </row>
    <row r="14" spans="1:12" ht="15">
      <c r="A14" s="97"/>
      <c r="B14" s="64"/>
      <c r="C14" s="5"/>
      <c r="D14" s="38"/>
      <c r="E14" s="38"/>
      <c r="F14" s="7"/>
      <c r="G14" s="5"/>
      <c r="H14" s="38"/>
      <c r="I14" s="5"/>
      <c r="J14" s="5"/>
      <c r="K14" s="5" t="str">
        <f>IF(ISNUMBER(I14),F14*I14,"")</f>
        <v/>
      </c>
      <c r="L14" s="5"/>
    </row>
    <row r="15" spans="1:12" ht="15">
      <c r="A15" s="5"/>
      <c r="B15" s="64" t="s">
        <v>424</v>
      </c>
      <c r="C15" s="5"/>
      <c r="D15" s="38"/>
      <c r="E15" s="38"/>
      <c r="F15" s="7"/>
      <c r="G15" s="5"/>
      <c r="H15" s="38"/>
      <c r="I15" s="98"/>
      <c r="J15" s="98"/>
      <c r="K15" s="7"/>
      <c r="L15" s="5"/>
    </row>
    <row r="16" spans="1:12" ht="15">
      <c r="A16" s="38">
        <v>2</v>
      </c>
      <c r="B16" s="64"/>
      <c r="C16" s="5" t="s">
        <v>425</v>
      </c>
      <c r="D16" s="38" t="s">
        <v>426</v>
      </c>
      <c r="E16" s="38"/>
      <c r="F16" s="7">
        <f>'PEF - 3, p1, 454 Rev Credits'!F31</f>
        <v>2933138.9656196735</v>
      </c>
      <c r="G16" s="5"/>
      <c r="H16" s="38" t="s">
        <v>427</v>
      </c>
      <c r="I16" s="98">
        <v>1</v>
      </c>
      <c r="J16" s="98"/>
      <c r="K16" s="7">
        <f>IF(ISNUMBER(I16),F16*I16,"")</f>
        <v>2933138.9656196735</v>
      </c>
      <c r="L16" s="5"/>
    </row>
    <row r="17" spans="1:14" ht="15.75" thickBot="1">
      <c r="A17" s="38">
        <v>3</v>
      </c>
      <c r="B17" s="64"/>
      <c r="C17" s="5" t="s">
        <v>428</v>
      </c>
      <c r="D17" s="38" t="s">
        <v>426</v>
      </c>
      <c r="E17" s="38"/>
      <c r="F17" s="7">
        <f>'PEF - 3, p2, 456 Rev Credits'!G87</f>
        <v>3095443</v>
      </c>
      <c r="G17" s="5"/>
      <c r="H17" s="38" t="s">
        <v>427</v>
      </c>
      <c r="I17" s="98">
        <v>1</v>
      </c>
      <c r="J17" s="98"/>
      <c r="K17" s="7">
        <f>IF(ISNUMBER(I17),F17*I17,"")</f>
        <v>3095443</v>
      </c>
      <c r="L17" s="5"/>
    </row>
    <row r="18" spans="1:14" ht="15" customHeight="1" thickTop="1">
      <c r="A18" s="38">
        <v>4</v>
      </c>
      <c r="B18" s="64" t="s">
        <v>429</v>
      </c>
      <c r="C18" s="5"/>
      <c r="D18" s="38"/>
      <c r="E18" s="38"/>
      <c r="F18" s="99">
        <f>SUM(F14:F17)</f>
        <v>6028581.965619674</v>
      </c>
      <c r="G18" s="5"/>
      <c r="H18" s="38"/>
      <c r="I18" s="98"/>
      <c r="J18" s="98"/>
      <c r="K18" s="99">
        <f>SUM(K14:K17)</f>
        <v>6028581.965619674</v>
      </c>
      <c r="L18" s="5"/>
    </row>
    <row r="19" spans="1:14" ht="15">
      <c r="A19" s="38"/>
      <c r="B19" s="64"/>
      <c r="C19" s="5"/>
      <c r="D19" s="38"/>
      <c r="E19" s="38"/>
      <c r="F19" s="5"/>
      <c r="G19" s="5"/>
      <c r="H19" s="38"/>
      <c r="I19" s="5"/>
      <c r="J19" s="5"/>
      <c r="K19" s="5"/>
      <c r="L19" s="5"/>
    </row>
    <row r="20" spans="1:14" ht="15">
      <c r="A20" s="38">
        <v>5</v>
      </c>
      <c r="B20" s="64" t="s">
        <v>430</v>
      </c>
      <c r="C20" s="5"/>
      <c r="D20" s="38"/>
      <c r="E20" s="38"/>
      <c r="F20" s="7"/>
      <c r="G20" s="5"/>
      <c r="H20" s="38"/>
      <c r="I20" s="5"/>
      <c r="J20" s="5"/>
      <c r="K20" s="7">
        <v>0</v>
      </c>
      <c r="L20" s="5"/>
    </row>
    <row r="21" spans="1:14" ht="15">
      <c r="A21" s="38"/>
      <c r="B21" s="64"/>
      <c r="C21" s="5"/>
      <c r="D21" s="38"/>
      <c r="E21" s="38"/>
      <c r="F21" s="5"/>
      <c r="G21" s="5"/>
      <c r="H21" s="38"/>
      <c r="I21" s="5"/>
      <c r="J21" s="5"/>
      <c r="K21" s="5"/>
      <c r="L21" s="5"/>
    </row>
    <row r="22" spans="1:14" ht="15">
      <c r="A22" s="38">
        <f>A20+1</f>
        <v>6</v>
      </c>
      <c r="B22" s="64" t="s">
        <v>431</v>
      </c>
      <c r="C22" s="5"/>
      <c r="D22" s="38"/>
      <c r="E22" s="38"/>
      <c r="F22" s="5"/>
      <c r="G22" s="5"/>
      <c r="H22" s="38"/>
      <c r="I22" s="5"/>
      <c r="J22" s="5"/>
      <c r="K22" s="7">
        <v>0</v>
      </c>
      <c r="L22" s="5"/>
    </row>
    <row r="23" spans="1:14" ht="15">
      <c r="A23" s="38"/>
      <c r="B23" s="64"/>
      <c r="C23" s="5"/>
      <c r="D23" s="38"/>
      <c r="E23" s="38"/>
      <c r="F23" s="5"/>
      <c r="G23" s="5"/>
      <c r="H23" s="38"/>
      <c r="I23" s="5"/>
      <c r="J23" s="5"/>
      <c r="K23" s="5"/>
      <c r="L23" s="5"/>
    </row>
    <row r="24" spans="1:14" ht="15">
      <c r="A24" s="38">
        <f>+A22+1</f>
        <v>7</v>
      </c>
      <c r="B24" s="64" t="s">
        <v>618</v>
      </c>
      <c r="C24" s="5"/>
      <c r="D24" s="38"/>
      <c r="E24" s="38"/>
      <c r="F24" s="5"/>
      <c r="G24" s="5"/>
      <c r="H24" s="38"/>
      <c r="I24" s="5"/>
      <c r="J24" s="5"/>
      <c r="K24" s="7">
        <f>K13-K18+K20+K22</f>
        <v>211203397.04008397</v>
      </c>
      <c r="L24" s="5"/>
    </row>
    <row r="25" spans="1:14" ht="15">
      <c r="A25" s="38"/>
      <c r="B25" s="64"/>
      <c r="C25" s="5"/>
      <c r="D25" s="38"/>
      <c r="E25" s="38"/>
      <c r="F25" s="5"/>
      <c r="G25" s="5"/>
      <c r="H25" s="38"/>
      <c r="I25" s="5"/>
      <c r="J25" s="5"/>
      <c r="K25" s="5"/>
      <c r="L25" s="5"/>
    </row>
    <row r="26" spans="1:14" ht="30" customHeight="1">
      <c r="A26" s="100">
        <f>A24+1</f>
        <v>8</v>
      </c>
      <c r="B26" s="255" t="s">
        <v>432</v>
      </c>
      <c r="C26" s="256"/>
      <c r="D26" s="100" t="str">
        <f>"p.5, line "&amp;'PEF - 2 - Page 5 Storm, Notes'!B37&amp;" Total"</f>
        <v>p.5, line 15 Total</v>
      </c>
      <c r="E26" s="100"/>
      <c r="F26" s="94"/>
      <c r="G26" s="94"/>
      <c r="H26" s="100"/>
      <c r="I26" s="94"/>
      <c r="J26" s="94"/>
      <c r="K26" s="101">
        <f>'PEF - 2 - Page 5 Storm, Notes'!F37</f>
        <v>132878</v>
      </c>
      <c r="L26" s="5"/>
    </row>
    <row r="27" spans="1:14" ht="15">
      <c r="A27" s="38"/>
      <c r="B27" s="64"/>
      <c r="C27" s="5"/>
      <c r="D27" s="38"/>
      <c r="E27" s="38"/>
      <c r="F27" s="7"/>
      <c r="G27" s="5"/>
      <c r="H27" s="38"/>
      <c r="I27" s="5"/>
      <c r="J27" s="5"/>
      <c r="K27" s="5"/>
      <c r="L27" s="5"/>
    </row>
    <row r="28" spans="1:14" ht="15">
      <c r="A28" s="38">
        <f>A26+1</f>
        <v>9</v>
      </c>
      <c r="B28" s="64" t="s">
        <v>433</v>
      </c>
      <c r="C28" s="5"/>
      <c r="D28" s="38" t="str">
        <f>"Line "&amp;A24&amp;" / Line "&amp;A26</f>
        <v>Line 7 / Line 8</v>
      </c>
      <c r="E28" s="38"/>
      <c r="F28" s="7"/>
      <c r="G28" s="5"/>
      <c r="H28" s="38"/>
      <c r="I28" s="5"/>
      <c r="J28" s="5"/>
      <c r="K28" s="7">
        <f>K24/K26</f>
        <v>1589.4534613712126</v>
      </c>
      <c r="L28" s="5"/>
    </row>
    <row r="29" spans="1:14" ht="15.75" thickBot="1">
      <c r="A29" s="38">
        <f>A28+1</f>
        <v>10</v>
      </c>
      <c r="B29" s="64" t="s">
        <v>434</v>
      </c>
      <c r="C29" s="5"/>
      <c r="D29" s="38" t="str">
        <f>"Page 5, Line "&amp;'PEF - 2 - Page 5 Storm, Notes'!B29</f>
        <v>Page 5, Line 9</v>
      </c>
      <c r="E29" s="38"/>
      <c r="F29" s="7"/>
      <c r="G29" s="5"/>
      <c r="H29" s="38"/>
      <c r="I29" s="5"/>
      <c r="J29" s="5"/>
      <c r="K29" s="7">
        <f>'PEF - 2 - Page 5 Storm, Notes'!K29</f>
        <v>140.49561401738774</v>
      </c>
      <c r="L29" s="5"/>
    </row>
    <row r="30" spans="1:14" ht="15.75" thickTop="1">
      <c r="A30" s="38">
        <f>A29+1</f>
        <v>11</v>
      </c>
      <c r="B30" s="64" t="s">
        <v>435</v>
      </c>
      <c r="C30" s="5"/>
      <c r="D30" s="38" t="str">
        <f>"Line "&amp;A28&amp;" + Line "&amp;A29</f>
        <v>Line 9 + Line 10</v>
      </c>
      <c r="E30" s="38"/>
      <c r="F30" s="102"/>
      <c r="G30" s="102"/>
      <c r="H30" s="103"/>
      <c r="I30" s="102"/>
      <c r="J30" s="98"/>
      <c r="K30" s="99">
        <f>K28+K29</f>
        <v>1729.9490753886002</v>
      </c>
      <c r="L30" s="5"/>
      <c r="M30" s="252"/>
      <c r="N30" s="253"/>
    </row>
    <row r="31" spans="1:14" ht="15">
      <c r="A31" s="38"/>
      <c r="B31" s="64"/>
      <c r="C31" s="5"/>
      <c r="D31" s="38"/>
      <c r="E31" s="38"/>
      <c r="F31" s="5"/>
      <c r="G31" s="5"/>
      <c r="H31" s="38"/>
      <c r="I31" s="5"/>
      <c r="J31" s="5"/>
      <c r="K31" s="7"/>
      <c r="L31" s="5"/>
      <c r="M31" s="252"/>
    </row>
    <row r="32" spans="1:14" ht="25.5" customHeight="1">
      <c r="A32" s="100">
        <f>A30+1</f>
        <v>12</v>
      </c>
      <c r="B32" s="255" t="s">
        <v>436</v>
      </c>
      <c r="C32" s="256"/>
      <c r="D32" s="100" t="str">
        <f>"Line "&amp;A30&amp;" * 12"</f>
        <v>Line 11 * 12</v>
      </c>
      <c r="E32" s="100"/>
      <c r="F32" s="101"/>
      <c r="G32" s="94"/>
      <c r="H32" s="100"/>
      <c r="I32" s="104"/>
      <c r="J32" s="94"/>
      <c r="K32" s="101">
        <f>K30*12</f>
        <v>20759.388904663203</v>
      </c>
      <c r="L32" s="5"/>
      <c r="M32" s="252"/>
      <c r="N32" s="253"/>
    </row>
    <row r="33" spans="1:14" ht="15">
      <c r="A33" s="38"/>
      <c r="B33" s="64"/>
      <c r="C33" s="5"/>
      <c r="D33" s="38"/>
      <c r="E33" s="38"/>
      <c r="F33" s="5"/>
      <c r="G33" s="5"/>
      <c r="H33" s="38"/>
      <c r="I33" s="5"/>
      <c r="J33" s="5"/>
      <c r="K33" s="7"/>
      <c r="L33" s="5"/>
      <c r="M33" s="252"/>
    </row>
    <row r="34" spans="1:14" ht="15">
      <c r="A34" s="38">
        <f>A32+1</f>
        <v>13</v>
      </c>
      <c r="B34" s="64" t="s">
        <v>437</v>
      </c>
      <c r="C34" s="5"/>
      <c r="D34" s="38" t="str">
        <f>"Line "&amp;A32&amp;" / 52"</f>
        <v>Line 12 / 52</v>
      </c>
      <c r="E34" s="38"/>
      <c r="F34" s="7"/>
      <c r="G34" s="5"/>
      <c r="H34" s="38"/>
      <c r="I34" s="5"/>
      <c r="J34" s="5"/>
      <c r="K34" s="105">
        <f>K32/52</f>
        <v>399.21901739736927</v>
      </c>
      <c r="L34" s="5"/>
      <c r="M34" s="252"/>
      <c r="N34" s="253"/>
    </row>
    <row r="35" spans="1:14" ht="15">
      <c r="A35" s="38"/>
      <c r="B35" s="64"/>
      <c r="C35" s="5"/>
      <c r="D35" s="5"/>
      <c r="E35" s="5"/>
      <c r="F35" s="5"/>
      <c r="G35" s="5"/>
      <c r="H35" s="38"/>
      <c r="I35" s="5"/>
      <c r="J35" s="5"/>
      <c r="K35" s="105"/>
      <c r="L35" s="5"/>
      <c r="M35" s="252"/>
    </row>
    <row r="36" spans="1:14" ht="15">
      <c r="A36" s="38"/>
      <c r="B36" s="64" t="s">
        <v>438</v>
      </c>
      <c r="C36" s="5"/>
      <c r="D36" s="5"/>
      <c r="E36" s="5"/>
      <c r="F36" s="5"/>
      <c r="G36" s="5"/>
      <c r="H36" s="38"/>
      <c r="I36" s="5"/>
      <c r="J36" s="5"/>
      <c r="K36" s="105"/>
      <c r="L36" s="5"/>
      <c r="M36" s="252"/>
    </row>
    <row r="37" spans="1:14" ht="12.75" customHeight="1">
      <c r="A37" s="100">
        <f>A34+1</f>
        <v>14</v>
      </c>
      <c r="B37" s="92"/>
      <c r="C37" s="106" t="s">
        <v>439</v>
      </c>
      <c r="D37" s="38" t="str">
        <f>"Line "&amp;A34&amp;" / 5"</f>
        <v>Line 13 / 5</v>
      </c>
      <c r="E37" s="100"/>
      <c r="F37" s="94"/>
      <c r="G37" s="94"/>
      <c r="H37" s="100"/>
      <c r="I37" s="94"/>
      <c r="J37" s="94"/>
      <c r="K37" s="107">
        <f>K34/5</f>
        <v>79.843803479473848</v>
      </c>
      <c r="L37" s="5"/>
      <c r="M37" s="252"/>
      <c r="N37" s="253"/>
    </row>
    <row r="38" spans="1:14" ht="15">
      <c r="A38" s="38">
        <f>A37+1</f>
        <v>15</v>
      </c>
      <c r="B38" s="64"/>
      <c r="C38" s="5" t="s">
        <v>440</v>
      </c>
      <c r="D38" s="38" t="str">
        <f>"Line "&amp;A34&amp;" / 7"</f>
        <v>Line 13 / 7</v>
      </c>
      <c r="E38" s="100"/>
      <c r="F38" s="94"/>
      <c r="G38" s="94"/>
      <c r="H38" s="100"/>
      <c r="I38" s="94"/>
      <c r="J38" s="94"/>
      <c r="K38" s="107">
        <f>K34/7</f>
        <v>57.031288199624179</v>
      </c>
      <c r="L38" s="5"/>
      <c r="M38" s="252"/>
      <c r="N38" s="253"/>
    </row>
    <row r="39" spans="1:14" ht="15">
      <c r="A39" s="5"/>
      <c r="B39" s="64"/>
      <c r="C39" s="5"/>
      <c r="D39" s="5"/>
      <c r="E39" s="5"/>
      <c r="F39" s="5"/>
      <c r="G39" s="5"/>
      <c r="H39" s="5"/>
      <c r="I39" s="5"/>
      <c r="J39" s="5"/>
      <c r="K39" s="105"/>
      <c r="L39" s="5"/>
      <c r="M39" s="252"/>
    </row>
    <row r="40" spans="1:14" ht="15">
      <c r="A40" s="5"/>
      <c r="B40" s="64" t="s">
        <v>441</v>
      </c>
      <c r="C40" s="5"/>
      <c r="D40" s="5"/>
      <c r="E40" s="5"/>
      <c r="F40" s="5"/>
      <c r="G40" s="5"/>
      <c r="H40" s="5"/>
      <c r="I40" s="5"/>
      <c r="J40" s="5"/>
      <c r="K40" s="105"/>
      <c r="L40" s="5"/>
      <c r="M40" s="252"/>
    </row>
    <row r="41" spans="1:14" ht="15">
      <c r="A41" s="100">
        <f>A38+1</f>
        <v>16</v>
      </c>
      <c r="B41" s="92"/>
      <c r="C41" s="106" t="s">
        <v>442</v>
      </c>
      <c r="D41" s="38" t="str">
        <f>"Line "&amp;A37&amp;" / 16"</f>
        <v>Line 14 / 16</v>
      </c>
      <c r="E41" s="100"/>
      <c r="F41" s="94"/>
      <c r="G41" s="94"/>
      <c r="H41" s="100"/>
      <c r="I41" s="94"/>
      <c r="J41" s="94"/>
      <c r="K41" s="107">
        <f>K37/16</f>
        <v>4.9902377174671155</v>
      </c>
      <c r="L41" s="5"/>
      <c r="M41" s="252"/>
      <c r="N41" s="253"/>
    </row>
    <row r="42" spans="1:14" ht="15">
      <c r="A42" s="38">
        <f>A41+1</f>
        <v>17</v>
      </c>
      <c r="B42" s="64"/>
      <c r="C42" s="5" t="s">
        <v>443</v>
      </c>
      <c r="D42" s="38" t="str">
        <f>"Line "&amp;A38&amp;" / 24"</f>
        <v>Line 15 / 24</v>
      </c>
      <c r="E42" s="100"/>
      <c r="F42" s="94"/>
      <c r="G42" s="94"/>
      <c r="H42" s="100"/>
      <c r="I42" s="94"/>
      <c r="J42" s="94"/>
      <c r="K42" s="107">
        <f>K38/24</f>
        <v>2.3763036749843409</v>
      </c>
      <c r="L42" s="5"/>
      <c r="M42" s="252"/>
      <c r="N42" s="253"/>
    </row>
    <row r="43" spans="1:14">
      <c r="B43" s="10"/>
    </row>
    <row r="44" spans="1:14">
      <c r="B44" s="10"/>
    </row>
    <row r="45" spans="1:14">
      <c r="B45" s="10"/>
    </row>
    <row r="46" spans="1:14">
      <c r="B46" s="10"/>
    </row>
    <row r="47" spans="1:14">
      <c r="B47" s="10"/>
    </row>
    <row r="48" spans="1:14">
      <c r="B48" s="10"/>
    </row>
    <row r="49" spans="2:2">
      <c r="B49" s="10"/>
    </row>
    <row r="50" spans="2:2">
      <c r="B50" s="10"/>
    </row>
    <row r="51" spans="2:2">
      <c r="B51" s="10"/>
    </row>
    <row r="52" spans="2:2">
      <c r="B52" s="10"/>
    </row>
    <row r="53" spans="2:2">
      <c r="B53" s="10"/>
    </row>
    <row r="54" spans="2:2">
      <c r="B54" s="10"/>
    </row>
    <row r="55" spans="2:2">
      <c r="B55" s="10"/>
    </row>
    <row r="56" spans="2:2">
      <c r="B56" s="10"/>
    </row>
    <row r="57" spans="2:2">
      <c r="B57" s="10"/>
    </row>
    <row r="58" spans="2:2">
      <c r="B58" s="10"/>
    </row>
    <row r="59" spans="2:2">
      <c r="B59" s="10"/>
    </row>
    <row r="60" spans="2:2">
      <c r="B60" s="10"/>
    </row>
  </sheetData>
  <mergeCells count="9">
    <mergeCell ref="H11:I11"/>
    <mergeCell ref="B26:C26"/>
    <mergeCell ref="B32:C32"/>
    <mergeCell ref="J1:L1"/>
    <mergeCell ref="J2:L2"/>
    <mergeCell ref="J3:L3"/>
    <mergeCell ref="A5:L5"/>
    <mergeCell ref="A6:L6"/>
    <mergeCell ref="A8:L8"/>
  </mergeCells>
  <pageMargins left="0.75" right="0.75" top="1" bottom="1" header="0.5" footer="0.5"/>
  <pageSetup scale="7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topLeftCell="A58" zoomScaleNormal="100" workbookViewId="0">
      <selection activeCell="G77" sqref="G77"/>
    </sheetView>
  </sheetViews>
  <sheetFormatPr defaultRowHeight="12.75"/>
  <cols>
    <col min="1" max="1" width="5.7109375" style="65" customWidth="1"/>
    <col min="2" max="2" width="18.7109375" style="65" customWidth="1"/>
    <col min="3" max="3" width="9.140625" style="65"/>
    <col min="4" max="4" width="5.7109375" style="65" customWidth="1"/>
    <col min="5" max="5" width="11.42578125" style="65" customWidth="1"/>
    <col min="6" max="6" width="5.7109375" style="65" customWidth="1"/>
    <col min="7" max="7" width="15.85546875" style="65" bestFit="1" customWidth="1"/>
    <col min="8" max="8" width="5.7109375" style="65" customWidth="1"/>
    <col min="9" max="9" width="14.85546875" style="65" customWidth="1"/>
    <col min="10" max="10" width="6.85546875" style="65" customWidth="1"/>
    <col min="11" max="16384" width="9.140625" style="65"/>
  </cols>
  <sheetData>
    <row r="1" spans="1:16" ht="15.75">
      <c r="A1" s="66"/>
      <c r="B1" s="66"/>
      <c r="C1" s="66"/>
      <c r="D1" s="66"/>
      <c r="E1" s="66"/>
      <c r="F1" s="66"/>
      <c r="G1" s="66"/>
      <c r="H1" s="66"/>
      <c r="I1" s="277" t="s">
        <v>398</v>
      </c>
      <c r="J1" s="277"/>
      <c r="K1" s="66"/>
      <c r="L1" s="66"/>
      <c r="M1" s="66"/>
      <c r="N1" s="66"/>
      <c r="O1" s="66"/>
      <c r="P1" s="66"/>
    </row>
    <row r="2" spans="1:16" ht="15.75">
      <c r="A2" s="66"/>
      <c r="B2" s="66"/>
      <c r="C2" s="66"/>
      <c r="D2" s="66"/>
      <c r="E2" s="66"/>
      <c r="F2" s="66"/>
      <c r="G2" s="66"/>
      <c r="H2" s="66"/>
      <c r="I2" s="74" t="s">
        <v>620</v>
      </c>
      <c r="J2" s="74"/>
      <c r="K2" s="66"/>
      <c r="L2" s="66"/>
      <c r="M2" s="66"/>
      <c r="N2" s="66"/>
      <c r="O2" s="66"/>
      <c r="P2" s="66"/>
    </row>
    <row r="3" spans="1:16" ht="15">
      <c r="A3" s="66"/>
      <c r="B3" s="66"/>
      <c r="C3" s="66"/>
      <c r="D3" s="66"/>
      <c r="E3" s="66"/>
      <c r="F3" s="66"/>
      <c r="G3" s="66"/>
      <c r="H3" s="66"/>
      <c r="I3" s="279" t="str">
        <f>'PEF - 6  p1, FF1 Inputs '!K3</f>
        <v>Year Ending 12/31/2009</v>
      </c>
      <c r="J3" s="279"/>
      <c r="K3" s="66"/>
      <c r="L3" s="66"/>
      <c r="M3" s="66"/>
      <c r="N3" s="66"/>
      <c r="O3" s="66"/>
      <c r="P3" s="66"/>
    </row>
    <row r="4" spans="1:16" ht="1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</row>
    <row r="5" spans="1:16" ht="15">
      <c r="A5" s="280" t="s">
        <v>70</v>
      </c>
      <c r="B5" s="280"/>
      <c r="C5" s="280"/>
      <c r="D5" s="280"/>
      <c r="E5" s="280"/>
      <c r="F5" s="280"/>
      <c r="G5" s="280"/>
      <c r="H5" s="280"/>
      <c r="I5" s="280"/>
      <c r="J5" s="280"/>
      <c r="K5" s="66"/>
      <c r="L5" s="66"/>
      <c r="M5" s="66"/>
      <c r="N5" s="66"/>
      <c r="O5" s="66"/>
      <c r="P5" s="66"/>
    </row>
    <row r="6" spans="1:16" ht="15">
      <c r="A6" s="274" t="s">
        <v>746</v>
      </c>
      <c r="B6" s="274"/>
      <c r="C6" s="274"/>
      <c r="D6" s="274"/>
      <c r="E6" s="274"/>
      <c r="F6" s="274"/>
      <c r="G6" s="274"/>
      <c r="H6" s="274"/>
      <c r="I6" s="274"/>
      <c r="J6" s="274"/>
      <c r="K6" s="66"/>
      <c r="L6" s="66"/>
      <c r="M6" s="66"/>
      <c r="N6" s="66"/>
      <c r="O6" s="66"/>
      <c r="P6" s="66"/>
    </row>
    <row r="7" spans="1:16" ht="15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8" spans="1:16" ht="15">
      <c r="A8" s="66"/>
      <c r="B8" s="76"/>
      <c r="C8" s="76"/>
      <c r="D8" s="76"/>
      <c r="E8" s="76"/>
      <c r="F8" s="76"/>
      <c r="G8" s="76"/>
      <c r="H8" s="76"/>
      <c r="I8" s="76"/>
      <c r="J8" s="76"/>
      <c r="K8" s="66"/>
      <c r="L8" s="66"/>
      <c r="M8" s="66"/>
      <c r="N8" s="66"/>
      <c r="O8" s="66"/>
      <c r="P8" s="66"/>
    </row>
    <row r="9" spans="1:16" ht="15">
      <c r="A9" s="66"/>
      <c r="B9" s="76"/>
      <c r="C9" s="76"/>
      <c r="D9" s="76"/>
      <c r="E9" s="148" t="s">
        <v>745</v>
      </c>
      <c r="F9" s="148"/>
      <c r="G9" s="148"/>
      <c r="H9" s="148"/>
      <c r="I9" s="76"/>
      <c r="J9" s="76"/>
      <c r="K9" s="66"/>
      <c r="L9" s="66"/>
      <c r="M9" s="66"/>
      <c r="N9" s="66"/>
      <c r="O9" s="66"/>
      <c r="P9" s="66"/>
    </row>
    <row r="10" spans="1:16" ht="15">
      <c r="A10" s="66"/>
      <c r="B10" s="79" t="s">
        <v>744</v>
      </c>
      <c r="C10" s="149" t="s">
        <v>743</v>
      </c>
      <c r="D10" s="76"/>
      <c r="E10" s="150" t="s">
        <v>742</v>
      </c>
      <c r="F10" s="78"/>
      <c r="G10" s="151" t="s">
        <v>741</v>
      </c>
      <c r="H10" s="151"/>
      <c r="I10" s="151" t="s">
        <v>740</v>
      </c>
      <c r="J10" s="66"/>
      <c r="K10" s="66"/>
      <c r="L10" s="66"/>
      <c r="M10" s="66"/>
      <c r="N10" s="66"/>
      <c r="O10" s="66"/>
      <c r="P10" s="66"/>
    </row>
    <row r="11" spans="1:16" s="234" customFormat="1" ht="15">
      <c r="A11" s="231"/>
      <c r="B11" s="225" t="s">
        <v>412</v>
      </c>
      <c r="C11" s="225" t="s">
        <v>722</v>
      </c>
      <c r="D11" s="225"/>
      <c r="E11" s="225" t="s">
        <v>716</v>
      </c>
      <c r="F11" s="225"/>
      <c r="G11" s="232">
        <v>270367</v>
      </c>
      <c r="H11" s="232"/>
      <c r="I11" s="233">
        <v>1966</v>
      </c>
      <c r="J11" s="231"/>
      <c r="K11" s="231"/>
      <c r="L11" s="231"/>
      <c r="M11" s="231"/>
      <c r="N11" s="231"/>
      <c r="O11" s="231"/>
      <c r="P11" s="231"/>
    </row>
    <row r="12" spans="1:16" s="234" customFormat="1" ht="15">
      <c r="A12" s="231"/>
      <c r="B12" s="225"/>
      <c r="C12" s="225"/>
      <c r="D12" s="225"/>
      <c r="E12" s="225"/>
      <c r="F12" s="225"/>
      <c r="G12" s="232">
        <v>176546</v>
      </c>
      <c r="H12" s="232"/>
      <c r="I12" s="233">
        <v>2000</v>
      </c>
      <c r="J12" s="231"/>
      <c r="K12" s="231"/>
      <c r="L12" s="231"/>
      <c r="M12" s="231"/>
      <c r="N12" s="231"/>
      <c r="O12" s="231"/>
      <c r="P12" s="231"/>
    </row>
    <row r="13" spans="1:16" s="234" customFormat="1" ht="15">
      <c r="A13" s="231"/>
      <c r="B13" s="225"/>
      <c r="C13" s="225" t="s">
        <v>721</v>
      </c>
      <c r="D13" s="225"/>
      <c r="E13" s="225" t="s">
        <v>716</v>
      </c>
      <c r="F13" s="225"/>
      <c r="G13" s="232">
        <v>276955</v>
      </c>
      <c r="H13" s="232"/>
      <c r="I13" s="233">
        <v>1966</v>
      </c>
      <c r="J13" s="231"/>
      <c r="K13" s="231"/>
      <c r="L13" s="231"/>
      <c r="M13" s="231"/>
      <c r="N13" s="231"/>
      <c r="O13" s="231"/>
      <c r="P13" s="231"/>
    </row>
    <row r="14" spans="1:16" s="234" customFormat="1" ht="15">
      <c r="A14" s="231"/>
      <c r="B14" s="225"/>
      <c r="C14" s="225"/>
      <c r="D14" s="225"/>
      <c r="E14" s="225"/>
      <c r="F14" s="225"/>
      <c r="G14" s="232">
        <v>177625</v>
      </c>
      <c r="H14" s="232"/>
      <c r="I14" s="233">
        <v>2000</v>
      </c>
      <c r="J14" s="231"/>
      <c r="K14" s="231"/>
      <c r="L14" s="231"/>
      <c r="M14" s="231"/>
      <c r="N14" s="231"/>
      <c r="O14" s="231"/>
      <c r="P14" s="231"/>
    </row>
    <row r="15" spans="1:16" s="234" customFormat="1" ht="15">
      <c r="A15" s="231"/>
      <c r="B15" s="225"/>
      <c r="C15" s="225" t="s">
        <v>712</v>
      </c>
      <c r="D15" s="225"/>
      <c r="E15" s="235" t="s">
        <v>715</v>
      </c>
      <c r="F15" s="235"/>
      <c r="G15" s="232">
        <v>541256</v>
      </c>
      <c r="H15" s="232"/>
      <c r="I15" s="233">
        <v>1969</v>
      </c>
      <c r="J15" s="231"/>
      <c r="K15" s="231"/>
      <c r="L15" s="231"/>
      <c r="M15" s="231"/>
      <c r="N15" s="231"/>
      <c r="O15" s="231"/>
      <c r="P15" s="231"/>
    </row>
    <row r="16" spans="1:16" s="234" customFormat="1" ht="15">
      <c r="A16" s="231"/>
      <c r="B16" s="225"/>
      <c r="C16" s="225" t="s">
        <v>710</v>
      </c>
      <c r="D16" s="225"/>
      <c r="E16" s="235" t="s">
        <v>720</v>
      </c>
      <c r="F16" s="235"/>
      <c r="G16" s="232">
        <v>14219073.030000001</v>
      </c>
      <c r="H16" s="232"/>
      <c r="I16" s="233">
        <v>2008</v>
      </c>
      <c r="J16" s="231"/>
      <c r="K16" s="231"/>
      <c r="L16" s="231"/>
      <c r="M16" s="231"/>
      <c r="N16" s="231"/>
      <c r="O16" s="231"/>
      <c r="P16" s="231"/>
    </row>
    <row r="17" spans="1:16" s="234" customFormat="1" ht="15">
      <c r="A17" s="231"/>
      <c r="B17" s="225"/>
      <c r="C17" s="225" t="s">
        <v>692</v>
      </c>
      <c r="D17" s="225"/>
      <c r="E17" s="235" t="s">
        <v>719</v>
      </c>
      <c r="F17" s="235"/>
      <c r="G17" s="232">
        <f>1841936+1428</f>
        <v>1843364</v>
      </c>
      <c r="H17" s="232"/>
      <c r="I17" s="233">
        <v>1982</v>
      </c>
      <c r="J17" s="231"/>
      <c r="K17" s="231"/>
      <c r="L17" s="231"/>
      <c r="M17" s="231"/>
      <c r="N17" s="231"/>
      <c r="O17" s="231"/>
      <c r="P17" s="231"/>
    </row>
    <row r="18" spans="1:16" s="234" customFormat="1" ht="15">
      <c r="A18" s="231"/>
      <c r="B18" s="225"/>
      <c r="C18" s="225"/>
      <c r="D18" s="225"/>
      <c r="E18" s="235"/>
      <c r="F18" s="235"/>
      <c r="G18" s="232">
        <v>145500</v>
      </c>
      <c r="H18" s="232"/>
      <c r="I18" s="233">
        <v>1998</v>
      </c>
      <c r="J18" s="231"/>
      <c r="K18" s="231"/>
      <c r="L18" s="231"/>
      <c r="M18" s="231"/>
      <c r="N18" s="231"/>
      <c r="O18" s="231"/>
      <c r="P18" s="231"/>
    </row>
    <row r="19" spans="1:16" s="234" customFormat="1" ht="15">
      <c r="A19" s="231"/>
      <c r="B19" s="225"/>
      <c r="C19" s="225" t="s">
        <v>699</v>
      </c>
      <c r="D19" s="225"/>
      <c r="E19" s="235" t="s">
        <v>718</v>
      </c>
      <c r="F19" s="235"/>
      <c r="G19" s="232">
        <v>3539182</v>
      </c>
      <c r="H19" s="232"/>
      <c r="I19" s="233">
        <v>1984</v>
      </c>
      <c r="J19" s="231"/>
      <c r="K19" s="231"/>
      <c r="L19" s="231"/>
      <c r="M19" s="231"/>
      <c r="N19" s="231"/>
      <c r="O19" s="231"/>
      <c r="P19" s="231"/>
    </row>
    <row r="20" spans="1:16" s="234" customFormat="1" ht="15">
      <c r="A20" s="231"/>
      <c r="B20" s="225"/>
      <c r="C20" s="225"/>
      <c r="D20" s="225"/>
      <c r="E20" s="225"/>
      <c r="F20" s="225"/>
      <c r="G20" s="232">
        <f>-12590*4</f>
        <v>-50360</v>
      </c>
      <c r="H20" s="232"/>
      <c r="I20" s="233">
        <v>1990</v>
      </c>
      <c r="J20" s="231"/>
      <c r="K20" s="231"/>
      <c r="L20" s="231"/>
      <c r="M20" s="231"/>
      <c r="N20" s="231"/>
      <c r="O20" s="231"/>
      <c r="P20" s="231"/>
    </row>
    <row r="21" spans="1:16" s="234" customFormat="1" ht="15">
      <c r="A21" s="231"/>
      <c r="B21" s="225"/>
      <c r="C21" s="225"/>
      <c r="D21" s="225"/>
      <c r="E21" s="225"/>
      <c r="F21" s="225"/>
      <c r="G21" s="232">
        <v>11682</v>
      </c>
      <c r="H21" s="232"/>
      <c r="I21" s="233">
        <v>1997</v>
      </c>
      <c r="J21" s="231"/>
      <c r="K21" s="231"/>
      <c r="L21" s="231"/>
      <c r="M21" s="231"/>
      <c r="N21" s="231"/>
      <c r="O21" s="231"/>
      <c r="P21" s="231"/>
    </row>
    <row r="22" spans="1:16" s="234" customFormat="1" ht="15">
      <c r="A22" s="231"/>
      <c r="B22" s="225"/>
      <c r="C22" s="225"/>
      <c r="D22" s="225"/>
      <c r="E22" s="225" t="s">
        <v>682</v>
      </c>
      <c r="F22" s="225"/>
      <c r="G22" s="232">
        <v>3430323</v>
      </c>
      <c r="H22" s="232"/>
      <c r="I22" s="233">
        <v>1998</v>
      </c>
      <c r="J22" s="231"/>
      <c r="K22" s="231"/>
      <c r="L22" s="231"/>
      <c r="M22" s="231"/>
      <c r="N22" s="231"/>
      <c r="O22" s="231"/>
      <c r="P22" s="231"/>
    </row>
    <row r="23" spans="1:16" s="234" customFormat="1" ht="15">
      <c r="A23" s="231"/>
      <c r="B23" s="225"/>
      <c r="C23" s="225"/>
      <c r="D23" s="225"/>
      <c r="E23" s="225"/>
      <c r="F23" s="225"/>
      <c r="G23" s="236">
        <f>SUM(G11:G22)</f>
        <v>24581513.030000001</v>
      </c>
      <c r="H23" s="237"/>
      <c r="I23" s="233"/>
      <c r="J23" s="231"/>
      <c r="K23" s="231"/>
      <c r="L23" s="231"/>
      <c r="M23" s="231"/>
      <c r="N23" s="231"/>
      <c r="O23" s="231"/>
      <c r="P23" s="231"/>
    </row>
    <row r="24" spans="1:16" s="234" customFormat="1" ht="15">
      <c r="A24" s="231"/>
      <c r="B24" s="225"/>
      <c r="C24" s="225"/>
      <c r="D24" s="225"/>
      <c r="E24" s="225"/>
      <c r="F24" s="225"/>
      <c r="G24" s="232"/>
      <c r="H24" s="232"/>
      <c r="I24" s="233"/>
      <c r="J24" s="231"/>
      <c r="K24" s="231"/>
      <c r="L24" s="231"/>
      <c r="M24" s="231"/>
      <c r="N24" s="231"/>
      <c r="O24" s="231"/>
      <c r="P24" s="231"/>
    </row>
    <row r="25" spans="1:16" s="234" customFormat="1" ht="15">
      <c r="A25" s="231"/>
      <c r="B25" s="225" t="s">
        <v>717</v>
      </c>
      <c r="C25" s="225" t="s">
        <v>713</v>
      </c>
      <c r="D25" s="225"/>
      <c r="E25" s="225" t="s">
        <v>716</v>
      </c>
      <c r="F25" s="225"/>
      <c r="G25" s="232">
        <v>585564</v>
      </c>
      <c r="H25" s="232"/>
      <c r="I25" s="233">
        <v>1974</v>
      </c>
      <c r="J25" s="231"/>
      <c r="K25" s="231"/>
      <c r="L25" s="231"/>
      <c r="M25" s="231"/>
      <c r="N25" s="231"/>
      <c r="O25" s="231"/>
      <c r="P25" s="231"/>
    </row>
    <row r="26" spans="1:16" s="234" customFormat="1" ht="15">
      <c r="A26" s="231"/>
      <c r="B26" s="225"/>
      <c r="C26" s="225"/>
      <c r="D26" s="225"/>
      <c r="E26" s="225"/>
      <c r="F26" s="225"/>
      <c r="G26" s="232">
        <f>5107+5106+5106</f>
        <v>15319</v>
      </c>
      <c r="H26" s="232"/>
      <c r="I26" s="233">
        <v>1984</v>
      </c>
      <c r="J26" s="231"/>
      <c r="K26" s="231"/>
      <c r="L26" s="231"/>
      <c r="M26" s="231"/>
      <c r="N26" s="231"/>
      <c r="O26" s="231"/>
      <c r="P26" s="231"/>
    </row>
    <row r="27" spans="1:16" s="234" customFormat="1" ht="15">
      <c r="A27" s="231"/>
      <c r="B27" s="225"/>
      <c r="C27" s="225"/>
      <c r="D27" s="225"/>
      <c r="E27" s="225"/>
      <c r="F27" s="225"/>
      <c r="G27" s="232">
        <v>149851</v>
      </c>
      <c r="H27" s="232"/>
      <c r="I27" s="233">
        <v>1992</v>
      </c>
      <c r="J27" s="231"/>
      <c r="K27" s="231"/>
      <c r="L27" s="231"/>
      <c r="M27" s="231"/>
      <c r="N27" s="231"/>
      <c r="O27" s="231"/>
      <c r="P27" s="231"/>
    </row>
    <row r="28" spans="1:16" s="234" customFormat="1" ht="15">
      <c r="A28" s="231"/>
      <c r="B28" s="225"/>
      <c r="C28" s="225"/>
      <c r="D28" s="225"/>
      <c r="E28" s="225"/>
      <c r="F28" s="225"/>
      <c r="G28" s="232">
        <v>566429.68999999994</v>
      </c>
      <c r="H28" s="232"/>
      <c r="I28" s="233">
        <v>2008</v>
      </c>
      <c r="J28" s="231"/>
      <c r="K28" s="231"/>
      <c r="L28" s="231"/>
      <c r="M28" s="231"/>
      <c r="N28" s="231"/>
      <c r="O28" s="231"/>
      <c r="P28" s="231"/>
    </row>
    <row r="29" spans="1:16" s="234" customFormat="1" ht="15">
      <c r="A29" s="231"/>
      <c r="B29" s="225"/>
      <c r="C29" s="225" t="s">
        <v>712</v>
      </c>
      <c r="D29" s="225"/>
      <c r="E29" s="225" t="s">
        <v>715</v>
      </c>
      <c r="F29" s="225"/>
      <c r="G29" s="232">
        <v>600028</v>
      </c>
      <c r="H29" s="232"/>
      <c r="I29" s="233">
        <v>1974</v>
      </c>
      <c r="J29" s="231"/>
      <c r="K29" s="231"/>
      <c r="L29" s="231"/>
      <c r="M29" s="231"/>
      <c r="N29" s="231"/>
      <c r="O29" s="231"/>
      <c r="P29" s="231"/>
    </row>
    <row r="30" spans="1:16" s="234" customFormat="1" ht="15">
      <c r="A30" s="231"/>
      <c r="B30" s="225"/>
      <c r="C30" s="225"/>
      <c r="D30" s="225"/>
      <c r="E30" s="225"/>
      <c r="F30" s="225"/>
      <c r="G30" s="232">
        <v>149851</v>
      </c>
      <c r="H30" s="232"/>
      <c r="I30" s="233">
        <v>1992</v>
      </c>
      <c r="J30" s="231"/>
      <c r="K30" s="231"/>
      <c r="L30" s="231"/>
      <c r="M30" s="231"/>
      <c r="N30" s="231"/>
      <c r="O30" s="231"/>
      <c r="P30" s="231"/>
    </row>
    <row r="31" spans="1:16" s="234" customFormat="1" ht="15">
      <c r="A31" s="231"/>
      <c r="B31" s="225"/>
      <c r="C31" s="225"/>
      <c r="D31" s="225"/>
      <c r="E31" s="225"/>
      <c r="F31" s="225"/>
      <c r="G31" s="236">
        <f>SUM(G25:G30)</f>
        <v>2067042.69</v>
      </c>
      <c r="H31" s="237"/>
      <c r="I31" s="233"/>
      <c r="J31" s="231"/>
      <c r="K31" s="231"/>
      <c r="L31" s="231"/>
      <c r="M31" s="231"/>
      <c r="N31" s="231"/>
      <c r="O31" s="231"/>
      <c r="P31" s="231"/>
    </row>
    <row r="32" spans="1:16" s="234" customFormat="1" ht="15">
      <c r="A32" s="231"/>
      <c r="B32" s="225"/>
      <c r="C32" s="225"/>
      <c r="D32" s="225"/>
      <c r="E32" s="225"/>
      <c r="F32" s="225"/>
      <c r="G32" s="232"/>
      <c r="H32" s="232"/>
      <c r="I32" s="233"/>
      <c r="J32" s="231"/>
      <c r="K32" s="231"/>
      <c r="L32" s="231"/>
      <c r="M32" s="231"/>
      <c r="N32" s="231"/>
      <c r="O32" s="231"/>
      <c r="P32" s="231"/>
    </row>
    <row r="33" spans="1:16" s="234" customFormat="1" ht="15">
      <c r="A33" s="231"/>
      <c r="B33" s="225" t="s">
        <v>714</v>
      </c>
      <c r="C33" s="225" t="s">
        <v>713</v>
      </c>
      <c r="D33" s="225"/>
      <c r="E33" s="225" t="s">
        <v>694</v>
      </c>
      <c r="F33" s="225"/>
      <c r="G33" s="232">
        <v>364638</v>
      </c>
      <c r="H33" s="232"/>
      <c r="I33" s="233">
        <v>1975</v>
      </c>
      <c r="J33" s="231"/>
      <c r="K33" s="231"/>
      <c r="L33" s="231"/>
      <c r="M33" s="231"/>
      <c r="N33" s="231"/>
      <c r="O33" s="231"/>
      <c r="P33" s="231"/>
    </row>
    <row r="34" spans="1:16" s="234" customFormat="1" ht="15">
      <c r="A34" s="231"/>
      <c r="B34" s="225"/>
      <c r="C34" s="225" t="s">
        <v>712</v>
      </c>
      <c r="D34" s="225"/>
      <c r="E34" s="235" t="s">
        <v>711</v>
      </c>
      <c r="F34" s="235"/>
      <c r="G34" s="232">
        <v>364639</v>
      </c>
      <c r="H34" s="232"/>
      <c r="I34" s="233">
        <v>1975</v>
      </c>
      <c r="J34" s="231"/>
      <c r="K34" s="231"/>
      <c r="L34" s="231"/>
      <c r="M34" s="231"/>
      <c r="N34" s="231"/>
      <c r="O34" s="231"/>
      <c r="P34" s="231"/>
    </row>
    <row r="35" spans="1:16" s="234" customFormat="1" ht="15">
      <c r="A35" s="231"/>
      <c r="B35" s="225"/>
      <c r="C35" s="225" t="s">
        <v>710</v>
      </c>
      <c r="D35" s="225"/>
      <c r="E35" s="235" t="s">
        <v>709</v>
      </c>
      <c r="F35" s="235"/>
      <c r="G35" s="232">
        <v>364638</v>
      </c>
      <c r="H35" s="232"/>
      <c r="I35" s="233">
        <v>1975</v>
      </c>
      <c r="J35" s="231"/>
      <c r="K35" s="231"/>
      <c r="L35" s="231"/>
      <c r="M35" s="231"/>
      <c r="N35" s="231"/>
      <c r="O35" s="231"/>
      <c r="P35" s="231"/>
    </row>
    <row r="36" spans="1:16" s="234" customFormat="1" ht="15">
      <c r="A36" s="231"/>
      <c r="B36" s="225"/>
      <c r="C36" s="225" t="s">
        <v>708</v>
      </c>
      <c r="D36" s="225"/>
      <c r="E36" s="235" t="s">
        <v>707</v>
      </c>
      <c r="F36" s="235"/>
      <c r="G36" s="232">
        <v>869053</v>
      </c>
      <c r="H36" s="232"/>
      <c r="I36" s="233">
        <v>1992</v>
      </c>
      <c r="J36" s="231"/>
      <c r="K36" s="231"/>
      <c r="L36" s="231"/>
      <c r="M36" s="231"/>
      <c r="N36" s="231"/>
      <c r="O36" s="231"/>
      <c r="P36" s="231"/>
    </row>
    <row r="37" spans="1:16" s="234" customFormat="1" ht="15">
      <c r="A37" s="231"/>
      <c r="B37" s="225"/>
      <c r="C37" s="225" t="s">
        <v>706</v>
      </c>
      <c r="D37" s="225"/>
      <c r="E37" s="235" t="s">
        <v>705</v>
      </c>
      <c r="F37" s="235"/>
      <c r="G37" s="232">
        <v>869053</v>
      </c>
      <c r="H37" s="232"/>
      <c r="I37" s="233">
        <v>1992</v>
      </c>
      <c r="J37" s="231"/>
      <c r="K37" s="231"/>
      <c r="L37" s="231"/>
      <c r="M37" s="231"/>
      <c r="N37" s="231"/>
      <c r="O37" s="231"/>
      <c r="P37" s="231"/>
    </row>
    <row r="38" spans="1:16" s="234" customFormat="1" ht="15">
      <c r="A38" s="231"/>
      <c r="B38" s="225"/>
      <c r="C38" s="225" t="s">
        <v>704</v>
      </c>
      <c r="D38" s="225"/>
      <c r="E38" s="235" t="s">
        <v>703</v>
      </c>
      <c r="F38" s="235"/>
      <c r="G38" s="232">
        <v>869053</v>
      </c>
      <c r="H38" s="232"/>
      <c r="I38" s="233">
        <v>1992</v>
      </c>
      <c r="J38" s="231"/>
      <c r="K38" s="231"/>
      <c r="L38" s="231"/>
      <c r="M38" s="231"/>
      <c r="N38" s="231"/>
      <c r="O38" s="231"/>
      <c r="P38" s="231"/>
    </row>
    <row r="39" spans="1:16" s="234" customFormat="1" ht="15">
      <c r="A39" s="231"/>
      <c r="B39" s="225"/>
      <c r="C39" s="225" t="s">
        <v>702</v>
      </c>
      <c r="D39" s="225"/>
      <c r="E39" s="235" t="s">
        <v>701</v>
      </c>
      <c r="F39" s="235"/>
      <c r="G39" s="232">
        <v>869053</v>
      </c>
      <c r="H39" s="232"/>
      <c r="I39" s="233">
        <v>1992</v>
      </c>
      <c r="J39" s="231"/>
      <c r="K39" s="231"/>
      <c r="L39" s="231"/>
      <c r="M39" s="231"/>
      <c r="N39" s="231"/>
      <c r="O39" s="231"/>
      <c r="P39" s="231"/>
    </row>
    <row r="40" spans="1:16" s="234" customFormat="1" ht="15">
      <c r="A40" s="231"/>
      <c r="B40" s="225"/>
      <c r="C40" s="225"/>
      <c r="D40" s="225"/>
      <c r="E40" s="225"/>
      <c r="F40" s="225"/>
      <c r="G40" s="236">
        <f>SUM(G33:G39)</f>
        <v>4570127</v>
      </c>
      <c r="H40" s="237"/>
      <c r="I40" s="233"/>
      <c r="J40" s="231"/>
      <c r="K40" s="231"/>
      <c r="L40" s="231"/>
      <c r="M40" s="231"/>
      <c r="N40" s="231"/>
      <c r="O40" s="231"/>
      <c r="P40" s="231"/>
    </row>
    <row r="41" spans="1:16" s="234" customFormat="1" ht="15">
      <c r="A41" s="231"/>
      <c r="B41" s="225"/>
      <c r="C41" s="225"/>
      <c r="D41" s="225"/>
      <c r="E41" s="225"/>
      <c r="F41" s="225"/>
      <c r="G41" s="232"/>
      <c r="H41" s="232"/>
      <c r="I41" s="233"/>
      <c r="J41" s="231"/>
      <c r="K41" s="231"/>
      <c r="L41" s="231"/>
      <c r="M41" s="231"/>
      <c r="N41" s="231"/>
      <c r="O41" s="231"/>
      <c r="P41" s="231"/>
    </row>
    <row r="42" spans="1:16" s="234" customFormat="1" ht="15">
      <c r="A42" s="231"/>
      <c r="B42" s="225" t="s">
        <v>700</v>
      </c>
      <c r="C42" s="225" t="s">
        <v>699</v>
      </c>
      <c r="D42" s="225"/>
      <c r="E42" s="225" t="s">
        <v>694</v>
      </c>
      <c r="F42" s="225"/>
      <c r="G42" s="232">
        <v>113598</v>
      </c>
      <c r="H42" s="232"/>
      <c r="I42" s="233">
        <v>1970</v>
      </c>
      <c r="J42" s="231"/>
      <c r="K42" s="231"/>
      <c r="L42" s="231"/>
      <c r="M42" s="231"/>
      <c r="N42" s="231"/>
      <c r="O42" s="231"/>
      <c r="P42" s="231"/>
    </row>
    <row r="43" spans="1:16" s="234" customFormat="1" ht="15">
      <c r="A43" s="231"/>
      <c r="B43" s="225"/>
      <c r="C43" s="225"/>
      <c r="D43" s="225"/>
      <c r="E43" s="225"/>
      <c r="F43" s="225"/>
      <c r="G43" s="232">
        <v>45831</v>
      </c>
      <c r="H43" s="232"/>
      <c r="I43" s="233">
        <v>1991</v>
      </c>
      <c r="J43" s="231"/>
      <c r="K43" s="231"/>
      <c r="L43" s="231"/>
      <c r="M43" s="231"/>
      <c r="N43" s="231"/>
      <c r="O43" s="231"/>
      <c r="P43" s="231"/>
    </row>
    <row r="44" spans="1:16" s="234" customFormat="1" ht="15">
      <c r="A44" s="231"/>
      <c r="B44" s="225"/>
      <c r="C44" s="225" t="s">
        <v>698</v>
      </c>
      <c r="D44" s="225"/>
      <c r="E44" s="235" t="s">
        <v>697</v>
      </c>
      <c r="F44" s="235"/>
      <c r="G44" s="232">
        <v>292778</v>
      </c>
      <c r="H44" s="232"/>
      <c r="I44" s="233">
        <v>1974</v>
      </c>
      <c r="J44" s="231"/>
      <c r="K44" s="231"/>
      <c r="L44" s="231"/>
      <c r="M44" s="231"/>
      <c r="N44" s="231"/>
      <c r="O44" s="231"/>
      <c r="P44" s="231"/>
    </row>
    <row r="45" spans="1:16" s="234" customFormat="1" ht="15">
      <c r="A45" s="231"/>
      <c r="B45" s="225"/>
      <c r="C45" s="225"/>
      <c r="D45" s="225"/>
      <c r="E45" s="225"/>
      <c r="F45" s="225"/>
      <c r="G45" s="236">
        <f>SUM(G42:G44)</f>
        <v>452207</v>
      </c>
      <c r="H45" s="237"/>
      <c r="I45" s="233"/>
      <c r="J45" s="231"/>
      <c r="K45" s="231"/>
      <c r="L45" s="231"/>
      <c r="M45" s="231"/>
      <c r="N45" s="231"/>
      <c r="O45" s="231"/>
      <c r="P45" s="231"/>
    </row>
    <row r="46" spans="1:16" s="234" customFormat="1" ht="15">
      <c r="A46" s="231"/>
      <c r="B46" s="225"/>
      <c r="C46" s="225"/>
      <c r="D46" s="225"/>
      <c r="E46" s="225"/>
      <c r="F46" s="225"/>
      <c r="G46" s="232"/>
      <c r="H46" s="232"/>
      <c r="I46" s="233"/>
      <c r="J46" s="231"/>
      <c r="K46" s="231"/>
      <c r="L46" s="231"/>
      <c r="M46" s="231"/>
      <c r="N46" s="231"/>
      <c r="O46" s="231"/>
      <c r="P46" s="231"/>
    </row>
    <row r="47" spans="1:16" s="234" customFormat="1" ht="15">
      <c r="A47" s="231"/>
      <c r="B47" s="225" t="s">
        <v>696</v>
      </c>
      <c r="C47" s="225" t="s">
        <v>695</v>
      </c>
      <c r="D47" s="225"/>
      <c r="E47" s="225" t="s">
        <v>694</v>
      </c>
      <c r="F47" s="225"/>
      <c r="G47" s="232">
        <v>158609</v>
      </c>
      <c r="H47" s="232"/>
      <c r="I47" s="233">
        <v>1968</v>
      </c>
      <c r="J47" s="231"/>
      <c r="K47" s="231"/>
      <c r="L47" s="231"/>
      <c r="M47" s="231"/>
      <c r="N47" s="231"/>
      <c r="O47" s="231"/>
      <c r="P47" s="231"/>
    </row>
    <row r="48" spans="1:16" s="234" customFormat="1" ht="15">
      <c r="A48" s="231"/>
      <c r="B48" s="225"/>
      <c r="C48" s="225"/>
      <c r="D48" s="225"/>
      <c r="E48" s="225"/>
      <c r="F48" s="225"/>
      <c r="G48" s="232">
        <v>1615</v>
      </c>
      <c r="H48" s="232"/>
      <c r="I48" s="233">
        <v>1992</v>
      </c>
      <c r="J48" s="231"/>
      <c r="K48" s="231"/>
      <c r="L48" s="231"/>
      <c r="M48" s="231"/>
      <c r="N48" s="231"/>
      <c r="O48" s="231"/>
      <c r="P48" s="231"/>
    </row>
    <row r="49" spans="1:16" s="234" customFormat="1" ht="15">
      <c r="A49" s="231"/>
      <c r="B49" s="225"/>
      <c r="C49" s="225"/>
      <c r="D49" s="225"/>
      <c r="E49" s="225"/>
      <c r="F49" s="225"/>
      <c r="G49" s="232">
        <v>191</v>
      </c>
      <c r="H49" s="232"/>
      <c r="I49" s="233">
        <v>1998</v>
      </c>
      <c r="J49" s="231"/>
      <c r="K49" s="231"/>
      <c r="L49" s="231"/>
      <c r="M49" s="231"/>
      <c r="N49" s="231"/>
      <c r="O49" s="231"/>
      <c r="P49" s="231"/>
    </row>
    <row r="50" spans="1:16" s="234" customFormat="1" ht="15">
      <c r="A50" s="231"/>
      <c r="B50" s="225"/>
      <c r="C50" s="225"/>
      <c r="D50" s="225"/>
      <c r="E50" s="225"/>
      <c r="F50" s="225"/>
      <c r="G50" s="236">
        <f>SUM(G47:G49)</f>
        <v>160415</v>
      </c>
      <c r="H50" s="237"/>
      <c r="I50" s="233"/>
      <c r="J50" s="231"/>
      <c r="K50" s="231"/>
      <c r="L50" s="231"/>
      <c r="M50" s="231"/>
      <c r="N50" s="231"/>
      <c r="O50" s="231"/>
      <c r="P50" s="231"/>
    </row>
    <row r="51" spans="1:16" s="234" customFormat="1" ht="15">
      <c r="A51" s="231"/>
      <c r="B51" s="225"/>
      <c r="C51" s="225"/>
      <c r="D51" s="225"/>
      <c r="E51" s="225"/>
      <c r="F51" s="225"/>
      <c r="G51" s="232"/>
      <c r="H51" s="232"/>
      <c r="I51" s="233"/>
      <c r="J51" s="231"/>
      <c r="K51" s="231"/>
      <c r="L51" s="231"/>
      <c r="M51" s="231"/>
      <c r="N51" s="231"/>
      <c r="O51" s="231"/>
      <c r="P51" s="231"/>
    </row>
    <row r="52" spans="1:16" s="234" customFormat="1" ht="15">
      <c r="A52" s="231"/>
      <c r="B52" s="225" t="s">
        <v>693</v>
      </c>
      <c r="C52" s="225" t="s">
        <v>692</v>
      </c>
      <c r="D52" s="225"/>
      <c r="E52" s="225" t="s">
        <v>691</v>
      </c>
      <c r="F52" s="225"/>
      <c r="G52" s="232">
        <v>490250</v>
      </c>
      <c r="H52" s="232"/>
      <c r="I52" s="233">
        <v>1993</v>
      </c>
      <c r="J52" s="231"/>
      <c r="K52" s="231"/>
      <c r="L52" s="231"/>
      <c r="M52" s="231"/>
      <c r="N52" s="231"/>
      <c r="O52" s="231"/>
      <c r="P52" s="231"/>
    </row>
    <row r="53" spans="1:16" s="234" customFormat="1" ht="15">
      <c r="A53" s="231"/>
      <c r="B53" s="225"/>
      <c r="C53" s="225"/>
      <c r="D53" s="225"/>
      <c r="E53" s="225"/>
      <c r="F53" s="225"/>
      <c r="G53" s="232">
        <v>37398</v>
      </c>
      <c r="H53" s="232"/>
      <c r="I53" s="233">
        <v>1992</v>
      </c>
      <c r="J53" s="231"/>
      <c r="K53" s="231"/>
      <c r="L53" s="231"/>
      <c r="M53" s="231"/>
      <c r="N53" s="231"/>
      <c r="O53" s="231"/>
      <c r="P53" s="231"/>
    </row>
    <row r="54" spans="1:16" s="234" customFormat="1" ht="15">
      <c r="A54" s="231"/>
      <c r="B54" s="225"/>
      <c r="C54" s="225"/>
      <c r="D54" s="225"/>
      <c r="E54" s="225"/>
      <c r="F54" s="225"/>
      <c r="G54" s="232">
        <f>5859+3068</f>
        <v>8927</v>
      </c>
      <c r="H54" s="232"/>
      <c r="I54" s="233">
        <v>1993</v>
      </c>
      <c r="J54" s="231"/>
      <c r="K54" s="231"/>
      <c r="L54" s="231"/>
      <c r="M54" s="231"/>
      <c r="N54" s="231"/>
      <c r="O54" s="231"/>
      <c r="P54" s="231"/>
    </row>
    <row r="55" spans="1:16" s="234" customFormat="1" ht="15">
      <c r="A55" s="231"/>
      <c r="B55" s="225"/>
      <c r="C55" s="225"/>
      <c r="D55" s="225"/>
      <c r="E55" s="225"/>
      <c r="F55" s="225"/>
      <c r="G55" s="236">
        <f>SUM(G52:G54)</f>
        <v>536575</v>
      </c>
      <c r="H55" s="237"/>
      <c r="I55" s="233"/>
      <c r="J55" s="231"/>
      <c r="K55" s="231"/>
      <c r="L55" s="231"/>
      <c r="M55" s="231"/>
      <c r="N55" s="231"/>
      <c r="O55" s="231"/>
      <c r="P55" s="231"/>
    </row>
    <row r="56" spans="1:16" s="234" customFormat="1" ht="15">
      <c r="A56" s="231"/>
      <c r="B56" s="225"/>
      <c r="C56" s="225"/>
      <c r="D56" s="225"/>
      <c r="E56" s="225"/>
      <c r="F56" s="225"/>
      <c r="G56" s="237"/>
      <c r="H56" s="237"/>
      <c r="I56" s="233"/>
      <c r="J56" s="231"/>
      <c r="K56" s="231"/>
      <c r="L56" s="231"/>
      <c r="M56" s="231"/>
      <c r="N56" s="231"/>
      <c r="O56" s="231"/>
      <c r="P56" s="231"/>
    </row>
    <row r="57" spans="1:16" s="234" customFormat="1" ht="15">
      <c r="A57" s="231"/>
      <c r="B57" s="225" t="s">
        <v>690</v>
      </c>
      <c r="C57" s="225"/>
      <c r="D57" s="225"/>
      <c r="E57" s="225" t="s">
        <v>687</v>
      </c>
      <c r="F57" s="225"/>
      <c r="G57" s="152">
        <f>3150000*1.2/5*2.5</f>
        <v>1890000</v>
      </c>
      <c r="H57" s="238"/>
      <c r="I57" s="233">
        <v>1999</v>
      </c>
      <c r="J57" s="231"/>
      <c r="K57" s="231"/>
      <c r="L57" s="231"/>
      <c r="M57" s="231"/>
      <c r="N57" s="231"/>
      <c r="O57" s="231"/>
      <c r="P57" s="231"/>
    </row>
    <row r="58" spans="1:16" s="234" customFormat="1" ht="15">
      <c r="A58" s="231"/>
      <c r="B58" s="225"/>
      <c r="C58" s="225"/>
      <c r="D58" s="225"/>
      <c r="E58" s="225" t="s">
        <v>686</v>
      </c>
      <c r="F58" s="225"/>
      <c r="G58" s="152">
        <f>3150000*1.2/5*1.25</f>
        <v>945000</v>
      </c>
      <c r="H58" s="238"/>
      <c r="I58" s="233">
        <v>1999</v>
      </c>
      <c r="J58" s="231"/>
      <c r="K58" s="231"/>
      <c r="L58" s="231"/>
      <c r="M58" s="231"/>
      <c r="N58" s="231"/>
      <c r="O58" s="231"/>
      <c r="P58" s="231"/>
    </row>
    <row r="59" spans="1:16" s="234" customFormat="1" ht="15">
      <c r="A59" s="231"/>
      <c r="B59" s="225"/>
      <c r="C59" s="225"/>
      <c r="D59" s="225"/>
      <c r="E59" s="225" t="s">
        <v>685</v>
      </c>
      <c r="F59" s="225"/>
      <c r="G59" s="152">
        <f>3150000*1.2/5*1.25</f>
        <v>945000</v>
      </c>
      <c r="H59" s="238"/>
      <c r="I59" s="233">
        <v>1999</v>
      </c>
      <c r="J59" s="231"/>
      <c r="K59" s="231"/>
      <c r="L59" s="231"/>
      <c r="M59" s="231"/>
      <c r="N59" s="231"/>
      <c r="O59" s="231"/>
      <c r="P59" s="231"/>
    </row>
    <row r="60" spans="1:16" s="234" customFormat="1" ht="15">
      <c r="A60" s="231"/>
      <c r="B60" s="225" t="s">
        <v>689</v>
      </c>
      <c r="C60" s="225"/>
      <c r="D60" s="225"/>
      <c r="E60" s="225" t="s">
        <v>687</v>
      </c>
      <c r="F60" s="225"/>
      <c r="G60" s="152">
        <f>((6404898+816533+309502)-SUM(G$57:G$59))/5*2.5</f>
        <v>1875466.5</v>
      </c>
      <c r="H60" s="238"/>
      <c r="I60" s="233">
        <v>2003</v>
      </c>
      <c r="J60" s="231"/>
      <c r="K60" s="231"/>
      <c r="L60" s="231"/>
      <c r="M60" s="231"/>
      <c r="N60" s="231"/>
      <c r="O60" s="231"/>
      <c r="P60" s="231"/>
    </row>
    <row r="61" spans="1:16" s="234" customFormat="1" ht="15">
      <c r="A61" s="231"/>
      <c r="B61" s="225"/>
      <c r="C61" s="225"/>
      <c r="D61" s="225"/>
      <c r="E61" s="225" t="s">
        <v>686</v>
      </c>
      <c r="F61" s="225"/>
      <c r="G61" s="152">
        <f>((6404898+816533+309502)-SUM(G$57:G$59))/5*1.25</f>
        <v>937733.25</v>
      </c>
      <c r="H61" s="238"/>
      <c r="I61" s="233">
        <v>2003</v>
      </c>
      <c r="J61" s="231"/>
      <c r="K61" s="231"/>
      <c r="L61" s="231"/>
      <c r="M61" s="231"/>
      <c r="N61" s="231"/>
      <c r="O61" s="231"/>
      <c r="P61" s="231"/>
    </row>
    <row r="62" spans="1:16" s="234" customFormat="1" ht="15">
      <c r="A62" s="231"/>
      <c r="B62" s="225"/>
      <c r="C62" s="225"/>
      <c r="D62" s="225"/>
      <c r="E62" s="225" t="s">
        <v>685</v>
      </c>
      <c r="F62" s="225"/>
      <c r="G62" s="152">
        <f>((6404898+816533+309502)-SUM(G$57:G$59))/5*1.25</f>
        <v>937733.25</v>
      </c>
      <c r="H62" s="238"/>
      <c r="I62" s="233">
        <v>2003</v>
      </c>
      <c r="J62" s="231"/>
      <c r="K62" s="231"/>
      <c r="L62" s="231"/>
      <c r="M62" s="231"/>
      <c r="N62" s="231"/>
      <c r="O62" s="231"/>
      <c r="P62" s="231"/>
    </row>
    <row r="63" spans="1:16" s="234" customFormat="1" ht="15">
      <c r="A63" s="231"/>
      <c r="B63" s="225" t="s">
        <v>688</v>
      </c>
      <c r="C63" s="225"/>
      <c r="D63" s="225"/>
      <c r="E63" s="225" t="s">
        <v>687</v>
      </c>
      <c r="F63" s="225"/>
      <c r="G63" s="152">
        <f>AVERAGE(G57,G60)</f>
        <v>1882733.25</v>
      </c>
      <c r="H63" s="238"/>
      <c r="I63" s="233">
        <v>2005</v>
      </c>
      <c r="J63" s="231"/>
      <c r="K63" s="231"/>
      <c r="L63" s="231"/>
      <c r="M63" s="231"/>
      <c r="N63" s="231"/>
      <c r="O63" s="231"/>
      <c r="P63" s="231"/>
    </row>
    <row r="64" spans="1:16" s="234" customFormat="1" ht="15">
      <c r="A64" s="231"/>
      <c r="B64" s="225"/>
      <c r="C64" s="225"/>
      <c r="D64" s="225"/>
      <c r="E64" s="225" t="s">
        <v>686</v>
      </c>
      <c r="F64" s="225"/>
      <c r="G64" s="152">
        <f>AVERAGE(G58,G61)</f>
        <v>941366.625</v>
      </c>
      <c r="H64" s="238"/>
      <c r="I64" s="233">
        <v>2005</v>
      </c>
      <c r="J64" s="231"/>
      <c r="K64" s="231"/>
      <c r="L64" s="231"/>
      <c r="M64" s="231"/>
      <c r="N64" s="231"/>
      <c r="O64" s="231"/>
      <c r="P64" s="231"/>
    </row>
    <row r="65" spans="1:16" s="234" customFormat="1" ht="15">
      <c r="A65" s="231"/>
      <c r="B65" s="225"/>
      <c r="C65" s="225"/>
      <c r="D65" s="225"/>
      <c r="E65" s="225" t="s">
        <v>685</v>
      </c>
      <c r="F65" s="225"/>
      <c r="G65" s="152">
        <f>AVERAGE(G58,G61)</f>
        <v>941366.625</v>
      </c>
      <c r="H65" s="238"/>
      <c r="I65" s="233">
        <v>2005</v>
      </c>
      <c r="J65" s="231"/>
      <c r="K65" s="231"/>
      <c r="L65" s="231"/>
      <c r="M65" s="231"/>
      <c r="N65" s="231"/>
      <c r="O65" s="231"/>
      <c r="P65" s="231"/>
    </row>
    <row r="66" spans="1:16" s="234" customFormat="1" ht="15">
      <c r="A66" s="231"/>
      <c r="B66" s="225" t="s">
        <v>684</v>
      </c>
      <c r="C66" s="225"/>
      <c r="D66" s="225"/>
      <c r="E66" s="225" t="s">
        <v>683</v>
      </c>
      <c r="F66" s="225"/>
      <c r="G66" s="202">
        <v>2844989.59</v>
      </c>
      <c r="H66" s="238"/>
      <c r="I66" s="233">
        <v>2007</v>
      </c>
      <c r="J66" s="231"/>
      <c r="K66" s="231"/>
      <c r="L66" s="231"/>
      <c r="M66" s="231"/>
      <c r="N66" s="231"/>
      <c r="O66" s="231"/>
      <c r="P66" s="231"/>
    </row>
    <row r="67" spans="1:16" s="234" customFormat="1" ht="15">
      <c r="A67" s="231"/>
      <c r="B67" s="225"/>
      <c r="C67" s="225"/>
      <c r="D67" s="225"/>
      <c r="E67" s="225" t="s">
        <v>682</v>
      </c>
      <c r="F67" s="225"/>
      <c r="G67" s="242">
        <v>816533</v>
      </c>
      <c r="H67" s="238"/>
      <c r="I67" s="233">
        <v>2002</v>
      </c>
      <c r="J67" s="231"/>
      <c r="K67" s="231"/>
      <c r="L67" s="231"/>
      <c r="M67" s="231"/>
      <c r="N67" s="231"/>
      <c r="O67" s="231"/>
      <c r="P67" s="231"/>
    </row>
    <row r="68" spans="1:16" s="234" customFormat="1" ht="15">
      <c r="A68" s="231"/>
      <c r="B68" s="225"/>
      <c r="C68" s="225"/>
      <c r="D68" s="225"/>
      <c r="E68" s="225"/>
      <c r="F68" s="225"/>
      <c r="G68" s="239">
        <f>SUM(G57:G67)</f>
        <v>14957922.09</v>
      </c>
      <c r="H68" s="237"/>
      <c r="I68" s="233"/>
      <c r="J68" s="231"/>
      <c r="K68" s="231"/>
      <c r="L68" s="231"/>
      <c r="M68" s="231"/>
      <c r="N68" s="231"/>
      <c r="O68" s="231"/>
      <c r="P68" s="231"/>
    </row>
    <row r="69" spans="1:16" s="234" customFormat="1" ht="15">
      <c r="A69" s="231"/>
      <c r="B69" s="225"/>
      <c r="C69" s="225"/>
      <c r="D69" s="225"/>
      <c r="E69" s="225"/>
      <c r="F69" s="225"/>
      <c r="G69" s="237"/>
      <c r="H69" s="237"/>
      <c r="I69" s="233"/>
      <c r="J69" s="231"/>
      <c r="K69" s="231"/>
      <c r="L69" s="231"/>
      <c r="M69" s="231"/>
      <c r="N69" s="231"/>
      <c r="O69" s="231"/>
      <c r="P69" s="231"/>
    </row>
    <row r="70" spans="1:16" s="234" customFormat="1" ht="15">
      <c r="A70" s="231"/>
      <c r="B70" s="225" t="s">
        <v>681</v>
      </c>
      <c r="C70" s="225"/>
      <c r="D70" s="225"/>
      <c r="E70" s="225" t="s">
        <v>680</v>
      </c>
      <c r="F70" s="225"/>
      <c r="G70" s="238">
        <f>1942971.68/2</f>
        <v>971485.84</v>
      </c>
      <c r="H70" s="238"/>
      <c r="I70" s="233">
        <v>1997</v>
      </c>
      <c r="J70" s="231"/>
      <c r="K70" s="231"/>
      <c r="L70" s="231"/>
      <c r="M70" s="231"/>
      <c r="N70" s="231"/>
      <c r="O70" s="231"/>
      <c r="P70" s="231"/>
    </row>
    <row r="71" spans="1:16" s="234" customFormat="1" ht="15">
      <c r="A71" s="231"/>
      <c r="B71" s="225"/>
      <c r="C71" s="225"/>
      <c r="D71" s="225"/>
      <c r="E71" s="225" t="s">
        <v>679</v>
      </c>
      <c r="F71" s="225"/>
      <c r="G71" s="238">
        <f>+G70</f>
        <v>971485.84</v>
      </c>
      <c r="H71" s="238"/>
      <c r="I71" s="233">
        <v>1997</v>
      </c>
      <c r="J71" s="231"/>
      <c r="K71" s="231"/>
      <c r="L71" s="231"/>
      <c r="M71" s="231"/>
      <c r="N71" s="231"/>
      <c r="O71" s="231"/>
      <c r="P71" s="231"/>
    </row>
    <row r="72" spans="1:16" s="234" customFormat="1" ht="15">
      <c r="A72" s="231"/>
      <c r="B72" s="225"/>
      <c r="C72" s="225"/>
      <c r="D72" s="225"/>
      <c r="E72" s="225"/>
      <c r="F72" s="225"/>
      <c r="G72" s="239">
        <f>SUM(G70:G71)</f>
        <v>1942971.68</v>
      </c>
      <c r="H72" s="237"/>
      <c r="I72" s="233"/>
      <c r="J72" s="231"/>
      <c r="K72" s="231"/>
      <c r="L72" s="231"/>
      <c r="M72" s="231"/>
      <c r="N72" s="231"/>
      <c r="O72" s="231"/>
      <c r="P72" s="231"/>
    </row>
    <row r="73" spans="1:16" s="234" customFormat="1" ht="15">
      <c r="A73" s="231"/>
      <c r="B73" s="225"/>
      <c r="C73" s="225"/>
      <c r="D73" s="225"/>
      <c r="E73" s="225"/>
      <c r="F73" s="225"/>
      <c r="G73" s="237"/>
      <c r="H73" s="237"/>
      <c r="I73" s="233"/>
      <c r="J73" s="231"/>
      <c r="K73" s="231"/>
      <c r="L73" s="231"/>
      <c r="M73" s="231"/>
      <c r="N73" s="231"/>
      <c r="O73" s="231"/>
      <c r="P73" s="231"/>
    </row>
    <row r="74" spans="1:16" s="234" customFormat="1" ht="15">
      <c r="A74" s="231"/>
      <c r="B74" s="225" t="s">
        <v>678</v>
      </c>
      <c r="C74" s="225"/>
      <c r="D74" s="225"/>
      <c r="E74" s="225" t="s">
        <v>677</v>
      </c>
      <c r="F74" s="225"/>
      <c r="G74" s="238">
        <v>689047</v>
      </c>
      <c r="H74" s="238"/>
      <c r="I74" s="233">
        <v>2003</v>
      </c>
      <c r="J74" s="231"/>
      <c r="K74" s="231"/>
      <c r="L74" s="231"/>
      <c r="M74" s="231"/>
      <c r="N74" s="231"/>
      <c r="O74" s="231"/>
      <c r="P74" s="231"/>
    </row>
    <row r="75" spans="1:16" s="234" customFormat="1" ht="15">
      <c r="A75" s="231"/>
      <c r="B75" s="225"/>
      <c r="C75" s="225"/>
      <c r="D75" s="225"/>
      <c r="E75" s="225" t="s">
        <v>676</v>
      </c>
      <c r="F75" s="225"/>
      <c r="G75" s="238">
        <f>1731392</f>
        <v>1731392</v>
      </c>
      <c r="H75" s="238"/>
      <c r="I75" s="233">
        <v>2002</v>
      </c>
      <c r="J75" s="231"/>
      <c r="K75" s="231"/>
      <c r="L75" s="231"/>
      <c r="M75" s="231"/>
      <c r="N75" s="231"/>
      <c r="O75" s="231"/>
      <c r="P75" s="231"/>
    </row>
    <row r="76" spans="1:16" s="234" customFormat="1" ht="15">
      <c r="A76" s="231"/>
      <c r="B76" s="225"/>
      <c r="C76" s="225"/>
      <c r="D76" s="225"/>
      <c r="E76" s="225"/>
      <c r="F76" s="225"/>
      <c r="G76" s="239">
        <f>SUM(G74:G75)</f>
        <v>2420439</v>
      </c>
      <c r="H76" s="237"/>
      <c r="I76" s="231"/>
      <c r="J76" s="231"/>
      <c r="K76" s="231"/>
      <c r="L76" s="231"/>
      <c r="M76" s="231"/>
      <c r="N76" s="231"/>
      <c r="O76" s="231"/>
      <c r="P76" s="231"/>
    </row>
    <row r="77" spans="1:16" s="234" customFormat="1" ht="15.75" thickBot="1">
      <c r="A77" s="231"/>
      <c r="B77" s="225" t="s">
        <v>421</v>
      </c>
      <c r="C77" s="225"/>
      <c r="D77" s="225"/>
      <c r="E77" s="225"/>
      <c r="F77" s="225"/>
      <c r="G77" s="240">
        <f>SUM(G11:G76)/2+SUM('PEF - 4, p1 Step Ups '!G11:G60)/2</f>
        <v>80691019.49000001</v>
      </c>
      <c r="H77" s="241"/>
      <c r="I77" s="231"/>
      <c r="J77" s="231"/>
      <c r="K77" s="231"/>
      <c r="L77" s="231"/>
      <c r="M77" s="231"/>
      <c r="N77" s="231"/>
      <c r="O77" s="231"/>
      <c r="P77" s="231"/>
    </row>
    <row r="78" spans="1:16" ht="13.5" thickTop="1"/>
  </sheetData>
  <mergeCells count="4">
    <mergeCell ref="I1:J1"/>
    <mergeCell ref="I3:J3"/>
    <mergeCell ref="A5:J5"/>
    <mergeCell ref="A6:J6"/>
  </mergeCells>
  <printOptions horizontalCentered="1"/>
  <pageMargins left="0.5" right="0.5" top="1" bottom="0.5" header="0.5" footer="0.5"/>
  <pageSetup scale="60" orientation="portrait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0"/>
  <sheetViews>
    <sheetView workbookViewId="0">
      <selection activeCell="H91" sqref="H91"/>
    </sheetView>
  </sheetViews>
  <sheetFormatPr defaultRowHeight="12.75"/>
  <cols>
    <col min="1" max="1" width="5.7109375" style="65" customWidth="1"/>
    <col min="2" max="2" width="18.7109375" style="65" customWidth="1"/>
    <col min="3" max="3" width="9.140625" style="65"/>
    <col min="4" max="4" width="22" style="65" customWidth="1"/>
    <col min="5" max="5" width="5.7109375" style="65" customWidth="1"/>
    <col min="6" max="6" width="13.7109375" style="65" customWidth="1"/>
    <col min="7" max="7" width="4.7109375" style="65" customWidth="1"/>
    <col min="8" max="8" width="13.7109375" style="65" customWidth="1"/>
    <col min="9" max="9" width="4.7109375" style="65" customWidth="1"/>
    <col min="10" max="10" width="14.85546875" style="65" customWidth="1"/>
    <col min="11" max="11" width="7" style="65" customWidth="1"/>
    <col min="12" max="16384" width="9.140625" style="65"/>
  </cols>
  <sheetData>
    <row r="1" spans="1:11" ht="15.75">
      <c r="A1" s="66"/>
      <c r="B1" s="66"/>
      <c r="C1" s="66"/>
      <c r="D1" s="66"/>
      <c r="E1" s="66"/>
      <c r="F1" s="66"/>
      <c r="G1" s="66"/>
      <c r="H1" s="66"/>
      <c r="I1" s="66"/>
      <c r="J1" s="277" t="s">
        <v>398</v>
      </c>
      <c r="K1" s="277"/>
    </row>
    <row r="2" spans="1:11" ht="15.75">
      <c r="A2" s="66"/>
      <c r="B2" s="66"/>
      <c r="C2" s="66"/>
      <c r="D2" s="66"/>
      <c r="E2" s="66"/>
      <c r="F2" s="66"/>
      <c r="G2" s="66"/>
      <c r="H2" s="66"/>
      <c r="I2" s="66"/>
      <c r="J2" s="72" t="s">
        <v>4</v>
      </c>
      <c r="K2" s="72"/>
    </row>
    <row r="3" spans="1:11" ht="15">
      <c r="A3" s="66"/>
      <c r="B3" s="66"/>
      <c r="C3" s="66"/>
      <c r="D3" s="66"/>
      <c r="E3" s="66"/>
      <c r="F3" s="66"/>
      <c r="G3" s="66"/>
      <c r="H3" s="66"/>
      <c r="I3" s="66"/>
      <c r="J3" s="279" t="str">
        <f>'PEF - 6  p1, FF1 Inputs '!K3</f>
        <v>Year Ending 12/31/2009</v>
      </c>
      <c r="K3" s="279"/>
    </row>
    <row r="4" spans="1:11" ht="1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1" ht="15">
      <c r="A5" s="280" t="s">
        <v>70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</row>
    <row r="6" spans="1:11" ht="1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</row>
    <row r="7" spans="1:11" ht="15">
      <c r="A7" s="274" t="s">
        <v>399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</row>
    <row r="8" spans="1:11" ht="15">
      <c r="A8" s="274" t="s">
        <v>400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</row>
    <row r="9" spans="1:11" ht="15">
      <c r="A9" s="66"/>
      <c r="B9" s="76"/>
      <c r="C9" s="76"/>
      <c r="D9" s="76"/>
      <c r="E9" s="76"/>
      <c r="F9" s="76"/>
      <c r="G9" s="76"/>
      <c r="H9" s="76"/>
      <c r="I9" s="76"/>
      <c r="J9" s="76"/>
      <c r="K9" s="76"/>
    </row>
    <row r="10" spans="1:11" ht="15">
      <c r="A10" s="66"/>
      <c r="B10" s="76"/>
      <c r="C10" s="77"/>
      <c r="D10" s="78"/>
      <c r="E10" s="78"/>
      <c r="F10" s="78" t="s">
        <v>2</v>
      </c>
      <c r="G10" s="78"/>
      <c r="H10" s="78" t="s">
        <v>401</v>
      </c>
      <c r="I10" s="78"/>
      <c r="J10" s="77"/>
      <c r="K10" s="76"/>
    </row>
    <row r="11" spans="1:11" ht="15">
      <c r="A11" s="66"/>
      <c r="B11" s="79" t="s">
        <v>402</v>
      </c>
      <c r="C11" s="80"/>
      <c r="D11" s="81" t="s">
        <v>75</v>
      </c>
      <c r="E11" s="78"/>
      <c r="F11" s="81" t="s">
        <v>1</v>
      </c>
      <c r="G11" s="81"/>
      <c r="H11" s="81" t="s">
        <v>1</v>
      </c>
      <c r="I11" s="81"/>
      <c r="J11" s="81" t="s">
        <v>403</v>
      </c>
      <c r="K11" s="66"/>
    </row>
    <row r="12" spans="1:11" ht="15" hidden="1">
      <c r="A12" s="66"/>
      <c r="B12" s="76" t="s">
        <v>404</v>
      </c>
      <c r="C12" s="77"/>
      <c r="D12" s="77"/>
      <c r="E12" s="77"/>
      <c r="F12" s="82"/>
      <c r="G12" s="82"/>
      <c r="H12" s="82"/>
      <c r="I12" s="82"/>
      <c r="J12" s="78"/>
      <c r="K12" s="66"/>
    </row>
    <row r="13" spans="1:11" ht="15" hidden="1">
      <c r="A13" s="66"/>
      <c r="B13" s="76"/>
      <c r="C13" s="77"/>
      <c r="D13" s="77"/>
      <c r="E13" s="77"/>
      <c r="F13" s="83"/>
      <c r="G13" s="83"/>
      <c r="H13" s="83"/>
      <c r="I13" s="83"/>
      <c r="J13" s="78"/>
      <c r="K13" s="66"/>
    </row>
    <row r="14" spans="1:11" ht="15" hidden="1">
      <c r="A14" s="66"/>
      <c r="B14" s="76"/>
      <c r="C14" s="77"/>
      <c r="D14" s="77"/>
      <c r="E14" s="77"/>
      <c r="F14" s="83"/>
      <c r="G14" s="83"/>
      <c r="H14" s="83"/>
      <c r="I14" s="83"/>
      <c r="J14" s="78"/>
      <c r="K14" s="66"/>
    </row>
    <row r="15" spans="1:11" ht="15" hidden="1">
      <c r="A15" s="66"/>
      <c r="B15" s="76"/>
      <c r="C15" s="77"/>
      <c r="D15" s="77"/>
      <c r="E15" s="77"/>
      <c r="F15" s="83"/>
      <c r="G15" s="83"/>
      <c r="H15" s="83"/>
      <c r="I15" s="83"/>
      <c r="J15" s="78"/>
      <c r="K15" s="66"/>
    </row>
    <row r="16" spans="1:11" ht="15" hidden="1">
      <c r="A16" s="66"/>
      <c r="B16" s="76"/>
      <c r="C16" s="77"/>
      <c r="D16" s="77"/>
      <c r="E16" s="77"/>
      <c r="F16" s="84"/>
      <c r="G16" s="84"/>
      <c r="H16" s="84"/>
      <c r="I16" s="84"/>
      <c r="J16" s="78"/>
      <c r="K16" s="66"/>
    </row>
    <row r="17" spans="1:11" ht="15" hidden="1">
      <c r="A17" s="66"/>
      <c r="B17" s="76"/>
      <c r="C17" s="77"/>
      <c r="D17" s="77"/>
      <c r="E17" s="77"/>
      <c r="F17" s="83"/>
      <c r="G17" s="83"/>
      <c r="H17" s="83"/>
      <c r="I17" s="83"/>
      <c r="J17" s="78"/>
      <c r="K17" s="66"/>
    </row>
    <row r="18" spans="1:11" ht="15" hidden="1">
      <c r="A18" s="66"/>
      <c r="B18" s="76" t="s">
        <v>405</v>
      </c>
      <c r="C18" s="77"/>
      <c r="D18" s="85"/>
      <c r="E18" s="85"/>
      <c r="F18" s="83"/>
      <c r="G18" s="83"/>
      <c r="H18" s="83"/>
      <c r="I18" s="83"/>
      <c r="J18" s="78"/>
      <c r="K18" s="66"/>
    </row>
    <row r="19" spans="1:11" ht="15" hidden="1">
      <c r="A19" s="66"/>
      <c r="B19" s="76"/>
      <c r="C19" s="77"/>
      <c r="D19" s="85"/>
      <c r="E19" s="85"/>
      <c r="F19" s="83"/>
      <c r="G19" s="83"/>
      <c r="H19" s="83"/>
      <c r="I19" s="83"/>
      <c r="J19" s="78"/>
      <c r="K19" s="66"/>
    </row>
    <row r="20" spans="1:11" ht="15" hidden="1">
      <c r="A20" s="66"/>
      <c r="B20" s="76"/>
      <c r="C20" s="77"/>
      <c r="D20" s="77"/>
      <c r="E20" s="77"/>
      <c r="F20" s="84"/>
      <c r="G20" s="84"/>
      <c r="H20" s="84"/>
      <c r="I20" s="84"/>
      <c r="J20" s="78"/>
      <c r="K20" s="66"/>
    </row>
    <row r="21" spans="1:11" ht="15" hidden="1">
      <c r="A21" s="66"/>
      <c r="B21" s="76"/>
      <c r="C21" s="77"/>
      <c r="D21" s="77"/>
      <c r="E21" s="77"/>
      <c r="F21" s="83"/>
      <c r="G21" s="83"/>
      <c r="H21" s="83"/>
      <c r="I21" s="83"/>
      <c r="J21" s="78"/>
      <c r="K21" s="66"/>
    </row>
    <row r="22" spans="1:11" ht="15" hidden="1">
      <c r="A22" s="66"/>
      <c r="B22" s="76" t="s">
        <v>406</v>
      </c>
      <c r="C22" s="77"/>
      <c r="D22" s="77"/>
      <c r="E22" s="77"/>
      <c r="F22" s="83"/>
      <c r="G22" s="83"/>
      <c r="H22" s="83"/>
      <c r="I22" s="83"/>
      <c r="J22" s="78"/>
      <c r="K22" s="66"/>
    </row>
    <row r="23" spans="1:11" ht="15" hidden="1">
      <c r="A23" s="66"/>
      <c r="B23" s="76"/>
      <c r="C23" s="77"/>
      <c r="D23" s="77"/>
      <c r="E23" s="77"/>
      <c r="F23" s="83"/>
      <c r="G23" s="83"/>
      <c r="H23" s="83"/>
      <c r="I23" s="83"/>
      <c r="J23" s="78"/>
      <c r="K23" s="66"/>
    </row>
    <row r="24" spans="1:11" ht="15" hidden="1">
      <c r="A24" s="66"/>
      <c r="B24" s="76"/>
      <c r="C24" s="77"/>
      <c r="D24" s="77"/>
      <c r="E24" s="77"/>
      <c r="F24" s="83"/>
      <c r="G24" s="83"/>
      <c r="H24" s="83"/>
      <c r="I24" s="83"/>
      <c r="J24" s="78"/>
      <c r="K24" s="66"/>
    </row>
    <row r="25" spans="1:11" ht="15" hidden="1">
      <c r="A25" s="66"/>
      <c r="B25" s="76"/>
      <c r="C25" s="77"/>
      <c r="D25" s="85"/>
      <c r="E25" s="85"/>
      <c r="F25" s="83"/>
      <c r="G25" s="83"/>
      <c r="H25" s="83"/>
      <c r="I25" s="83"/>
      <c r="J25" s="78"/>
      <c r="K25" s="66"/>
    </row>
    <row r="26" spans="1:11" ht="15" hidden="1">
      <c r="A26" s="66"/>
      <c r="B26" s="76"/>
      <c r="C26" s="77"/>
      <c r="D26" s="77"/>
      <c r="E26" s="77"/>
      <c r="F26" s="83"/>
      <c r="G26" s="83"/>
      <c r="H26" s="83"/>
      <c r="I26" s="83"/>
      <c r="J26" s="78"/>
      <c r="K26" s="66"/>
    </row>
    <row r="27" spans="1:11" ht="15" hidden="1">
      <c r="A27" s="66"/>
      <c r="B27" s="76"/>
      <c r="C27" s="77"/>
      <c r="D27" s="85"/>
      <c r="E27" s="85"/>
      <c r="F27" s="83"/>
      <c r="G27" s="83"/>
      <c r="H27" s="83"/>
      <c r="I27" s="83"/>
      <c r="J27" s="78"/>
      <c r="K27" s="66"/>
    </row>
    <row r="28" spans="1:11" ht="15" hidden="1">
      <c r="A28" s="66"/>
      <c r="B28" s="76"/>
      <c r="C28" s="77"/>
      <c r="D28" s="77"/>
      <c r="E28" s="77"/>
      <c r="F28" s="83"/>
      <c r="G28" s="83"/>
      <c r="H28" s="83"/>
      <c r="I28" s="83"/>
      <c r="J28" s="78"/>
      <c r="K28" s="66"/>
    </row>
    <row r="29" spans="1:11" ht="15" hidden="1">
      <c r="A29" s="66"/>
      <c r="B29" s="76"/>
      <c r="C29" s="77"/>
      <c r="D29" s="85"/>
      <c r="E29" s="85"/>
      <c r="F29" s="83"/>
      <c r="G29" s="83"/>
      <c r="H29" s="83"/>
      <c r="I29" s="83"/>
      <c r="J29" s="78"/>
      <c r="K29" s="66"/>
    </row>
    <row r="30" spans="1:11" ht="15" hidden="1">
      <c r="A30" s="66"/>
      <c r="B30" s="76"/>
      <c r="C30" s="77"/>
      <c r="D30" s="77"/>
      <c r="E30" s="77"/>
      <c r="F30" s="83"/>
      <c r="G30" s="83"/>
      <c r="H30" s="83"/>
      <c r="I30" s="83"/>
      <c r="J30" s="78"/>
      <c r="K30" s="66"/>
    </row>
    <row r="31" spans="1:11" ht="15" hidden="1">
      <c r="A31" s="66"/>
      <c r="B31" s="76"/>
      <c r="C31" s="77"/>
      <c r="D31" s="85"/>
      <c r="E31" s="85"/>
      <c r="F31" s="83"/>
      <c r="G31" s="83"/>
      <c r="H31" s="83"/>
      <c r="I31" s="83"/>
      <c r="J31" s="78"/>
      <c r="K31" s="66"/>
    </row>
    <row r="32" spans="1:11" ht="15" hidden="1">
      <c r="A32" s="66"/>
      <c r="B32" s="76"/>
      <c r="C32" s="77"/>
      <c r="D32" s="77"/>
      <c r="E32" s="77"/>
      <c r="F32" s="83"/>
      <c r="G32" s="83"/>
      <c r="H32" s="83"/>
      <c r="I32" s="83"/>
      <c r="J32" s="78"/>
      <c r="K32" s="66"/>
    </row>
    <row r="33" spans="1:11" ht="15" hidden="1">
      <c r="A33" s="66"/>
      <c r="B33" s="76"/>
      <c r="C33" s="77"/>
      <c r="D33" s="85"/>
      <c r="E33" s="85"/>
      <c r="F33" s="83"/>
      <c r="G33" s="83"/>
      <c r="H33" s="83"/>
      <c r="I33" s="83"/>
      <c r="J33" s="78"/>
      <c r="K33" s="66"/>
    </row>
    <row r="34" spans="1:11" ht="15" hidden="1">
      <c r="A34" s="66"/>
      <c r="B34" s="76"/>
      <c r="C34" s="77"/>
      <c r="D34" s="77"/>
      <c r="E34" s="77"/>
      <c r="F34" s="83"/>
      <c r="G34" s="83"/>
      <c r="H34" s="83"/>
      <c r="I34" s="83"/>
      <c r="J34" s="78"/>
      <c r="K34" s="66"/>
    </row>
    <row r="35" spans="1:11" ht="15" hidden="1">
      <c r="A35" s="66"/>
      <c r="B35" s="76"/>
      <c r="C35" s="77"/>
      <c r="D35" s="77"/>
      <c r="E35" s="77"/>
      <c r="F35" s="83"/>
      <c r="G35" s="83"/>
      <c r="H35" s="83"/>
      <c r="I35" s="83"/>
      <c r="J35" s="78"/>
      <c r="K35" s="66"/>
    </row>
    <row r="36" spans="1:11" ht="15" hidden="1">
      <c r="A36" s="66"/>
      <c r="B36" s="76"/>
      <c r="C36" s="77"/>
      <c r="D36" s="85"/>
      <c r="E36" s="85"/>
      <c r="F36" s="83"/>
      <c r="G36" s="83"/>
      <c r="H36" s="83"/>
      <c r="I36" s="83"/>
      <c r="J36" s="78"/>
      <c r="K36" s="66"/>
    </row>
    <row r="37" spans="1:11" ht="15" hidden="1">
      <c r="A37" s="66"/>
      <c r="B37" s="76"/>
      <c r="C37" s="77"/>
      <c r="D37" s="85"/>
      <c r="E37" s="85"/>
      <c r="F37" s="83"/>
      <c r="G37" s="83"/>
      <c r="H37" s="83"/>
      <c r="I37" s="83"/>
      <c r="J37" s="78"/>
      <c r="K37" s="66"/>
    </row>
    <row r="38" spans="1:11" ht="15" hidden="1">
      <c r="A38" s="66"/>
      <c r="B38" s="76"/>
      <c r="C38" s="77"/>
      <c r="D38" s="77"/>
      <c r="E38" s="77"/>
      <c r="F38" s="84"/>
      <c r="G38" s="84"/>
      <c r="H38" s="84"/>
      <c r="I38" s="84"/>
      <c r="J38" s="78"/>
      <c r="K38" s="66"/>
    </row>
    <row r="39" spans="1:11" ht="15" hidden="1">
      <c r="A39" s="66"/>
      <c r="B39" s="76"/>
      <c r="C39" s="77"/>
      <c r="D39" s="77"/>
      <c r="E39" s="77"/>
      <c r="F39" s="83"/>
      <c r="G39" s="83"/>
      <c r="H39" s="83"/>
      <c r="I39" s="83"/>
      <c r="J39" s="78"/>
      <c r="K39" s="66"/>
    </row>
    <row r="40" spans="1:11" ht="15" hidden="1">
      <c r="A40" s="66"/>
      <c r="B40" s="76" t="s">
        <v>407</v>
      </c>
      <c r="C40" s="77"/>
      <c r="D40" s="85"/>
      <c r="E40" s="85"/>
      <c r="F40" s="83"/>
      <c r="G40" s="83"/>
      <c r="H40" s="83"/>
      <c r="I40" s="83"/>
      <c r="J40" s="78"/>
      <c r="K40" s="66"/>
    </row>
    <row r="41" spans="1:11" ht="15" hidden="1">
      <c r="A41" s="66"/>
      <c r="B41" s="76"/>
      <c r="C41" s="77"/>
      <c r="D41" s="77"/>
      <c r="E41" s="77"/>
      <c r="F41" s="83"/>
      <c r="G41" s="83"/>
      <c r="H41" s="83"/>
      <c r="I41" s="83"/>
      <c r="J41" s="78"/>
      <c r="K41" s="66"/>
    </row>
    <row r="42" spans="1:11" ht="15" hidden="1">
      <c r="A42" s="66"/>
      <c r="B42" s="76"/>
      <c r="C42" s="77"/>
      <c r="D42" s="85"/>
      <c r="E42" s="85"/>
      <c r="F42" s="83"/>
      <c r="G42" s="83"/>
      <c r="H42" s="83"/>
      <c r="I42" s="83"/>
      <c r="J42" s="78"/>
      <c r="K42" s="66"/>
    </row>
    <row r="43" spans="1:11" ht="15" hidden="1">
      <c r="A43" s="66"/>
      <c r="B43" s="76"/>
      <c r="C43" s="77"/>
      <c r="D43" s="77"/>
      <c r="E43" s="77"/>
      <c r="F43" s="83"/>
      <c r="G43" s="83"/>
      <c r="H43" s="83"/>
      <c r="I43" s="83"/>
      <c r="J43" s="78"/>
      <c r="K43" s="66"/>
    </row>
    <row r="44" spans="1:11" ht="15" hidden="1">
      <c r="A44" s="66"/>
      <c r="B44" s="76"/>
      <c r="C44" s="77"/>
      <c r="D44" s="86"/>
      <c r="E44" s="86"/>
      <c r="F44" s="83"/>
      <c r="G44" s="83"/>
      <c r="H44" s="83"/>
      <c r="I44" s="83"/>
      <c r="J44" s="78"/>
      <c r="K44" s="66"/>
    </row>
    <row r="45" spans="1:11" ht="15" hidden="1">
      <c r="A45" s="66"/>
      <c r="B45" s="76"/>
      <c r="C45" s="77"/>
      <c r="D45" s="77"/>
      <c r="E45" s="77"/>
      <c r="F45" s="84"/>
      <c r="G45" s="84"/>
      <c r="H45" s="84"/>
      <c r="I45" s="84"/>
      <c r="J45" s="78"/>
      <c r="K45" s="66"/>
    </row>
    <row r="46" spans="1:11" ht="15" hidden="1">
      <c r="A46" s="66"/>
      <c r="B46" s="76"/>
      <c r="C46" s="77"/>
      <c r="D46" s="77"/>
      <c r="E46" s="77"/>
      <c r="F46" s="83"/>
      <c r="G46" s="83"/>
      <c r="H46" s="83"/>
      <c r="I46" s="83"/>
      <c r="J46" s="78"/>
      <c r="K46" s="66"/>
    </row>
    <row r="47" spans="1:11" ht="15" hidden="1">
      <c r="A47" s="66"/>
      <c r="B47" s="76" t="s">
        <v>408</v>
      </c>
      <c r="C47" s="77"/>
      <c r="D47" s="85"/>
      <c r="E47" s="85"/>
      <c r="F47" s="83"/>
      <c r="G47" s="83"/>
      <c r="H47" s="83"/>
      <c r="I47" s="83"/>
      <c r="J47" s="78"/>
      <c r="K47" s="66"/>
    </row>
    <row r="48" spans="1:11" ht="15" hidden="1">
      <c r="A48" s="66"/>
      <c r="B48" s="76"/>
      <c r="C48" s="77"/>
      <c r="D48" s="85"/>
      <c r="E48" s="85"/>
      <c r="F48" s="83"/>
      <c r="G48" s="83"/>
      <c r="H48" s="83"/>
      <c r="I48" s="83"/>
      <c r="J48" s="78"/>
      <c r="K48" s="66"/>
    </row>
    <row r="49" spans="1:11" ht="15" hidden="1">
      <c r="A49" s="66"/>
      <c r="B49" s="76"/>
      <c r="C49" s="77"/>
      <c r="D49" s="85"/>
      <c r="E49" s="85"/>
      <c r="F49" s="83"/>
      <c r="G49" s="83"/>
      <c r="H49" s="83"/>
      <c r="I49" s="83"/>
      <c r="J49" s="78"/>
      <c r="K49" s="66"/>
    </row>
    <row r="50" spans="1:11" ht="15" hidden="1">
      <c r="A50" s="66"/>
      <c r="B50" s="76"/>
      <c r="C50" s="77"/>
      <c r="D50" s="77"/>
      <c r="E50" s="77"/>
      <c r="F50" s="84"/>
      <c r="G50" s="84"/>
      <c r="H50" s="84"/>
      <c r="I50" s="84"/>
      <c r="J50" s="78"/>
      <c r="K50" s="66"/>
    </row>
    <row r="51" spans="1:11" ht="15" hidden="1">
      <c r="A51" s="66"/>
      <c r="B51" s="76"/>
      <c r="C51" s="77"/>
      <c r="D51" s="77"/>
      <c r="E51" s="77"/>
      <c r="F51" s="83"/>
      <c r="G51" s="83"/>
      <c r="H51" s="83"/>
      <c r="I51" s="83"/>
      <c r="J51" s="78"/>
      <c r="K51" s="66"/>
    </row>
    <row r="52" spans="1:11" ht="15" hidden="1">
      <c r="A52" s="66"/>
      <c r="B52" s="76"/>
      <c r="C52" s="77"/>
      <c r="D52" s="77"/>
      <c r="E52" s="77"/>
      <c r="F52" s="83"/>
      <c r="G52" s="83"/>
      <c r="H52" s="83"/>
      <c r="I52" s="83"/>
      <c r="J52" s="78"/>
      <c r="K52" s="66"/>
    </row>
    <row r="53" spans="1:11" ht="15" hidden="1">
      <c r="A53" s="66"/>
      <c r="B53" s="76" t="s">
        <v>409</v>
      </c>
      <c r="C53" s="77"/>
      <c r="D53" s="77"/>
      <c r="E53" s="77"/>
      <c r="F53" s="83"/>
      <c r="G53" s="83"/>
      <c r="H53" s="83"/>
      <c r="I53" s="83"/>
      <c r="J53" s="78"/>
      <c r="K53" s="66"/>
    </row>
    <row r="54" spans="1:11" ht="15" hidden="1">
      <c r="A54" s="66"/>
      <c r="B54" s="76"/>
      <c r="C54" s="77"/>
      <c r="D54" s="77"/>
      <c r="E54" s="77"/>
      <c r="F54" s="84"/>
      <c r="G54" s="84"/>
      <c r="H54" s="84"/>
      <c r="I54" s="84"/>
      <c r="J54" s="78"/>
      <c r="K54" s="66"/>
    </row>
    <row r="55" spans="1:11" ht="15" hidden="1">
      <c r="A55" s="66"/>
      <c r="B55" s="76"/>
      <c r="C55" s="77"/>
      <c r="D55" s="77"/>
      <c r="E55" s="77"/>
      <c r="F55" s="83"/>
      <c r="G55" s="83"/>
      <c r="H55" s="83"/>
      <c r="I55" s="83"/>
      <c r="J55" s="78"/>
      <c r="K55" s="66"/>
    </row>
    <row r="56" spans="1:11" ht="15" hidden="1">
      <c r="A56" s="66"/>
      <c r="B56" s="76" t="s">
        <v>410</v>
      </c>
      <c r="C56" s="77"/>
      <c r="D56" s="85"/>
      <c r="E56" s="85"/>
      <c r="F56" s="83"/>
      <c r="G56" s="83"/>
      <c r="H56" s="83"/>
      <c r="I56" s="83"/>
      <c r="J56" s="78"/>
      <c r="K56" s="66"/>
    </row>
    <row r="57" spans="1:11" ht="15" hidden="1">
      <c r="A57" s="66"/>
      <c r="B57" s="76"/>
      <c r="C57" s="77"/>
      <c r="D57" s="77"/>
      <c r="E57" s="77"/>
      <c r="F57" s="83"/>
      <c r="G57" s="83"/>
      <c r="H57" s="83"/>
      <c r="I57" s="83"/>
      <c r="J57" s="78"/>
      <c r="K57" s="66"/>
    </row>
    <row r="58" spans="1:11" ht="15" hidden="1">
      <c r="A58" s="66"/>
      <c r="B58" s="76"/>
      <c r="C58" s="77"/>
      <c r="D58" s="85"/>
      <c r="E58" s="85"/>
      <c r="F58" s="83"/>
      <c r="G58" s="83"/>
      <c r="H58" s="83"/>
      <c r="I58" s="83"/>
      <c r="J58" s="78"/>
      <c r="K58" s="66"/>
    </row>
    <row r="59" spans="1:11" ht="15" hidden="1">
      <c r="A59" s="66"/>
      <c r="B59" s="76"/>
      <c r="C59" s="77"/>
      <c r="D59" s="85"/>
      <c r="E59" s="85"/>
      <c r="F59" s="83"/>
      <c r="G59" s="83"/>
      <c r="H59" s="83"/>
      <c r="I59" s="83"/>
      <c r="J59" s="78"/>
      <c r="K59" s="66"/>
    </row>
    <row r="60" spans="1:11" ht="15" hidden="1">
      <c r="A60" s="66"/>
      <c r="B60" s="76"/>
      <c r="C60" s="77"/>
      <c r="D60" s="85"/>
      <c r="E60" s="85"/>
      <c r="F60" s="83"/>
      <c r="G60" s="83"/>
      <c r="H60" s="83"/>
      <c r="I60" s="83"/>
      <c r="J60" s="78"/>
      <c r="K60" s="66"/>
    </row>
    <row r="61" spans="1:11" ht="15" hidden="1">
      <c r="A61" s="66"/>
      <c r="B61" s="76"/>
      <c r="C61" s="77"/>
      <c r="D61" s="85"/>
      <c r="E61" s="85"/>
      <c r="F61" s="83"/>
      <c r="G61" s="83"/>
      <c r="H61" s="83"/>
      <c r="I61" s="83"/>
      <c r="J61" s="78"/>
      <c r="K61" s="66"/>
    </row>
    <row r="62" spans="1:11" ht="15" hidden="1">
      <c r="A62" s="66"/>
      <c r="B62" s="76"/>
      <c r="C62" s="77"/>
      <c r="D62" s="85"/>
      <c r="E62" s="85"/>
      <c r="F62" s="83"/>
      <c r="G62" s="83"/>
      <c r="H62" s="83"/>
      <c r="I62" s="83"/>
      <c r="J62" s="78"/>
      <c r="K62" s="66"/>
    </row>
    <row r="63" spans="1:11" ht="15" hidden="1">
      <c r="A63" s="66"/>
      <c r="B63" s="76"/>
      <c r="C63" s="77"/>
      <c r="D63" s="85"/>
      <c r="E63" s="85"/>
      <c r="F63" s="83"/>
      <c r="G63" s="83"/>
      <c r="H63" s="83"/>
      <c r="I63" s="83"/>
      <c r="J63" s="78"/>
      <c r="K63" s="66"/>
    </row>
    <row r="64" spans="1:11" ht="15" hidden="1">
      <c r="A64" s="66"/>
      <c r="B64" s="76"/>
      <c r="C64" s="77"/>
      <c r="D64" s="87"/>
      <c r="E64" s="85"/>
      <c r="F64" s="83"/>
      <c r="G64" s="83"/>
      <c r="H64" s="83"/>
      <c r="I64" s="83"/>
      <c r="J64" s="78"/>
      <c r="K64" s="66"/>
    </row>
    <row r="65" spans="1:11" ht="15" hidden="1">
      <c r="A65" s="66"/>
      <c r="B65" s="76"/>
      <c r="C65" s="77"/>
      <c r="D65" s="77"/>
      <c r="E65" s="77"/>
      <c r="F65" s="84"/>
      <c r="G65" s="84"/>
      <c r="H65" s="84"/>
      <c r="I65" s="84"/>
      <c r="J65" s="78"/>
      <c r="K65" s="66"/>
    </row>
    <row r="66" spans="1:11" ht="15" hidden="1">
      <c r="A66" s="66"/>
      <c r="B66" s="76"/>
      <c r="C66" s="77"/>
      <c r="D66" s="77"/>
      <c r="E66" s="77"/>
      <c r="F66" s="83"/>
      <c r="G66" s="83"/>
      <c r="H66" s="83"/>
      <c r="I66" s="83"/>
      <c r="J66" s="78"/>
      <c r="K66" s="66"/>
    </row>
    <row r="67" spans="1:11" ht="15" hidden="1">
      <c r="A67" s="66"/>
      <c r="B67" s="76" t="s">
        <v>411</v>
      </c>
      <c r="C67" s="77"/>
      <c r="D67" s="85"/>
      <c r="E67" s="85"/>
      <c r="F67" s="83"/>
      <c r="G67" s="83"/>
      <c r="H67" s="83"/>
      <c r="I67" s="83"/>
      <c r="J67" s="78"/>
      <c r="K67" s="66"/>
    </row>
    <row r="68" spans="1:11" ht="15" hidden="1">
      <c r="A68" s="66"/>
      <c r="B68" s="76"/>
      <c r="C68" s="77"/>
      <c r="D68" s="77"/>
      <c r="E68" s="77"/>
      <c r="F68" s="84"/>
      <c r="G68" s="84"/>
      <c r="H68" s="84"/>
      <c r="I68" s="84"/>
      <c r="J68" s="78"/>
      <c r="K68" s="66"/>
    </row>
    <row r="69" spans="1:11" ht="15" hidden="1">
      <c r="A69" s="66"/>
      <c r="B69" s="76"/>
      <c r="C69" s="77"/>
      <c r="D69" s="77"/>
      <c r="E69" s="77"/>
      <c r="F69" s="83"/>
      <c r="G69" s="83"/>
      <c r="H69" s="83"/>
      <c r="I69" s="83"/>
      <c r="J69" s="78"/>
      <c r="K69" s="66"/>
    </row>
    <row r="70" spans="1:11" ht="15" hidden="1">
      <c r="A70" s="66"/>
      <c r="B70" s="76" t="s">
        <v>412</v>
      </c>
      <c r="C70" s="77"/>
      <c r="D70" s="77"/>
      <c r="E70" s="77"/>
      <c r="F70" s="83"/>
      <c r="G70" s="83"/>
      <c r="H70" s="83"/>
      <c r="I70" s="83"/>
      <c r="J70" s="78"/>
      <c r="K70" s="66"/>
    </row>
    <row r="71" spans="1:11" ht="15" hidden="1">
      <c r="A71" s="66"/>
      <c r="B71" s="76"/>
      <c r="C71" s="77"/>
      <c r="D71" s="77"/>
      <c r="E71" s="77"/>
      <c r="F71" s="83"/>
      <c r="G71" s="83"/>
      <c r="H71" s="83"/>
      <c r="I71" s="83"/>
      <c r="J71" s="78"/>
      <c r="K71" s="66"/>
    </row>
    <row r="72" spans="1:11" ht="15" hidden="1">
      <c r="A72" s="66"/>
      <c r="B72" s="76"/>
      <c r="C72" s="77"/>
      <c r="D72" s="77"/>
      <c r="E72" s="77"/>
      <c r="F72" s="83"/>
      <c r="G72" s="83"/>
      <c r="H72" s="83"/>
      <c r="I72" s="83"/>
      <c r="J72" s="78"/>
      <c r="K72" s="66"/>
    </row>
    <row r="73" spans="1:11" ht="15" hidden="1">
      <c r="A73" s="66"/>
      <c r="B73" s="76"/>
      <c r="C73" s="77"/>
      <c r="D73" s="77"/>
      <c r="E73" s="77"/>
      <c r="F73" s="83"/>
      <c r="G73" s="83"/>
      <c r="H73" s="83"/>
      <c r="I73" s="83"/>
      <c r="J73" s="78"/>
      <c r="K73" s="66"/>
    </row>
    <row r="74" spans="1:11" ht="15">
      <c r="A74" s="66"/>
      <c r="B74" s="76"/>
      <c r="C74" s="77"/>
      <c r="D74" s="85"/>
      <c r="E74" s="85"/>
      <c r="F74" s="88"/>
      <c r="G74" s="88"/>
      <c r="H74" s="88"/>
      <c r="I74" s="83"/>
      <c r="J74" s="78"/>
      <c r="K74" s="66"/>
    </row>
    <row r="75" spans="1:11" ht="15">
      <c r="A75" s="66"/>
      <c r="B75" s="225" t="s">
        <v>413</v>
      </c>
      <c r="C75" s="226"/>
      <c r="D75" s="227" t="s">
        <v>414</v>
      </c>
      <c r="E75" s="228"/>
      <c r="F75" s="229">
        <v>445684</v>
      </c>
      <c r="G75" s="230"/>
      <c r="H75" s="229">
        <v>445684</v>
      </c>
      <c r="I75" s="230"/>
      <c r="J75" s="229">
        <f>(F75+H75)/2</f>
        <v>445684</v>
      </c>
      <c r="K75" s="66"/>
    </row>
    <row r="76" spans="1:11" ht="15">
      <c r="A76" s="66"/>
      <c r="B76" s="225"/>
      <c r="C76" s="226"/>
      <c r="D76" s="228"/>
      <c r="E76" s="228"/>
      <c r="F76" s="230"/>
      <c r="G76" s="230"/>
      <c r="H76" s="230"/>
      <c r="I76" s="230"/>
      <c r="J76" s="230"/>
      <c r="K76" s="66"/>
    </row>
    <row r="77" spans="1:11" ht="15">
      <c r="A77" s="66"/>
      <c r="B77" s="225" t="s">
        <v>415</v>
      </c>
      <c r="C77" s="226"/>
      <c r="D77" s="227" t="s">
        <v>414</v>
      </c>
      <c r="E77" s="228"/>
      <c r="F77" s="229">
        <v>1094758</v>
      </c>
      <c r="G77" s="230"/>
      <c r="H77" s="229">
        <v>1094758</v>
      </c>
      <c r="I77" s="230"/>
      <c r="J77" s="229">
        <f>(F77+H77)/2</f>
        <v>1094758</v>
      </c>
      <c r="K77" s="66"/>
    </row>
    <row r="78" spans="1:11" ht="15">
      <c r="A78" s="66"/>
      <c r="B78" s="225"/>
      <c r="C78" s="226"/>
      <c r="D78" s="228"/>
      <c r="E78" s="228"/>
      <c r="F78" s="230"/>
      <c r="G78" s="230"/>
      <c r="H78" s="230"/>
      <c r="I78" s="230"/>
      <c r="J78" s="230"/>
      <c r="K78" s="66"/>
    </row>
    <row r="79" spans="1:11" ht="15">
      <c r="A79" s="66"/>
      <c r="B79" s="225" t="s">
        <v>416</v>
      </c>
      <c r="C79" s="226"/>
      <c r="D79" s="227" t="s">
        <v>414</v>
      </c>
      <c r="E79" s="226"/>
      <c r="F79" s="229">
        <v>1094758</v>
      </c>
      <c r="G79" s="230"/>
      <c r="H79" s="229">
        <v>1094758</v>
      </c>
      <c r="I79" s="230"/>
      <c r="J79" s="229">
        <f>(F79+H79)/2</f>
        <v>1094758</v>
      </c>
      <c r="K79" s="66"/>
    </row>
    <row r="80" spans="1:11" ht="15">
      <c r="A80" s="66"/>
      <c r="B80" s="225"/>
      <c r="C80" s="226"/>
      <c r="D80" s="228"/>
      <c r="E80" s="228"/>
      <c r="F80" s="230"/>
      <c r="G80" s="230"/>
      <c r="H80" s="230"/>
      <c r="I80" s="230"/>
      <c r="J80" s="230"/>
      <c r="K80" s="66"/>
    </row>
    <row r="81" spans="1:13" ht="15">
      <c r="A81" s="66"/>
      <c r="B81" s="225" t="s">
        <v>417</v>
      </c>
      <c r="C81" s="226"/>
      <c r="D81" s="227" t="s">
        <v>414</v>
      </c>
      <c r="E81" s="226"/>
      <c r="F81" s="229">
        <v>1094758</v>
      </c>
      <c r="G81" s="230"/>
      <c r="H81" s="229">
        <v>1094758</v>
      </c>
      <c r="I81" s="230"/>
      <c r="J81" s="229">
        <f>(F81+H81)/2</f>
        <v>1094758</v>
      </c>
      <c r="K81" s="66"/>
      <c r="L81" s="155"/>
      <c r="M81" s="156"/>
    </row>
    <row r="82" spans="1:13" ht="15">
      <c r="A82" s="66"/>
      <c r="B82" s="225"/>
      <c r="C82" s="226"/>
      <c r="D82" s="227"/>
      <c r="E82" s="226"/>
      <c r="F82" s="229"/>
      <c r="G82" s="230"/>
      <c r="H82" s="229"/>
      <c r="I82" s="230"/>
      <c r="J82" s="229"/>
      <c r="K82" s="66"/>
    </row>
    <row r="83" spans="1:13" ht="15">
      <c r="A83" s="66"/>
      <c r="B83" s="225" t="s">
        <v>829</v>
      </c>
      <c r="C83" s="226"/>
      <c r="D83" s="227"/>
      <c r="E83" s="226"/>
      <c r="F83" s="229">
        <v>0</v>
      </c>
      <c r="G83" s="230"/>
      <c r="H83" s="229">
        <v>3836955</v>
      </c>
      <c r="I83" s="230"/>
      <c r="J83" s="229">
        <f>(F83+H83)/2</f>
        <v>1918477.5</v>
      </c>
      <c r="K83" s="66"/>
    </row>
    <row r="84" spans="1:13" ht="15">
      <c r="A84" s="66"/>
      <c r="B84" s="76"/>
      <c r="C84" s="77"/>
      <c r="D84" s="77"/>
      <c r="E84" s="77"/>
      <c r="F84" s="83"/>
      <c r="G84" s="83"/>
      <c r="H84" s="83"/>
      <c r="I84" s="83"/>
      <c r="J84" s="78"/>
      <c r="K84" s="66"/>
    </row>
    <row r="85" spans="1:13" ht="15">
      <c r="A85" s="66"/>
      <c r="B85" s="68" t="s">
        <v>418</v>
      </c>
      <c r="C85" s="90"/>
      <c r="D85" s="90"/>
      <c r="E85" s="90"/>
      <c r="F85" s="89">
        <f>SUM(F75:F84)</f>
        <v>3729958</v>
      </c>
      <c r="G85" s="89"/>
      <c r="H85" s="89">
        <f>SUM(H75:H84)</f>
        <v>7566913</v>
      </c>
      <c r="I85" s="89"/>
      <c r="J85" s="229">
        <f>(F85+H85)/2</f>
        <v>5648435.5</v>
      </c>
      <c r="K85" s="66"/>
    </row>
    <row r="86" spans="1:13">
      <c r="C86" s="75"/>
      <c r="D86" s="75"/>
      <c r="E86" s="75"/>
      <c r="F86" s="75"/>
      <c r="G86" s="75"/>
      <c r="H86" s="75"/>
      <c r="I86" s="75"/>
      <c r="J86" s="75"/>
    </row>
    <row r="87" spans="1:13">
      <c r="C87" s="75"/>
      <c r="D87" s="75"/>
      <c r="E87" s="75"/>
      <c r="F87" s="75"/>
      <c r="G87" s="75"/>
      <c r="H87" s="75"/>
      <c r="I87" s="75"/>
      <c r="J87" s="75"/>
    </row>
    <row r="88" spans="1:13">
      <c r="C88" s="75"/>
      <c r="D88" s="75"/>
      <c r="E88" s="75"/>
      <c r="F88" s="75"/>
      <c r="G88" s="75"/>
      <c r="H88" s="75"/>
      <c r="I88" s="75"/>
      <c r="J88" s="75"/>
    </row>
    <row r="89" spans="1:13">
      <c r="C89" s="75"/>
      <c r="D89" s="75"/>
      <c r="E89" s="75"/>
      <c r="F89" s="75"/>
      <c r="G89" s="75"/>
      <c r="H89" s="75"/>
      <c r="I89" s="75"/>
      <c r="J89" s="75"/>
    </row>
    <row r="90" spans="1:13">
      <c r="C90" s="75"/>
      <c r="D90" s="75"/>
      <c r="E90" s="75"/>
      <c r="F90" s="75"/>
      <c r="G90" s="75"/>
      <c r="H90" s="75"/>
      <c r="I90" s="75"/>
      <c r="J90" s="75"/>
    </row>
  </sheetData>
  <mergeCells count="5">
    <mergeCell ref="J1:K1"/>
    <mergeCell ref="J3:K3"/>
    <mergeCell ref="A5:K5"/>
    <mergeCell ref="A7:K7"/>
    <mergeCell ref="A8:K8"/>
  </mergeCells>
  <printOptions horizontalCentered="1"/>
  <pageMargins left="0.5" right="0.5" top="0.75" bottom="0.5" header="0.5" footer="0.5"/>
  <pageSetup scale="81" orientation="portrait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workbookViewId="0">
      <selection activeCell="B32" sqref="B32"/>
    </sheetView>
  </sheetViews>
  <sheetFormatPr defaultRowHeight="12.75"/>
  <cols>
    <col min="1" max="1" width="9.7109375" customWidth="1"/>
    <col min="2" max="2" width="44.7109375" customWidth="1"/>
    <col min="3" max="3" width="5.7109375" customWidth="1"/>
    <col min="4" max="4" width="20.7109375" customWidth="1"/>
    <col min="5" max="5" width="5.7109375" customWidth="1"/>
    <col min="8" max="8" width="5.7109375" customWidth="1"/>
    <col min="9" max="9" width="15.140625" customWidth="1"/>
    <col min="10" max="10" width="10.5703125" customWidth="1"/>
  </cols>
  <sheetData>
    <row r="1" spans="1:10" ht="15.75">
      <c r="A1" s="7"/>
      <c r="B1" s="7"/>
      <c r="C1" s="7"/>
      <c r="D1" s="7"/>
      <c r="E1" s="7"/>
      <c r="F1" s="7"/>
      <c r="G1" s="7"/>
      <c r="H1" s="7"/>
      <c r="I1" s="258" t="s">
        <v>153</v>
      </c>
      <c r="J1" s="258"/>
    </row>
    <row r="2" spans="1:10" ht="15.75">
      <c r="A2" s="7"/>
      <c r="B2" s="7"/>
      <c r="C2" s="7"/>
      <c r="D2" s="7"/>
      <c r="E2" s="7"/>
      <c r="F2" s="7"/>
      <c r="G2" s="7"/>
      <c r="H2" s="7"/>
      <c r="I2" s="49" t="s">
        <v>154</v>
      </c>
      <c r="J2" s="49"/>
    </row>
    <row r="3" spans="1:10" ht="15">
      <c r="A3" s="7"/>
      <c r="B3" s="44"/>
      <c r="C3" s="44"/>
      <c r="D3" s="7"/>
      <c r="E3" s="7"/>
      <c r="F3" s="7"/>
      <c r="G3" s="7"/>
      <c r="H3" s="7"/>
      <c r="I3" s="273" t="str">
        <f>'PEF - 6  p1, FF1 Inputs '!K3</f>
        <v>Year Ending 12/31/2009</v>
      </c>
      <c r="J3" s="273"/>
    </row>
    <row r="4" spans="1:10" ht="15">
      <c r="A4" s="7"/>
      <c r="B4" s="44"/>
      <c r="C4" s="44"/>
      <c r="D4" s="7"/>
      <c r="E4" s="7"/>
      <c r="F4" s="7"/>
      <c r="G4" s="7"/>
      <c r="H4" s="7"/>
      <c r="I4" s="36"/>
      <c r="J4" s="36"/>
    </row>
    <row r="5" spans="1:10" ht="15">
      <c r="A5" s="285" t="s">
        <v>70</v>
      </c>
      <c r="B5" s="286"/>
      <c r="C5" s="286"/>
      <c r="D5" s="286"/>
      <c r="E5" s="286"/>
      <c r="F5" s="286"/>
      <c r="G5" s="286"/>
      <c r="H5" s="286"/>
      <c r="I5" s="286"/>
      <c r="J5" s="36"/>
    </row>
    <row r="6" spans="1:10" ht="15">
      <c r="A6" s="285" t="s">
        <v>155</v>
      </c>
      <c r="B6" s="286"/>
      <c r="C6" s="286"/>
      <c r="D6" s="286"/>
      <c r="E6" s="286"/>
      <c r="F6" s="286"/>
      <c r="G6" s="286"/>
      <c r="H6" s="286"/>
      <c r="I6" s="286"/>
      <c r="J6" s="36"/>
    </row>
    <row r="7" spans="1:10" ht="15">
      <c r="A7" s="7"/>
      <c r="B7" s="44"/>
      <c r="C7" s="44"/>
      <c r="D7" s="7"/>
      <c r="E7" s="7"/>
      <c r="F7" s="7"/>
      <c r="G7" s="7"/>
      <c r="H7" s="7"/>
      <c r="I7" s="36"/>
      <c r="J7" s="36"/>
    </row>
    <row r="8" spans="1:10" ht="15">
      <c r="A8" s="46"/>
      <c r="B8" s="46"/>
      <c r="C8" s="46"/>
      <c r="D8" s="46"/>
      <c r="E8" s="7"/>
      <c r="F8" s="7"/>
      <c r="G8" s="7"/>
      <c r="H8" s="7"/>
      <c r="I8" s="7"/>
      <c r="J8" s="7"/>
    </row>
    <row r="9" spans="1:10" ht="15">
      <c r="A9" s="46"/>
      <c r="B9" s="46"/>
      <c r="C9" s="46"/>
      <c r="D9" s="47" t="s">
        <v>156</v>
      </c>
      <c r="E9" s="7"/>
      <c r="F9" s="48" t="s">
        <v>157</v>
      </c>
      <c r="G9" s="48" t="s">
        <v>158</v>
      </c>
      <c r="H9" s="48"/>
      <c r="I9" s="48" t="s">
        <v>159</v>
      </c>
      <c r="J9" s="7"/>
    </row>
    <row r="10" spans="1:10" ht="15">
      <c r="A10" s="46" t="s">
        <v>160</v>
      </c>
      <c r="B10" s="46" t="s">
        <v>75</v>
      </c>
      <c r="C10" s="47"/>
      <c r="D10" s="217" t="s">
        <v>232</v>
      </c>
      <c r="E10" s="7"/>
      <c r="F10" s="7"/>
      <c r="G10" s="7"/>
      <c r="H10" s="7"/>
      <c r="I10" s="7"/>
      <c r="J10" s="7"/>
    </row>
    <row r="12" spans="1:10" ht="15">
      <c r="A12" s="50">
        <v>190</v>
      </c>
      <c r="B12" s="7" t="s">
        <v>161</v>
      </c>
      <c r="C12" s="7"/>
      <c r="D12" s="7">
        <v>4191000</v>
      </c>
      <c r="E12" s="7"/>
      <c r="F12" s="7" t="s">
        <v>162</v>
      </c>
      <c r="G12" s="153">
        <f t="shared" ref="G12:G43" si="0">VLOOKUP(F12,Alloc_Factors,2,FALSE)</f>
        <v>0</v>
      </c>
      <c r="I12" s="7">
        <f>D12*G12</f>
        <v>0</v>
      </c>
    </row>
    <row r="13" spans="1:10" ht="15">
      <c r="A13" s="50">
        <v>190</v>
      </c>
      <c r="B13" s="7" t="s">
        <v>163</v>
      </c>
      <c r="C13" s="7"/>
      <c r="D13" s="7">
        <v>418000</v>
      </c>
      <c r="E13" s="7"/>
      <c r="F13" s="7" t="s">
        <v>164</v>
      </c>
      <c r="G13" s="153">
        <f t="shared" si="0"/>
        <v>0.16569592839496061</v>
      </c>
      <c r="I13" s="7">
        <f t="shared" ref="I13:I59" si="1">D13*G13</f>
        <v>69260.898069093542</v>
      </c>
    </row>
    <row r="14" spans="1:10" ht="15">
      <c r="A14" s="50">
        <v>190</v>
      </c>
      <c r="B14" s="7" t="s">
        <v>165</v>
      </c>
      <c r="C14" s="7"/>
      <c r="D14" s="7">
        <v>4719000</v>
      </c>
      <c r="E14" s="7"/>
      <c r="F14" s="7" t="s">
        <v>166</v>
      </c>
      <c r="G14" s="153">
        <f t="shared" si="0"/>
        <v>0</v>
      </c>
      <c r="I14" s="7">
        <f t="shared" si="1"/>
        <v>0</v>
      </c>
    </row>
    <row r="15" spans="1:10" ht="15">
      <c r="A15" s="50">
        <v>190</v>
      </c>
      <c r="B15" s="7" t="s">
        <v>167</v>
      </c>
      <c r="C15" s="7"/>
      <c r="D15" s="7">
        <v>652000</v>
      </c>
      <c r="E15" s="7"/>
      <c r="F15" s="7" t="s">
        <v>168</v>
      </c>
      <c r="G15" s="153">
        <f t="shared" si="0"/>
        <v>7.05738175871157E-2</v>
      </c>
      <c r="I15" s="7">
        <f t="shared" si="1"/>
        <v>46014.12906679944</v>
      </c>
    </row>
    <row r="16" spans="1:10" ht="15">
      <c r="A16" s="50">
        <v>190</v>
      </c>
      <c r="B16" s="7" t="s">
        <v>169</v>
      </c>
      <c r="C16" s="7"/>
      <c r="D16" s="7">
        <v>273000</v>
      </c>
      <c r="E16" s="7"/>
      <c r="F16" s="7" t="s">
        <v>164</v>
      </c>
      <c r="G16" s="153">
        <f t="shared" si="0"/>
        <v>0.16569592839496061</v>
      </c>
      <c r="I16" s="7">
        <f t="shared" si="1"/>
        <v>45234.988451824247</v>
      </c>
    </row>
    <row r="17" spans="1:9" ht="15">
      <c r="A17" s="50">
        <v>190</v>
      </c>
      <c r="B17" s="7" t="s">
        <v>170</v>
      </c>
      <c r="C17" s="7"/>
      <c r="D17" s="7">
        <v>1568000</v>
      </c>
      <c r="E17" s="7"/>
      <c r="F17" s="7" t="s">
        <v>168</v>
      </c>
      <c r="G17" s="153">
        <f t="shared" si="0"/>
        <v>7.05738175871157E-2</v>
      </c>
      <c r="I17" s="7">
        <f t="shared" si="1"/>
        <v>110659.74597659742</v>
      </c>
    </row>
    <row r="18" spans="1:9" ht="15">
      <c r="A18" s="50">
        <v>190</v>
      </c>
      <c r="B18" s="7" t="s">
        <v>171</v>
      </c>
      <c r="C18" s="7"/>
      <c r="D18" s="7">
        <v>987000</v>
      </c>
      <c r="E18" s="7"/>
      <c r="F18" s="7" t="s">
        <v>168</v>
      </c>
      <c r="G18" s="153">
        <f t="shared" si="0"/>
        <v>7.05738175871157E-2</v>
      </c>
      <c r="I18" s="7">
        <f t="shared" si="1"/>
        <v>69656.35795848319</v>
      </c>
    </row>
    <row r="19" spans="1:9" ht="15">
      <c r="A19" s="50">
        <v>190</v>
      </c>
      <c r="B19" s="7" t="s">
        <v>172</v>
      </c>
      <c r="C19" s="7"/>
      <c r="D19" s="7">
        <v>247000</v>
      </c>
      <c r="E19" s="7"/>
      <c r="F19" s="7" t="s">
        <v>168</v>
      </c>
      <c r="G19" s="153">
        <f t="shared" si="0"/>
        <v>7.05738175871157E-2</v>
      </c>
      <c r="I19" s="7">
        <f t="shared" si="1"/>
        <v>17431.732944017578</v>
      </c>
    </row>
    <row r="20" spans="1:9" ht="15">
      <c r="A20" s="50">
        <v>190</v>
      </c>
      <c r="B20" s="7" t="s">
        <v>173</v>
      </c>
      <c r="C20" s="7"/>
      <c r="D20" s="7">
        <v>9777000</v>
      </c>
      <c r="E20" s="7"/>
      <c r="F20" s="7" t="s">
        <v>168</v>
      </c>
      <c r="G20" s="153">
        <f t="shared" si="0"/>
        <v>7.05738175871157E-2</v>
      </c>
      <c r="I20" s="7">
        <f t="shared" si="1"/>
        <v>690000.21454923018</v>
      </c>
    </row>
    <row r="21" spans="1:9" ht="15">
      <c r="A21" s="50">
        <v>190</v>
      </c>
      <c r="B21" s="7" t="s">
        <v>175</v>
      </c>
      <c r="C21" s="7"/>
      <c r="D21" s="7">
        <v>-4235000</v>
      </c>
      <c r="E21" s="7"/>
      <c r="F21" s="7" t="s">
        <v>176</v>
      </c>
      <c r="G21" s="153">
        <f t="shared" si="0"/>
        <v>0</v>
      </c>
      <c r="I21" s="7">
        <f t="shared" si="1"/>
        <v>0</v>
      </c>
    </row>
    <row r="22" spans="1:9" ht="15">
      <c r="A22" s="50">
        <v>190</v>
      </c>
      <c r="B22" s="7" t="s">
        <v>177</v>
      </c>
      <c r="C22" s="7"/>
      <c r="D22" s="7">
        <v>1438000</v>
      </c>
      <c r="E22" s="7"/>
      <c r="F22" s="7" t="s">
        <v>162</v>
      </c>
      <c r="G22" s="153">
        <f t="shared" si="0"/>
        <v>0</v>
      </c>
      <c r="I22" s="7">
        <f t="shared" si="1"/>
        <v>0</v>
      </c>
    </row>
    <row r="23" spans="1:9" ht="15">
      <c r="A23" s="50">
        <v>190</v>
      </c>
      <c r="B23" s="7" t="s">
        <v>178</v>
      </c>
      <c r="C23" s="7"/>
      <c r="D23" s="7">
        <v>41406000</v>
      </c>
      <c r="E23" s="7"/>
      <c r="F23" s="7" t="s">
        <v>162</v>
      </c>
      <c r="G23" s="153">
        <f t="shared" si="0"/>
        <v>0</v>
      </c>
      <c r="I23" s="7">
        <f t="shared" si="1"/>
        <v>0</v>
      </c>
    </row>
    <row r="24" spans="1:9" ht="15">
      <c r="A24" s="50">
        <v>190</v>
      </c>
      <c r="B24" s="7" t="s">
        <v>179</v>
      </c>
      <c r="C24" s="7"/>
      <c r="D24" s="7">
        <v>5492000</v>
      </c>
      <c r="E24" s="7"/>
      <c r="F24" s="7" t="s">
        <v>168</v>
      </c>
      <c r="G24" s="153">
        <f t="shared" si="0"/>
        <v>7.05738175871157E-2</v>
      </c>
      <c r="I24" s="7">
        <f t="shared" si="1"/>
        <v>387591.4061884394</v>
      </c>
    </row>
    <row r="25" spans="1:9" ht="15">
      <c r="A25" s="50">
        <v>190</v>
      </c>
      <c r="B25" s="7" t="s">
        <v>180</v>
      </c>
      <c r="C25" s="7"/>
      <c r="D25" s="7">
        <v>749000</v>
      </c>
      <c r="E25" s="7"/>
      <c r="F25" s="7" t="s">
        <v>166</v>
      </c>
      <c r="G25" s="153">
        <f t="shared" si="0"/>
        <v>0</v>
      </c>
      <c r="I25" s="7">
        <f t="shared" si="1"/>
        <v>0</v>
      </c>
    </row>
    <row r="26" spans="1:9" ht="15">
      <c r="A26" s="50">
        <v>190</v>
      </c>
      <c r="B26" s="7" t="s">
        <v>235</v>
      </c>
      <c r="C26" s="7"/>
      <c r="D26" s="7">
        <v>53558000</v>
      </c>
      <c r="E26" s="7"/>
      <c r="F26" s="7" t="s">
        <v>162</v>
      </c>
      <c r="G26" s="153">
        <f t="shared" si="0"/>
        <v>0</v>
      </c>
      <c r="I26" s="7">
        <f t="shared" si="1"/>
        <v>0</v>
      </c>
    </row>
    <row r="27" spans="1:9" ht="15">
      <c r="A27" s="50">
        <v>190</v>
      </c>
      <c r="B27" s="7" t="s">
        <v>182</v>
      </c>
      <c r="C27" s="7"/>
      <c r="D27" s="7">
        <v>6318000</v>
      </c>
      <c r="E27" s="7"/>
      <c r="F27" s="7" t="s">
        <v>168</v>
      </c>
      <c r="G27" s="153">
        <f t="shared" si="0"/>
        <v>7.05738175871157E-2</v>
      </c>
      <c r="I27" s="7">
        <f t="shared" si="1"/>
        <v>445885.37951539701</v>
      </c>
    </row>
    <row r="28" spans="1:9" ht="15">
      <c r="A28" s="50">
        <v>190</v>
      </c>
      <c r="B28" s="7" t="s">
        <v>183</v>
      </c>
      <c r="C28" s="7"/>
      <c r="D28" s="7">
        <v>1262000</v>
      </c>
      <c r="E28" s="7"/>
      <c r="F28" s="7" t="s">
        <v>168</v>
      </c>
      <c r="G28" s="153">
        <f t="shared" si="0"/>
        <v>7.05738175871157E-2</v>
      </c>
      <c r="I28" s="7">
        <f t="shared" si="1"/>
        <v>89064.157794940009</v>
      </c>
    </row>
    <row r="29" spans="1:9" ht="15">
      <c r="A29" s="50">
        <v>190</v>
      </c>
      <c r="B29" s="7" t="s">
        <v>184</v>
      </c>
      <c r="C29" s="7"/>
      <c r="D29" s="7">
        <v>16173000</v>
      </c>
      <c r="E29" s="7"/>
      <c r="F29" s="7" t="s">
        <v>168</v>
      </c>
      <c r="G29" s="153">
        <f t="shared" si="0"/>
        <v>7.05738175871157E-2</v>
      </c>
      <c r="I29" s="7">
        <f t="shared" si="1"/>
        <v>1141390.3518364222</v>
      </c>
    </row>
    <row r="30" spans="1:9" ht="15">
      <c r="A30" s="50">
        <v>190</v>
      </c>
      <c r="B30" s="7" t="s">
        <v>185</v>
      </c>
      <c r="C30" s="7"/>
      <c r="D30" s="7">
        <v>1803000</v>
      </c>
      <c r="E30" s="7"/>
      <c r="F30" s="7" t="s">
        <v>168</v>
      </c>
      <c r="G30" s="153">
        <f t="shared" si="0"/>
        <v>7.05738175871157E-2</v>
      </c>
      <c r="I30" s="7">
        <f t="shared" si="1"/>
        <v>127244.59310956961</v>
      </c>
    </row>
    <row r="31" spans="1:9" ht="15">
      <c r="A31" s="50">
        <v>190</v>
      </c>
      <c r="B31" s="7" t="s">
        <v>186</v>
      </c>
      <c r="C31" s="7"/>
      <c r="D31" s="7">
        <v>3395000</v>
      </c>
      <c r="E31" s="7"/>
      <c r="F31" s="7" t="s">
        <v>176</v>
      </c>
      <c r="G31" s="153">
        <f t="shared" si="0"/>
        <v>0</v>
      </c>
      <c r="I31" s="7">
        <f t="shared" si="1"/>
        <v>0</v>
      </c>
    </row>
    <row r="32" spans="1:9" ht="15">
      <c r="A32" s="50">
        <v>190</v>
      </c>
      <c r="B32" s="7" t="s">
        <v>187</v>
      </c>
      <c r="C32" s="7"/>
      <c r="D32" s="7">
        <v>4629000</v>
      </c>
      <c r="E32" s="7"/>
      <c r="F32" s="7" t="s">
        <v>176</v>
      </c>
      <c r="G32" s="153">
        <f t="shared" si="0"/>
        <v>0</v>
      </c>
      <c r="I32" s="7">
        <f t="shared" si="1"/>
        <v>0</v>
      </c>
    </row>
    <row r="33" spans="1:11" ht="15">
      <c r="A33" s="50">
        <v>190</v>
      </c>
      <c r="B33" s="7" t="s">
        <v>236</v>
      </c>
      <c r="C33" s="7"/>
      <c r="D33" s="7">
        <v>5430000</v>
      </c>
      <c r="E33" s="7"/>
      <c r="F33" s="7" t="s">
        <v>176</v>
      </c>
      <c r="G33" s="153">
        <f t="shared" si="0"/>
        <v>0</v>
      </c>
      <c r="I33" s="7">
        <f t="shared" si="1"/>
        <v>0</v>
      </c>
    </row>
    <row r="34" spans="1:11" ht="15">
      <c r="A34" s="50">
        <v>190</v>
      </c>
      <c r="B34" s="7" t="s">
        <v>188</v>
      </c>
      <c r="C34" s="7"/>
      <c r="D34" s="7">
        <v>355000</v>
      </c>
      <c r="E34" s="7"/>
      <c r="F34" s="7" t="s">
        <v>168</v>
      </c>
      <c r="G34" s="153">
        <f t="shared" si="0"/>
        <v>7.05738175871157E-2</v>
      </c>
      <c r="I34" s="7">
        <f t="shared" si="1"/>
        <v>25053.705243426073</v>
      </c>
    </row>
    <row r="35" spans="1:11" ht="15">
      <c r="A35" s="50">
        <v>190</v>
      </c>
      <c r="B35" s="7" t="s">
        <v>189</v>
      </c>
      <c r="C35" s="7"/>
      <c r="D35" s="7">
        <v>208000</v>
      </c>
      <c r="E35" s="7"/>
      <c r="F35" s="7" t="s">
        <v>190</v>
      </c>
      <c r="G35" s="153">
        <f t="shared" si="0"/>
        <v>0</v>
      </c>
      <c r="I35" s="7">
        <f t="shared" si="1"/>
        <v>0</v>
      </c>
    </row>
    <row r="36" spans="1:11" ht="15">
      <c r="A36" s="50">
        <v>190</v>
      </c>
      <c r="B36" s="7" t="s">
        <v>191</v>
      </c>
      <c r="C36" s="7"/>
      <c r="D36" s="7">
        <v>14326000</v>
      </c>
      <c r="E36" s="7"/>
      <c r="F36" s="7" t="s">
        <v>168</v>
      </c>
      <c r="G36" s="153">
        <f t="shared" si="0"/>
        <v>7.05738175871157E-2</v>
      </c>
      <c r="I36" s="7">
        <f t="shared" si="1"/>
        <v>1011040.5107530195</v>
      </c>
      <c r="K36" s="203"/>
    </row>
    <row r="37" spans="1:11" ht="15">
      <c r="A37" s="50">
        <v>190</v>
      </c>
      <c r="B37" s="7" t="s">
        <v>193</v>
      </c>
      <c r="C37" s="7"/>
      <c r="D37" s="7">
        <v>772000</v>
      </c>
      <c r="E37" s="7"/>
      <c r="F37" s="7" t="s">
        <v>168</v>
      </c>
      <c r="G37" s="153">
        <f t="shared" si="0"/>
        <v>7.05738175871157E-2</v>
      </c>
      <c r="I37" s="7">
        <f t="shared" si="1"/>
        <v>54482.987177253322</v>
      </c>
    </row>
    <row r="38" spans="1:11" ht="15">
      <c r="A38" s="50">
        <v>190</v>
      </c>
      <c r="B38" s="7" t="s">
        <v>194</v>
      </c>
      <c r="C38" s="7"/>
      <c r="D38" s="7">
        <v>599000</v>
      </c>
      <c r="E38" s="7"/>
      <c r="F38" s="7" t="s">
        <v>176</v>
      </c>
      <c r="G38" s="153">
        <f t="shared" si="0"/>
        <v>0</v>
      </c>
      <c r="I38" s="7">
        <f t="shared" si="1"/>
        <v>0</v>
      </c>
    </row>
    <row r="39" spans="1:11" ht="15">
      <c r="A39" s="50">
        <v>190</v>
      </c>
      <c r="B39" s="7" t="s">
        <v>195</v>
      </c>
      <c r="C39" s="7"/>
      <c r="D39" s="7">
        <v>2749000</v>
      </c>
      <c r="E39" s="7"/>
      <c r="F39" s="7" t="s">
        <v>168</v>
      </c>
      <c r="G39" s="153">
        <f t="shared" si="0"/>
        <v>7.05738175871157E-2</v>
      </c>
      <c r="I39" s="7">
        <f t="shared" si="1"/>
        <v>194007.42454698106</v>
      </c>
    </row>
    <row r="40" spans="1:11" ht="15">
      <c r="A40" s="50">
        <v>190</v>
      </c>
      <c r="B40" s="7" t="s">
        <v>196</v>
      </c>
      <c r="C40" s="7"/>
      <c r="D40" s="7">
        <v>2776000</v>
      </c>
      <c r="E40" s="7"/>
      <c r="F40" s="7" t="s">
        <v>176</v>
      </c>
      <c r="G40" s="153">
        <f t="shared" si="0"/>
        <v>0</v>
      </c>
      <c r="I40" s="7">
        <f t="shared" si="1"/>
        <v>0</v>
      </c>
    </row>
    <row r="41" spans="1:11" ht="15">
      <c r="A41" s="50">
        <v>190</v>
      </c>
      <c r="B41" s="7" t="s">
        <v>197</v>
      </c>
      <c r="C41" s="7"/>
      <c r="D41" s="7">
        <v>10014000</v>
      </c>
      <c r="E41" s="7"/>
      <c r="F41" s="7" t="s">
        <v>174</v>
      </c>
      <c r="G41" s="153">
        <f t="shared" si="0"/>
        <v>0</v>
      </c>
      <c r="I41" s="7">
        <f t="shared" si="1"/>
        <v>0</v>
      </c>
    </row>
    <row r="42" spans="1:11" ht="15">
      <c r="A42" s="50">
        <v>190</v>
      </c>
      <c r="B42" s="7" t="s">
        <v>198</v>
      </c>
      <c r="C42" s="7"/>
      <c r="D42" s="7">
        <v>36000</v>
      </c>
      <c r="E42" s="7"/>
      <c r="F42" s="7" t="s">
        <v>176</v>
      </c>
      <c r="G42" s="153">
        <f t="shared" si="0"/>
        <v>0</v>
      </c>
      <c r="I42" s="7">
        <f t="shared" si="1"/>
        <v>0</v>
      </c>
    </row>
    <row r="43" spans="1:11" ht="15">
      <c r="A43" s="50">
        <v>190</v>
      </c>
      <c r="B43" s="7" t="s">
        <v>199</v>
      </c>
      <c r="C43" s="7"/>
      <c r="D43" s="7">
        <v>12215000</v>
      </c>
      <c r="E43" s="7"/>
      <c r="F43" s="7" t="s">
        <v>166</v>
      </c>
      <c r="G43" s="153">
        <f t="shared" si="0"/>
        <v>0</v>
      </c>
      <c r="I43" s="7">
        <f t="shared" si="1"/>
        <v>0</v>
      </c>
    </row>
    <row r="44" spans="1:11" ht="15">
      <c r="A44" s="50">
        <v>190</v>
      </c>
      <c r="B44" s="7" t="s">
        <v>200</v>
      </c>
      <c r="C44" s="7"/>
      <c r="D44" s="7">
        <v>4439000</v>
      </c>
      <c r="E44" s="7"/>
      <c r="F44" s="7" t="s">
        <v>164</v>
      </c>
      <c r="G44" s="153">
        <f t="shared" ref="G44:G59" si="2">VLOOKUP(F44,Alloc_Factors,2,FALSE)</f>
        <v>0.16569592839496061</v>
      </c>
      <c r="I44" s="7">
        <f t="shared" si="1"/>
        <v>735524.22614523012</v>
      </c>
      <c r="K44" s="203"/>
    </row>
    <row r="45" spans="1:11" ht="15">
      <c r="A45" s="50">
        <v>190</v>
      </c>
      <c r="B45" s="7" t="s">
        <v>201</v>
      </c>
      <c r="C45" s="7"/>
      <c r="D45" s="7">
        <v>113544000</v>
      </c>
      <c r="E45" s="7"/>
      <c r="F45" s="7" t="s">
        <v>168</v>
      </c>
      <c r="G45" s="153">
        <f t="shared" si="2"/>
        <v>7.05738175871157E-2</v>
      </c>
      <c r="I45" s="7">
        <f t="shared" si="1"/>
        <v>8013233.5441114651</v>
      </c>
    </row>
    <row r="46" spans="1:11" ht="15">
      <c r="A46" s="50">
        <v>190</v>
      </c>
      <c r="B46" s="7" t="s">
        <v>202</v>
      </c>
      <c r="C46" s="7"/>
      <c r="D46" s="7">
        <v>222000</v>
      </c>
      <c r="E46" s="7"/>
      <c r="F46" s="7" t="s">
        <v>164</v>
      </c>
      <c r="G46" s="153">
        <f t="shared" si="2"/>
        <v>0.16569592839496061</v>
      </c>
      <c r="I46" s="7">
        <f t="shared" si="1"/>
        <v>36784.496103681253</v>
      </c>
    </row>
    <row r="47" spans="1:11" ht="15">
      <c r="A47" s="50">
        <v>190</v>
      </c>
      <c r="B47" s="7" t="s">
        <v>203</v>
      </c>
      <c r="C47" s="7"/>
      <c r="D47" s="7">
        <v>-380000</v>
      </c>
      <c r="E47" s="7"/>
      <c r="F47" s="7" t="s">
        <v>164</v>
      </c>
      <c r="G47" s="153">
        <f t="shared" si="2"/>
        <v>0.16569592839496061</v>
      </c>
      <c r="I47" s="7">
        <f t="shared" si="1"/>
        <v>-62964.45279008503</v>
      </c>
    </row>
    <row r="48" spans="1:11" ht="15">
      <c r="A48" s="50">
        <v>190</v>
      </c>
      <c r="B48" s="7" t="s">
        <v>204</v>
      </c>
      <c r="C48" s="7"/>
      <c r="D48" s="7">
        <v>2842000</v>
      </c>
      <c r="E48" s="7"/>
      <c r="F48" s="7" t="s">
        <v>168</v>
      </c>
      <c r="G48" s="153">
        <f t="shared" si="2"/>
        <v>7.05738175871157E-2</v>
      </c>
      <c r="I48" s="7">
        <f t="shared" si="1"/>
        <v>200570.78958258283</v>
      </c>
    </row>
    <row r="49" spans="1:9" ht="15">
      <c r="A49" s="50">
        <v>190</v>
      </c>
      <c r="B49" s="7" t="s">
        <v>205</v>
      </c>
      <c r="C49" s="7"/>
      <c r="D49" s="7">
        <v>1889000</v>
      </c>
      <c r="E49" s="7"/>
      <c r="F49" s="7" t="s">
        <v>168</v>
      </c>
      <c r="G49" s="153">
        <f t="shared" si="2"/>
        <v>7.05738175871157E-2</v>
      </c>
      <c r="I49" s="7">
        <f t="shared" si="1"/>
        <v>133313.94142206156</v>
      </c>
    </row>
    <row r="50" spans="1:9" ht="15">
      <c r="A50" s="50">
        <v>190</v>
      </c>
      <c r="B50" s="7" t="s">
        <v>206</v>
      </c>
      <c r="C50" s="7"/>
      <c r="D50" s="7">
        <v>35000</v>
      </c>
      <c r="E50" s="7"/>
      <c r="F50" s="7" t="s">
        <v>168</v>
      </c>
      <c r="G50" s="153">
        <f t="shared" si="2"/>
        <v>7.05738175871157E-2</v>
      </c>
      <c r="I50" s="7">
        <f t="shared" si="1"/>
        <v>2470.0836155490497</v>
      </c>
    </row>
    <row r="51" spans="1:9" ht="15">
      <c r="A51" s="50">
        <v>190</v>
      </c>
      <c r="B51" s="7" t="s">
        <v>207</v>
      </c>
      <c r="C51" s="7"/>
      <c r="D51" s="7">
        <v>-203000</v>
      </c>
      <c r="E51" s="7"/>
      <c r="F51" s="7" t="s">
        <v>168</v>
      </c>
      <c r="G51" s="153">
        <f t="shared" si="2"/>
        <v>7.05738175871157E-2</v>
      </c>
      <c r="I51" s="7">
        <f t="shared" si="1"/>
        <v>-14326.484970184487</v>
      </c>
    </row>
    <row r="52" spans="1:9" ht="15">
      <c r="A52" s="50">
        <v>190</v>
      </c>
      <c r="B52" s="7" t="s">
        <v>208</v>
      </c>
      <c r="C52" s="7"/>
      <c r="D52" s="7">
        <v>2353000</v>
      </c>
      <c r="E52" s="7"/>
      <c r="F52" s="7" t="s">
        <v>164</v>
      </c>
      <c r="G52" s="153">
        <f t="shared" si="2"/>
        <v>0.16569592839496061</v>
      </c>
      <c r="I52" s="7">
        <f t="shared" si="1"/>
        <v>389882.5195133423</v>
      </c>
    </row>
    <row r="53" spans="1:9" ht="15">
      <c r="A53" s="50">
        <v>190</v>
      </c>
      <c r="B53" s="7" t="s">
        <v>237</v>
      </c>
      <c r="C53" s="7"/>
      <c r="D53" s="7">
        <v>61106000</v>
      </c>
      <c r="E53" s="7"/>
      <c r="F53" s="7" t="s">
        <v>168</v>
      </c>
      <c r="G53" s="153">
        <f t="shared" si="2"/>
        <v>7.05738175871157E-2</v>
      </c>
      <c r="I53" s="7">
        <f t="shared" si="1"/>
        <v>4312483.6974782916</v>
      </c>
    </row>
    <row r="54" spans="1:9" ht="15">
      <c r="A54" s="50">
        <v>190</v>
      </c>
      <c r="B54" s="7" t="s">
        <v>238</v>
      </c>
      <c r="C54" s="7"/>
      <c r="D54" s="7">
        <v>1751000</v>
      </c>
      <c r="E54" s="7"/>
      <c r="F54" s="7" t="s">
        <v>166</v>
      </c>
      <c r="G54" s="153">
        <f t="shared" si="2"/>
        <v>0</v>
      </c>
      <c r="I54" s="7">
        <f t="shared" si="1"/>
        <v>0</v>
      </c>
    </row>
    <row r="55" spans="1:9" ht="15">
      <c r="A55" s="50">
        <v>190</v>
      </c>
      <c r="B55" s="7" t="s">
        <v>239</v>
      </c>
      <c r="C55" s="7"/>
      <c r="D55" s="7">
        <v>27472000</v>
      </c>
      <c r="E55" s="7"/>
      <c r="F55" s="7" t="s">
        <v>166</v>
      </c>
      <c r="G55" s="153">
        <f t="shared" si="2"/>
        <v>0</v>
      </c>
      <c r="I55" s="7">
        <f t="shared" si="1"/>
        <v>0</v>
      </c>
    </row>
    <row r="56" spans="1:9" ht="15">
      <c r="A56" s="50">
        <v>190</v>
      </c>
      <c r="B56" s="7" t="s">
        <v>240</v>
      </c>
      <c r="C56" s="7"/>
      <c r="D56" s="7">
        <v>220672000</v>
      </c>
      <c r="E56" s="7"/>
      <c r="F56" s="7" t="s">
        <v>176</v>
      </c>
      <c r="G56" s="153">
        <f t="shared" si="2"/>
        <v>0</v>
      </c>
      <c r="I56" s="7">
        <f t="shared" si="1"/>
        <v>0</v>
      </c>
    </row>
    <row r="57" spans="1:9" ht="15">
      <c r="A57" s="50">
        <v>190</v>
      </c>
      <c r="B57" s="7" t="s">
        <v>241</v>
      </c>
      <c r="C57" s="7"/>
      <c r="D57" s="7">
        <v>366000</v>
      </c>
      <c r="E57" s="7"/>
      <c r="F57" s="7" t="s">
        <v>166</v>
      </c>
      <c r="G57" s="153">
        <f t="shared" si="2"/>
        <v>0</v>
      </c>
      <c r="I57" s="7">
        <f t="shared" si="1"/>
        <v>0</v>
      </c>
    </row>
    <row r="58" spans="1:9" ht="15">
      <c r="A58" s="50">
        <v>190</v>
      </c>
      <c r="B58" s="7" t="s">
        <v>242</v>
      </c>
      <c r="C58" s="7"/>
      <c r="D58" s="7">
        <v>1857000</v>
      </c>
      <c r="E58" s="7"/>
      <c r="F58" s="7" t="s">
        <v>176</v>
      </c>
      <c r="G58" s="153">
        <f t="shared" si="2"/>
        <v>0</v>
      </c>
      <c r="I58" s="7">
        <f t="shared" si="1"/>
        <v>0</v>
      </c>
    </row>
    <row r="59" spans="1:9" ht="15">
      <c r="A59" s="50">
        <v>190</v>
      </c>
      <c r="B59" s="7" t="s">
        <v>209</v>
      </c>
      <c r="C59" s="7"/>
      <c r="D59" s="7">
        <v>508374</v>
      </c>
      <c r="E59" s="7"/>
      <c r="F59" s="7" t="s">
        <v>164</v>
      </c>
      <c r="G59" s="153">
        <f t="shared" si="2"/>
        <v>0.16569592839496061</v>
      </c>
      <c r="I59" s="7">
        <f t="shared" si="1"/>
        <v>84235.501901859709</v>
      </c>
    </row>
    <row r="60" spans="1:9" ht="15.75" thickBot="1">
      <c r="A60" s="50"/>
      <c r="B60" s="46" t="s">
        <v>210</v>
      </c>
      <c r="C60" s="46"/>
      <c r="D60" s="51">
        <f>SUM(D12:D59)</f>
        <v>642773374</v>
      </c>
      <c r="E60" s="7"/>
      <c r="F60" s="7"/>
      <c r="I60" s="51">
        <f>SUM(I12:I59)</f>
        <v>18355226.445295289</v>
      </c>
    </row>
    <row r="61" spans="1:9" ht="13.5" thickTop="1"/>
  </sheetData>
  <sortState ref="F84:F91">
    <sortCondition ref="F84:F91"/>
  </sortState>
  <mergeCells count="4">
    <mergeCell ref="I1:J1"/>
    <mergeCell ref="I3:J3"/>
    <mergeCell ref="A5:I5"/>
    <mergeCell ref="A6:I6"/>
  </mergeCells>
  <printOptions horizontalCentered="1"/>
  <pageMargins left="0.7" right="0.7" top="0.75" bottom="0.75" header="0.3" footer="0.3"/>
  <pageSetup scale="6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topLeftCell="A26" workbookViewId="0">
      <selection activeCell="D55" sqref="D55"/>
    </sheetView>
  </sheetViews>
  <sheetFormatPr defaultRowHeight="12.75"/>
  <cols>
    <col min="1" max="1" width="9.7109375" customWidth="1"/>
    <col min="2" max="2" width="44.7109375" customWidth="1"/>
    <col min="3" max="3" width="5.7109375" customWidth="1"/>
    <col min="4" max="4" width="20.7109375" customWidth="1"/>
    <col min="5" max="5" width="5.7109375" customWidth="1"/>
    <col min="8" max="8" width="5.7109375" customWidth="1"/>
    <col min="9" max="9" width="15.140625" customWidth="1"/>
    <col min="10" max="10" width="10.5703125" customWidth="1"/>
  </cols>
  <sheetData>
    <row r="1" spans="1:10" ht="15.75">
      <c r="A1" s="7"/>
      <c r="B1" s="7"/>
      <c r="C1" s="7"/>
      <c r="D1" s="7"/>
      <c r="E1" s="7"/>
      <c r="F1" s="7"/>
      <c r="G1" s="7"/>
      <c r="H1" s="7"/>
      <c r="I1" s="258" t="s">
        <v>153</v>
      </c>
      <c r="J1" s="258"/>
    </row>
    <row r="2" spans="1:10" ht="15.75">
      <c r="A2" s="7"/>
      <c r="B2" s="7"/>
      <c r="C2" s="7"/>
      <c r="D2" s="7"/>
      <c r="E2" s="7"/>
      <c r="F2" s="7"/>
      <c r="G2" s="7"/>
      <c r="H2" s="7"/>
      <c r="I2" s="49" t="s">
        <v>231</v>
      </c>
      <c r="J2" s="49"/>
    </row>
    <row r="3" spans="1:10" ht="15">
      <c r="A3" s="7"/>
      <c r="B3" s="44"/>
      <c r="C3" s="44"/>
      <c r="D3" s="7"/>
      <c r="E3" s="7"/>
      <c r="F3" s="7"/>
      <c r="G3" s="7"/>
      <c r="H3" s="7"/>
      <c r="I3" s="273" t="str">
        <f>'PEF - 6  p1, FF1 Inputs '!K3</f>
        <v>Year Ending 12/31/2009</v>
      </c>
      <c r="J3" s="273"/>
    </row>
    <row r="4" spans="1:10" ht="15">
      <c r="A4" s="7"/>
      <c r="B4" s="44"/>
      <c r="C4" s="44"/>
      <c r="D4" s="7"/>
      <c r="E4" s="7"/>
      <c r="F4" s="7"/>
      <c r="G4" s="7"/>
      <c r="H4" s="7"/>
      <c r="I4" s="36"/>
      <c r="J4" s="36"/>
    </row>
    <row r="5" spans="1:10" ht="15">
      <c r="A5" s="285" t="s">
        <v>70</v>
      </c>
      <c r="B5" s="286"/>
      <c r="C5" s="286"/>
      <c r="D5" s="286"/>
      <c r="E5" s="286"/>
      <c r="F5" s="286"/>
      <c r="G5" s="286"/>
      <c r="H5" s="286"/>
      <c r="I5" s="286"/>
      <c r="J5" s="36"/>
    </row>
    <row r="6" spans="1:10" ht="15">
      <c r="A6" s="285" t="s">
        <v>155</v>
      </c>
      <c r="B6" s="286"/>
      <c r="C6" s="286"/>
      <c r="D6" s="286"/>
      <c r="E6" s="286"/>
      <c r="F6" s="286"/>
      <c r="G6" s="286"/>
      <c r="H6" s="286"/>
      <c r="I6" s="286"/>
      <c r="J6" s="36"/>
    </row>
    <row r="7" spans="1:10" ht="15">
      <c r="A7" s="7"/>
      <c r="B7" s="44"/>
      <c r="C7" s="44"/>
      <c r="D7" s="7"/>
      <c r="E7" s="7"/>
      <c r="F7" s="7"/>
      <c r="G7" s="7"/>
      <c r="H7" s="7"/>
      <c r="I7" s="36"/>
      <c r="J7" s="36"/>
    </row>
    <row r="8" spans="1:10" ht="15">
      <c r="A8" s="46"/>
      <c r="B8" s="46"/>
      <c r="C8" s="46"/>
      <c r="D8" s="46"/>
      <c r="E8" s="7"/>
      <c r="F8" s="7"/>
      <c r="G8" s="7"/>
      <c r="H8" s="7"/>
      <c r="I8" s="7"/>
      <c r="J8" s="7"/>
    </row>
    <row r="9" spans="1:10" ht="15">
      <c r="A9" s="46"/>
      <c r="B9" s="46"/>
      <c r="C9" s="46"/>
      <c r="D9" s="47" t="s">
        <v>156</v>
      </c>
      <c r="E9" s="7"/>
      <c r="F9" s="48" t="s">
        <v>157</v>
      </c>
      <c r="G9" s="48" t="s">
        <v>158</v>
      </c>
      <c r="H9" s="48"/>
      <c r="I9" s="48" t="s">
        <v>159</v>
      </c>
      <c r="J9" s="7"/>
    </row>
    <row r="10" spans="1:10" ht="15">
      <c r="A10" s="46" t="s">
        <v>160</v>
      </c>
      <c r="B10" s="46" t="s">
        <v>75</v>
      </c>
      <c r="C10" s="47"/>
      <c r="D10" s="217" t="s">
        <v>232</v>
      </c>
      <c r="E10" s="7"/>
      <c r="F10" s="7"/>
      <c r="G10" s="7"/>
      <c r="H10" s="7"/>
      <c r="I10" s="7"/>
      <c r="J10" s="7"/>
    </row>
    <row r="12" spans="1:10" ht="15">
      <c r="A12" s="50">
        <v>281</v>
      </c>
      <c r="B12" s="7" t="s">
        <v>211</v>
      </c>
      <c r="C12" s="7"/>
      <c r="D12" s="7">
        <v>-4083000</v>
      </c>
      <c r="E12" s="7"/>
      <c r="F12" s="7" t="s">
        <v>176</v>
      </c>
      <c r="G12" s="153">
        <f>VLOOKUP(F12,Alloc_Factors,2,FALSE)</f>
        <v>0</v>
      </c>
      <c r="I12" s="7">
        <f>D12*G12</f>
        <v>0</v>
      </c>
    </row>
    <row r="13" spans="1:10" ht="15.75" thickBot="1">
      <c r="A13" s="50"/>
      <c r="B13" s="46" t="s">
        <v>212</v>
      </c>
      <c r="C13" s="46"/>
      <c r="D13" s="51">
        <f>SUM(D12)</f>
        <v>-4083000</v>
      </c>
      <c r="E13" s="7"/>
      <c r="F13" s="7"/>
      <c r="I13" s="51">
        <f>SUM(I12)</f>
        <v>0</v>
      </c>
    </row>
    <row r="14" spans="1:10" ht="15.75" thickTop="1">
      <c r="A14" s="50"/>
      <c r="B14" s="7"/>
      <c r="C14" s="7"/>
      <c r="D14" s="7"/>
      <c r="E14" s="7"/>
      <c r="F14" s="7"/>
    </row>
    <row r="15" spans="1:10" ht="15">
      <c r="A15" s="50">
        <v>282</v>
      </c>
      <c r="B15" s="7" t="s">
        <v>213</v>
      </c>
      <c r="C15" s="7"/>
      <c r="D15" s="7">
        <v>-600046000</v>
      </c>
      <c r="E15" s="7"/>
      <c r="F15" s="7" t="s">
        <v>164</v>
      </c>
      <c r="G15" s="153">
        <f>VLOOKUP(F15,Alloc_Factors,2,FALSE)</f>
        <v>0.16569592839496061</v>
      </c>
      <c r="I15" s="7">
        <f>D15*G15</f>
        <v>-99425179.049682543</v>
      </c>
    </row>
    <row r="16" spans="1:10" ht="15">
      <c r="A16" s="50">
        <v>282</v>
      </c>
      <c r="B16" s="7" t="s">
        <v>244</v>
      </c>
      <c r="C16" s="7"/>
      <c r="D16" s="7">
        <v>67001000</v>
      </c>
      <c r="E16" s="7"/>
      <c r="F16" s="7" t="s">
        <v>162</v>
      </c>
      <c r="G16" s="153">
        <f>VLOOKUP(F16,Alloc_Factors,2,FALSE)</f>
        <v>0</v>
      </c>
      <c r="I16" s="7">
        <f t="shared" ref="I16:I18" si="0">D16*G16</f>
        <v>0</v>
      </c>
    </row>
    <row r="17" spans="1:9" ht="15">
      <c r="A17" s="50">
        <v>282</v>
      </c>
      <c r="B17" s="7" t="s">
        <v>245</v>
      </c>
      <c r="C17" s="7"/>
      <c r="D17" s="7">
        <v>-14222000</v>
      </c>
      <c r="E17" s="7"/>
      <c r="F17" s="7" t="s">
        <v>176</v>
      </c>
      <c r="G17" s="153">
        <f>VLOOKUP(F17,Alloc_Factors,2,FALSE)</f>
        <v>0</v>
      </c>
      <c r="I17" s="7">
        <f t="shared" si="0"/>
        <v>0</v>
      </c>
    </row>
    <row r="18" spans="1:9" ht="15">
      <c r="A18" s="50">
        <v>282</v>
      </c>
      <c r="B18" s="7" t="s">
        <v>246</v>
      </c>
      <c r="C18" s="7"/>
      <c r="D18" s="7">
        <v>-6147</v>
      </c>
      <c r="E18" s="7"/>
      <c r="F18" s="7" t="s">
        <v>164</v>
      </c>
      <c r="G18" s="153">
        <f>VLOOKUP(F18,Alloc_Factors,2,FALSE)</f>
        <v>0.16569592839496061</v>
      </c>
      <c r="I18" s="7">
        <f t="shared" si="0"/>
        <v>-1018.5328718438229</v>
      </c>
    </row>
    <row r="19" spans="1:9" ht="15.75" thickBot="1">
      <c r="A19" s="50"/>
      <c r="B19" s="46" t="s">
        <v>214</v>
      </c>
      <c r="C19" s="46"/>
      <c r="D19" s="51">
        <f>SUM(D15:D18)</f>
        <v>-547273147</v>
      </c>
      <c r="E19" s="7"/>
      <c r="F19" s="7"/>
      <c r="I19" s="51">
        <f>SUM(I15:I18)</f>
        <v>-99426197.582554385</v>
      </c>
    </row>
    <row r="20" spans="1:9" ht="15.75" thickTop="1">
      <c r="A20" s="50"/>
      <c r="B20" s="7"/>
      <c r="C20" s="7"/>
      <c r="D20" s="7"/>
      <c r="E20" s="7"/>
      <c r="F20" s="7"/>
    </row>
    <row r="21" spans="1:9" ht="15">
      <c r="A21" s="50">
        <v>283</v>
      </c>
      <c r="B21" s="52" t="s">
        <v>247</v>
      </c>
      <c r="C21" s="7"/>
      <c r="D21" s="7">
        <v>1113000</v>
      </c>
      <c r="E21" s="7"/>
      <c r="F21" s="7" t="s">
        <v>176</v>
      </c>
      <c r="G21" s="153">
        <f t="shared" ref="G21:G43" si="1">VLOOKUP(F21,Alloc_Factors,2,FALSE)</f>
        <v>0</v>
      </c>
      <c r="I21" s="7">
        <f>D21*G21</f>
        <v>0</v>
      </c>
    </row>
    <row r="22" spans="1:9" ht="15">
      <c r="A22" s="50">
        <v>283</v>
      </c>
      <c r="B22" s="52" t="s">
        <v>248</v>
      </c>
      <c r="C22" s="7"/>
      <c r="D22" s="7">
        <v>-56044000</v>
      </c>
      <c r="E22" s="7"/>
      <c r="F22" s="7" t="s">
        <v>166</v>
      </c>
      <c r="G22" s="153">
        <f t="shared" si="1"/>
        <v>0</v>
      </c>
      <c r="I22" s="7">
        <f t="shared" ref="I22:I43" si="2">D22*G22</f>
        <v>0</v>
      </c>
    </row>
    <row r="23" spans="1:9" ht="15">
      <c r="A23" s="50">
        <v>283</v>
      </c>
      <c r="B23" s="53" t="s">
        <v>249</v>
      </c>
      <c r="C23" s="7"/>
      <c r="D23" s="7">
        <v>-5328000</v>
      </c>
      <c r="E23" s="7"/>
      <c r="F23" s="7" t="s">
        <v>162</v>
      </c>
      <c r="G23" s="153">
        <f t="shared" si="1"/>
        <v>0</v>
      </c>
      <c r="I23" s="7">
        <f t="shared" si="2"/>
        <v>0</v>
      </c>
    </row>
    <row r="24" spans="1:9" ht="15">
      <c r="A24" s="50">
        <v>283</v>
      </c>
      <c r="B24" s="7" t="s">
        <v>250</v>
      </c>
      <c r="C24" s="7"/>
      <c r="D24" s="7">
        <v>-73096000</v>
      </c>
      <c r="E24" s="7"/>
      <c r="F24" s="7" t="s">
        <v>162</v>
      </c>
      <c r="G24" s="153">
        <f t="shared" si="1"/>
        <v>0</v>
      </c>
      <c r="I24" s="7">
        <f t="shared" si="2"/>
        <v>0</v>
      </c>
    </row>
    <row r="25" spans="1:9" ht="15">
      <c r="A25" s="50">
        <v>283</v>
      </c>
      <c r="B25" s="7" t="s">
        <v>215</v>
      </c>
      <c r="C25" s="7"/>
      <c r="D25" s="7">
        <v>-5327000</v>
      </c>
      <c r="E25" s="7"/>
      <c r="F25" s="7" t="s">
        <v>176</v>
      </c>
      <c r="G25" s="153">
        <f t="shared" si="1"/>
        <v>0</v>
      </c>
      <c r="I25" s="7">
        <f t="shared" si="2"/>
        <v>0</v>
      </c>
    </row>
    <row r="26" spans="1:9" ht="15">
      <c r="A26" s="50">
        <v>283</v>
      </c>
      <c r="B26" s="7" t="s">
        <v>216</v>
      </c>
      <c r="C26" s="7"/>
      <c r="D26" s="7">
        <v>2551000</v>
      </c>
      <c r="E26" s="7"/>
      <c r="F26" s="7" t="s">
        <v>176</v>
      </c>
      <c r="G26" s="153">
        <f t="shared" si="1"/>
        <v>0</v>
      </c>
      <c r="I26" s="7">
        <f t="shared" si="2"/>
        <v>0</v>
      </c>
    </row>
    <row r="27" spans="1:9" ht="15">
      <c r="A27" s="50">
        <v>283</v>
      </c>
      <c r="B27" s="52" t="s">
        <v>217</v>
      </c>
      <c r="C27" s="7"/>
      <c r="D27" s="224">
        <v>-231798000</v>
      </c>
      <c r="E27" s="7"/>
      <c r="F27" s="7" t="s">
        <v>176</v>
      </c>
      <c r="G27" s="153">
        <f t="shared" si="1"/>
        <v>0</v>
      </c>
      <c r="I27" s="7">
        <f t="shared" si="2"/>
        <v>0</v>
      </c>
    </row>
    <row r="28" spans="1:9" ht="15">
      <c r="A28" s="50">
        <v>283</v>
      </c>
      <c r="B28" s="7" t="s">
        <v>218</v>
      </c>
      <c r="C28" s="7"/>
      <c r="D28" s="7">
        <v>-211264000</v>
      </c>
      <c r="E28" s="7"/>
      <c r="F28" s="7" t="s">
        <v>166</v>
      </c>
      <c r="G28" s="153">
        <f t="shared" si="1"/>
        <v>0</v>
      </c>
      <c r="I28" s="7">
        <f t="shared" si="2"/>
        <v>0</v>
      </c>
    </row>
    <row r="29" spans="1:9" ht="15">
      <c r="A29" s="50">
        <v>283</v>
      </c>
      <c r="B29" s="52" t="s">
        <v>219</v>
      </c>
      <c r="C29" s="7"/>
      <c r="D29" s="224">
        <v>-836000</v>
      </c>
      <c r="E29" s="7"/>
      <c r="F29" s="7" t="s">
        <v>176</v>
      </c>
      <c r="G29" s="153">
        <f t="shared" si="1"/>
        <v>0</v>
      </c>
      <c r="I29" s="7">
        <f t="shared" si="2"/>
        <v>0</v>
      </c>
    </row>
    <row r="30" spans="1:9" ht="15">
      <c r="A30" s="50">
        <v>283</v>
      </c>
      <c r="B30" s="7" t="s">
        <v>220</v>
      </c>
      <c r="C30" s="7"/>
      <c r="D30" s="7">
        <v>-8223000</v>
      </c>
      <c r="E30" s="7"/>
      <c r="F30" s="7" t="s">
        <v>162</v>
      </c>
      <c r="G30" s="153">
        <f t="shared" si="1"/>
        <v>0</v>
      </c>
      <c r="I30" s="7">
        <f t="shared" si="2"/>
        <v>0</v>
      </c>
    </row>
    <row r="31" spans="1:9" ht="15">
      <c r="A31" s="50">
        <v>283</v>
      </c>
      <c r="B31" s="7" t="s">
        <v>221</v>
      </c>
      <c r="C31" s="7"/>
      <c r="D31" s="7">
        <v>32000</v>
      </c>
      <c r="E31" s="7"/>
      <c r="F31" s="7" t="s">
        <v>168</v>
      </c>
      <c r="G31" s="153">
        <f t="shared" si="1"/>
        <v>7.05738175871157E-2</v>
      </c>
      <c r="I31" s="7">
        <f t="shared" si="2"/>
        <v>2258.3621627877023</v>
      </c>
    </row>
    <row r="32" spans="1:9" ht="15">
      <c r="A32" s="50">
        <v>283</v>
      </c>
      <c r="B32" s="7" t="s">
        <v>222</v>
      </c>
      <c r="C32" s="7"/>
      <c r="D32" s="7">
        <v>796000</v>
      </c>
      <c r="E32" s="7"/>
      <c r="F32" s="7" t="s">
        <v>176</v>
      </c>
      <c r="G32" s="153">
        <f t="shared" si="1"/>
        <v>0</v>
      </c>
      <c r="I32" s="7">
        <f t="shared" si="2"/>
        <v>0</v>
      </c>
    </row>
    <row r="33" spans="1:9" ht="15">
      <c r="A33" s="50">
        <v>283</v>
      </c>
      <c r="B33" s="7" t="s">
        <v>223</v>
      </c>
      <c r="C33" s="7"/>
      <c r="D33" s="7">
        <v>-8088000</v>
      </c>
      <c r="E33" s="7"/>
      <c r="F33" s="7" t="s">
        <v>164</v>
      </c>
      <c r="G33" s="153">
        <f t="shared" si="1"/>
        <v>0.16569592839496061</v>
      </c>
      <c r="I33" s="7">
        <f t="shared" si="2"/>
        <v>-1340148.6688584415</v>
      </c>
    </row>
    <row r="34" spans="1:9" ht="15">
      <c r="A34" s="50">
        <v>283</v>
      </c>
      <c r="B34" s="7" t="s">
        <v>224</v>
      </c>
      <c r="C34" s="7"/>
      <c r="D34" s="7">
        <v>-376000</v>
      </c>
      <c r="E34" s="7"/>
      <c r="F34" s="7" t="s">
        <v>164</v>
      </c>
      <c r="G34" s="153">
        <f t="shared" si="1"/>
        <v>0.16569592839496061</v>
      </c>
      <c r="I34" s="7">
        <f t="shared" si="2"/>
        <v>-62301.66907650519</v>
      </c>
    </row>
    <row r="35" spans="1:9" ht="15">
      <c r="A35" s="50">
        <v>283</v>
      </c>
      <c r="B35" s="7" t="s">
        <v>225</v>
      </c>
      <c r="C35" s="7"/>
      <c r="D35" s="7">
        <v>-406000</v>
      </c>
      <c r="E35" s="7"/>
      <c r="F35" s="7" t="s">
        <v>164</v>
      </c>
      <c r="G35" s="153">
        <f t="shared" si="1"/>
        <v>0.16569592839496061</v>
      </c>
      <c r="I35" s="7">
        <f t="shared" si="2"/>
        <v>-67272.546928354015</v>
      </c>
    </row>
    <row r="36" spans="1:9" ht="15">
      <c r="A36" s="50">
        <v>283</v>
      </c>
      <c r="B36" s="7" t="s">
        <v>226</v>
      </c>
      <c r="C36" s="7"/>
      <c r="D36" s="7">
        <v>-62712000</v>
      </c>
      <c r="E36" s="7"/>
      <c r="F36" s="7" t="s">
        <v>166</v>
      </c>
      <c r="G36" s="153">
        <f t="shared" si="1"/>
        <v>0</v>
      </c>
      <c r="I36" s="7">
        <f t="shared" si="2"/>
        <v>0</v>
      </c>
    </row>
    <row r="37" spans="1:9" ht="15">
      <c r="A37" s="50">
        <v>283</v>
      </c>
      <c r="B37" s="7" t="s">
        <v>227</v>
      </c>
      <c r="C37" s="7"/>
      <c r="D37" s="7">
        <v>-882000</v>
      </c>
      <c r="E37" s="7"/>
      <c r="F37" s="7" t="s">
        <v>166</v>
      </c>
      <c r="G37" s="153">
        <f t="shared" si="1"/>
        <v>0</v>
      </c>
      <c r="I37" s="7">
        <f t="shared" si="2"/>
        <v>0</v>
      </c>
    </row>
    <row r="38" spans="1:9" ht="15">
      <c r="A38" s="50">
        <v>283</v>
      </c>
      <c r="B38" s="7" t="s">
        <v>251</v>
      </c>
      <c r="C38" s="7"/>
      <c r="D38" s="7">
        <v>-4391000</v>
      </c>
      <c r="E38" s="7"/>
      <c r="F38" s="7" t="s">
        <v>749</v>
      </c>
      <c r="G38" s="153">
        <f t="shared" si="1"/>
        <v>1</v>
      </c>
      <c r="I38" s="7">
        <f t="shared" si="2"/>
        <v>-4391000</v>
      </c>
    </row>
    <row r="39" spans="1:9" ht="15">
      <c r="A39" s="50">
        <v>283</v>
      </c>
      <c r="B39" s="7" t="s">
        <v>769</v>
      </c>
      <c r="C39" s="7"/>
      <c r="D39" s="7">
        <v>-3768000</v>
      </c>
      <c r="E39" s="7"/>
      <c r="F39" s="7" t="s">
        <v>162</v>
      </c>
      <c r="G39" s="153">
        <f t="shared" si="1"/>
        <v>0</v>
      </c>
      <c r="I39" s="7">
        <f t="shared" si="2"/>
        <v>0</v>
      </c>
    </row>
    <row r="40" spans="1:9" ht="15">
      <c r="A40" s="50">
        <v>283</v>
      </c>
      <c r="B40" s="7" t="s">
        <v>252</v>
      </c>
      <c r="C40" s="7"/>
      <c r="D40" s="7">
        <v>20734000</v>
      </c>
      <c r="E40" s="7"/>
      <c r="F40" s="7" t="s">
        <v>166</v>
      </c>
      <c r="G40" s="153">
        <f t="shared" si="1"/>
        <v>0</v>
      </c>
      <c r="I40" s="7">
        <f t="shared" si="2"/>
        <v>0</v>
      </c>
    </row>
    <row r="41" spans="1:9" ht="15">
      <c r="A41" s="50">
        <v>283</v>
      </c>
      <c r="B41" s="7" t="s">
        <v>253</v>
      </c>
      <c r="C41" s="7"/>
      <c r="D41" s="7">
        <v>-2338000</v>
      </c>
      <c r="E41" s="7"/>
      <c r="F41" s="7" t="s">
        <v>166</v>
      </c>
      <c r="G41" s="153">
        <f t="shared" si="1"/>
        <v>0</v>
      </c>
      <c r="I41" s="7">
        <f t="shared" si="2"/>
        <v>0</v>
      </c>
    </row>
    <row r="42" spans="1:9" ht="15">
      <c r="A42" s="50">
        <v>283</v>
      </c>
      <c r="B42" s="7" t="s">
        <v>229</v>
      </c>
      <c r="C42" s="7"/>
      <c r="D42" s="7">
        <v>27000</v>
      </c>
      <c r="E42" s="7"/>
      <c r="F42" s="7" t="s">
        <v>164</v>
      </c>
      <c r="G42" s="153">
        <f t="shared" si="1"/>
        <v>0.16569592839496061</v>
      </c>
      <c r="I42" s="7">
        <f t="shared" si="2"/>
        <v>4473.7900666639362</v>
      </c>
    </row>
    <row r="43" spans="1:9" ht="15">
      <c r="A43" s="50">
        <v>283</v>
      </c>
      <c r="B43" s="7" t="s">
        <v>209</v>
      </c>
      <c r="C43" s="7"/>
      <c r="D43" s="7">
        <v>-246342</v>
      </c>
      <c r="E43" s="7"/>
      <c r="F43" s="7" t="s">
        <v>164</v>
      </c>
      <c r="G43" s="153">
        <f t="shared" si="1"/>
        <v>0.16569592839496061</v>
      </c>
      <c r="I43" s="7">
        <f t="shared" si="2"/>
        <v>-40817.866392671385</v>
      </c>
    </row>
    <row r="44" spans="1:9" ht="15.75" thickBot="1">
      <c r="A44" s="50"/>
      <c r="B44" s="46" t="s">
        <v>230</v>
      </c>
      <c r="C44" s="46"/>
      <c r="D44" s="51">
        <f>SUM(D21:D43)</f>
        <v>-649870342</v>
      </c>
      <c r="E44" s="7"/>
      <c r="F44" s="7"/>
      <c r="I44" s="51">
        <f>SUM(I21:I43)</f>
        <v>-5894808.5990265198</v>
      </c>
    </row>
    <row r="45" spans="1:9" ht="15.75" thickTop="1">
      <c r="A45" s="50"/>
      <c r="B45" s="46"/>
      <c r="C45" s="46"/>
      <c r="D45" s="54"/>
      <c r="E45" s="7"/>
      <c r="F45" s="7"/>
    </row>
    <row r="46" spans="1:9" ht="15">
      <c r="A46" s="50"/>
      <c r="B46" s="46"/>
      <c r="C46" s="46"/>
      <c r="D46" s="54"/>
      <c r="E46" s="7"/>
      <c r="F46" s="7"/>
    </row>
    <row r="47" spans="1:9" ht="15.75" thickBot="1">
      <c r="A47" s="7"/>
      <c r="B47" s="51" t="s">
        <v>751</v>
      </c>
      <c r="C47" s="51"/>
      <c r="D47" s="51">
        <f>'PEF - 5, p1 PY ADIT 190'!D60+D13+D19+D44</f>
        <v>-558453115</v>
      </c>
      <c r="E47" s="51"/>
      <c r="F47" s="51"/>
      <c r="G47" s="51"/>
      <c r="H47" s="51"/>
      <c r="I47" s="51">
        <f>'PEF - 5, p1 PY ADIT 190'!I60+I13+I19+I44</f>
        <v>-86965779.736285612</v>
      </c>
    </row>
    <row r="48" spans="1:9" ht="15.75" thickTop="1">
      <c r="A48" s="50"/>
      <c r="B48" s="7"/>
      <c r="C48" s="7"/>
      <c r="D48" s="7"/>
      <c r="E48" s="7"/>
      <c r="F48" s="7"/>
    </row>
    <row r="49" spans="1:6" ht="15">
      <c r="A49" s="50"/>
      <c r="B49" s="7"/>
      <c r="C49" s="7"/>
      <c r="D49" s="7"/>
      <c r="E49" s="7"/>
      <c r="F49" s="7"/>
    </row>
    <row r="50" spans="1:6" ht="15">
      <c r="A50" s="50"/>
      <c r="B50" s="7"/>
      <c r="C50" s="7"/>
      <c r="D50" s="7"/>
      <c r="E50" s="7"/>
      <c r="F50" s="7"/>
    </row>
    <row r="51" spans="1:6" ht="15">
      <c r="A51" s="50"/>
      <c r="B51" s="7"/>
      <c r="C51" s="7"/>
      <c r="D51" s="7"/>
      <c r="E51" s="7"/>
      <c r="F51" s="7"/>
    </row>
    <row r="52" spans="1:6" ht="15">
      <c r="A52" s="50"/>
      <c r="B52" s="7"/>
      <c r="C52" s="7"/>
      <c r="D52" s="7"/>
      <c r="E52" s="7"/>
      <c r="F52" s="7"/>
    </row>
    <row r="53" spans="1:6" ht="15">
      <c r="A53" s="50"/>
      <c r="B53" s="7"/>
      <c r="C53" s="7"/>
      <c r="D53" s="7"/>
      <c r="E53" s="7"/>
      <c r="F53" s="7"/>
    </row>
    <row r="54" spans="1:6" ht="15">
      <c r="A54" s="50"/>
      <c r="B54" s="7"/>
      <c r="C54" s="7"/>
      <c r="D54" s="7"/>
      <c r="E54" s="7"/>
      <c r="F54" s="7"/>
    </row>
    <row r="55" spans="1:6" ht="15">
      <c r="A55" s="50"/>
      <c r="B55" s="7"/>
      <c r="C55" s="7"/>
      <c r="D55" s="7"/>
      <c r="E55" s="7"/>
      <c r="F55" s="7"/>
    </row>
    <row r="56" spans="1:6" ht="15">
      <c r="A56" s="50"/>
      <c r="B56" s="7"/>
      <c r="C56" s="7"/>
      <c r="D56" s="7"/>
      <c r="E56" s="7"/>
      <c r="F56" s="7"/>
    </row>
    <row r="57" spans="1:6" ht="15">
      <c r="A57" s="50"/>
      <c r="B57" s="7"/>
      <c r="C57" s="7"/>
      <c r="D57" s="7"/>
      <c r="E57" s="7"/>
      <c r="F57" s="7"/>
    </row>
    <row r="58" spans="1:6" ht="15">
      <c r="A58" s="50"/>
      <c r="B58" s="7"/>
      <c r="C58" s="7"/>
      <c r="D58" s="7"/>
      <c r="E58" s="7"/>
      <c r="F58" s="7"/>
    </row>
    <row r="59" spans="1:6" ht="15">
      <c r="A59" s="50"/>
      <c r="B59" s="7"/>
      <c r="C59" s="7"/>
      <c r="D59" s="7"/>
      <c r="E59" s="7"/>
      <c r="F59" s="7"/>
    </row>
    <row r="60" spans="1:6" ht="15">
      <c r="A60" s="50"/>
      <c r="B60" s="7"/>
      <c r="C60" s="7"/>
      <c r="D60" s="7"/>
      <c r="E60" s="7"/>
      <c r="F60" s="7"/>
    </row>
    <row r="61" spans="1:6" ht="15">
      <c r="A61" s="50"/>
      <c r="B61" s="7"/>
      <c r="C61" s="7"/>
      <c r="D61" s="7"/>
      <c r="E61" s="7"/>
      <c r="F61" s="7"/>
    </row>
    <row r="62" spans="1:6" ht="15">
      <c r="A62" s="50"/>
      <c r="B62" s="7"/>
      <c r="C62" s="7"/>
      <c r="D62" s="7"/>
      <c r="E62" s="7"/>
      <c r="F62" s="7"/>
    </row>
    <row r="63" spans="1:6" ht="15">
      <c r="A63" s="50"/>
      <c r="B63" s="7"/>
      <c r="C63" s="7"/>
      <c r="D63" s="7"/>
      <c r="E63" s="7"/>
      <c r="F63" s="7"/>
    </row>
    <row r="64" spans="1:6" ht="15">
      <c r="A64" s="50"/>
      <c r="B64" s="7"/>
      <c r="C64" s="7"/>
      <c r="D64" s="7"/>
      <c r="E64" s="7"/>
      <c r="F64" s="7"/>
    </row>
    <row r="65" spans="1:6" ht="15">
      <c r="A65" s="50"/>
      <c r="B65" s="7"/>
      <c r="C65" s="7"/>
      <c r="D65" s="7"/>
      <c r="E65" s="7"/>
      <c r="F65" s="7"/>
    </row>
    <row r="66" spans="1:6" ht="15.75" thickBot="1">
      <c r="A66" s="50"/>
      <c r="B66" s="46"/>
      <c r="C66" s="46"/>
      <c r="D66" s="51"/>
      <c r="E66" s="7"/>
      <c r="F66" s="7"/>
    </row>
    <row r="67" spans="1:6" ht="13.5" thickTop="1"/>
  </sheetData>
  <mergeCells count="4">
    <mergeCell ref="I1:J1"/>
    <mergeCell ref="I3:J3"/>
    <mergeCell ref="A5:I5"/>
    <mergeCell ref="A6:I6"/>
  </mergeCells>
  <printOptions horizontalCentered="1"/>
  <pageMargins left="0.7" right="0.7" top="0.75" bottom="0.75" header="0.3" footer="0.3"/>
  <pageSetup scale="6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topLeftCell="A49" workbookViewId="0">
      <selection activeCell="J77" sqref="J77"/>
    </sheetView>
  </sheetViews>
  <sheetFormatPr defaultRowHeight="12.75"/>
  <cols>
    <col min="1" max="1" width="9.7109375" customWidth="1"/>
    <col min="2" max="2" width="44.7109375" customWidth="1"/>
    <col min="3" max="3" width="5.7109375" customWidth="1"/>
    <col min="4" max="4" width="20.7109375" customWidth="1"/>
    <col min="5" max="5" width="5.7109375" customWidth="1"/>
    <col min="8" max="8" width="5.7109375" customWidth="1"/>
    <col min="9" max="9" width="15.140625" customWidth="1"/>
    <col min="10" max="10" width="10.5703125" customWidth="1"/>
  </cols>
  <sheetData>
    <row r="1" spans="1:10" ht="15.75">
      <c r="A1" s="7"/>
      <c r="B1" s="7"/>
      <c r="C1" s="7"/>
      <c r="D1" s="7"/>
      <c r="E1" s="7"/>
      <c r="F1" s="7"/>
      <c r="G1" s="7"/>
      <c r="H1" s="7"/>
      <c r="I1" s="258" t="s">
        <v>153</v>
      </c>
      <c r="J1" s="258"/>
    </row>
    <row r="2" spans="1:10" ht="15.75">
      <c r="A2" s="7"/>
      <c r="B2" s="7"/>
      <c r="C2" s="7"/>
      <c r="D2" s="7"/>
      <c r="E2" s="7"/>
      <c r="F2" s="7"/>
      <c r="G2" s="7"/>
      <c r="H2" s="7"/>
      <c r="I2" s="49" t="s">
        <v>234</v>
      </c>
      <c r="J2" s="49"/>
    </row>
    <row r="3" spans="1:10" ht="15">
      <c r="A3" s="7"/>
      <c r="B3" s="44"/>
      <c r="C3" s="44"/>
      <c r="D3" s="7"/>
      <c r="E3" s="7"/>
      <c r="F3" s="7"/>
      <c r="G3" s="7"/>
      <c r="H3" s="7"/>
      <c r="I3" s="273" t="str">
        <f>'PEF - 6  p1, FF1 Inputs '!K3</f>
        <v>Year Ending 12/31/2009</v>
      </c>
      <c r="J3" s="273"/>
    </row>
    <row r="4" spans="1:10" ht="15">
      <c r="A4" s="7"/>
      <c r="B4" s="44"/>
      <c r="C4" s="44"/>
      <c r="D4" s="7"/>
      <c r="E4" s="7"/>
      <c r="F4" s="7"/>
      <c r="G4" s="7"/>
      <c r="H4" s="7"/>
      <c r="I4" s="36"/>
      <c r="J4" s="36"/>
    </row>
    <row r="5" spans="1:10" ht="15">
      <c r="A5" s="285" t="s">
        <v>70</v>
      </c>
      <c r="B5" s="286"/>
      <c r="C5" s="286"/>
      <c r="D5" s="286"/>
      <c r="E5" s="286"/>
      <c r="F5" s="286"/>
      <c r="G5" s="286"/>
      <c r="H5" s="286"/>
      <c r="I5" s="286"/>
      <c r="J5" s="36"/>
    </row>
    <row r="6" spans="1:10" ht="15">
      <c r="A6" s="285" t="s">
        <v>233</v>
      </c>
      <c r="B6" s="286"/>
      <c r="C6" s="286"/>
      <c r="D6" s="286"/>
      <c r="E6" s="286"/>
      <c r="F6" s="286"/>
      <c r="G6" s="286"/>
      <c r="H6" s="286"/>
      <c r="I6" s="286"/>
      <c r="J6" s="36"/>
    </row>
    <row r="7" spans="1:10" ht="15">
      <c r="A7" s="7"/>
      <c r="B7" s="44"/>
      <c r="C7" s="44"/>
      <c r="D7" s="7"/>
      <c r="E7" s="7"/>
      <c r="F7" s="7"/>
      <c r="G7" s="7"/>
      <c r="H7" s="7"/>
      <c r="I7" s="36"/>
      <c r="J7" s="36"/>
    </row>
    <row r="8" spans="1:10" ht="15">
      <c r="A8" s="46"/>
      <c r="B8" s="46"/>
      <c r="C8" s="46"/>
      <c r="D8" s="46"/>
      <c r="E8" s="7"/>
      <c r="F8" s="7"/>
      <c r="G8" s="7"/>
      <c r="H8" s="7"/>
      <c r="I8" s="7"/>
      <c r="J8" s="7"/>
    </row>
    <row r="9" spans="1:10" ht="15">
      <c r="A9" s="46"/>
      <c r="B9" s="46"/>
      <c r="C9" s="46"/>
      <c r="D9" s="47" t="s">
        <v>156</v>
      </c>
      <c r="E9" s="7"/>
      <c r="F9" s="48" t="s">
        <v>157</v>
      </c>
      <c r="G9" s="48" t="s">
        <v>158</v>
      </c>
      <c r="H9" s="48"/>
      <c r="I9" s="48" t="s">
        <v>159</v>
      </c>
      <c r="J9" s="7"/>
    </row>
    <row r="10" spans="1:10" ht="15">
      <c r="A10" s="46" t="s">
        <v>160</v>
      </c>
      <c r="B10" s="46" t="s">
        <v>75</v>
      </c>
      <c r="C10" s="47"/>
      <c r="D10" s="217" t="s">
        <v>828</v>
      </c>
      <c r="E10" s="7"/>
      <c r="F10" s="7"/>
      <c r="G10" s="7"/>
      <c r="H10" s="7"/>
      <c r="I10" s="7"/>
      <c r="J10" s="7"/>
    </row>
    <row r="12" spans="1:10" ht="15">
      <c r="A12" s="50">
        <v>190</v>
      </c>
      <c r="B12" s="7" t="s">
        <v>809</v>
      </c>
      <c r="C12" s="7"/>
      <c r="D12" s="7">
        <v>3282074</v>
      </c>
      <c r="E12" s="7"/>
      <c r="F12" s="7" t="s">
        <v>162</v>
      </c>
      <c r="G12" s="153">
        <f t="shared" ref="G12:G75" si="0">VLOOKUP(F12,Alloc_Factors,2,FALSE)</f>
        <v>0</v>
      </c>
      <c r="I12" s="7">
        <f>D12*G12</f>
        <v>0</v>
      </c>
    </row>
    <row r="13" spans="1:10" ht="15">
      <c r="A13" s="50">
        <v>190</v>
      </c>
      <c r="B13" s="7" t="s">
        <v>810</v>
      </c>
      <c r="C13" s="7"/>
      <c r="D13" s="7">
        <v>475280</v>
      </c>
      <c r="E13" s="7"/>
      <c r="F13" s="7" t="s">
        <v>166</v>
      </c>
      <c r="G13" s="153">
        <f t="shared" si="0"/>
        <v>0</v>
      </c>
      <c r="I13" s="7">
        <f t="shared" ref="I13:I75" si="1">D13*G13</f>
        <v>0</v>
      </c>
    </row>
    <row r="14" spans="1:10" ht="15">
      <c r="A14" s="50">
        <v>190</v>
      </c>
      <c r="B14" s="7" t="s">
        <v>811</v>
      </c>
      <c r="C14" s="7"/>
      <c r="D14" s="7">
        <v>226929</v>
      </c>
      <c r="E14" s="7"/>
      <c r="F14" s="7" t="s">
        <v>176</v>
      </c>
      <c r="G14" s="153">
        <f t="shared" si="0"/>
        <v>0</v>
      </c>
      <c r="I14" s="7">
        <f t="shared" si="1"/>
        <v>0</v>
      </c>
    </row>
    <row r="15" spans="1:10" ht="15">
      <c r="A15" s="50">
        <v>190</v>
      </c>
      <c r="B15" s="7" t="s">
        <v>163</v>
      </c>
      <c r="C15" s="7"/>
      <c r="D15" s="7">
        <v>655775</v>
      </c>
      <c r="E15" s="7"/>
      <c r="F15" s="7" t="s">
        <v>164</v>
      </c>
      <c r="G15" s="153">
        <f t="shared" si="0"/>
        <v>0.16569592839496061</v>
      </c>
      <c r="I15" s="7">
        <f t="shared" si="1"/>
        <v>108659.2474432053</v>
      </c>
    </row>
    <row r="16" spans="1:10" ht="15">
      <c r="A16" s="50">
        <v>190</v>
      </c>
      <c r="B16" s="7" t="s">
        <v>165</v>
      </c>
      <c r="C16" s="7"/>
      <c r="D16" s="7">
        <v>4730606</v>
      </c>
      <c r="E16" s="7"/>
      <c r="F16" s="7" t="s">
        <v>166</v>
      </c>
      <c r="G16" s="153">
        <f t="shared" si="0"/>
        <v>0</v>
      </c>
      <c r="I16" s="7">
        <f t="shared" si="1"/>
        <v>0</v>
      </c>
    </row>
    <row r="17" spans="1:11" ht="15">
      <c r="A17" s="50">
        <v>190</v>
      </c>
      <c r="B17" s="7" t="s">
        <v>169</v>
      </c>
      <c r="C17" s="7"/>
      <c r="D17" s="7">
        <v>273400</v>
      </c>
      <c r="E17" s="7"/>
      <c r="F17" s="7" t="s">
        <v>164</v>
      </c>
      <c r="G17" s="153">
        <f t="shared" si="0"/>
        <v>0.16569592839496061</v>
      </c>
      <c r="I17" s="7">
        <f t="shared" si="1"/>
        <v>45301.266823182232</v>
      </c>
    </row>
    <row r="18" spans="1:11" ht="15">
      <c r="A18" s="50">
        <v>190</v>
      </c>
      <c r="B18" s="7" t="s">
        <v>170</v>
      </c>
      <c r="C18" s="7"/>
      <c r="D18" s="7">
        <v>210445</v>
      </c>
      <c r="E18" s="7"/>
      <c r="F18" s="7" t="s">
        <v>168</v>
      </c>
      <c r="G18" s="153">
        <f t="shared" si="0"/>
        <v>7.05738175871157E-2</v>
      </c>
      <c r="I18" s="7">
        <f t="shared" si="1"/>
        <v>14851.907042120563</v>
      </c>
    </row>
    <row r="19" spans="1:11" ht="15">
      <c r="A19" s="50">
        <v>190</v>
      </c>
      <c r="B19" s="7" t="s">
        <v>171</v>
      </c>
      <c r="C19" s="7"/>
      <c r="D19" s="7">
        <v>941869</v>
      </c>
      <c r="E19" s="7"/>
      <c r="F19" s="7" t="s">
        <v>168</v>
      </c>
      <c r="G19" s="153">
        <f t="shared" si="0"/>
        <v>7.05738175871157E-2</v>
      </c>
      <c r="I19" s="7">
        <f t="shared" si="1"/>
        <v>66471.290996959084</v>
      </c>
    </row>
    <row r="20" spans="1:11" ht="15">
      <c r="A20" s="50">
        <v>190</v>
      </c>
      <c r="B20" s="7" t="s">
        <v>812</v>
      </c>
      <c r="C20" s="7"/>
      <c r="D20" s="7">
        <v>2148182</v>
      </c>
      <c r="E20" s="7"/>
      <c r="F20" s="7" t="s">
        <v>168</v>
      </c>
      <c r="G20" s="153">
        <f t="shared" si="0"/>
        <v>7.05738175871157E-2</v>
      </c>
      <c r="I20" s="7">
        <f t="shared" si="1"/>
        <v>151605.40461192539</v>
      </c>
    </row>
    <row r="21" spans="1:11" ht="15">
      <c r="A21" s="50">
        <v>190</v>
      </c>
      <c r="B21" s="7" t="s">
        <v>172</v>
      </c>
      <c r="C21" s="7"/>
      <c r="D21" s="7">
        <v>267811</v>
      </c>
      <c r="E21" s="7"/>
      <c r="F21" s="7" t="s">
        <v>168</v>
      </c>
      <c r="G21" s="153">
        <f t="shared" si="0"/>
        <v>7.05738175871157E-2</v>
      </c>
      <c r="I21" s="7">
        <f t="shared" si="1"/>
        <v>18900.444661823043</v>
      </c>
    </row>
    <row r="22" spans="1:11" ht="15">
      <c r="A22" s="50">
        <v>190</v>
      </c>
      <c r="B22" s="7" t="s">
        <v>173</v>
      </c>
      <c r="C22" s="7"/>
      <c r="D22" s="7">
        <v>9781117</v>
      </c>
      <c r="E22" s="7"/>
      <c r="F22" s="7" t="s">
        <v>168</v>
      </c>
      <c r="G22" s="153">
        <f t="shared" si="0"/>
        <v>7.05738175871157E-2</v>
      </c>
      <c r="I22" s="7">
        <f t="shared" si="1"/>
        <v>690290.76695623633</v>
      </c>
    </row>
    <row r="23" spans="1:11" ht="15">
      <c r="A23" s="50">
        <v>190</v>
      </c>
      <c r="B23" s="7" t="s">
        <v>175</v>
      </c>
      <c r="C23" s="7"/>
      <c r="D23" s="7">
        <v>-2745075</v>
      </c>
      <c r="E23" s="7"/>
      <c r="F23" s="7" t="s">
        <v>176</v>
      </c>
      <c r="G23" s="153">
        <f t="shared" si="0"/>
        <v>0</v>
      </c>
      <c r="I23" s="7">
        <f t="shared" si="1"/>
        <v>0</v>
      </c>
    </row>
    <row r="24" spans="1:11" ht="15">
      <c r="A24" s="50">
        <v>190</v>
      </c>
      <c r="B24" s="7" t="s">
        <v>177</v>
      </c>
      <c r="C24" s="7"/>
      <c r="D24" s="7">
        <v>1423580</v>
      </c>
      <c r="E24" s="7"/>
      <c r="F24" s="7" t="s">
        <v>162</v>
      </c>
      <c r="G24" s="153">
        <f t="shared" si="0"/>
        <v>0</v>
      </c>
      <c r="I24" s="7">
        <f t="shared" si="1"/>
        <v>0</v>
      </c>
    </row>
    <row r="25" spans="1:11" ht="15">
      <c r="A25" s="50">
        <v>190</v>
      </c>
      <c r="B25" s="7" t="s">
        <v>178</v>
      </c>
      <c r="C25" s="7"/>
      <c r="D25" s="7">
        <v>46564248</v>
      </c>
      <c r="E25" s="7"/>
      <c r="F25" s="7" t="s">
        <v>162</v>
      </c>
      <c r="G25" s="153">
        <f t="shared" si="0"/>
        <v>0</v>
      </c>
      <c r="I25" s="7">
        <f t="shared" si="1"/>
        <v>0</v>
      </c>
    </row>
    <row r="26" spans="1:11" ht="15">
      <c r="A26" s="50">
        <v>190</v>
      </c>
      <c r="B26" s="7" t="s">
        <v>179</v>
      </c>
      <c r="C26" s="7"/>
      <c r="D26" s="7">
        <v>1863681</v>
      </c>
      <c r="E26" s="7"/>
      <c r="F26" s="7" t="s">
        <v>168</v>
      </c>
      <c r="G26" s="153">
        <f t="shared" si="0"/>
        <v>7.05738175871157E-2</v>
      </c>
      <c r="I26" s="7">
        <f t="shared" si="1"/>
        <v>131527.08293457338</v>
      </c>
    </row>
    <row r="27" spans="1:11" ht="15">
      <c r="A27" s="50">
        <v>190</v>
      </c>
      <c r="B27" s="7" t="s">
        <v>180</v>
      </c>
      <c r="C27" s="7"/>
      <c r="D27" s="7">
        <v>388225</v>
      </c>
      <c r="E27" s="7"/>
      <c r="F27" s="7" t="s">
        <v>166</v>
      </c>
      <c r="G27" s="153">
        <f t="shared" si="0"/>
        <v>0</v>
      </c>
      <c r="I27" s="7">
        <f t="shared" si="1"/>
        <v>0</v>
      </c>
    </row>
    <row r="28" spans="1:11" ht="15">
      <c r="A28" s="50">
        <v>190</v>
      </c>
      <c r="B28" s="7" t="s">
        <v>181</v>
      </c>
      <c r="C28" s="7"/>
      <c r="D28" s="7">
        <v>3158302</v>
      </c>
      <c r="E28" s="7"/>
      <c r="F28" s="7" t="s">
        <v>164</v>
      </c>
      <c r="G28" s="153">
        <f t="shared" si="0"/>
        <v>0.16569592839496061</v>
      </c>
      <c r="I28" s="7">
        <f t="shared" si="1"/>
        <v>523317.78204166092</v>
      </c>
      <c r="K28" s="203"/>
    </row>
    <row r="29" spans="1:11" ht="15">
      <c r="A29" s="50">
        <v>190</v>
      </c>
      <c r="B29" s="7" t="s">
        <v>813</v>
      </c>
      <c r="C29" s="7"/>
      <c r="D29" s="7">
        <v>3343000</v>
      </c>
      <c r="E29" s="7"/>
      <c r="F29" s="7" t="s">
        <v>176</v>
      </c>
      <c r="G29" s="153">
        <f t="shared" si="0"/>
        <v>0</v>
      </c>
      <c r="I29" s="7">
        <f t="shared" si="1"/>
        <v>0</v>
      </c>
    </row>
    <row r="30" spans="1:11" ht="15">
      <c r="A30" s="50">
        <v>190</v>
      </c>
      <c r="B30" s="7" t="s">
        <v>235</v>
      </c>
      <c r="C30" s="7"/>
      <c r="D30" s="7">
        <v>52446305</v>
      </c>
      <c r="E30" s="7"/>
      <c r="F30" s="7" t="s">
        <v>162</v>
      </c>
      <c r="G30" s="153">
        <f t="shared" si="0"/>
        <v>0</v>
      </c>
      <c r="I30" s="7">
        <f t="shared" si="1"/>
        <v>0</v>
      </c>
    </row>
    <row r="31" spans="1:11" ht="15">
      <c r="A31" s="50">
        <v>190</v>
      </c>
      <c r="B31" s="7" t="s">
        <v>182</v>
      </c>
      <c r="C31" s="7"/>
      <c r="D31" s="7">
        <v>6585440</v>
      </c>
      <c r="E31" s="7"/>
      <c r="F31" s="7" t="s">
        <v>168</v>
      </c>
      <c r="G31" s="153">
        <f t="shared" si="0"/>
        <v>7.05738175871157E-2</v>
      </c>
      <c r="I31" s="7">
        <f t="shared" si="1"/>
        <v>464759.64129089523</v>
      </c>
    </row>
    <row r="32" spans="1:11" ht="15">
      <c r="A32" s="50">
        <v>190</v>
      </c>
      <c r="B32" s="7" t="s">
        <v>183</v>
      </c>
      <c r="C32" s="7"/>
      <c r="D32" s="7">
        <v>964035</v>
      </c>
      <c r="E32" s="7"/>
      <c r="F32" s="7" t="s">
        <v>168</v>
      </c>
      <c r="G32" s="153">
        <f t="shared" si="0"/>
        <v>7.05738175871157E-2</v>
      </c>
      <c r="I32" s="7">
        <f t="shared" si="1"/>
        <v>68035.630237595091</v>
      </c>
    </row>
    <row r="33" spans="1:11" ht="15">
      <c r="A33" s="50">
        <v>190</v>
      </c>
      <c r="B33" s="7" t="s">
        <v>184</v>
      </c>
      <c r="C33" s="7"/>
      <c r="D33" s="7">
        <v>16284020</v>
      </c>
      <c r="E33" s="7"/>
      <c r="F33" s="7" t="s">
        <v>168</v>
      </c>
      <c r="G33" s="153">
        <f t="shared" si="0"/>
        <v>7.05738175871157E-2</v>
      </c>
      <c r="I33" s="7">
        <f t="shared" si="1"/>
        <v>1149225.4570649439</v>
      </c>
    </row>
    <row r="34" spans="1:11" ht="15">
      <c r="A34" s="50">
        <v>190</v>
      </c>
      <c r="B34" s="7" t="s">
        <v>186</v>
      </c>
      <c r="C34" s="7"/>
      <c r="D34" s="7">
        <v>3818939</v>
      </c>
      <c r="E34" s="7"/>
      <c r="F34" s="7" t="s">
        <v>176</v>
      </c>
      <c r="G34" s="153">
        <f t="shared" si="0"/>
        <v>0</v>
      </c>
      <c r="I34" s="7">
        <f t="shared" si="1"/>
        <v>0</v>
      </c>
    </row>
    <row r="35" spans="1:11" ht="15">
      <c r="A35" s="50">
        <v>190</v>
      </c>
      <c r="B35" s="7" t="s">
        <v>187</v>
      </c>
      <c r="C35" s="7"/>
      <c r="D35" s="7">
        <v>5207625</v>
      </c>
      <c r="E35" s="7"/>
      <c r="F35" s="7" t="s">
        <v>176</v>
      </c>
      <c r="G35" s="153">
        <f t="shared" si="0"/>
        <v>0</v>
      </c>
      <c r="I35" s="7">
        <f t="shared" si="1"/>
        <v>0</v>
      </c>
    </row>
    <row r="36" spans="1:11" ht="15">
      <c r="A36" s="50">
        <v>190</v>
      </c>
      <c r="B36" s="7" t="s">
        <v>236</v>
      </c>
      <c r="C36" s="7"/>
      <c r="D36" s="7">
        <v>2018751</v>
      </c>
      <c r="E36" s="7"/>
      <c r="F36" s="7" t="s">
        <v>176</v>
      </c>
      <c r="G36" s="153">
        <f t="shared" si="0"/>
        <v>0</v>
      </c>
      <c r="I36" s="7">
        <f t="shared" si="1"/>
        <v>0</v>
      </c>
      <c r="K36" s="203"/>
    </row>
    <row r="37" spans="1:11" ht="15">
      <c r="A37" s="50">
        <v>190</v>
      </c>
      <c r="B37" s="7" t="s">
        <v>188</v>
      </c>
      <c r="C37" s="7"/>
      <c r="D37" s="7">
        <v>421935</v>
      </c>
      <c r="E37" s="7"/>
      <c r="F37" s="7" t="s">
        <v>168</v>
      </c>
      <c r="G37" s="153">
        <f t="shared" si="0"/>
        <v>7.05738175871157E-2</v>
      </c>
      <c r="I37" s="7">
        <f t="shared" si="1"/>
        <v>29777.563723619664</v>
      </c>
    </row>
    <row r="38" spans="1:11" ht="15">
      <c r="A38" s="50">
        <v>190</v>
      </c>
      <c r="B38" s="7" t="s">
        <v>189</v>
      </c>
      <c r="C38" s="7"/>
      <c r="D38" s="7">
        <v>231428</v>
      </c>
      <c r="E38" s="7"/>
      <c r="F38" s="7" t="s">
        <v>190</v>
      </c>
      <c r="G38" s="153">
        <f t="shared" si="0"/>
        <v>0</v>
      </c>
      <c r="I38" s="7">
        <f t="shared" si="1"/>
        <v>0</v>
      </c>
    </row>
    <row r="39" spans="1:11" ht="15">
      <c r="A39" s="50">
        <v>190</v>
      </c>
      <c r="B39" s="7" t="s">
        <v>191</v>
      </c>
      <c r="C39" s="7"/>
      <c r="D39" s="7">
        <v>11262704</v>
      </c>
      <c r="E39" s="7"/>
      <c r="F39" s="7" t="s">
        <v>168</v>
      </c>
      <c r="G39" s="153">
        <f t="shared" si="0"/>
        <v>7.05738175871157E-2</v>
      </c>
      <c r="I39" s="7">
        <f t="shared" si="1"/>
        <v>794852.01763367839</v>
      </c>
    </row>
    <row r="40" spans="1:11" ht="15">
      <c r="A40" s="50">
        <v>190</v>
      </c>
      <c r="B40" s="7" t="s">
        <v>193</v>
      </c>
      <c r="C40" s="7"/>
      <c r="D40" s="7">
        <v>1048880</v>
      </c>
      <c r="E40" s="7"/>
      <c r="F40" s="7" t="s">
        <v>168</v>
      </c>
      <c r="G40" s="153">
        <f t="shared" si="0"/>
        <v>7.05738175871157E-2</v>
      </c>
      <c r="I40" s="7">
        <f t="shared" si="1"/>
        <v>74023.465790773917</v>
      </c>
    </row>
    <row r="41" spans="1:11" ht="15">
      <c r="A41" s="50">
        <v>190</v>
      </c>
      <c r="B41" s="7" t="s">
        <v>194</v>
      </c>
      <c r="C41" s="7"/>
      <c r="D41" s="7">
        <v>304346</v>
      </c>
      <c r="E41" s="7"/>
      <c r="F41" s="7" t="s">
        <v>176</v>
      </c>
      <c r="G41" s="153">
        <f t="shared" si="0"/>
        <v>0</v>
      </c>
      <c r="I41" s="7">
        <f t="shared" si="1"/>
        <v>0</v>
      </c>
    </row>
    <row r="42" spans="1:11" ht="15">
      <c r="A42" s="50">
        <v>190</v>
      </c>
      <c r="B42" s="7" t="s">
        <v>195</v>
      </c>
      <c r="C42" s="7"/>
      <c r="D42" s="7">
        <v>2609245</v>
      </c>
      <c r="E42" s="7"/>
      <c r="F42" s="7" t="s">
        <v>168</v>
      </c>
      <c r="G42" s="153">
        <f t="shared" si="0"/>
        <v>7.05738175871157E-2</v>
      </c>
      <c r="I42" s="7">
        <f t="shared" si="1"/>
        <v>184144.3806700937</v>
      </c>
    </row>
    <row r="43" spans="1:11" ht="15">
      <c r="A43" s="50">
        <v>190</v>
      </c>
      <c r="B43" s="7" t="s">
        <v>196</v>
      </c>
      <c r="C43" s="7"/>
      <c r="D43" s="7">
        <v>44062590</v>
      </c>
      <c r="E43" s="7"/>
      <c r="F43" s="7" t="s">
        <v>176</v>
      </c>
      <c r="G43" s="153">
        <f t="shared" si="0"/>
        <v>0</v>
      </c>
      <c r="I43" s="7">
        <f t="shared" si="1"/>
        <v>0</v>
      </c>
    </row>
    <row r="44" spans="1:11" ht="15">
      <c r="A44" s="50">
        <v>190</v>
      </c>
      <c r="B44" s="7" t="s">
        <v>197</v>
      </c>
      <c r="C44" s="7"/>
      <c r="D44" s="7">
        <v>7601512</v>
      </c>
      <c r="E44" s="7"/>
      <c r="F44" s="7" t="s">
        <v>174</v>
      </c>
      <c r="G44" s="153">
        <f t="shared" si="0"/>
        <v>0</v>
      </c>
      <c r="I44" s="7">
        <f t="shared" si="1"/>
        <v>0</v>
      </c>
    </row>
    <row r="45" spans="1:11" ht="15">
      <c r="A45" s="50">
        <v>190</v>
      </c>
      <c r="B45" s="7" t="s">
        <v>198</v>
      </c>
      <c r="C45" s="7"/>
      <c r="D45" s="7">
        <v>25374</v>
      </c>
      <c r="E45" s="7"/>
      <c r="F45" s="7" t="s">
        <v>176</v>
      </c>
      <c r="G45" s="153">
        <f t="shared" si="0"/>
        <v>0</v>
      </c>
      <c r="I45" s="7">
        <f t="shared" si="1"/>
        <v>0</v>
      </c>
    </row>
    <row r="46" spans="1:11" ht="15">
      <c r="A46" s="50">
        <v>190</v>
      </c>
      <c r="B46" s="7" t="s">
        <v>199</v>
      </c>
      <c r="C46" s="7"/>
      <c r="D46" s="7">
        <v>9744653</v>
      </c>
      <c r="E46" s="7"/>
      <c r="F46" s="7" t="s">
        <v>166</v>
      </c>
      <c r="G46" s="153">
        <f t="shared" si="0"/>
        <v>0</v>
      </c>
      <c r="I46" s="7">
        <f t="shared" si="1"/>
        <v>0</v>
      </c>
    </row>
    <row r="47" spans="1:11" ht="15">
      <c r="A47" s="50">
        <v>190</v>
      </c>
      <c r="B47" s="7" t="s">
        <v>200</v>
      </c>
      <c r="C47" s="7"/>
      <c r="D47" s="7">
        <v>2685016</v>
      </c>
      <c r="E47" s="7"/>
      <c r="F47" s="7" t="s">
        <v>164</v>
      </c>
      <c r="G47" s="153">
        <f t="shared" si="0"/>
        <v>0.16569592839496061</v>
      </c>
      <c r="I47" s="7">
        <f t="shared" si="1"/>
        <v>444896.21887532354</v>
      </c>
    </row>
    <row r="48" spans="1:11" ht="15">
      <c r="A48" s="50">
        <v>190</v>
      </c>
      <c r="B48" s="7" t="s">
        <v>202</v>
      </c>
      <c r="C48" s="7"/>
      <c r="D48" s="7">
        <v>199273</v>
      </c>
      <c r="E48" s="7"/>
      <c r="F48" s="7" t="s">
        <v>164</v>
      </c>
      <c r="G48" s="153">
        <f t="shared" si="0"/>
        <v>0.16569592839496061</v>
      </c>
      <c r="I48" s="7">
        <f t="shared" si="1"/>
        <v>33018.724739048987</v>
      </c>
    </row>
    <row r="49" spans="1:9" ht="15">
      <c r="A49" s="50">
        <v>190</v>
      </c>
      <c r="B49" s="7" t="s">
        <v>203</v>
      </c>
      <c r="C49" s="7"/>
      <c r="D49" s="7">
        <v>-443068</v>
      </c>
      <c r="E49" s="7"/>
      <c r="F49" s="7" t="s">
        <v>164</v>
      </c>
      <c r="G49" s="153">
        <f t="shared" si="0"/>
        <v>0.16569592839496061</v>
      </c>
      <c r="I49" s="7">
        <f t="shared" si="1"/>
        <v>-73414.563602098409</v>
      </c>
    </row>
    <row r="50" spans="1:9" ht="15">
      <c r="A50" s="50">
        <v>190</v>
      </c>
      <c r="B50" s="7" t="s">
        <v>204</v>
      </c>
      <c r="C50" s="7"/>
      <c r="D50" s="7">
        <v>3267892</v>
      </c>
      <c r="E50" s="7"/>
      <c r="F50" s="7" t="s">
        <v>168</v>
      </c>
      <c r="G50" s="153">
        <f t="shared" si="0"/>
        <v>7.05738175871157E-2</v>
      </c>
      <c r="I50" s="7">
        <f t="shared" si="1"/>
        <v>230627.61390239469</v>
      </c>
    </row>
    <row r="51" spans="1:9" ht="15">
      <c r="A51" s="50">
        <v>190</v>
      </c>
      <c r="B51" s="7" t="s">
        <v>205</v>
      </c>
      <c r="C51" s="7"/>
      <c r="D51" s="7">
        <v>1250446</v>
      </c>
      <c r="E51" s="7"/>
      <c r="F51" s="7" t="s">
        <v>168</v>
      </c>
      <c r="G51" s="153">
        <f t="shared" si="0"/>
        <v>7.05738175871157E-2</v>
      </c>
      <c r="I51" s="7">
        <f t="shared" si="1"/>
        <v>88248.747906538483</v>
      </c>
    </row>
    <row r="52" spans="1:9" ht="15">
      <c r="A52" s="50">
        <v>190</v>
      </c>
      <c r="B52" s="7" t="s">
        <v>206</v>
      </c>
      <c r="C52" s="7"/>
      <c r="D52" s="7">
        <v>33174</v>
      </c>
      <c r="E52" s="7"/>
      <c r="F52" s="7" t="s">
        <v>168</v>
      </c>
      <c r="G52" s="153">
        <f t="shared" si="0"/>
        <v>7.05738175871157E-2</v>
      </c>
      <c r="I52" s="7">
        <f t="shared" si="1"/>
        <v>2341.2158246349763</v>
      </c>
    </row>
    <row r="53" spans="1:9" ht="15">
      <c r="A53" s="50">
        <v>190</v>
      </c>
      <c r="B53" s="7" t="s">
        <v>237</v>
      </c>
      <c r="C53" s="7"/>
      <c r="D53" s="7">
        <v>48528965</v>
      </c>
      <c r="E53" s="7"/>
      <c r="F53" s="7" t="s">
        <v>168</v>
      </c>
      <c r="G53" s="153">
        <f t="shared" si="0"/>
        <v>7.05738175871157E-2</v>
      </c>
      <c r="I53" s="7">
        <f t="shared" si="1"/>
        <v>3424874.3236015225</v>
      </c>
    </row>
    <row r="54" spans="1:9" ht="15">
      <c r="A54" s="50">
        <v>190</v>
      </c>
      <c r="B54" s="7" t="s">
        <v>221</v>
      </c>
      <c r="C54" s="7"/>
      <c r="D54" s="7">
        <v>33969</v>
      </c>
      <c r="E54" s="7"/>
      <c r="F54" s="7" t="s">
        <v>168</v>
      </c>
      <c r="G54" s="153">
        <f t="shared" si="0"/>
        <v>7.05738175871157E-2</v>
      </c>
      <c r="I54" s="7">
        <f t="shared" si="1"/>
        <v>2397.3220096167333</v>
      </c>
    </row>
    <row r="55" spans="1:9" ht="15">
      <c r="A55" s="50">
        <v>190</v>
      </c>
      <c r="B55" s="7" t="s">
        <v>238</v>
      </c>
      <c r="C55" s="7"/>
      <c r="D55" s="7">
        <v>1330245</v>
      </c>
      <c r="E55" s="7"/>
      <c r="F55" s="7" t="s">
        <v>166</v>
      </c>
      <c r="G55" s="153">
        <f t="shared" si="0"/>
        <v>0</v>
      </c>
      <c r="I55" s="7">
        <f t="shared" si="1"/>
        <v>0</v>
      </c>
    </row>
    <row r="56" spans="1:9" ht="15">
      <c r="A56" s="50">
        <v>190</v>
      </c>
      <c r="B56" s="7" t="s">
        <v>239</v>
      </c>
      <c r="C56" s="7"/>
      <c r="D56" s="7">
        <v>10173991</v>
      </c>
      <c r="E56" s="7"/>
      <c r="F56" s="7" t="s">
        <v>166</v>
      </c>
      <c r="G56" s="153">
        <f t="shared" si="0"/>
        <v>0</v>
      </c>
      <c r="I56" s="7">
        <f t="shared" si="1"/>
        <v>0</v>
      </c>
    </row>
    <row r="57" spans="1:9" ht="15">
      <c r="A57" s="50">
        <v>190</v>
      </c>
      <c r="B57" s="7" t="s">
        <v>240</v>
      </c>
      <c r="C57" s="7"/>
      <c r="D57" s="7">
        <v>129219947</v>
      </c>
      <c r="E57" s="7"/>
      <c r="F57" s="7" t="s">
        <v>176</v>
      </c>
      <c r="G57" s="153">
        <f t="shared" si="0"/>
        <v>0</v>
      </c>
      <c r="I57" s="7">
        <f t="shared" si="1"/>
        <v>0</v>
      </c>
    </row>
    <row r="58" spans="1:9" ht="15">
      <c r="A58" s="50">
        <v>190</v>
      </c>
      <c r="B58" s="7" t="s">
        <v>241</v>
      </c>
      <c r="C58" s="7"/>
      <c r="D58" s="7">
        <v>5266</v>
      </c>
      <c r="E58" s="7"/>
      <c r="F58" s="7" t="s">
        <v>166</v>
      </c>
      <c r="G58" s="153">
        <f t="shared" si="0"/>
        <v>0</v>
      </c>
      <c r="I58" s="7">
        <f t="shared" si="1"/>
        <v>0</v>
      </c>
    </row>
    <row r="59" spans="1:9" ht="15">
      <c r="A59" s="50">
        <v>190</v>
      </c>
      <c r="B59" s="7" t="s">
        <v>814</v>
      </c>
      <c r="C59" s="7"/>
      <c r="D59" s="7">
        <v>1020019</v>
      </c>
      <c r="E59" s="7"/>
      <c r="F59" s="7" t="s">
        <v>168</v>
      </c>
      <c r="G59" s="153">
        <f t="shared" ref="G59:G74" si="2">VLOOKUP(F59,Alloc_Factors,2,FALSE)</f>
        <v>7.05738175871157E-2</v>
      </c>
      <c r="I59" s="7">
        <f t="shared" ref="I59:I74" si="3">D59*G59</f>
        <v>71986.634841392166</v>
      </c>
    </row>
    <row r="60" spans="1:9" ht="15">
      <c r="A60" s="50">
        <v>190</v>
      </c>
      <c r="B60" s="7" t="s">
        <v>815</v>
      </c>
      <c r="C60" s="7"/>
      <c r="D60" s="7">
        <v>-251551</v>
      </c>
      <c r="E60" s="7"/>
      <c r="F60" s="7" t="s">
        <v>168</v>
      </c>
      <c r="G60" s="153">
        <f t="shared" si="2"/>
        <v>7.05738175871157E-2</v>
      </c>
      <c r="I60" s="7">
        <f t="shared" si="3"/>
        <v>-17752.914387856541</v>
      </c>
    </row>
    <row r="61" spans="1:9" ht="15">
      <c r="A61" s="50">
        <v>190</v>
      </c>
      <c r="B61" s="7" t="s">
        <v>757</v>
      </c>
      <c r="C61" s="7"/>
      <c r="D61" s="7">
        <v>-353780</v>
      </c>
      <c r="E61" s="7"/>
      <c r="F61" s="7" t="s">
        <v>168</v>
      </c>
      <c r="G61" s="153">
        <f t="shared" si="2"/>
        <v>7.05738175871157E-2</v>
      </c>
      <c r="I61" s="7">
        <f t="shared" si="3"/>
        <v>-24967.605185969791</v>
      </c>
    </row>
    <row r="62" spans="1:9" ht="15">
      <c r="A62" s="50">
        <v>190</v>
      </c>
      <c r="B62" s="7" t="s">
        <v>759</v>
      </c>
      <c r="C62" s="7"/>
      <c r="D62" s="7">
        <v>1040735</v>
      </c>
      <c r="E62" s="7"/>
      <c r="F62" s="7" t="s">
        <v>168</v>
      </c>
      <c r="G62" s="153">
        <f t="shared" si="2"/>
        <v>7.05738175871157E-2</v>
      </c>
      <c r="I62" s="7">
        <f t="shared" si="3"/>
        <v>73448.64204652686</v>
      </c>
    </row>
    <row r="63" spans="1:9" ht="15">
      <c r="A63" s="50">
        <v>190</v>
      </c>
      <c r="B63" s="7" t="s">
        <v>816</v>
      </c>
      <c r="C63" s="7"/>
      <c r="D63" s="7">
        <v>181401</v>
      </c>
      <c r="E63" s="7"/>
      <c r="F63" s="7" t="s">
        <v>168</v>
      </c>
      <c r="G63" s="153">
        <f t="shared" si="2"/>
        <v>7.05738175871157E-2</v>
      </c>
      <c r="I63" s="7">
        <f t="shared" si="3"/>
        <v>12802.161084120375</v>
      </c>
    </row>
    <row r="64" spans="1:9" ht="15">
      <c r="A64" s="50">
        <v>190</v>
      </c>
      <c r="B64" s="7" t="s">
        <v>817</v>
      </c>
      <c r="C64" s="7"/>
      <c r="D64" s="7">
        <v>678853</v>
      </c>
      <c r="E64" s="7"/>
      <c r="F64" s="7" t="s">
        <v>168</v>
      </c>
      <c r="G64" s="153">
        <f t="shared" si="2"/>
        <v>7.05738175871157E-2</v>
      </c>
      <c r="I64" s="7">
        <f t="shared" si="3"/>
        <v>47909.247790466252</v>
      </c>
    </row>
    <row r="65" spans="1:9" ht="15">
      <c r="A65" s="50">
        <v>190</v>
      </c>
      <c r="B65" s="7" t="s">
        <v>818</v>
      </c>
      <c r="C65" s="7"/>
      <c r="D65" s="7">
        <v>3232892</v>
      </c>
      <c r="E65" s="7"/>
      <c r="F65" s="7" t="s">
        <v>168</v>
      </c>
      <c r="G65" s="153">
        <f t="shared" si="2"/>
        <v>7.05738175871157E-2</v>
      </c>
      <c r="I65" s="7">
        <f t="shared" si="3"/>
        <v>228157.53028684566</v>
      </c>
    </row>
    <row r="66" spans="1:9" ht="15">
      <c r="A66" s="50">
        <v>190</v>
      </c>
      <c r="B66" s="7" t="s">
        <v>819</v>
      </c>
      <c r="C66" s="7"/>
      <c r="D66" s="7">
        <v>91014759</v>
      </c>
      <c r="E66" s="7"/>
      <c r="F66" s="7" t="s">
        <v>168</v>
      </c>
      <c r="G66" s="153">
        <f t="shared" si="2"/>
        <v>7.05738175871157E-2</v>
      </c>
      <c r="I66" s="7">
        <f t="shared" si="3"/>
        <v>6423258.9994012974</v>
      </c>
    </row>
    <row r="67" spans="1:9" ht="15">
      <c r="A67" s="50">
        <v>190</v>
      </c>
      <c r="B67" s="7" t="s">
        <v>820</v>
      </c>
      <c r="C67" s="7"/>
      <c r="D67" s="7">
        <v>-4171235</v>
      </c>
      <c r="E67" s="7"/>
      <c r="F67" s="7" t="s">
        <v>168</v>
      </c>
      <c r="G67" s="153">
        <f t="shared" si="2"/>
        <v>7.05738175871157E-2</v>
      </c>
      <c r="I67" s="7">
        <f t="shared" si="3"/>
        <v>-294379.97800299258</v>
      </c>
    </row>
    <row r="68" spans="1:9" ht="15">
      <c r="A68" s="50">
        <v>190</v>
      </c>
      <c r="B68" s="7" t="s">
        <v>821</v>
      </c>
      <c r="C68" s="7"/>
      <c r="D68" s="7">
        <v>8220245</v>
      </c>
      <c r="E68" s="7"/>
      <c r="F68" s="7" t="s">
        <v>168</v>
      </c>
      <c r="G68" s="153">
        <f t="shared" si="2"/>
        <v>7.05738175871157E-2</v>
      </c>
      <c r="I68" s="7">
        <f t="shared" si="3"/>
        <v>580134.07115139987</v>
      </c>
    </row>
    <row r="69" spans="1:9" ht="15">
      <c r="A69" s="50">
        <v>190</v>
      </c>
      <c r="B69" s="7" t="s">
        <v>822</v>
      </c>
      <c r="C69" s="7"/>
      <c r="D69" s="7">
        <f>16219723+11355</f>
        <v>16231078</v>
      </c>
      <c r="E69" s="7"/>
      <c r="F69" s="7" t="s">
        <v>166</v>
      </c>
      <c r="G69" s="153">
        <f t="shared" si="2"/>
        <v>0</v>
      </c>
      <c r="I69" s="7">
        <f t="shared" si="3"/>
        <v>0</v>
      </c>
    </row>
    <row r="70" spans="1:9" ht="15">
      <c r="A70" s="50">
        <v>190</v>
      </c>
      <c r="B70" s="7" t="s">
        <v>823</v>
      </c>
      <c r="C70" s="7"/>
      <c r="D70" s="7">
        <v>-592697</v>
      </c>
      <c r="E70" s="7"/>
      <c r="F70" s="7" t="s">
        <v>168</v>
      </c>
      <c r="G70" s="153">
        <f t="shared" si="2"/>
        <v>7.05738175871157E-2</v>
      </c>
      <c r="I70" s="7">
        <f t="shared" si="3"/>
        <v>-41828.889962430716</v>
      </c>
    </row>
    <row r="71" spans="1:9" ht="15">
      <c r="A71" s="50">
        <v>190</v>
      </c>
      <c r="B71" s="7" t="s">
        <v>824</v>
      </c>
      <c r="C71" s="7"/>
      <c r="D71" s="7">
        <v>-1286885</v>
      </c>
      <c r="E71" s="7"/>
      <c r="F71" s="7" t="s">
        <v>168</v>
      </c>
      <c r="G71" s="153">
        <f t="shared" si="2"/>
        <v>7.05738175871157E-2</v>
      </c>
      <c r="I71" s="7">
        <f t="shared" si="3"/>
        <v>-90820.387245595382</v>
      </c>
    </row>
    <row r="72" spans="1:9" ht="15">
      <c r="A72" s="50">
        <v>190</v>
      </c>
      <c r="B72" s="7" t="s">
        <v>825</v>
      </c>
      <c r="C72" s="7"/>
      <c r="D72" s="7">
        <f>738987+732925</f>
        <v>1471912</v>
      </c>
      <c r="E72" s="7"/>
      <c r="F72" s="7" t="s">
        <v>176</v>
      </c>
      <c r="G72" s="153">
        <f t="shared" si="2"/>
        <v>0</v>
      </c>
      <c r="I72" s="7">
        <f t="shared" si="3"/>
        <v>0</v>
      </c>
    </row>
    <row r="73" spans="1:9" ht="15">
      <c r="A73" s="50">
        <v>190</v>
      </c>
      <c r="B73" s="7" t="s">
        <v>826</v>
      </c>
      <c r="C73" s="7"/>
      <c r="D73" s="7">
        <v>2112</v>
      </c>
      <c r="E73" s="7"/>
      <c r="F73" s="7" t="s">
        <v>164</v>
      </c>
      <c r="G73" s="153">
        <f t="shared" si="2"/>
        <v>0.16569592839496061</v>
      </c>
      <c r="I73" s="7">
        <f t="shared" si="3"/>
        <v>349.9498007701568</v>
      </c>
    </row>
    <row r="74" spans="1:9" ht="15">
      <c r="A74" s="50">
        <v>190</v>
      </c>
      <c r="B74" s="7" t="s">
        <v>827</v>
      </c>
      <c r="C74" s="7"/>
      <c r="D74" s="7">
        <v>-261716</v>
      </c>
      <c r="E74" s="7"/>
      <c r="F74" s="7" t="s">
        <v>176</v>
      </c>
      <c r="G74" s="153">
        <f t="shared" si="2"/>
        <v>0</v>
      </c>
      <c r="I74" s="7">
        <f t="shared" si="3"/>
        <v>0</v>
      </c>
    </row>
    <row r="75" spans="1:9" ht="15">
      <c r="A75" s="50">
        <v>190</v>
      </c>
      <c r="B75" s="7" t="s">
        <v>209</v>
      </c>
      <c r="C75" s="7"/>
      <c r="D75" s="7">
        <v>79</v>
      </c>
      <c r="E75" s="7"/>
      <c r="F75" s="7" t="s">
        <v>164</v>
      </c>
      <c r="G75" s="153">
        <f t="shared" si="0"/>
        <v>0.16569592839496061</v>
      </c>
      <c r="I75" s="7">
        <f t="shared" si="1"/>
        <v>13.089978343201889</v>
      </c>
    </row>
    <row r="76" spans="1:9" ht="15.75" thickBot="1">
      <c r="A76" s="50"/>
      <c r="B76" s="46" t="s">
        <v>210</v>
      </c>
      <c r="C76" s="46"/>
      <c r="D76" s="51">
        <f>SUM(D12:D75)</f>
        <v>554088568</v>
      </c>
      <c r="E76" s="7"/>
      <c r="F76" s="7"/>
      <c r="I76" s="51">
        <f>SUM(I12:I75)</f>
        <v>15637043.504776584</v>
      </c>
    </row>
    <row r="77" spans="1:9" ht="13.5" thickTop="1"/>
  </sheetData>
  <mergeCells count="4">
    <mergeCell ref="I1:J1"/>
    <mergeCell ref="I3:J3"/>
    <mergeCell ref="A5:I5"/>
    <mergeCell ref="A6:I6"/>
  </mergeCells>
  <printOptions horizontalCentered="1"/>
  <pageMargins left="0.7" right="0.7" top="0.75" bottom="0.75" header="0.3" footer="0.3"/>
  <pageSetup scale="6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topLeftCell="A22" workbookViewId="0">
      <selection activeCell="F17" sqref="F17"/>
    </sheetView>
  </sheetViews>
  <sheetFormatPr defaultRowHeight="12.75"/>
  <cols>
    <col min="1" max="1" width="9.7109375" customWidth="1"/>
    <col min="2" max="2" width="44.7109375" customWidth="1"/>
    <col min="3" max="3" width="5.7109375" customWidth="1"/>
    <col min="4" max="4" width="20.7109375" customWidth="1"/>
    <col min="5" max="5" width="5.7109375" customWidth="1"/>
    <col min="8" max="8" width="5.7109375" customWidth="1"/>
    <col min="9" max="9" width="15.140625" customWidth="1"/>
    <col min="10" max="10" width="10.5703125" customWidth="1"/>
  </cols>
  <sheetData>
    <row r="1" spans="1:10" ht="15.75">
      <c r="A1" s="7"/>
      <c r="B1" s="7"/>
      <c r="C1" s="7"/>
      <c r="D1" s="7"/>
      <c r="E1" s="7"/>
      <c r="F1" s="7"/>
      <c r="G1" s="7"/>
      <c r="H1" s="7"/>
      <c r="I1" s="258" t="s">
        <v>153</v>
      </c>
      <c r="J1" s="258"/>
    </row>
    <row r="2" spans="1:10" ht="15.75">
      <c r="A2" s="7"/>
      <c r="B2" s="7"/>
      <c r="C2" s="7"/>
      <c r="D2" s="7"/>
      <c r="E2" s="7"/>
      <c r="F2" s="7"/>
      <c r="G2" s="7"/>
      <c r="H2" s="7"/>
      <c r="I2" s="49" t="s">
        <v>243</v>
      </c>
      <c r="J2" s="49"/>
    </row>
    <row r="3" spans="1:10" ht="15">
      <c r="A3" s="7"/>
      <c r="B3" s="44"/>
      <c r="C3" s="44"/>
      <c r="D3" s="7"/>
      <c r="E3" s="7"/>
      <c r="F3" s="7"/>
      <c r="G3" s="7"/>
      <c r="H3" s="7"/>
      <c r="I3" s="273" t="str">
        <f>'PEF - 6  p1, FF1 Inputs '!K3</f>
        <v>Year Ending 12/31/2009</v>
      </c>
      <c r="J3" s="273"/>
    </row>
    <row r="4" spans="1:10" ht="15">
      <c r="A4" s="7"/>
      <c r="B4" s="44"/>
      <c r="C4" s="44"/>
      <c r="D4" s="7"/>
      <c r="E4" s="7"/>
      <c r="F4" s="7"/>
      <c r="G4" s="7"/>
      <c r="H4" s="7"/>
      <c r="I4" s="36"/>
      <c r="J4" s="36"/>
    </row>
    <row r="5" spans="1:10" ht="15">
      <c r="A5" s="285" t="s">
        <v>70</v>
      </c>
      <c r="B5" s="286"/>
      <c r="C5" s="286"/>
      <c r="D5" s="286"/>
      <c r="E5" s="286"/>
      <c r="F5" s="286"/>
      <c r="G5" s="286"/>
      <c r="H5" s="286"/>
      <c r="I5" s="286"/>
      <c r="J5" s="36"/>
    </row>
    <row r="6" spans="1:10" ht="15">
      <c r="A6" s="285" t="s">
        <v>233</v>
      </c>
      <c r="B6" s="286"/>
      <c r="C6" s="286"/>
      <c r="D6" s="286"/>
      <c r="E6" s="286"/>
      <c r="F6" s="286"/>
      <c r="G6" s="286"/>
      <c r="H6" s="286"/>
      <c r="I6" s="286"/>
      <c r="J6" s="36"/>
    </row>
    <row r="7" spans="1:10" ht="15">
      <c r="A7" s="7"/>
      <c r="B7" s="44"/>
      <c r="C7" s="44"/>
      <c r="D7" s="7"/>
      <c r="E7" s="7"/>
      <c r="F7" s="7"/>
      <c r="G7" s="7"/>
      <c r="H7" s="7"/>
      <c r="I7" s="36"/>
      <c r="J7" s="36"/>
    </row>
    <row r="8" spans="1:10" ht="15">
      <c r="A8" s="46"/>
      <c r="B8" s="46"/>
      <c r="C8" s="46"/>
      <c r="D8" s="46"/>
      <c r="E8" s="7"/>
      <c r="F8" s="7"/>
      <c r="G8" s="7"/>
      <c r="H8" s="7"/>
      <c r="I8" s="7"/>
      <c r="J8" s="7"/>
    </row>
    <row r="9" spans="1:10" ht="15">
      <c r="A9" s="46"/>
      <c r="B9" s="46"/>
      <c r="C9" s="46"/>
      <c r="D9" s="47" t="s">
        <v>156</v>
      </c>
      <c r="E9" s="7"/>
      <c r="F9" s="48" t="s">
        <v>157</v>
      </c>
      <c r="G9" s="48" t="s">
        <v>158</v>
      </c>
      <c r="H9" s="48"/>
      <c r="I9" s="48" t="s">
        <v>159</v>
      </c>
      <c r="J9" s="7"/>
    </row>
    <row r="10" spans="1:10" ht="15">
      <c r="A10" s="46" t="s">
        <v>160</v>
      </c>
      <c r="B10" s="46" t="s">
        <v>75</v>
      </c>
      <c r="C10" s="47"/>
      <c r="D10" s="217" t="s">
        <v>828</v>
      </c>
      <c r="E10" s="7"/>
      <c r="F10" s="7"/>
      <c r="G10" s="7"/>
      <c r="H10" s="7"/>
      <c r="I10" s="7"/>
      <c r="J10" s="7"/>
    </row>
    <row r="12" spans="1:10" ht="15">
      <c r="A12" s="50">
        <v>281</v>
      </c>
      <c r="B12" s="7" t="s">
        <v>211</v>
      </c>
      <c r="C12" s="7"/>
      <c r="D12" s="7">
        <v>-3757590</v>
      </c>
      <c r="E12" s="7"/>
      <c r="F12" s="7" t="s">
        <v>176</v>
      </c>
      <c r="G12" s="153">
        <f>VLOOKUP(F12,Alloc_Factors,2,FALSE)</f>
        <v>0</v>
      </c>
      <c r="I12" s="7">
        <f>D12*G12</f>
        <v>0</v>
      </c>
    </row>
    <row r="13" spans="1:10" ht="15.75" thickBot="1">
      <c r="A13" s="50"/>
      <c r="B13" s="46" t="s">
        <v>212</v>
      </c>
      <c r="C13" s="46"/>
      <c r="D13" s="51">
        <f>SUM(D12)</f>
        <v>-3757590</v>
      </c>
      <c r="E13" s="7"/>
      <c r="F13" s="7"/>
      <c r="I13" s="51">
        <f>SUM(I12)</f>
        <v>0</v>
      </c>
    </row>
    <row r="14" spans="1:10" ht="15.75" thickTop="1">
      <c r="A14" s="50"/>
      <c r="B14" s="7"/>
      <c r="C14" s="7"/>
      <c r="D14" s="7"/>
      <c r="E14" s="7"/>
      <c r="F14" s="7"/>
    </row>
    <row r="15" spans="1:10" ht="15">
      <c r="A15" s="50">
        <v>282</v>
      </c>
      <c r="B15" s="7" t="s">
        <v>213</v>
      </c>
      <c r="C15" s="7"/>
      <c r="D15" s="7">
        <v>-808386480</v>
      </c>
      <c r="E15" s="7"/>
      <c r="F15" s="7" t="s">
        <v>164</v>
      </c>
      <c r="G15" s="153">
        <f>VLOOKUP(F15,Alloc_Factors,2,FALSE)</f>
        <v>0.16569592839496061</v>
      </c>
      <c r="I15" s="7">
        <f t="shared" ref="I15:I18" si="0">D15*G15</f>
        <v>-133946348.30553426</v>
      </c>
    </row>
    <row r="16" spans="1:10" ht="15">
      <c r="A16" s="50">
        <v>282</v>
      </c>
      <c r="B16" s="7" t="s">
        <v>244</v>
      </c>
      <c r="C16" s="7"/>
      <c r="D16" s="7">
        <v>163612698</v>
      </c>
      <c r="E16" s="7"/>
      <c r="F16" s="7" t="s">
        <v>162</v>
      </c>
      <c r="G16" s="153">
        <f>VLOOKUP(F16,Alloc_Factors,2,FALSE)</f>
        <v>0</v>
      </c>
      <c r="I16" s="7">
        <f t="shared" si="0"/>
        <v>0</v>
      </c>
    </row>
    <row r="17" spans="1:9" ht="15">
      <c r="A17" s="50">
        <v>282</v>
      </c>
      <c r="B17" s="7" t="s">
        <v>245</v>
      </c>
      <c r="C17" s="7"/>
      <c r="D17" s="7">
        <v>-15409018</v>
      </c>
      <c r="E17" s="7"/>
      <c r="F17" s="7" t="s">
        <v>176</v>
      </c>
      <c r="G17" s="153">
        <f>VLOOKUP(F17,Alloc_Factors,2,FALSE)</f>
        <v>0</v>
      </c>
      <c r="I17" s="7">
        <f t="shared" si="0"/>
        <v>0</v>
      </c>
    </row>
    <row r="18" spans="1:9" ht="15">
      <c r="A18" s="50">
        <v>282</v>
      </c>
      <c r="B18" s="7" t="s">
        <v>246</v>
      </c>
      <c r="C18" s="7"/>
      <c r="D18" s="7">
        <v>-1657</v>
      </c>
      <c r="E18" s="7"/>
      <c r="F18" s="7" t="s">
        <v>164</v>
      </c>
      <c r="G18" s="153">
        <f>VLOOKUP(F18,Alloc_Factors,2,FALSE)</f>
        <v>0.16569592839496061</v>
      </c>
      <c r="I18" s="7">
        <f t="shared" si="0"/>
        <v>-274.55815335044974</v>
      </c>
    </row>
    <row r="19" spans="1:9" ht="15.75" thickBot="1">
      <c r="A19" s="50"/>
      <c r="B19" s="46" t="s">
        <v>214</v>
      </c>
      <c r="C19" s="46"/>
      <c r="D19" s="51">
        <f>SUM(D15:D18)</f>
        <v>-660184457</v>
      </c>
      <c r="E19" s="7"/>
      <c r="F19" s="7"/>
      <c r="I19" s="51">
        <f>SUM(I15:I18)</f>
        <v>-133946622.8636876</v>
      </c>
    </row>
    <row r="20" spans="1:9" ht="15.75" thickTop="1">
      <c r="A20" s="50"/>
      <c r="B20" s="7"/>
      <c r="C20" s="7"/>
      <c r="D20" s="7"/>
      <c r="E20" s="7"/>
      <c r="F20" s="7"/>
    </row>
    <row r="21" spans="1:9" ht="15">
      <c r="A21" s="50">
        <v>283</v>
      </c>
      <c r="B21" s="52" t="s">
        <v>247</v>
      </c>
      <c r="C21" s="7"/>
      <c r="D21" s="7">
        <v>-4406327</v>
      </c>
      <c r="E21" s="7"/>
      <c r="F21" s="7" t="s">
        <v>176</v>
      </c>
      <c r="G21" s="153">
        <f t="shared" ref="G21:G43" si="1">VLOOKUP(F21,Alloc_Factors,2,FALSE)</f>
        <v>0</v>
      </c>
      <c r="I21" s="7">
        <f t="shared" ref="I21:I43" si="2">D21*G21</f>
        <v>0</v>
      </c>
    </row>
    <row r="22" spans="1:9" ht="15">
      <c r="A22" s="50">
        <v>283</v>
      </c>
      <c r="B22" s="52" t="s">
        <v>248</v>
      </c>
      <c r="C22" s="7"/>
      <c r="D22" s="7">
        <v>-106573457</v>
      </c>
      <c r="E22" s="7"/>
      <c r="F22" s="7" t="s">
        <v>162</v>
      </c>
      <c r="G22" s="153">
        <f t="shared" si="1"/>
        <v>0</v>
      </c>
      <c r="I22" s="7">
        <f t="shared" si="2"/>
        <v>0</v>
      </c>
    </row>
    <row r="23" spans="1:9" ht="15">
      <c r="A23" s="50">
        <v>283</v>
      </c>
      <c r="B23" s="53" t="s">
        <v>249</v>
      </c>
      <c r="C23" s="7"/>
      <c r="D23" s="7">
        <v>-1710689</v>
      </c>
      <c r="E23" s="7"/>
      <c r="F23" s="7" t="s">
        <v>162</v>
      </c>
      <c r="G23" s="153">
        <f t="shared" si="1"/>
        <v>0</v>
      </c>
      <c r="I23" s="7">
        <f t="shared" si="2"/>
        <v>0</v>
      </c>
    </row>
    <row r="24" spans="1:9" ht="15">
      <c r="A24" s="50">
        <v>283</v>
      </c>
      <c r="B24" s="7" t="s">
        <v>250</v>
      </c>
      <c r="C24" s="7"/>
      <c r="D24" s="7">
        <v>-17594322</v>
      </c>
      <c r="E24" s="7"/>
      <c r="F24" s="7" t="s">
        <v>162</v>
      </c>
      <c r="G24" s="153">
        <f t="shared" si="1"/>
        <v>0</v>
      </c>
      <c r="I24" s="7">
        <f t="shared" si="2"/>
        <v>0</v>
      </c>
    </row>
    <row r="25" spans="1:9" ht="15">
      <c r="A25" s="50">
        <v>283</v>
      </c>
      <c r="B25" s="7" t="s">
        <v>215</v>
      </c>
      <c r="C25" s="7"/>
      <c r="D25" s="7">
        <v>-44062589</v>
      </c>
      <c r="E25" s="7"/>
      <c r="F25" s="7" t="s">
        <v>176</v>
      </c>
      <c r="G25" s="153">
        <f t="shared" si="1"/>
        <v>0</v>
      </c>
      <c r="I25" s="7">
        <f t="shared" si="2"/>
        <v>0</v>
      </c>
    </row>
    <row r="26" spans="1:9" ht="15">
      <c r="A26" s="50">
        <v>283</v>
      </c>
      <c r="B26" s="7" t="s">
        <v>216</v>
      </c>
      <c r="C26" s="7"/>
      <c r="D26" s="7">
        <v>-134119510</v>
      </c>
      <c r="E26" s="7"/>
      <c r="F26" s="7" t="s">
        <v>176</v>
      </c>
      <c r="G26" s="153">
        <f t="shared" si="1"/>
        <v>0</v>
      </c>
      <c r="I26" s="7">
        <f t="shared" si="2"/>
        <v>0</v>
      </c>
    </row>
    <row r="27" spans="1:9" ht="15">
      <c r="A27" s="50">
        <v>283</v>
      </c>
      <c r="B27" s="52" t="s">
        <v>217</v>
      </c>
      <c r="C27" s="7"/>
      <c r="D27" s="7">
        <v>-173855361</v>
      </c>
      <c r="E27" s="7"/>
      <c r="F27" s="7" t="s">
        <v>166</v>
      </c>
      <c r="G27" s="153">
        <f t="shared" si="1"/>
        <v>0</v>
      </c>
      <c r="I27" s="7">
        <f t="shared" si="2"/>
        <v>0</v>
      </c>
    </row>
    <row r="28" spans="1:9" ht="15">
      <c r="A28" s="50">
        <v>283</v>
      </c>
      <c r="B28" s="7" t="s">
        <v>218</v>
      </c>
      <c r="C28" s="7"/>
      <c r="D28" s="7">
        <v>-7445747</v>
      </c>
      <c r="E28" s="7"/>
      <c r="F28" s="7" t="s">
        <v>162</v>
      </c>
      <c r="G28" s="153">
        <f t="shared" si="1"/>
        <v>0</v>
      </c>
      <c r="I28" s="7">
        <f t="shared" si="2"/>
        <v>0</v>
      </c>
    </row>
    <row r="29" spans="1:9" ht="15">
      <c r="A29" s="50">
        <v>283</v>
      </c>
      <c r="B29" s="52" t="s">
        <v>219</v>
      </c>
      <c r="C29" s="7"/>
      <c r="D29" s="7">
        <v>-7563291</v>
      </c>
      <c r="E29" s="7"/>
      <c r="F29" s="7" t="s">
        <v>164</v>
      </c>
      <c r="G29" s="153">
        <f t="shared" si="1"/>
        <v>0.16569592839496061</v>
      </c>
      <c r="I29" s="7">
        <f t="shared" si="2"/>
        <v>-1253206.52396625</v>
      </c>
    </row>
    <row r="30" spans="1:9" ht="15">
      <c r="A30" s="50">
        <v>283</v>
      </c>
      <c r="B30" s="7" t="s">
        <v>220</v>
      </c>
      <c r="C30" s="7"/>
      <c r="D30" s="7">
        <v>-375576</v>
      </c>
      <c r="E30" s="7"/>
      <c r="F30" s="7" t="s">
        <v>164</v>
      </c>
      <c r="G30" s="153">
        <f t="shared" si="1"/>
        <v>0.16569592839496061</v>
      </c>
      <c r="I30" s="7">
        <f t="shared" si="2"/>
        <v>-62231.414002865728</v>
      </c>
    </row>
    <row r="31" spans="1:9" ht="15">
      <c r="A31" s="50">
        <v>283</v>
      </c>
      <c r="B31" s="7" t="s">
        <v>221</v>
      </c>
      <c r="C31" s="7"/>
      <c r="D31" s="7">
        <v>-403768</v>
      </c>
      <c r="E31" s="7"/>
      <c r="F31" s="7" t="s">
        <v>164</v>
      </c>
      <c r="G31" s="153">
        <f t="shared" si="1"/>
        <v>0.16569592839496061</v>
      </c>
      <c r="I31" s="7">
        <f t="shared" si="2"/>
        <v>-66902.71361617645</v>
      </c>
    </row>
    <row r="32" spans="1:9" ht="15">
      <c r="A32" s="50">
        <v>283</v>
      </c>
      <c r="B32" s="7" t="s">
        <v>222</v>
      </c>
      <c r="C32" s="7"/>
      <c r="D32" s="7">
        <v>-82211312</v>
      </c>
      <c r="E32" s="7"/>
      <c r="F32" s="7" t="s">
        <v>176</v>
      </c>
      <c r="G32" s="153">
        <f t="shared" si="1"/>
        <v>0</v>
      </c>
      <c r="I32" s="7">
        <f t="shared" si="2"/>
        <v>0</v>
      </c>
    </row>
    <row r="33" spans="1:9" ht="15">
      <c r="A33" s="50">
        <v>283</v>
      </c>
      <c r="B33" s="7" t="s">
        <v>223</v>
      </c>
      <c r="C33" s="7"/>
      <c r="D33" s="7">
        <v>-856552</v>
      </c>
      <c r="E33" s="7"/>
      <c r="F33" s="7" t="s">
        <v>166</v>
      </c>
      <c r="G33" s="153">
        <f t="shared" si="1"/>
        <v>0</v>
      </c>
      <c r="I33" s="7">
        <f t="shared" si="2"/>
        <v>0</v>
      </c>
    </row>
    <row r="34" spans="1:9" ht="15">
      <c r="A34" s="50">
        <v>283</v>
      </c>
      <c r="B34" s="7" t="s">
        <v>224</v>
      </c>
      <c r="C34" s="7"/>
      <c r="D34" s="7">
        <v>-3194348</v>
      </c>
      <c r="E34" s="7"/>
      <c r="F34" s="7" t="s">
        <v>749</v>
      </c>
      <c r="G34" s="153">
        <f t="shared" si="1"/>
        <v>1</v>
      </c>
      <c r="I34" s="7">
        <f t="shared" si="2"/>
        <v>-3194348</v>
      </c>
    </row>
    <row r="35" spans="1:9" ht="15">
      <c r="A35" s="50">
        <v>283</v>
      </c>
      <c r="B35" s="7" t="s">
        <v>225</v>
      </c>
      <c r="C35" s="7"/>
      <c r="D35" s="7">
        <v>-41096</v>
      </c>
      <c r="E35" s="7"/>
      <c r="F35" s="7" t="s">
        <v>162</v>
      </c>
      <c r="G35" s="153">
        <f t="shared" si="1"/>
        <v>0</v>
      </c>
      <c r="I35" s="7">
        <f t="shared" si="2"/>
        <v>0</v>
      </c>
    </row>
    <row r="36" spans="1:9" ht="15">
      <c r="A36" s="50">
        <v>283</v>
      </c>
      <c r="B36" s="7" t="s">
        <v>226</v>
      </c>
      <c r="C36" s="7"/>
      <c r="D36" s="7">
        <v>-602580</v>
      </c>
      <c r="E36" s="7"/>
      <c r="F36" s="7" t="s">
        <v>166</v>
      </c>
      <c r="G36" s="153">
        <f t="shared" si="1"/>
        <v>0</v>
      </c>
      <c r="I36" s="7">
        <f t="shared" si="2"/>
        <v>0</v>
      </c>
    </row>
    <row r="37" spans="1:9" ht="15">
      <c r="A37" s="50">
        <v>283</v>
      </c>
      <c r="B37" s="7" t="s">
        <v>227</v>
      </c>
      <c r="C37" s="7"/>
      <c r="D37" s="7">
        <v>29319</v>
      </c>
      <c r="E37" s="7"/>
      <c r="F37" s="7" t="s">
        <v>164</v>
      </c>
      <c r="G37" s="153">
        <f t="shared" si="1"/>
        <v>0.16569592839496061</v>
      </c>
      <c r="I37" s="7">
        <f t="shared" si="2"/>
        <v>4858.0389246118502</v>
      </c>
    </row>
    <row r="38" spans="1:9" ht="15">
      <c r="A38" s="50">
        <v>283</v>
      </c>
      <c r="B38" s="7" t="s">
        <v>251</v>
      </c>
      <c r="C38" s="7"/>
      <c r="D38" s="7">
        <v>-108393</v>
      </c>
      <c r="E38" s="7"/>
      <c r="F38" s="7" t="s">
        <v>176</v>
      </c>
      <c r="G38" s="153">
        <f t="shared" si="1"/>
        <v>0</v>
      </c>
      <c r="I38" s="7">
        <f t="shared" si="2"/>
        <v>0</v>
      </c>
    </row>
    <row r="39" spans="1:9" ht="15">
      <c r="A39" s="50">
        <v>283</v>
      </c>
      <c r="B39" s="7" t="s">
        <v>769</v>
      </c>
      <c r="C39" s="7"/>
      <c r="D39" s="7">
        <v>-1089012</v>
      </c>
      <c r="E39" s="7"/>
      <c r="F39" s="7" t="s">
        <v>162</v>
      </c>
      <c r="G39" s="153">
        <f t="shared" si="1"/>
        <v>0</v>
      </c>
      <c r="I39" s="7">
        <f t="shared" si="2"/>
        <v>0</v>
      </c>
    </row>
    <row r="40" spans="1:9" ht="15">
      <c r="A40" s="50">
        <v>283</v>
      </c>
      <c r="B40" s="7" t="s">
        <v>252</v>
      </c>
      <c r="C40" s="7"/>
      <c r="D40" s="7">
        <v>741301</v>
      </c>
      <c r="E40" s="7"/>
      <c r="F40" s="7" t="s">
        <v>176</v>
      </c>
      <c r="G40" s="153">
        <f t="shared" si="1"/>
        <v>0</v>
      </c>
      <c r="I40" s="7">
        <f t="shared" si="2"/>
        <v>0</v>
      </c>
    </row>
    <row r="41" spans="1:9" ht="15">
      <c r="A41" s="50">
        <v>283</v>
      </c>
      <c r="B41" s="7" t="s">
        <v>253</v>
      </c>
      <c r="C41" s="7"/>
      <c r="D41" s="7">
        <v>-2092558</v>
      </c>
      <c r="E41" s="7"/>
      <c r="F41" s="7" t="s">
        <v>164</v>
      </c>
      <c r="G41" s="153">
        <f t="shared" si="1"/>
        <v>0.16569592839496061</v>
      </c>
      <c r="I41" s="7">
        <f t="shared" si="2"/>
        <v>-346728.34053030197</v>
      </c>
    </row>
    <row r="42" spans="1:9" ht="15">
      <c r="A42" s="50">
        <v>283</v>
      </c>
      <c r="B42" s="7" t="s">
        <v>229</v>
      </c>
      <c r="C42" s="7"/>
      <c r="D42" s="7">
        <v>-110490</v>
      </c>
      <c r="E42" s="7"/>
      <c r="F42" s="7" t="s">
        <v>168</v>
      </c>
      <c r="G42" s="153">
        <f t="shared" si="1"/>
        <v>7.05738175871157E-2</v>
      </c>
      <c r="I42" s="7">
        <f t="shared" si="2"/>
        <v>-7797.7011052004136</v>
      </c>
    </row>
    <row r="43" spans="1:9" ht="15">
      <c r="A43" s="50">
        <v>283</v>
      </c>
      <c r="B43" s="7" t="s">
        <v>209</v>
      </c>
      <c r="C43" s="7"/>
      <c r="D43" s="7">
        <v>1</v>
      </c>
      <c r="E43" s="7"/>
      <c r="F43" s="7" t="s">
        <v>164</v>
      </c>
      <c r="G43" s="153">
        <f t="shared" si="1"/>
        <v>0.16569592839496061</v>
      </c>
      <c r="I43" s="7">
        <f t="shared" si="2"/>
        <v>0.16569592839496061</v>
      </c>
    </row>
    <row r="44" spans="1:9" ht="15.75" thickBot="1">
      <c r="A44" s="50"/>
      <c r="B44" s="46" t="s">
        <v>230</v>
      </c>
      <c r="C44" s="46"/>
      <c r="D44" s="51">
        <f>SUM(D21:D43)</f>
        <v>-587646357</v>
      </c>
      <c r="E44" s="7"/>
      <c r="F44" s="7"/>
      <c r="I44" s="51">
        <f>SUM(I21:I43)</f>
        <v>-4926356.488600255</v>
      </c>
    </row>
    <row r="45" spans="1:9" ht="15.75" thickTop="1">
      <c r="A45" s="50"/>
      <c r="B45" s="46"/>
      <c r="C45" s="46"/>
      <c r="D45" s="54"/>
      <c r="E45" s="7"/>
      <c r="F45" s="7"/>
      <c r="I45" s="54"/>
    </row>
    <row r="46" spans="1:9" ht="15">
      <c r="A46" s="50"/>
      <c r="B46" s="46"/>
      <c r="C46" s="46"/>
      <c r="D46" s="54"/>
      <c r="E46" s="7"/>
      <c r="F46" s="7"/>
      <c r="I46" s="54"/>
    </row>
    <row r="47" spans="1:9" ht="15.75" thickBot="1">
      <c r="A47" s="7"/>
      <c r="B47" s="51" t="s">
        <v>750</v>
      </c>
      <c r="C47" s="51"/>
      <c r="D47" s="51">
        <f>'PEF - 5, p3 CY ADIT 190'!D76+D13+D19+D44</f>
        <v>-697499836</v>
      </c>
      <c r="E47" s="51"/>
      <c r="F47" s="51"/>
      <c r="G47" s="51"/>
      <c r="H47" s="51"/>
      <c r="I47" s="51">
        <f>'PEF - 5, p1 PY ADIT 190'!I60+I13+I19+I44</f>
        <v>-120517752.90699257</v>
      </c>
    </row>
    <row r="48" spans="1:9" ht="15.75" thickTop="1">
      <c r="A48" s="50"/>
      <c r="B48" s="7"/>
      <c r="C48" s="7"/>
      <c r="D48" s="7"/>
      <c r="E48" s="7"/>
      <c r="F48" s="7"/>
    </row>
    <row r="49" spans="1:6" ht="15">
      <c r="A49" s="50"/>
      <c r="B49" s="7"/>
      <c r="C49" s="7"/>
      <c r="D49" s="7"/>
      <c r="E49" s="7"/>
      <c r="F49" s="7"/>
    </row>
    <row r="50" spans="1:6" ht="15">
      <c r="A50" s="50"/>
      <c r="B50" s="7"/>
      <c r="C50" s="7"/>
      <c r="D50" s="7"/>
      <c r="E50" s="7"/>
      <c r="F50" s="7"/>
    </row>
    <row r="51" spans="1:6" ht="15">
      <c r="A51" s="50"/>
      <c r="B51" s="7"/>
      <c r="C51" s="7"/>
      <c r="D51" s="7"/>
      <c r="E51" s="7"/>
      <c r="F51" s="7"/>
    </row>
    <row r="52" spans="1:6" ht="15">
      <c r="A52" s="50"/>
      <c r="B52" s="7"/>
      <c r="C52" s="7"/>
      <c r="D52" s="7"/>
      <c r="E52" s="7"/>
      <c r="F52" s="7"/>
    </row>
    <row r="53" spans="1:6" ht="15">
      <c r="A53" s="50"/>
      <c r="B53" s="7"/>
      <c r="C53" s="7"/>
      <c r="D53" s="7"/>
      <c r="E53" s="7"/>
      <c r="F53" s="7"/>
    </row>
    <row r="54" spans="1:6" ht="15">
      <c r="A54" s="50"/>
      <c r="B54" s="7"/>
      <c r="C54" s="7"/>
      <c r="D54" s="7"/>
      <c r="E54" s="7"/>
      <c r="F54" s="7"/>
    </row>
    <row r="55" spans="1:6" ht="15">
      <c r="A55" s="50"/>
      <c r="B55" s="7"/>
      <c r="C55" s="7"/>
      <c r="D55" s="7"/>
      <c r="E55" s="7"/>
      <c r="F55" s="7"/>
    </row>
    <row r="56" spans="1:6" ht="15">
      <c r="A56" s="50"/>
      <c r="B56" s="7"/>
      <c r="C56" s="7"/>
      <c r="D56" s="7"/>
      <c r="E56" s="7"/>
      <c r="F56" s="7"/>
    </row>
    <row r="57" spans="1:6" ht="15">
      <c r="A57" s="50"/>
      <c r="B57" s="7"/>
      <c r="C57" s="7"/>
      <c r="D57" s="7"/>
      <c r="E57" s="7"/>
      <c r="F57" s="7"/>
    </row>
    <row r="58" spans="1:6" ht="15">
      <c r="A58" s="50"/>
      <c r="B58" s="7"/>
      <c r="C58" s="7"/>
      <c r="D58" s="7"/>
      <c r="E58" s="7"/>
      <c r="F58" s="7"/>
    </row>
    <row r="59" spans="1:6" ht="15">
      <c r="A59" s="50"/>
      <c r="B59" s="7"/>
      <c r="C59" s="7"/>
      <c r="D59" s="7"/>
      <c r="E59" s="7"/>
      <c r="F59" s="7"/>
    </row>
    <row r="60" spans="1:6" ht="15">
      <c r="A60" s="50"/>
      <c r="B60" s="7"/>
      <c r="C60" s="7"/>
      <c r="D60" s="7"/>
      <c r="E60" s="7"/>
      <c r="F60" s="7"/>
    </row>
    <row r="61" spans="1:6" ht="15">
      <c r="A61" s="50"/>
      <c r="B61" s="7"/>
      <c r="C61" s="7"/>
      <c r="D61" s="7"/>
      <c r="E61" s="7"/>
      <c r="F61" s="7"/>
    </row>
    <row r="62" spans="1:6" ht="15">
      <c r="A62" s="50"/>
      <c r="B62" s="7"/>
      <c r="C62" s="7"/>
      <c r="D62" s="7"/>
      <c r="E62" s="7"/>
      <c r="F62" s="7"/>
    </row>
    <row r="63" spans="1:6" ht="15">
      <c r="A63" s="50"/>
      <c r="B63" s="7"/>
      <c r="C63" s="7"/>
      <c r="D63" s="7"/>
      <c r="E63" s="7"/>
      <c r="F63" s="7"/>
    </row>
    <row r="64" spans="1:6" ht="15">
      <c r="A64" s="50"/>
      <c r="B64" s="7"/>
      <c r="C64" s="7"/>
      <c r="D64" s="7"/>
      <c r="E64" s="7"/>
      <c r="F64" s="7"/>
    </row>
    <row r="65" spans="1:6" ht="15">
      <c r="A65" s="50"/>
      <c r="B65" s="7"/>
      <c r="C65" s="7"/>
      <c r="D65" s="7"/>
      <c r="E65" s="7"/>
      <c r="F65" s="7"/>
    </row>
    <row r="66" spans="1:6" ht="15.75" thickBot="1">
      <c r="A66" s="50"/>
      <c r="B66" s="46"/>
      <c r="C66" s="46"/>
      <c r="D66" s="51"/>
      <c r="E66" s="7"/>
      <c r="F66" s="7"/>
    </row>
    <row r="67" spans="1:6" ht="13.5" thickTop="1"/>
  </sheetData>
  <mergeCells count="4">
    <mergeCell ref="I1:J1"/>
    <mergeCell ref="I3:J3"/>
    <mergeCell ref="A5:I5"/>
    <mergeCell ref="A6:I6"/>
  </mergeCells>
  <printOptions horizontalCentered="1"/>
  <pageMargins left="0.7" right="0.7" top="0.75" bottom="0.75" header="0.3" footer="0.3"/>
  <pageSetup scale="6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opLeftCell="A5" workbookViewId="0">
      <selection activeCell="G33" sqref="G33"/>
    </sheetView>
  </sheetViews>
  <sheetFormatPr defaultRowHeight="12.75"/>
  <cols>
    <col min="1" max="1" width="5.7109375" customWidth="1"/>
    <col min="3" max="3" width="3.7109375" customWidth="1"/>
    <col min="4" max="4" width="32.7109375" customWidth="1"/>
    <col min="5" max="5" width="15.7109375" customWidth="1"/>
    <col min="6" max="6" width="3.7109375" customWidth="1"/>
    <col min="7" max="7" width="15.7109375" customWidth="1"/>
    <col min="8" max="8" width="3.7109375" customWidth="1"/>
    <col min="9" max="9" width="15.7109375" customWidth="1"/>
    <col min="10" max="10" width="3.7109375" customWidth="1"/>
    <col min="11" max="11" width="12.7109375" customWidth="1"/>
    <col min="12" max="12" width="10.7109375" customWidth="1"/>
    <col min="13" max="13" width="3.7109375" customWidth="1"/>
    <col min="14" max="14" width="15.7109375" customWidth="1"/>
    <col min="15" max="15" width="5.7109375" customWidth="1"/>
  </cols>
  <sheetData>
    <row r="1" spans="1:15" ht="15.75">
      <c r="A1" s="213"/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87" t="s">
        <v>754</v>
      </c>
      <c r="O1" s="287"/>
    </row>
    <row r="2" spans="1:15" ht="15.75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4" t="s">
        <v>755</v>
      </c>
      <c r="O2" s="214"/>
    </row>
    <row r="3" spans="1:15" ht="15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88" t="s">
        <v>151</v>
      </c>
      <c r="O3" s="288"/>
    </row>
    <row r="4" spans="1:15">
      <c r="A4" s="213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</row>
    <row r="5" spans="1:15">
      <c r="A5" s="213"/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</row>
    <row r="6" spans="1:15" ht="15">
      <c r="A6" s="286" t="s">
        <v>70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</row>
    <row r="7" spans="1:15" ht="8.1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5">
      <c r="A8" s="286" t="s">
        <v>796</v>
      </c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</row>
    <row r="9" spans="1:15" ht="15">
      <c r="A9" s="209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</row>
    <row r="10" spans="1:15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30">
      <c r="A11" s="2"/>
      <c r="B11" s="208" t="s">
        <v>160</v>
      </c>
      <c r="C11" s="208"/>
      <c r="D11" s="206" t="s">
        <v>756</v>
      </c>
      <c r="E11" s="208" t="s">
        <v>77</v>
      </c>
      <c r="F11" s="208"/>
      <c r="G11" s="208" t="s">
        <v>764</v>
      </c>
      <c r="H11" s="208"/>
      <c r="I11" s="208" t="s">
        <v>403</v>
      </c>
      <c r="J11" s="206"/>
      <c r="K11" s="206" t="s">
        <v>157</v>
      </c>
      <c r="L11" s="206" t="s">
        <v>797</v>
      </c>
      <c r="M11" s="206"/>
      <c r="N11" s="208" t="s">
        <v>159</v>
      </c>
      <c r="O11" s="206"/>
    </row>
    <row r="12" spans="1:15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13"/>
      <c r="O12" s="2"/>
    </row>
    <row r="13" spans="1:15" ht="15">
      <c r="A13" s="2"/>
      <c r="C13" s="2"/>
      <c r="D13" s="1" t="s">
        <v>798</v>
      </c>
      <c r="E13" s="2"/>
      <c r="F13" s="2"/>
      <c r="G13" s="2"/>
      <c r="H13" s="2"/>
      <c r="I13" s="2"/>
      <c r="J13" s="2"/>
      <c r="K13" s="2"/>
      <c r="L13" s="2"/>
      <c r="M13" s="2"/>
      <c r="N13" s="213"/>
      <c r="O13" s="2"/>
    </row>
    <row r="14" spans="1:15" ht="15">
      <c r="A14" s="2"/>
      <c r="B14" s="207">
        <v>2283141</v>
      </c>
      <c r="C14" s="2"/>
      <c r="D14" s="58" t="s">
        <v>761</v>
      </c>
      <c r="E14" s="101">
        <v>223718993</v>
      </c>
      <c r="F14" s="216"/>
      <c r="G14" s="101">
        <v>235942341.69999999</v>
      </c>
      <c r="H14" s="2"/>
      <c r="I14" s="59">
        <f>(E14+G14)/2</f>
        <v>229830667.34999999</v>
      </c>
      <c r="J14" s="2"/>
      <c r="K14" s="209" t="s">
        <v>168</v>
      </c>
      <c r="L14" s="153">
        <f t="shared" ref="L14:L23" si="0">VLOOKUP(K14,Alloc_Factors,2,FALSE)</f>
        <v>7.05738175871157E-2</v>
      </c>
      <c r="M14" s="2"/>
      <c r="N14" s="59">
        <f>I14*L14</f>
        <v>16220027.593483968</v>
      </c>
      <c r="O14" s="2"/>
    </row>
    <row r="15" spans="1:15" ht="15">
      <c r="A15" s="2"/>
      <c r="B15" s="207">
        <v>2283142</v>
      </c>
      <c r="C15" s="2"/>
      <c r="D15" s="58" t="s">
        <v>762</v>
      </c>
      <c r="E15" s="101">
        <v>-8982694</v>
      </c>
      <c r="F15" s="216"/>
      <c r="G15" s="101">
        <v>-10813312</v>
      </c>
      <c r="H15" s="2"/>
      <c r="I15" s="59">
        <f t="shared" ref="I15:I23" si="1">(E15+G15)/2</f>
        <v>-9898003</v>
      </c>
      <c r="J15" s="2"/>
      <c r="K15" s="209" t="s">
        <v>168</v>
      </c>
      <c r="L15" s="153">
        <f t="shared" si="0"/>
        <v>7.05738175871157E-2</v>
      </c>
      <c r="M15" s="2"/>
      <c r="N15" s="59">
        <f t="shared" ref="N15:N23" si="2">I15*L15</f>
        <v>-698539.85819872399</v>
      </c>
      <c r="O15" s="2"/>
    </row>
    <row r="16" spans="1:15" ht="15">
      <c r="A16" s="2"/>
      <c r="B16" s="207">
        <v>2283143</v>
      </c>
      <c r="C16" s="2"/>
      <c r="D16" s="58" t="s">
        <v>763</v>
      </c>
      <c r="E16" s="101">
        <v>6770450</v>
      </c>
      <c r="F16" s="216"/>
      <c r="G16" s="101">
        <v>8380796</v>
      </c>
      <c r="H16" s="2"/>
      <c r="I16" s="59">
        <f t="shared" si="1"/>
        <v>7575623</v>
      </c>
      <c r="J16" s="2"/>
      <c r="K16" s="209" t="s">
        <v>168</v>
      </c>
      <c r="L16" s="153">
        <f t="shared" si="0"/>
        <v>7.05738175871157E-2</v>
      </c>
      <c r="M16" s="2"/>
      <c r="N16" s="59">
        <f t="shared" si="2"/>
        <v>534640.63571075816</v>
      </c>
      <c r="O16" s="2"/>
    </row>
    <row r="17" spans="1:15" ht="15">
      <c r="A17" s="2"/>
      <c r="B17" s="207">
        <v>2283510</v>
      </c>
      <c r="C17" s="2"/>
      <c r="D17" s="58" t="s">
        <v>757</v>
      </c>
      <c r="E17" s="101">
        <v>-734414</v>
      </c>
      <c r="F17" s="216"/>
      <c r="G17" s="101">
        <f>-917121</f>
        <v>-917121</v>
      </c>
      <c r="H17" s="2"/>
      <c r="I17" s="59">
        <f t="shared" si="1"/>
        <v>-825767.5</v>
      </c>
      <c r="J17" s="2"/>
      <c r="K17" s="209" t="s">
        <v>168</v>
      </c>
      <c r="L17" s="153">
        <f t="shared" si="0"/>
        <v>7.05738175871157E-2</v>
      </c>
      <c r="M17" s="2"/>
      <c r="N17" s="59">
        <f t="shared" si="2"/>
        <v>-58277.564914368566</v>
      </c>
      <c r="O17" s="2"/>
    </row>
    <row r="18" spans="1:15" ht="15">
      <c r="A18" s="2"/>
      <c r="B18" s="207">
        <v>2283520</v>
      </c>
      <c r="C18" s="2"/>
      <c r="D18" s="58" t="s">
        <v>758</v>
      </c>
      <c r="E18" s="101">
        <v>-501091</v>
      </c>
      <c r="F18" s="216"/>
      <c r="G18" s="101">
        <v>-652108</v>
      </c>
      <c r="H18" s="2"/>
      <c r="I18" s="59">
        <f t="shared" si="1"/>
        <v>-576599.5</v>
      </c>
      <c r="J18" s="2"/>
      <c r="K18" s="209" t="s">
        <v>168</v>
      </c>
      <c r="L18" s="153">
        <f t="shared" si="0"/>
        <v>7.05738175871157E-2</v>
      </c>
      <c r="M18" s="2"/>
      <c r="N18" s="59">
        <f t="shared" si="2"/>
        <v>-40692.827933822118</v>
      </c>
      <c r="O18" s="2"/>
    </row>
    <row r="19" spans="1:15" ht="15">
      <c r="A19" s="2"/>
      <c r="B19" s="207">
        <v>2283540</v>
      </c>
      <c r="C19" s="2"/>
      <c r="D19" s="58" t="s">
        <v>759</v>
      </c>
      <c r="E19" s="101">
        <v>2635640</v>
      </c>
      <c r="F19" s="216"/>
      <c r="G19" s="101">
        <v>2697953</v>
      </c>
      <c r="H19" s="2"/>
      <c r="I19" s="59">
        <f t="shared" si="1"/>
        <v>2666796.5</v>
      </c>
      <c r="J19" s="2"/>
      <c r="K19" s="209" t="s">
        <v>168</v>
      </c>
      <c r="L19" s="153">
        <f t="shared" si="0"/>
        <v>7.05738175871157E-2</v>
      </c>
      <c r="M19" s="2"/>
      <c r="N19" s="59">
        <f t="shared" si="2"/>
        <v>188206.0097329586</v>
      </c>
      <c r="O19" s="2"/>
    </row>
    <row r="20" spans="1:15" ht="15">
      <c r="A20" s="2"/>
      <c r="B20" s="207">
        <v>2283550</v>
      </c>
      <c r="C20" s="2"/>
      <c r="D20" s="58" t="s">
        <v>760</v>
      </c>
      <c r="E20" s="101">
        <v>2152474</v>
      </c>
      <c r="F20" s="216"/>
      <c r="G20" s="101">
        <v>2644250</v>
      </c>
      <c r="H20" s="2"/>
      <c r="I20" s="59">
        <f t="shared" si="1"/>
        <v>2398362</v>
      </c>
      <c r="J20" s="2"/>
      <c r="K20" s="209" t="s">
        <v>168</v>
      </c>
      <c r="L20" s="153">
        <f t="shared" si="0"/>
        <v>7.05738175871157E-2</v>
      </c>
      <c r="M20" s="2"/>
      <c r="N20" s="59">
        <f t="shared" si="2"/>
        <v>169261.56229586998</v>
      </c>
      <c r="O20" s="2"/>
    </row>
    <row r="21" spans="1:15" ht="15">
      <c r="A21" s="2"/>
      <c r="B21" s="207">
        <v>2282200</v>
      </c>
      <c r="C21" s="58"/>
      <c r="D21" s="58" t="s">
        <v>778</v>
      </c>
      <c r="E21" s="101">
        <f>18934638-2557280</f>
        <v>16377358</v>
      </c>
      <c r="F21" s="5"/>
      <c r="G21" s="101">
        <v>17071780</v>
      </c>
      <c r="H21" s="2"/>
      <c r="I21" s="59">
        <f t="shared" si="1"/>
        <v>16724569</v>
      </c>
      <c r="J21" s="2"/>
      <c r="K21" s="209" t="s">
        <v>168</v>
      </c>
      <c r="L21" s="153">
        <f t="shared" si="0"/>
        <v>7.05738175871157E-2</v>
      </c>
      <c r="M21" s="2"/>
      <c r="N21" s="59">
        <f t="shared" si="2"/>
        <v>1180316.68182913</v>
      </c>
      <c r="O21" s="2"/>
    </row>
    <row r="22" spans="1:15" ht="15">
      <c r="A22" s="2"/>
      <c r="B22" s="207">
        <v>2282600</v>
      </c>
      <c r="C22" s="58"/>
      <c r="D22" s="58" t="s">
        <v>779</v>
      </c>
      <c r="E22" s="101">
        <v>3270737</v>
      </c>
      <c r="F22" s="5"/>
      <c r="G22" s="101">
        <v>2499119</v>
      </c>
      <c r="H22" s="2"/>
      <c r="I22" s="59">
        <f t="shared" si="1"/>
        <v>2884928</v>
      </c>
      <c r="J22" s="2"/>
      <c r="K22" s="209" t="s">
        <v>168</v>
      </c>
      <c r="L22" s="153">
        <f t="shared" si="0"/>
        <v>7.05738175871157E-2</v>
      </c>
      <c r="M22" s="2"/>
      <c r="N22" s="59">
        <f t="shared" si="2"/>
        <v>203600.38242396252</v>
      </c>
      <c r="O22" s="2"/>
    </row>
    <row r="23" spans="1:15" ht="15.75" thickBot="1">
      <c r="A23" s="2"/>
      <c r="B23" s="207">
        <v>2284800</v>
      </c>
      <c r="C23" s="58"/>
      <c r="D23" s="58" t="s">
        <v>780</v>
      </c>
      <c r="E23" s="221">
        <v>37138609</v>
      </c>
      <c r="F23" s="5"/>
      <c r="G23" s="221">
        <v>29196899</v>
      </c>
      <c r="H23" s="2"/>
      <c r="I23" s="59">
        <f t="shared" si="1"/>
        <v>33167754</v>
      </c>
      <c r="J23" s="2"/>
      <c r="K23" s="209" t="s">
        <v>168</v>
      </c>
      <c r="L23" s="153">
        <f t="shared" si="0"/>
        <v>7.05738175871157E-2</v>
      </c>
      <c r="M23" s="2"/>
      <c r="N23" s="154">
        <f t="shared" si="2"/>
        <v>2340775.0205703271</v>
      </c>
      <c r="O23" s="2"/>
    </row>
    <row r="24" spans="1:15" ht="15.75" thickTop="1">
      <c r="A24" s="2"/>
      <c r="B24" s="58"/>
      <c r="C24" s="58"/>
      <c r="D24" s="58" t="s">
        <v>799</v>
      </c>
      <c r="E24" s="180">
        <f>SUM(E14:E23)</f>
        <v>281846062</v>
      </c>
      <c r="F24" s="180"/>
      <c r="G24" s="180">
        <f>SUM(G14:G23)</f>
        <v>286050597.69999999</v>
      </c>
      <c r="H24" s="59"/>
      <c r="I24" s="170">
        <f>SUM(I14:I23)</f>
        <v>283948329.85000002</v>
      </c>
      <c r="J24" s="58"/>
      <c r="K24" s="58"/>
      <c r="L24" s="58"/>
      <c r="M24" s="58"/>
      <c r="N24" s="59">
        <f>SUM(N14:N23)</f>
        <v>20039317.635000061</v>
      </c>
      <c r="O24" s="2"/>
    </row>
    <row r="25" spans="1:15" ht="15">
      <c r="A25" s="2"/>
      <c r="B25" s="2"/>
      <c r="C25" s="2"/>
      <c r="D25" s="2"/>
      <c r="E25" s="5"/>
      <c r="F25" s="5"/>
      <c r="G25" s="5"/>
      <c r="H25" s="2"/>
      <c r="I25" s="2"/>
      <c r="J25" s="2"/>
      <c r="K25" s="2"/>
      <c r="L25" s="2"/>
      <c r="M25" s="2"/>
      <c r="N25" s="213"/>
      <c r="O25" s="2"/>
    </row>
    <row r="26" spans="1:15" ht="15">
      <c r="A26" s="2"/>
      <c r="B26" s="2"/>
      <c r="C26" s="2"/>
      <c r="D26" s="1" t="s">
        <v>800</v>
      </c>
      <c r="E26" s="222"/>
      <c r="F26" s="222"/>
      <c r="G26" s="222"/>
      <c r="H26" s="6"/>
      <c r="I26" s="6"/>
      <c r="J26" s="2"/>
      <c r="K26" s="2"/>
      <c r="L26" s="2"/>
      <c r="M26" s="2"/>
      <c r="N26" s="213"/>
      <c r="O26" s="2"/>
    </row>
    <row r="27" spans="1:15" ht="15.75" thickBot="1">
      <c r="A27" s="2"/>
      <c r="B27" s="2"/>
      <c r="C27" s="2"/>
      <c r="D27" s="2" t="s">
        <v>802</v>
      </c>
      <c r="E27" s="223">
        <v>-27096163</v>
      </c>
      <c r="F27" s="187"/>
      <c r="G27" s="223">
        <v>-31569603.600000001</v>
      </c>
      <c r="H27" s="2"/>
      <c r="I27" s="59">
        <f t="shared" ref="I27" si="3">(E27+G27)/2</f>
        <v>-29332883.300000001</v>
      </c>
      <c r="J27" s="2"/>
      <c r="K27" s="209" t="s">
        <v>168</v>
      </c>
      <c r="L27" s="153">
        <f t="shared" ref="L27" si="4">VLOOKUP(K27,Alloc_Factors,2,FALSE)</f>
        <v>7.05738175871157E-2</v>
      </c>
      <c r="M27" s="2"/>
      <c r="N27" s="154">
        <f t="shared" ref="N27" si="5">I27*L27</f>
        <v>-2070133.5553183525</v>
      </c>
      <c r="O27" s="2"/>
    </row>
    <row r="28" spans="1:15" ht="15.75" thickTop="1">
      <c r="A28" s="2"/>
      <c r="B28" s="2"/>
      <c r="C28" s="2"/>
      <c r="D28" s="2" t="s">
        <v>801</v>
      </c>
      <c r="E28" s="180">
        <f>E27</f>
        <v>-27096163</v>
      </c>
      <c r="F28" s="180"/>
      <c r="G28" s="180">
        <f>G27</f>
        <v>-31569603.600000001</v>
      </c>
      <c r="H28" s="59"/>
      <c r="I28" s="170">
        <f>I27</f>
        <v>-29332883.300000001</v>
      </c>
      <c r="J28" s="58"/>
      <c r="K28" s="58"/>
      <c r="L28" s="58"/>
      <c r="M28" s="58"/>
      <c r="N28" s="59">
        <f>N27</f>
        <v>-2070133.5553183525</v>
      </c>
      <c r="O28" s="2"/>
    </row>
    <row r="29" spans="1:15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13"/>
      <c r="O29" s="2"/>
    </row>
    <row r="30" spans="1:15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13"/>
      <c r="O30" s="2"/>
    </row>
    <row r="31" spans="1:15" ht="15">
      <c r="A31" s="2"/>
      <c r="B31" s="2"/>
      <c r="C31" s="2"/>
      <c r="D31" s="1" t="s">
        <v>781</v>
      </c>
      <c r="E31" s="6">
        <f>+E24+E28</f>
        <v>254749899</v>
      </c>
      <c r="F31" s="6"/>
      <c r="G31" s="6">
        <f>+G24+G28</f>
        <v>254480994.09999999</v>
      </c>
      <c r="H31" s="6"/>
      <c r="I31" s="6">
        <f>I24+I28</f>
        <v>254615446.55000001</v>
      </c>
      <c r="J31" s="2"/>
      <c r="K31" s="2"/>
      <c r="L31" s="2"/>
      <c r="M31" s="2"/>
      <c r="N31" s="6">
        <f>N24+N28</f>
        <v>17969184.079681709</v>
      </c>
      <c r="O31" s="2"/>
    </row>
    <row r="32" spans="1:15" ht="15">
      <c r="A32" s="215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</row>
  </sheetData>
  <mergeCells count="4">
    <mergeCell ref="N1:O1"/>
    <mergeCell ref="N3:O3"/>
    <mergeCell ref="A6:O6"/>
    <mergeCell ref="A8:O8"/>
  </mergeCells>
  <pageMargins left="0.45" right="0.45" top="1.25" bottom="0.75" header="0.3" footer="0.3"/>
  <pageSetup scale="62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topLeftCell="C1" zoomScaleNormal="100" workbookViewId="0">
      <pane ySplit="9" topLeftCell="A43" activePane="bottomLeft" state="frozen"/>
      <selection pane="bottomLeft" activeCell="O65" sqref="O65"/>
    </sheetView>
  </sheetViews>
  <sheetFormatPr defaultRowHeight="12.75"/>
  <cols>
    <col min="5" max="5" width="37.42578125" bestFit="1" customWidth="1"/>
    <col min="6" max="6" width="13.85546875" customWidth="1"/>
    <col min="7" max="7" width="3.7109375" customWidth="1"/>
    <col min="8" max="8" width="14.42578125" customWidth="1"/>
    <col min="9" max="9" width="3.7109375" customWidth="1"/>
    <col min="10" max="10" width="14.42578125" customWidth="1"/>
    <col min="11" max="11" width="6.5703125" customWidth="1"/>
    <col min="12" max="12" width="14.85546875" customWidth="1"/>
    <col min="14" max="14" width="11.85546875" bestFit="1" customWidth="1"/>
    <col min="17" max="17" width="10.85546875" bestFit="1" customWidth="1"/>
    <col min="261" max="261" width="37.42578125" bestFit="1" customWidth="1"/>
    <col min="262" max="262" width="13.85546875" customWidth="1"/>
    <col min="263" max="263" width="3.7109375" customWidth="1"/>
    <col min="264" max="264" width="13.42578125" customWidth="1"/>
    <col min="265" max="265" width="3.7109375" customWidth="1"/>
    <col min="266" max="266" width="13.42578125" customWidth="1"/>
    <col min="267" max="267" width="6.5703125" customWidth="1"/>
    <col min="268" max="268" width="14.85546875" customWidth="1"/>
    <col min="517" max="517" width="37.42578125" bestFit="1" customWidth="1"/>
    <col min="518" max="518" width="13.85546875" customWidth="1"/>
    <col min="519" max="519" width="3.7109375" customWidth="1"/>
    <col min="520" max="520" width="13.42578125" customWidth="1"/>
    <col min="521" max="521" width="3.7109375" customWidth="1"/>
    <col min="522" max="522" width="13.42578125" customWidth="1"/>
    <col min="523" max="523" width="6.5703125" customWidth="1"/>
    <col min="524" max="524" width="14.85546875" customWidth="1"/>
    <col min="773" max="773" width="37.42578125" bestFit="1" customWidth="1"/>
    <col min="774" max="774" width="13.85546875" customWidth="1"/>
    <col min="775" max="775" width="3.7109375" customWidth="1"/>
    <col min="776" max="776" width="13.42578125" customWidth="1"/>
    <col min="777" max="777" width="3.7109375" customWidth="1"/>
    <col min="778" max="778" width="13.42578125" customWidth="1"/>
    <col min="779" max="779" width="6.5703125" customWidth="1"/>
    <col min="780" max="780" width="14.85546875" customWidth="1"/>
    <col min="1029" max="1029" width="37.42578125" bestFit="1" customWidth="1"/>
    <col min="1030" max="1030" width="13.85546875" customWidth="1"/>
    <col min="1031" max="1031" width="3.7109375" customWidth="1"/>
    <col min="1032" max="1032" width="13.42578125" customWidth="1"/>
    <col min="1033" max="1033" width="3.7109375" customWidth="1"/>
    <col min="1034" max="1034" width="13.42578125" customWidth="1"/>
    <col min="1035" max="1035" width="6.5703125" customWidth="1"/>
    <col min="1036" max="1036" width="14.85546875" customWidth="1"/>
    <col min="1285" max="1285" width="37.42578125" bestFit="1" customWidth="1"/>
    <col min="1286" max="1286" width="13.85546875" customWidth="1"/>
    <col min="1287" max="1287" width="3.7109375" customWidth="1"/>
    <col min="1288" max="1288" width="13.42578125" customWidth="1"/>
    <col min="1289" max="1289" width="3.7109375" customWidth="1"/>
    <col min="1290" max="1290" width="13.42578125" customWidth="1"/>
    <col min="1291" max="1291" width="6.5703125" customWidth="1"/>
    <col min="1292" max="1292" width="14.85546875" customWidth="1"/>
    <col min="1541" max="1541" width="37.42578125" bestFit="1" customWidth="1"/>
    <col min="1542" max="1542" width="13.85546875" customWidth="1"/>
    <col min="1543" max="1543" width="3.7109375" customWidth="1"/>
    <col min="1544" max="1544" width="13.42578125" customWidth="1"/>
    <col min="1545" max="1545" width="3.7109375" customWidth="1"/>
    <col min="1546" max="1546" width="13.42578125" customWidth="1"/>
    <col min="1547" max="1547" width="6.5703125" customWidth="1"/>
    <col min="1548" max="1548" width="14.85546875" customWidth="1"/>
    <col min="1797" max="1797" width="37.42578125" bestFit="1" customWidth="1"/>
    <col min="1798" max="1798" width="13.85546875" customWidth="1"/>
    <col min="1799" max="1799" width="3.7109375" customWidth="1"/>
    <col min="1800" max="1800" width="13.42578125" customWidth="1"/>
    <col min="1801" max="1801" width="3.7109375" customWidth="1"/>
    <col min="1802" max="1802" width="13.42578125" customWidth="1"/>
    <col min="1803" max="1803" width="6.5703125" customWidth="1"/>
    <col min="1804" max="1804" width="14.85546875" customWidth="1"/>
    <col min="2053" max="2053" width="37.42578125" bestFit="1" customWidth="1"/>
    <col min="2054" max="2054" width="13.85546875" customWidth="1"/>
    <col min="2055" max="2055" width="3.7109375" customWidth="1"/>
    <col min="2056" max="2056" width="13.42578125" customWidth="1"/>
    <col min="2057" max="2057" width="3.7109375" customWidth="1"/>
    <col min="2058" max="2058" width="13.42578125" customWidth="1"/>
    <col min="2059" max="2059" width="6.5703125" customWidth="1"/>
    <col min="2060" max="2060" width="14.85546875" customWidth="1"/>
    <col min="2309" max="2309" width="37.42578125" bestFit="1" customWidth="1"/>
    <col min="2310" max="2310" width="13.85546875" customWidth="1"/>
    <col min="2311" max="2311" width="3.7109375" customWidth="1"/>
    <col min="2312" max="2312" width="13.42578125" customWidth="1"/>
    <col min="2313" max="2313" width="3.7109375" customWidth="1"/>
    <col min="2314" max="2314" width="13.42578125" customWidth="1"/>
    <col min="2315" max="2315" width="6.5703125" customWidth="1"/>
    <col min="2316" max="2316" width="14.85546875" customWidth="1"/>
    <col min="2565" max="2565" width="37.42578125" bestFit="1" customWidth="1"/>
    <col min="2566" max="2566" width="13.85546875" customWidth="1"/>
    <col min="2567" max="2567" width="3.7109375" customWidth="1"/>
    <col min="2568" max="2568" width="13.42578125" customWidth="1"/>
    <col min="2569" max="2569" width="3.7109375" customWidth="1"/>
    <col min="2570" max="2570" width="13.42578125" customWidth="1"/>
    <col min="2571" max="2571" width="6.5703125" customWidth="1"/>
    <col min="2572" max="2572" width="14.85546875" customWidth="1"/>
    <col min="2821" max="2821" width="37.42578125" bestFit="1" customWidth="1"/>
    <col min="2822" max="2822" width="13.85546875" customWidth="1"/>
    <col min="2823" max="2823" width="3.7109375" customWidth="1"/>
    <col min="2824" max="2824" width="13.42578125" customWidth="1"/>
    <col min="2825" max="2825" width="3.7109375" customWidth="1"/>
    <col min="2826" max="2826" width="13.42578125" customWidth="1"/>
    <col min="2827" max="2827" width="6.5703125" customWidth="1"/>
    <col min="2828" max="2828" width="14.85546875" customWidth="1"/>
    <col min="3077" max="3077" width="37.42578125" bestFit="1" customWidth="1"/>
    <col min="3078" max="3078" width="13.85546875" customWidth="1"/>
    <col min="3079" max="3079" width="3.7109375" customWidth="1"/>
    <col min="3080" max="3080" width="13.42578125" customWidth="1"/>
    <col min="3081" max="3081" width="3.7109375" customWidth="1"/>
    <col min="3082" max="3082" width="13.42578125" customWidth="1"/>
    <col min="3083" max="3083" width="6.5703125" customWidth="1"/>
    <col min="3084" max="3084" width="14.85546875" customWidth="1"/>
    <col min="3333" max="3333" width="37.42578125" bestFit="1" customWidth="1"/>
    <col min="3334" max="3334" width="13.85546875" customWidth="1"/>
    <col min="3335" max="3335" width="3.7109375" customWidth="1"/>
    <col min="3336" max="3336" width="13.42578125" customWidth="1"/>
    <col min="3337" max="3337" width="3.7109375" customWidth="1"/>
    <col min="3338" max="3338" width="13.42578125" customWidth="1"/>
    <col min="3339" max="3339" width="6.5703125" customWidth="1"/>
    <col min="3340" max="3340" width="14.85546875" customWidth="1"/>
    <col min="3589" max="3589" width="37.42578125" bestFit="1" customWidth="1"/>
    <col min="3590" max="3590" width="13.85546875" customWidth="1"/>
    <col min="3591" max="3591" width="3.7109375" customWidth="1"/>
    <col min="3592" max="3592" width="13.42578125" customWidth="1"/>
    <col min="3593" max="3593" width="3.7109375" customWidth="1"/>
    <col min="3594" max="3594" width="13.42578125" customWidth="1"/>
    <col min="3595" max="3595" width="6.5703125" customWidth="1"/>
    <col min="3596" max="3596" width="14.85546875" customWidth="1"/>
    <col min="3845" max="3845" width="37.42578125" bestFit="1" customWidth="1"/>
    <col min="3846" max="3846" width="13.85546875" customWidth="1"/>
    <col min="3847" max="3847" width="3.7109375" customWidth="1"/>
    <col min="3848" max="3848" width="13.42578125" customWidth="1"/>
    <col min="3849" max="3849" width="3.7109375" customWidth="1"/>
    <col min="3850" max="3850" width="13.42578125" customWidth="1"/>
    <col min="3851" max="3851" width="6.5703125" customWidth="1"/>
    <col min="3852" max="3852" width="14.85546875" customWidth="1"/>
    <col min="4101" max="4101" width="37.42578125" bestFit="1" customWidth="1"/>
    <col min="4102" max="4102" width="13.85546875" customWidth="1"/>
    <col min="4103" max="4103" width="3.7109375" customWidth="1"/>
    <col min="4104" max="4104" width="13.42578125" customWidth="1"/>
    <col min="4105" max="4105" width="3.7109375" customWidth="1"/>
    <col min="4106" max="4106" width="13.42578125" customWidth="1"/>
    <col min="4107" max="4107" width="6.5703125" customWidth="1"/>
    <col min="4108" max="4108" width="14.85546875" customWidth="1"/>
    <col min="4357" max="4357" width="37.42578125" bestFit="1" customWidth="1"/>
    <col min="4358" max="4358" width="13.85546875" customWidth="1"/>
    <col min="4359" max="4359" width="3.7109375" customWidth="1"/>
    <col min="4360" max="4360" width="13.42578125" customWidth="1"/>
    <col min="4361" max="4361" width="3.7109375" customWidth="1"/>
    <col min="4362" max="4362" width="13.42578125" customWidth="1"/>
    <col min="4363" max="4363" width="6.5703125" customWidth="1"/>
    <col min="4364" max="4364" width="14.85546875" customWidth="1"/>
    <col min="4613" max="4613" width="37.42578125" bestFit="1" customWidth="1"/>
    <col min="4614" max="4614" width="13.85546875" customWidth="1"/>
    <col min="4615" max="4615" width="3.7109375" customWidth="1"/>
    <col min="4616" max="4616" width="13.42578125" customWidth="1"/>
    <col min="4617" max="4617" width="3.7109375" customWidth="1"/>
    <col min="4618" max="4618" width="13.42578125" customWidth="1"/>
    <col min="4619" max="4619" width="6.5703125" customWidth="1"/>
    <col min="4620" max="4620" width="14.85546875" customWidth="1"/>
    <col min="4869" max="4869" width="37.42578125" bestFit="1" customWidth="1"/>
    <col min="4870" max="4870" width="13.85546875" customWidth="1"/>
    <col min="4871" max="4871" width="3.7109375" customWidth="1"/>
    <col min="4872" max="4872" width="13.42578125" customWidth="1"/>
    <col min="4873" max="4873" width="3.7109375" customWidth="1"/>
    <col min="4874" max="4874" width="13.42578125" customWidth="1"/>
    <col min="4875" max="4875" width="6.5703125" customWidth="1"/>
    <col min="4876" max="4876" width="14.85546875" customWidth="1"/>
    <col min="5125" max="5125" width="37.42578125" bestFit="1" customWidth="1"/>
    <col min="5126" max="5126" width="13.85546875" customWidth="1"/>
    <col min="5127" max="5127" width="3.7109375" customWidth="1"/>
    <col min="5128" max="5128" width="13.42578125" customWidth="1"/>
    <col min="5129" max="5129" width="3.7109375" customWidth="1"/>
    <col min="5130" max="5130" width="13.42578125" customWidth="1"/>
    <col min="5131" max="5131" width="6.5703125" customWidth="1"/>
    <col min="5132" max="5132" width="14.85546875" customWidth="1"/>
    <col min="5381" max="5381" width="37.42578125" bestFit="1" customWidth="1"/>
    <col min="5382" max="5382" width="13.85546875" customWidth="1"/>
    <col min="5383" max="5383" width="3.7109375" customWidth="1"/>
    <col min="5384" max="5384" width="13.42578125" customWidth="1"/>
    <col min="5385" max="5385" width="3.7109375" customWidth="1"/>
    <col min="5386" max="5386" width="13.42578125" customWidth="1"/>
    <col min="5387" max="5387" width="6.5703125" customWidth="1"/>
    <col min="5388" max="5388" width="14.85546875" customWidth="1"/>
    <col min="5637" max="5637" width="37.42578125" bestFit="1" customWidth="1"/>
    <col min="5638" max="5638" width="13.85546875" customWidth="1"/>
    <col min="5639" max="5639" width="3.7109375" customWidth="1"/>
    <col min="5640" max="5640" width="13.42578125" customWidth="1"/>
    <col min="5641" max="5641" width="3.7109375" customWidth="1"/>
    <col min="5642" max="5642" width="13.42578125" customWidth="1"/>
    <col min="5643" max="5643" width="6.5703125" customWidth="1"/>
    <col min="5644" max="5644" width="14.85546875" customWidth="1"/>
    <col min="5893" max="5893" width="37.42578125" bestFit="1" customWidth="1"/>
    <col min="5894" max="5894" width="13.85546875" customWidth="1"/>
    <col min="5895" max="5895" width="3.7109375" customWidth="1"/>
    <col min="5896" max="5896" width="13.42578125" customWidth="1"/>
    <col min="5897" max="5897" width="3.7109375" customWidth="1"/>
    <col min="5898" max="5898" width="13.42578125" customWidth="1"/>
    <col min="5899" max="5899" width="6.5703125" customWidth="1"/>
    <col min="5900" max="5900" width="14.85546875" customWidth="1"/>
    <col min="6149" max="6149" width="37.42578125" bestFit="1" customWidth="1"/>
    <col min="6150" max="6150" width="13.85546875" customWidth="1"/>
    <col min="6151" max="6151" width="3.7109375" customWidth="1"/>
    <col min="6152" max="6152" width="13.42578125" customWidth="1"/>
    <col min="6153" max="6153" width="3.7109375" customWidth="1"/>
    <col min="6154" max="6154" width="13.42578125" customWidth="1"/>
    <col min="6155" max="6155" width="6.5703125" customWidth="1"/>
    <col min="6156" max="6156" width="14.85546875" customWidth="1"/>
    <col min="6405" max="6405" width="37.42578125" bestFit="1" customWidth="1"/>
    <col min="6406" max="6406" width="13.85546875" customWidth="1"/>
    <col min="6407" max="6407" width="3.7109375" customWidth="1"/>
    <col min="6408" max="6408" width="13.42578125" customWidth="1"/>
    <col min="6409" max="6409" width="3.7109375" customWidth="1"/>
    <col min="6410" max="6410" width="13.42578125" customWidth="1"/>
    <col min="6411" max="6411" width="6.5703125" customWidth="1"/>
    <col min="6412" max="6412" width="14.85546875" customWidth="1"/>
    <col min="6661" max="6661" width="37.42578125" bestFit="1" customWidth="1"/>
    <col min="6662" max="6662" width="13.85546875" customWidth="1"/>
    <col min="6663" max="6663" width="3.7109375" customWidth="1"/>
    <col min="6664" max="6664" width="13.42578125" customWidth="1"/>
    <col min="6665" max="6665" width="3.7109375" customWidth="1"/>
    <col min="6666" max="6666" width="13.42578125" customWidth="1"/>
    <col min="6667" max="6667" width="6.5703125" customWidth="1"/>
    <col min="6668" max="6668" width="14.85546875" customWidth="1"/>
    <col min="6917" max="6917" width="37.42578125" bestFit="1" customWidth="1"/>
    <col min="6918" max="6918" width="13.85546875" customWidth="1"/>
    <col min="6919" max="6919" width="3.7109375" customWidth="1"/>
    <col min="6920" max="6920" width="13.42578125" customWidth="1"/>
    <col min="6921" max="6921" width="3.7109375" customWidth="1"/>
    <col min="6922" max="6922" width="13.42578125" customWidth="1"/>
    <col min="6923" max="6923" width="6.5703125" customWidth="1"/>
    <col min="6924" max="6924" width="14.85546875" customWidth="1"/>
    <col min="7173" max="7173" width="37.42578125" bestFit="1" customWidth="1"/>
    <col min="7174" max="7174" width="13.85546875" customWidth="1"/>
    <col min="7175" max="7175" width="3.7109375" customWidth="1"/>
    <col min="7176" max="7176" width="13.42578125" customWidth="1"/>
    <col min="7177" max="7177" width="3.7109375" customWidth="1"/>
    <col min="7178" max="7178" width="13.42578125" customWidth="1"/>
    <col min="7179" max="7179" width="6.5703125" customWidth="1"/>
    <col min="7180" max="7180" width="14.85546875" customWidth="1"/>
    <col min="7429" max="7429" width="37.42578125" bestFit="1" customWidth="1"/>
    <col min="7430" max="7430" width="13.85546875" customWidth="1"/>
    <col min="7431" max="7431" width="3.7109375" customWidth="1"/>
    <col min="7432" max="7432" width="13.42578125" customWidth="1"/>
    <col min="7433" max="7433" width="3.7109375" customWidth="1"/>
    <col min="7434" max="7434" width="13.42578125" customWidth="1"/>
    <col min="7435" max="7435" width="6.5703125" customWidth="1"/>
    <col min="7436" max="7436" width="14.85546875" customWidth="1"/>
    <col min="7685" max="7685" width="37.42578125" bestFit="1" customWidth="1"/>
    <col min="7686" max="7686" width="13.85546875" customWidth="1"/>
    <col min="7687" max="7687" width="3.7109375" customWidth="1"/>
    <col min="7688" max="7688" width="13.42578125" customWidth="1"/>
    <col min="7689" max="7689" width="3.7109375" customWidth="1"/>
    <col min="7690" max="7690" width="13.42578125" customWidth="1"/>
    <col min="7691" max="7691" width="6.5703125" customWidth="1"/>
    <col min="7692" max="7692" width="14.85546875" customWidth="1"/>
    <col min="7941" max="7941" width="37.42578125" bestFit="1" customWidth="1"/>
    <col min="7942" max="7942" width="13.85546875" customWidth="1"/>
    <col min="7943" max="7943" width="3.7109375" customWidth="1"/>
    <col min="7944" max="7944" width="13.42578125" customWidth="1"/>
    <col min="7945" max="7945" width="3.7109375" customWidth="1"/>
    <col min="7946" max="7946" width="13.42578125" customWidth="1"/>
    <col min="7947" max="7947" width="6.5703125" customWidth="1"/>
    <col min="7948" max="7948" width="14.85546875" customWidth="1"/>
    <col min="8197" max="8197" width="37.42578125" bestFit="1" customWidth="1"/>
    <col min="8198" max="8198" width="13.85546875" customWidth="1"/>
    <col min="8199" max="8199" width="3.7109375" customWidth="1"/>
    <col min="8200" max="8200" width="13.42578125" customWidth="1"/>
    <col min="8201" max="8201" width="3.7109375" customWidth="1"/>
    <col min="8202" max="8202" width="13.42578125" customWidth="1"/>
    <col min="8203" max="8203" width="6.5703125" customWidth="1"/>
    <col min="8204" max="8204" width="14.85546875" customWidth="1"/>
    <col min="8453" max="8453" width="37.42578125" bestFit="1" customWidth="1"/>
    <col min="8454" max="8454" width="13.85546875" customWidth="1"/>
    <col min="8455" max="8455" width="3.7109375" customWidth="1"/>
    <col min="8456" max="8456" width="13.42578125" customWidth="1"/>
    <col min="8457" max="8457" width="3.7109375" customWidth="1"/>
    <col min="8458" max="8458" width="13.42578125" customWidth="1"/>
    <col min="8459" max="8459" width="6.5703125" customWidth="1"/>
    <col min="8460" max="8460" width="14.85546875" customWidth="1"/>
    <col min="8709" max="8709" width="37.42578125" bestFit="1" customWidth="1"/>
    <col min="8710" max="8710" width="13.85546875" customWidth="1"/>
    <col min="8711" max="8711" width="3.7109375" customWidth="1"/>
    <col min="8712" max="8712" width="13.42578125" customWidth="1"/>
    <col min="8713" max="8713" width="3.7109375" customWidth="1"/>
    <col min="8714" max="8714" width="13.42578125" customWidth="1"/>
    <col min="8715" max="8715" width="6.5703125" customWidth="1"/>
    <col min="8716" max="8716" width="14.85546875" customWidth="1"/>
    <col min="8965" max="8965" width="37.42578125" bestFit="1" customWidth="1"/>
    <col min="8966" max="8966" width="13.85546875" customWidth="1"/>
    <col min="8967" max="8967" width="3.7109375" customWidth="1"/>
    <col min="8968" max="8968" width="13.42578125" customWidth="1"/>
    <col min="8969" max="8969" width="3.7109375" customWidth="1"/>
    <col min="8970" max="8970" width="13.42578125" customWidth="1"/>
    <col min="8971" max="8971" width="6.5703125" customWidth="1"/>
    <col min="8972" max="8972" width="14.85546875" customWidth="1"/>
    <col min="9221" max="9221" width="37.42578125" bestFit="1" customWidth="1"/>
    <col min="9222" max="9222" width="13.85546875" customWidth="1"/>
    <col min="9223" max="9223" width="3.7109375" customWidth="1"/>
    <col min="9224" max="9224" width="13.42578125" customWidth="1"/>
    <col min="9225" max="9225" width="3.7109375" customWidth="1"/>
    <col min="9226" max="9226" width="13.42578125" customWidth="1"/>
    <col min="9227" max="9227" width="6.5703125" customWidth="1"/>
    <col min="9228" max="9228" width="14.85546875" customWidth="1"/>
    <col min="9477" max="9477" width="37.42578125" bestFit="1" customWidth="1"/>
    <col min="9478" max="9478" width="13.85546875" customWidth="1"/>
    <col min="9479" max="9479" width="3.7109375" customWidth="1"/>
    <col min="9480" max="9480" width="13.42578125" customWidth="1"/>
    <col min="9481" max="9481" width="3.7109375" customWidth="1"/>
    <col min="9482" max="9482" width="13.42578125" customWidth="1"/>
    <col min="9483" max="9483" width="6.5703125" customWidth="1"/>
    <col min="9484" max="9484" width="14.85546875" customWidth="1"/>
    <col min="9733" max="9733" width="37.42578125" bestFit="1" customWidth="1"/>
    <col min="9734" max="9734" width="13.85546875" customWidth="1"/>
    <col min="9735" max="9735" width="3.7109375" customWidth="1"/>
    <col min="9736" max="9736" width="13.42578125" customWidth="1"/>
    <col min="9737" max="9737" width="3.7109375" customWidth="1"/>
    <col min="9738" max="9738" width="13.42578125" customWidth="1"/>
    <col min="9739" max="9739" width="6.5703125" customWidth="1"/>
    <col min="9740" max="9740" width="14.85546875" customWidth="1"/>
    <col min="9989" max="9989" width="37.42578125" bestFit="1" customWidth="1"/>
    <col min="9990" max="9990" width="13.85546875" customWidth="1"/>
    <col min="9991" max="9991" width="3.7109375" customWidth="1"/>
    <col min="9992" max="9992" width="13.42578125" customWidth="1"/>
    <col min="9993" max="9993" width="3.7109375" customWidth="1"/>
    <col min="9994" max="9994" width="13.42578125" customWidth="1"/>
    <col min="9995" max="9995" width="6.5703125" customWidth="1"/>
    <col min="9996" max="9996" width="14.85546875" customWidth="1"/>
    <col min="10245" max="10245" width="37.42578125" bestFit="1" customWidth="1"/>
    <col min="10246" max="10246" width="13.85546875" customWidth="1"/>
    <col min="10247" max="10247" width="3.7109375" customWidth="1"/>
    <col min="10248" max="10248" width="13.42578125" customWidth="1"/>
    <col min="10249" max="10249" width="3.7109375" customWidth="1"/>
    <col min="10250" max="10250" width="13.42578125" customWidth="1"/>
    <col min="10251" max="10251" width="6.5703125" customWidth="1"/>
    <col min="10252" max="10252" width="14.85546875" customWidth="1"/>
    <col min="10501" max="10501" width="37.42578125" bestFit="1" customWidth="1"/>
    <col min="10502" max="10502" width="13.85546875" customWidth="1"/>
    <col min="10503" max="10503" width="3.7109375" customWidth="1"/>
    <col min="10504" max="10504" width="13.42578125" customWidth="1"/>
    <col min="10505" max="10505" width="3.7109375" customWidth="1"/>
    <col min="10506" max="10506" width="13.42578125" customWidth="1"/>
    <col min="10507" max="10507" width="6.5703125" customWidth="1"/>
    <col min="10508" max="10508" width="14.85546875" customWidth="1"/>
    <col min="10757" max="10757" width="37.42578125" bestFit="1" customWidth="1"/>
    <col min="10758" max="10758" width="13.85546875" customWidth="1"/>
    <col min="10759" max="10759" width="3.7109375" customWidth="1"/>
    <col min="10760" max="10760" width="13.42578125" customWidth="1"/>
    <col min="10761" max="10761" width="3.7109375" customWidth="1"/>
    <col min="10762" max="10762" width="13.42578125" customWidth="1"/>
    <col min="10763" max="10763" width="6.5703125" customWidth="1"/>
    <col min="10764" max="10764" width="14.85546875" customWidth="1"/>
    <col min="11013" max="11013" width="37.42578125" bestFit="1" customWidth="1"/>
    <col min="11014" max="11014" width="13.85546875" customWidth="1"/>
    <col min="11015" max="11015" width="3.7109375" customWidth="1"/>
    <col min="11016" max="11016" width="13.42578125" customWidth="1"/>
    <col min="11017" max="11017" width="3.7109375" customWidth="1"/>
    <col min="11018" max="11018" width="13.42578125" customWidth="1"/>
    <col min="11019" max="11019" width="6.5703125" customWidth="1"/>
    <col min="11020" max="11020" width="14.85546875" customWidth="1"/>
    <col min="11269" max="11269" width="37.42578125" bestFit="1" customWidth="1"/>
    <col min="11270" max="11270" width="13.85546875" customWidth="1"/>
    <col min="11271" max="11271" width="3.7109375" customWidth="1"/>
    <col min="11272" max="11272" width="13.42578125" customWidth="1"/>
    <col min="11273" max="11273" width="3.7109375" customWidth="1"/>
    <col min="11274" max="11274" width="13.42578125" customWidth="1"/>
    <col min="11275" max="11275" width="6.5703125" customWidth="1"/>
    <col min="11276" max="11276" width="14.85546875" customWidth="1"/>
    <col min="11525" max="11525" width="37.42578125" bestFit="1" customWidth="1"/>
    <col min="11526" max="11526" width="13.85546875" customWidth="1"/>
    <col min="11527" max="11527" width="3.7109375" customWidth="1"/>
    <col min="11528" max="11528" width="13.42578125" customWidth="1"/>
    <col min="11529" max="11529" width="3.7109375" customWidth="1"/>
    <col min="11530" max="11530" width="13.42578125" customWidth="1"/>
    <col min="11531" max="11531" width="6.5703125" customWidth="1"/>
    <col min="11532" max="11532" width="14.85546875" customWidth="1"/>
    <col min="11781" max="11781" width="37.42578125" bestFit="1" customWidth="1"/>
    <col min="11782" max="11782" width="13.85546875" customWidth="1"/>
    <col min="11783" max="11783" width="3.7109375" customWidth="1"/>
    <col min="11784" max="11784" width="13.42578125" customWidth="1"/>
    <col min="11785" max="11785" width="3.7109375" customWidth="1"/>
    <col min="11786" max="11786" width="13.42578125" customWidth="1"/>
    <col min="11787" max="11787" width="6.5703125" customWidth="1"/>
    <col min="11788" max="11788" width="14.85546875" customWidth="1"/>
    <col min="12037" max="12037" width="37.42578125" bestFit="1" customWidth="1"/>
    <col min="12038" max="12038" width="13.85546875" customWidth="1"/>
    <col min="12039" max="12039" width="3.7109375" customWidth="1"/>
    <col min="12040" max="12040" width="13.42578125" customWidth="1"/>
    <col min="12041" max="12041" width="3.7109375" customWidth="1"/>
    <col min="12042" max="12042" width="13.42578125" customWidth="1"/>
    <col min="12043" max="12043" width="6.5703125" customWidth="1"/>
    <col min="12044" max="12044" width="14.85546875" customWidth="1"/>
    <col min="12293" max="12293" width="37.42578125" bestFit="1" customWidth="1"/>
    <col min="12294" max="12294" width="13.85546875" customWidth="1"/>
    <col min="12295" max="12295" width="3.7109375" customWidth="1"/>
    <col min="12296" max="12296" width="13.42578125" customWidth="1"/>
    <col min="12297" max="12297" width="3.7109375" customWidth="1"/>
    <col min="12298" max="12298" width="13.42578125" customWidth="1"/>
    <col min="12299" max="12299" width="6.5703125" customWidth="1"/>
    <col min="12300" max="12300" width="14.85546875" customWidth="1"/>
    <col min="12549" max="12549" width="37.42578125" bestFit="1" customWidth="1"/>
    <col min="12550" max="12550" width="13.85546875" customWidth="1"/>
    <col min="12551" max="12551" width="3.7109375" customWidth="1"/>
    <col min="12552" max="12552" width="13.42578125" customWidth="1"/>
    <col min="12553" max="12553" width="3.7109375" customWidth="1"/>
    <col min="12554" max="12554" width="13.42578125" customWidth="1"/>
    <col min="12555" max="12555" width="6.5703125" customWidth="1"/>
    <col min="12556" max="12556" width="14.85546875" customWidth="1"/>
    <col min="12805" max="12805" width="37.42578125" bestFit="1" customWidth="1"/>
    <col min="12806" max="12806" width="13.85546875" customWidth="1"/>
    <col min="12807" max="12807" width="3.7109375" customWidth="1"/>
    <col min="12808" max="12808" width="13.42578125" customWidth="1"/>
    <col min="12809" max="12809" width="3.7109375" customWidth="1"/>
    <col min="12810" max="12810" width="13.42578125" customWidth="1"/>
    <col min="12811" max="12811" width="6.5703125" customWidth="1"/>
    <col min="12812" max="12812" width="14.85546875" customWidth="1"/>
    <col min="13061" max="13061" width="37.42578125" bestFit="1" customWidth="1"/>
    <col min="13062" max="13062" width="13.85546875" customWidth="1"/>
    <col min="13063" max="13063" width="3.7109375" customWidth="1"/>
    <col min="13064" max="13064" width="13.42578125" customWidth="1"/>
    <col min="13065" max="13065" width="3.7109375" customWidth="1"/>
    <col min="13066" max="13066" width="13.42578125" customWidth="1"/>
    <col min="13067" max="13067" width="6.5703125" customWidth="1"/>
    <col min="13068" max="13068" width="14.85546875" customWidth="1"/>
    <col min="13317" max="13317" width="37.42578125" bestFit="1" customWidth="1"/>
    <col min="13318" max="13318" width="13.85546875" customWidth="1"/>
    <col min="13319" max="13319" width="3.7109375" customWidth="1"/>
    <col min="13320" max="13320" width="13.42578125" customWidth="1"/>
    <col min="13321" max="13321" width="3.7109375" customWidth="1"/>
    <col min="13322" max="13322" width="13.42578125" customWidth="1"/>
    <col min="13323" max="13323" width="6.5703125" customWidth="1"/>
    <col min="13324" max="13324" width="14.85546875" customWidth="1"/>
    <col min="13573" max="13573" width="37.42578125" bestFit="1" customWidth="1"/>
    <col min="13574" max="13574" width="13.85546875" customWidth="1"/>
    <col min="13575" max="13575" width="3.7109375" customWidth="1"/>
    <col min="13576" max="13576" width="13.42578125" customWidth="1"/>
    <col min="13577" max="13577" width="3.7109375" customWidth="1"/>
    <col min="13578" max="13578" width="13.42578125" customWidth="1"/>
    <col min="13579" max="13579" width="6.5703125" customWidth="1"/>
    <col min="13580" max="13580" width="14.85546875" customWidth="1"/>
    <col min="13829" max="13829" width="37.42578125" bestFit="1" customWidth="1"/>
    <col min="13830" max="13830" width="13.85546875" customWidth="1"/>
    <col min="13831" max="13831" width="3.7109375" customWidth="1"/>
    <col min="13832" max="13832" width="13.42578125" customWidth="1"/>
    <col min="13833" max="13833" width="3.7109375" customWidth="1"/>
    <col min="13834" max="13834" width="13.42578125" customWidth="1"/>
    <col min="13835" max="13835" width="6.5703125" customWidth="1"/>
    <col min="13836" max="13836" width="14.85546875" customWidth="1"/>
    <col min="14085" max="14085" width="37.42578125" bestFit="1" customWidth="1"/>
    <col min="14086" max="14086" width="13.85546875" customWidth="1"/>
    <col min="14087" max="14087" width="3.7109375" customWidth="1"/>
    <col min="14088" max="14088" width="13.42578125" customWidth="1"/>
    <col min="14089" max="14089" width="3.7109375" customWidth="1"/>
    <col min="14090" max="14090" width="13.42578125" customWidth="1"/>
    <col min="14091" max="14091" width="6.5703125" customWidth="1"/>
    <col min="14092" max="14092" width="14.85546875" customWidth="1"/>
    <col min="14341" max="14341" width="37.42578125" bestFit="1" customWidth="1"/>
    <col min="14342" max="14342" width="13.85546875" customWidth="1"/>
    <col min="14343" max="14343" width="3.7109375" customWidth="1"/>
    <col min="14344" max="14344" width="13.42578125" customWidth="1"/>
    <col min="14345" max="14345" width="3.7109375" customWidth="1"/>
    <col min="14346" max="14346" width="13.42578125" customWidth="1"/>
    <col min="14347" max="14347" width="6.5703125" customWidth="1"/>
    <col min="14348" max="14348" width="14.85546875" customWidth="1"/>
    <col min="14597" max="14597" width="37.42578125" bestFit="1" customWidth="1"/>
    <col min="14598" max="14598" width="13.85546875" customWidth="1"/>
    <col min="14599" max="14599" width="3.7109375" customWidth="1"/>
    <col min="14600" max="14600" width="13.42578125" customWidth="1"/>
    <col min="14601" max="14601" width="3.7109375" customWidth="1"/>
    <col min="14602" max="14602" width="13.42578125" customWidth="1"/>
    <col min="14603" max="14603" width="6.5703125" customWidth="1"/>
    <col min="14604" max="14604" width="14.85546875" customWidth="1"/>
    <col min="14853" max="14853" width="37.42578125" bestFit="1" customWidth="1"/>
    <col min="14854" max="14854" width="13.85546875" customWidth="1"/>
    <col min="14855" max="14855" width="3.7109375" customWidth="1"/>
    <col min="14856" max="14856" width="13.42578125" customWidth="1"/>
    <col min="14857" max="14857" width="3.7109375" customWidth="1"/>
    <col min="14858" max="14858" width="13.42578125" customWidth="1"/>
    <col min="14859" max="14859" width="6.5703125" customWidth="1"/>
    <col min="14860" max="14860" width="14.85546875" customWidth="1"/>
    <col min="15109" max="15109" width="37.42578125" bestFit="1" customWidth="1"/>
    <col min="15110" max="15110" width="13.85546875" customWidth="1"/>
    <col min="15111" max="15111" width="3.7109375" customWidth="1"/>
    <col min="15112" max="15112" width="13.42578125" customWidth="1"/>
    <col min="15113" max="15113" width="3.7109375" customWidth="1"/>
    <col min="15114" max="15114" width="13.42578125" customWidth="1"/>
    <col min="15115" max="15115" width="6.5703125" customWidth="1"/>
    <col min="15116" max="15116" width="14.85546875" customWidth="1"/>
    <col min="15365" max="15365" width="37.42578125" bestFit="1" customWidth="1"/>
    <col min="15366" max="15366" width="13.85546875" customWidth="1"/>
    <col min="15367" max="15367" width="3.7109375" customWidth="1"/>
    <col min="15368" max="15368" width="13.42578125" customWidth="1"/>
    <col min="15369" max="15369" width="3.7109375" customWidth="1"/>
    <col min="15370" max="15370" width="13.42578125" customWidth="1"/>
    <col min="15371" max="15371" width="6.5703125" customWidth="1"/>
    <col min="15372" max="15372" width="14.85546875" customWidth="1"/>
    <col min="15621" max="15621" width="37.42578125" bestFit="1" customWidth="1"/>
    <col min="15622" max="15622" width="13.85546875" customWidth="1"/>
    <col min="15623" max="15623" width="3.7109375" customWidth="1"/>
    <col min="15624" max="15624" width="13.42578125" customWidth="1"/>
    <col min="15625" max="15625" width="3.7109375" customWidth="1"/>
    <col min="15626" max="15626" width="13.42578125" customWidth="1"/>
    <col min="15627" max="15627" width="6.5703125" customWidth="1"/>
    <col min="15628" max="15628" width="14.85546875" customWidth="1"/>
    <col min="15877" max="15877" width="37.42578125" bestFit="1" customWidth="1"/>
    <col min="15878" max="15878" width="13.85546875" customWidth="1"/>
    <col min="15879" max="15879" width="3.7109375" customWidth="1"/>
    <col min="15880" max="15880" width="13.42578125" customWidth="1"/>
    <col min="15881" max="15881" width="3.7109375" customWidth="1"/>
    <col min="15882" max="15882" width="13.42578125" customWidth="1"/>
    <col min="15883" max="15883" width="6.5703125" customWidth="1"/>
    <col min="15884" max="15884" width="14.85546875" customWidth="1"/>
    <col min="16133" max="16133" width="37.42578125" bestFit="1" customWidth="1"/>
    <col min="16134" max="16134" width="13.85546875" customWidth="1"/>
    <col min="16135" max="16135" width="3.7109375" customWidth="1"/>
    <col min="16136" max="16136" width="13.42578125" customWidth="1"/>
    <col min="16137" max="16137" width="3.7109375" customWidth="1"/>
    <col min="16138" max="16138" width="13.42578125" customWidth="1"/>
    <col min="16139" max="16139" width="6.5703125" customWidth="1"/>
    <col min="16140" max="16140" width="14.85546875" customWidth="1"/>
  </cols>
  <sheetData>
    <row r="1" spans="1:12" ht="15.75">
      <c r="A1" s="2"/>
      <c r="B1" s="2"/>
      <c r="C1" s="2"/>
      <c r="D1" s="2"/>
      <c r="E1" s="2"/>
      <c r="F1" s="2"/>
      <c r="G1" s="2"/>
      <c r="H1" s="2"/>
      <c r="I1" s="2"/>
      <c r="J1" s="2"/>
      <c r="K1" s="42" t="s">
        <v>3</v>
      </c>
      <c r="L1" s="2"/>
    </row>
    <row r="2" spans="1:12" ht="15.75">
      <c r="A2" s="2"/>
      <c r="B2" s="2"/>
      <c r="C2" s="2"/>
      <c r="D2" s="2"/>
      <c r="E2" s="2"/>
      <c r="F2" s="2"/>
      <c r="G2" s="2"/>
      <c r="H2" s="2"/>
      <c r="I2" s="2"/>
      <c r="J2" s="2"/>
      <c r="K2" s="42" t="s">
        <v>69</v>
      </c>
      <c r="L2" s="2"/>
    </row>
    <row r="3" spans="1:12" ht="15">
      <c r="A3" s="2"/>
      <c r="B3" s="2"/>
      <c r="C3" s="2"/>
      <c r="D3" s="2"/>
      <c r="E3" s="2"/>
      <c r="F3" s="2"/>
      <c r="G3" s="2"/>
      <c r="H3" s="2"/>
      <c r="I3" s="2"/>
      <c r="J3" s="2"/>
      <c r="K3" s="273" t="s">
        <v>808</v>
      </c>
      <c r="L3" s="273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>
      <c r="A5" s="263" t="s">
        <v>70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</row>
    <row r="6" spans="1:12" ht="15">
      <c r="A6" s="281" t="s">
        <v>71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</row>
    <row r="7" spans="1:12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45">
      <c r="A9" s="2"/>
      <c r="B9" s="3" t="s">
        <v>72</v>
      </c>
      <c r="C9" s="3" t="s">
        <v>73</v>
      </c>
      <c r="D9" s="3" t="s">
        <v>74</v>
      </c>
      <c r="E9" s="3" t="s">
        <v>75</v>
      </c>
      <c r="F9" s="3" t="s">
        <v>76</v>
      </c>
      <c r="G9" s="3"/>
      <c r="H9" s="37" t="s">
        <v>77</v>
      </c>
      <c r="I9" s="37"/>
      <c r="J9" s="37" t="s">
        <v>78</v>
      </c>
      <c r="K9" s="37"/>
      <c r="L9" s="2"/>
    </row>
    <row r="10" spans="1:12" ht="6" customHeight="1">
      <c r="A10" s="2"/>
      <c r="B10" s="4"/>
      <c r="C10" s="4"/>
      <c r="D10" s="4"/>
      <c r="E10" s="2"/>
      <c r="F10" s="2"/>
      <c r="G10" s="2"/>
      <c r="H10" s="2"/>
      <c r="I10" s="2"/>
      <c r="J10" s="2"/>
      <c r="K10" s="2"/>
      <c r="L10" s="2"/>
    </row>
    <row r="11" spans="1:12" ht="15">
      <c r="A11" s="2"/>
      <c r="B11" s="38">
        <v>111</v>
      </c>
      <c r="C11" s="38">
        <v>57</v>
      </c>
      <c r="D11" s="38" t="s">
        <v>79</v>
      </c>
      <c r="E11" s="5" t="s">
        <v>80</v>
      </c>
      <c r="F11" s="38" t="str">
        <f>FIXED(B11,0)&amp;"."&amp;FIXED(C11,0)&amp;"."&amp;D11</f>
        <v>111.57.c&amp;d</v>
      </c>
      <c r="G11" s="38"/>
      <c r="H11" s="219">
        <v>8240691</v>
      </c>
      <c r="I11" s="7"/>
      <c r="J11" s="219">
        <v>7883109</v>
      </c>
      <c r="K11" s="2"/>
      <c r="L11" s="2"/>
    </row>
    <row r="12" spans="1:12" ht="15">
      <c r="A12" s="2"/>
      <c r="B12" s="38">
        <v>111</v>
      </c>
      <c r="C12" s="38">
        <v>81</v>
      </c>
      <c r="D12" s="38" t="s">
        <v>79</v>
      </c>
      <c r="E12" s="5" t="s">
        <v>81</v>
      </c>
      <c r="F12" s="38" t="str">
        <f t="shared" ref="F12:F17" si="0">B12&amp;"."&amp;C12&amp;"."&amp;D12</f>
        <v>111.81.c&amp;d</v>
      </c>
      <c r="G12" s="38"/>
      <c r="H12" s="43">
        <v>20969828</v>
      </c>
      <c r="I12" s="7"/>
      <c r="J12" s="43">
        <v>19606719</v>
      </c>
      <c r="K12" s="2"/>
      <c r="L12" s="2"/>
    </row>
    <row r="13" spans="1:12" ht="15">
      <c r="A13" s="2"/>
      <c r="B13" s="38">
        <v>112</v>
      </c>
      <c r="C13" s="38">
        <v>3</v>
      </c>
      <c r="D13" s="38" t="s">
        <v>79</v>
      </c>
      <c r="E13" s="5" t="s">
        <v>82</v>
      </c>
      <c r="F13" s="38" t="str">
        <f t="shared" si="0"/>
        <v>112.3.c&amp;d</v>
      </c>
      <c r="G13" s="38"/>
      <c r="H13" s="43">
        <v>33496700</v>
      </c>
      <c r="I13" s="7"/>
      <c r="J13" s="43">
        <v>33496700</v>
      </c>
      <c r="K13" s="2"/>
      <c r="L13" s="2"/>
    </row>
    <row r="14" spans="1:12" ht="15">
      <c r="A14" s="2"/>
      <c r="B14" s="38">
        <v>112</v>
      </c>
      <c r="C14" s="38">
        <v>12</v>
      </c>
      <c r="D14" s="38" t="s">
        <v>79</v>
      </c>
      <c r="E14" s="5" t="s">
        <v>83</v>
      </c>
      <c r="F14" s="38" t="str">
        <f t="shared" si="0"/>
        <v>112.12.c&amp;d</v>
      </c>
      <c r="G14" s="38"/>
      <c r="H14" s="43">
        <v>5490</v>
      </c>
      <c r="I14" s="7"/>
      <c r="J14" s="43">
        <v>143</v>
      </c>
      <c r="K14" s="2"/>
      <c r="L14" s="2"/>
    </row>
    <row r="15" spans="1:12" ht="15">
      <c r="A15" s="2"/>
      <c r="B15" s="38">
        <v>112</v>
      </c>
      <c r="C15" s="38">
        <v>16</v>
      </c>
      <c r="D15" s="38" t="s">
        <v>79</v>
      </c>
      <c r="E15" s="5" t="s">
        <v>84</v>
      </c>
      <c r="F15" s="38" t="str">
        <f t="shared" si="0"/>
        <v>112.16.c&amp;d</v>
      </c>
      <c r="G15" s="38"/>
      <c r="H15" s="43">
        <v>3433028549</v>
      </c>
      <c r="I15" s="7"/>
      <c r="J15" s="43">
        <v>4524026195</v>
      </c>
      <c r="K15" s="2"/>
      <c r="L15" s="2"/>
    </row>
    <row r="16" spans="1:12" ht="15">
      <c r="A16" s="2"/>
      <c r="B16" s="38">
        <v>112</v>
      </c>
      <c r="C16" s="38">
        <v>24</v>
      </c>
      <c r="D16" s="38" t="s">
        <v>79</v>
      </c>
      <c r="E16" s="5" t="s">
        <v>85</v>
      </c>
      <c r="F16" s="38" t="str">
        <f t="shared" si="0"/>
        <v>112.24.c&amp;d</v>
      </c>
      <c r="G16" s="38"/>
      <c r="H16" s="43">
        <v>4181893644</v>
      </c>
      <c r="I16" s="7"/>
      <c r="J16" s="43">
        <v>4182644297</v>
      </c>
      <c r="K16" s="2"/>
      <c r="L16" s="2"/>
    </row>
    <row r="17" spans="1:12" ht="15">
      <c r="A17" s="2"/>
      <c r="B17" s="38">
        <v>113</v>
      </c>
      <c r="C17" s="38">
        <v>61</v>
      </c>
      <c r="D17" s="38" t="s">
        <v>79</v>
      </c>
      <c r="E17" s="5" t="s">
        <v>86</v>
      </c>
      <c r="F17" s="38" t="str">
        <f t="shared" si="0"/>
        <v>113.61.c&amp;d</v>
      </c>
      <c r="G17" s="38"/>
      <c r="H17" s="43">
        <v>0</v>
      </c>
      <c r="I17" s="7"/>
      <c r="J17" s="43">
        <v>0</v>
      </c>
      <c r="K17" s="2"/>
      <c r="L17" s="2"/>
    </row>
    <row r="18" spans="1:12" ht="15">
      <c r="A18" s="2"/>
      <c r="B18" s="38">
        <v>117</v>
      </c>
      <c r="C18" s="38" t="s">
        <v>392</v>
      </c>
      <c r="D18" s="38" t="s">
        <v>87</v>
      </c>
      <c r="E18" s="5" t="s">
        <v>88</v>
      </c>
      <c r="F18" s="38" t="str">
        <f>FIXED(B18,0)&amp;"."&amp;C18&amp;"."&amp;D18</f>
        <v>117.62 thru 66.c</v>
      </c>
      <c r="G18" s="38"/>
      <c r="H18" s="43"/>
      <c r="I18" s="7"/>
      <c r="J18" s="43">
        <f>232834558+5079383+1363109</f>
        <v>239277050</v>
      </c>
      <c r="K18" s="2"/>
      <c r="L18" s="2"/>
    </row>
    <row r="19" spans="1:12" ht="15">
      <c r="A19" s="2"/>
      <c r="B19" s="38">
        <v>118</v>
      </c>
      <c r="C19" s="38">
        <v>29</v>
      </c>
      <c r="D19" s="38" t="s">
        <v>87</v>
      </c>
      <c r="E19" s="5" t="s">
        <v>89</v>
      </c>
      <c r="F19" s="38" t="str">
        <f>FIXED(B19,0)&amp;"."&amp;C19&amp;"."&amp;D19</f>
        <v>118.29.c</v>
      </c>
      <c r="G19" s="38"/>
      <c r="H19" s="43"/>
      <c r="I19" s="43"/>
      <c r="J19" s="43">
        <v>1511860</v>
      </c>
      <c r="K19" s="2"/>
      <c r="L19" s="2"/>
    </row>
    <row r="20" spans="1:12" ht="15">
      <c r="A20" s="2"/>
      <c r="B20" s="38">
        <v>200</v>
      </c>
      <c r="C20" s="38">
        <v>21</v>
      </c>
      <c r="D20" s="38" t="s">
        <v>87</v>
      </c>
      <c r="E20" s="5" t="s">
        <v>90</v>
      </c>
      <c r="F20" s="38" t="str">
        <f t="shared" ref="F20:F30" si="1">FIXED(B20,0)&amp;"."&amp;FIXED(C20,0)&amp;"."&amp;D20</f>
        <v>200.21.c</v>
      </c>
      <c r="G20" s="38"/>
      <c r="H20" s="43"/>
      <c r="I20" s="43"/>
      <c r="J20" s="43">
        <v>125244007</v>
      </c>
      <c r="K20" s="2"/>
      <c r="L20" s="2"/>
    </row>
    <row r="21" spans="1:12" ht="15">
      <c r="A21" s="2"/>
      <c r="B21" s="38">
        <v>205</v>
      </c>
      <c r="C21" s="38">
        <v>5</v>
      </c>
      <c r="D21" s="38" t="s">
        <v>91</v>
      </c>
      <c r="E21" s="5" t="s">
        <v>92</v>
      </c>
      <c r="F21" s="38" t="str">
        <f t="shared" si="1"/>
        <v>205.5.b&amp;g</v>
      </c>
      <c r="G21" s="38"/>
      <c r="H21" s="43">
        <f>132901880</f>
        <v>132901880</v>
      </c>
      <c r="I21" s="43"/>
      <c r="J21" s="43">
        <v>136998392</v>
      </c>
      <c r="K21" s="2"/>
      <c r="L21" s="2"/>
    </row>
    <row r="22" spans="1:12" ht="15">
      <c r="A22" s="2"/>
      <c r="B22" s="38">
        <v>205</v>
      </c>
      <c r="C22" s="38">
        <v>46</v>
      </c>
      <c r="D22" s="38" t="s">
        <v>91</v>
      </c>
      <c r="E22" s="5" t="s">
        <v>93</v>
      </c>
      <c r="F22" s="38" t="str">
        <f t="shared" si="1"/>
        <v>205.46.b&amp;g</v>
      </c>
      <c r="G22" s="38"/>
      <c r="H22" s="43">
        <f>4491652161-2563413-18697977</f>
        <v>4470390771</v>
      </c>
      <c r="I22" s="43"/>
      <c r="J22" s="43">
        <f>6091086859-9768575-18697977</f>
        <v>6062620307</v>
      </c>
      <c r="K22" s="4"/>
      <c r="L22" s="2"/>
    </row>
    <row r="23" spans="1:12" ht="15">
      <c r="A23" s="2"/>
      <c r="B23" s="38">
        <v>207</v>
      </c>
      <c r="C23" s="38">
        <v>58</v>
      </c>
      <c r="D23" s="38" t="s">
        <v>91</v>
      </c>
      <c r="E23" s="5" t="s">
        <v>94</v>
      </c>
      <c r="F23" s="38" t="str">
        <f t="shared" si="1"/>
        <v>207.58.b&amp;g</v>
      </c>
      <c r="G23" s="38"/>
      <c r="H23" s="43">
        <f>1508154774</f>
        <v>1508154774</v>
      </c>
      <c r="I23" s="43"/>
      <c r="J23" s="43">
        <f>1733677133-4490491</f>
        <v>1729186642</v>
      </c>
      <c r="K23" s="4"/>
      <c r="L23" s="2"/>
    </row>
    <row r="24" spans="1:12" ht="15">
      <c r="A24" s="2"/>
      <c r="B24" s="38">
        <v>207</v>
      </c>
      <c r="C24" s="38">
        <v>75</v>
      </c>
      <c r="D24" s="38" t="s">
        <v>91</v>
      </c>
      <c r="E24" s="5" t="s">
        <v>95</v>
      </c>
      <c r="F24" s="38" t="str">
        <f t="shared" si="1"/>
        <v>207.75.b&amp;g</v>
      </c>
      <c r="G24" s="38"/>
      <c r="H24" s="43">
        <v>3707979638</v>
      </c>
      <c r="I24" s="7"/>
      <c r="J24" s="43">
        <v>3885359783</v>
      </c>
      <c r="K24" s="4"/>
      <c r="L24" s="2"/>
    </row>
    <row r="25" spans="1:12" ht="15">
      <c r="A25" s="2"/>
      <c r="B25" s="38">
        <v>207</v>
      </c>
      <c r="C25" s="38">
        <v>99</v>
      </c>
      <c r="D25" s="38" t="s">
        <v>91</v>
      </c>
      <c r="E25" s="5" t="s">
        <v>96</v>
      </c>
      <c r="F25" s="38" t="str">
        <f t="shared" si="1"/>
        <v>207.99.b&amp;g</v>
      </c>
      <c r="G25" s="38"/>
      <c r="H25" s="43">
        <f>362025812-1974239</f>
        <v>360051573</v>
      </c>
      <c r="I25" s="7"/>
      <c r="J25" s="43">
        <f>355845965-1974239</f>
        <v>353871726</v>
      </c>
      <c r="K25" s="4"/>
      <c r="L25" s="2"/>
    </row>
    <row r="26" spans="1:12" ht="15">
      <c r="A26" s="2"/>
      <c r="B26" s="38">
        <v>214</v>
      </c>
      <c r="C26" s="38">
        <v>47</v>
      </c>
      <c r="D26" s="38" t="s">
        <v>97</v>
      </c>
      <c r="E26" s="5" t="s">
        <v>98</v>
      </c>
      <c r="F26" s="38" t="str">
        <f t="shared" si="1"/>
        <v>214.47.d</v>
      </c>
      <c r="G26" s="38"/>
      <c r="H26" s="43"/>
      <c r="I26" s="7"/>
      <c r="J26" s="43">
        <f>1046211+1808764+2584486+752861</f>
        <v>6192322</v>
      </c>
      <c r="K26" s="2"/>
      <c r="L26" s="2"/>
    </row>
    <row r="27" spans="1:12" ht="15">
      <c r="A27" s="2"/>
      <c r="B27" s="38">
        <v>219</v>
      </c>
      <c r="C27" s="38" t="s">
        <v>99</v>
      </c>
      <c r="D27" s="39" t="s">
        <v>87</v>
      </c>
      <c r="E27" s="5" t="s">
        <v>100</v>
      </c>
      <c r="F27" s="38" t="str">
        <f>B27&amp;"."&amp;C27&amp;"."&amp;D27</f>
        <v>219.20 thru 24.c</v>
      </c>
      <c r="G27" s="38"/>
      <c r="H27" s="43"/>
      <c r="I27" s="7"/>
      <c r="J27" s="43">
        <f>1320947011+588392076+617168147</f>
        <v>2526507234</v>
      </c>
      <c r="K27" s="2"/>
      <c r="L27" s="2"/>
    </row>
    <row r="28" spans="1:12" ht="15">
      <c r="A28" s="2"/>
      <c r="B28" s="38">
        <v>219</v>
      </c>
      <c r="C28" s="38">
        <v>25</v>
      </c>
      <c r="D28" s="39" t="s">
        <v>87</v>
      </c>
      <c r="E28" s="5" t="s">
        <v>101</v>
      </c>
      <c r="F28" s="38" t="str">
        <f t="shared" si="1"/>
        <v>219.25.c</v>
      </c>
      <c r="G28" s="38"/>
      <c r="H28" s="43"/>
      <c r="I28" s="7"/>
      <c r="J28" s="43">
        <v>487291520</v>
      </c>
      <c r="K28" s="2"/>
      <c r="L28" s="2"/>
    </row>
    <row r="29" spans="1:12" ht="15">
      <c r="A29" s="2"/>
      <c r="B29" s="38">
        <v>219</v>
      </c>
      <c r="C29" s="38">
        <v>26</v>
      </c>
      <c r="D29" s="39" t="s">
        <v>87</v>
      </c>
      <c r="E29" s="5" t="s">
        <v>102</v>
      </c>
      <c r="F29" s="38" t="str">
        <f t="shared" si="1"/>
        <v>219.26.c</v>
      </c>
      <c r="G29" s="38"/>
      <c r="H29" s="43"/>
      <c r="I29" s="7"/>
      <c r="J29" s="43">
        <v>1509513184</v>
      </c>
      <c r="K29" s="2"/>
      <c r="L29" s="2"/>
    </row>
    <row r="30" spans="1:12" ht="15">
      <c r="A30" s="2"/>
      <c r="B30" s="38">
        <v>219</v>
      </c>
      <c r="C30" s="38">
        <v>28</v>
      </c>
      <c r="D30" s="39" t="s">
        <v>87</v>
      </c>
      <c r="E30" s="5" t="s">
        <v>103</v>
      </c>
      <c r="F30" s="38" t="str">
        <f t="shared" si="1"/>
        <v>219.28.c</v>
      </c>
      <c r="G30" s="38"/>
      <c r="H30" s="43"/>
      <c r="I30" s="7"/>
      <c r="J30" s="43">
        <v>111452527</v>
      </c>
      <c r="K30" s="2"/>
      <c r="L30" s="2"/>
    </row>
    <row r="31" spans="1:12" ht="15">
      <c r="A31" s="2"/>
      <c r="B31" s="38">
        <v>227</v>
      </c>
      <c r="C31" s="38">
        <v>8</v>
      </c>
      <c r="D31" s="38" t="s">
        <v>104</v>
      </c>
      <c r="E31" s="5" t="s">
        <v>105</v>
      </c>
      <c r="F31" s="38" t="str">
        <f>FIXED(B31,0)&amp;"."&amp;FIXED(C31,0)&amp;"."&amp;D31</f>
        <v>227.8.b&amp;c</v>
      </c>
      <c r="G31" s="38"/>
      <c r="H31" s="43">
        <v>4422282</v>
      </c>
      <c r="I31" s="7"/>
      <c r="J31" s="43">
        <v>3214854</v>
      </c>
      <c r="K31" s="2"/>
      <c r="L31" s="2"/>
    </row>
    <row r="32" spans="1:12" ht="15">
      <c r="A32" s="2"/>
      <c r="B32" s="38">
        <v>227</v>
      </c>
      <c r="C32" s="38">
        <v>16</v>
      </c>
      <c r="D32" s="38" t="s">
        <v>104</v>
      </c>
      <c r="E32" s="5" t="s">
        <v>106</v>
      </c>
      <c r="F32" s="38" t="str">
        <f>FIXED(B32,0)&amp;"."&amp;FIXED(C32,0)&amp;"."&amp;D32</f>
        <v>227.16.b&amp;c</v>
      </c>
      <c r="G32" s="38"/>
      <c r="H32" s="43">
        <v>22069958</v>
      </c>
      <c r="I32" s="7"/>
      <c r="J32" s="43">
        <v>8181652</v>
      </c>
      <c r="K32" s="2"/>
      <c r="L32" s="2"/>
    </row>
    <row r="33" spans="1:15" ht="15">
      <c r="A33" s="2"/>
      <c r="B33" s="38" t="s">
        <v>107</v>
      </c>
      <c r="C33" s="38">
        <v>5</v>
      </c>
      <c r="D33" s="38" t="s">
        <v>108</v>
      </c>
      <c r="E33" s="5" t="s">
        <v>152</v>
      </c>
      <c r="F33" s="38" t="str">
        <f>B33&amp;"."&amp;C33&amp;"."&amp;D33</f>
        <v>230a.5.b</v>
      </c>
      <c r="G33" s="38"/>
      <c r="H33" s="43"/>
      <c r="I33" s="7"/>
      <c r="J33" s="43">
        <v>13668566</v>
      </c>
      <c r="K33" s="2"/>
      <c r="L33" s="2"/>
    </row>
    <row r="34" spans="1:15" ht="15">
      <c r="A34" s="2"/>
      <c r="B34" s="38" t="s">
        <v>107</v>
      </c>
      <c r="C34" s="38">
        <v>5</v>
      </c>
      <c r="D34" s="38" t="s">
        <v>110</v>
      </c>
      <c r="E34" s="5" t="s">
        <v>109</v>
      </c>
      <c r="F34" s="38" t="str">
        <f>B34&amp;"."&amp;C34&amp;"."&amp;D34</f>
        <v>230a.5.e</v>
      </c>
      <c r="G34" s="38"/>
      <c r="H34" s="43"/>
      <c r="I34" s="7"/>
      <c r="J34" s="43">
        <v>3167206</v>
      </c>
      <c r="K34" s="2"/>
      <c r="L34" s="2"/>
    </row>
    <row r="35" spans="1:15" ht="15">
      <c r="A35" s="2"/>
      <c r="B35" s="38" t="s">
        <v>107</v>
      </c>
      <c r="C35" s="38">
        <v>5</v>
      </c>
      <c r="D35" s="38" t="s">
        <v>111</v>
      </c>
      <c r="E35" s="5" t="s">
        <v>112</v>
      </c>
      <c r="F35" s="38" t="str">
        <f>B35&amp;"."&amp;C35&amp;"."&amp;D35</f>
        <v>230a.5.f</v>
      </c>
      <c r="G35" s="38"/>
      <c r="H35" s="43"/>
      <c r="I35" s="7"/>
      <c r="J35" s="43">
        <v>10501360</v>
      </c>
      <c r="K35" s="2"/>
      <c r="L35" s="2"/>
    </row>
    <row r="36" spans="1:15" ht="15">
      <c r="A36" s="2"/>
      <c r="B36" s="38">
        <v>234</v>
      </c>
      <c r="C36" s="38">
        <v>8</v>
      </c>
      <c r="D36" s="38" t="s">
        <v>104</v>
      </c>
      <c r="E36" s="5" t="s">
        <v>113</v>
      </c>
      <c r="F36" s="38" t="str">
        <f>FIXED(B36,0)&amp;"."&amp;FIXED(C36,0)&amp;"."&amp;D36</f>
        <v>234.8.b&amp;c</v>
      </c>
      <c r="G36" s="38"/>
      <c r="H36" s="43">
        <v>642773374</v>
      </c>
      <c r="I36" s="7"/>
      <c r="J36" s="43">
        <v>541048062</v>
      </c>
      <c r="K36" s="2"/>
      <c r="L36" s="2"/>
    </row>
    <row r="37" spans="1:15" ht="15">
      <c r="A37" s="2"/>
      <c r="B37" s="38">
        <v>263</v>
      </c>
      <c r="C37" s="38">
        <v>3</v>
      </c>
      <c r="D37" s="38" t="s">
        <v>114</v>
      </c>
      <c r="E37" s="5" t="s">
        <v>115</v>
      </c>
      <c r="F37" s="38" t="str">
        <f t="shared" ref="F37:F42" si="2">B37&amp;"."&amp;C37&amp;"."&amp;D37</f>
        <v>263.3.i</v>
      </c>
      <c r="G37" s="38"/>
      <c r="H37" s="43"/>
      <c r="I37" s="7"/>
      <c r="J37" s="43">
        <v>21360718</v>
      </c>
      <c r="K37" s="2"/>
      <c r="L37" s="2"/>
    </row>
    <row r="38" spans="1:15" ht="15">
      <c r="A38" s="2"/>
      <c r="B38" s="38">
        <v>263</v>
      </c>
      <c r="C38" s="38">
        <v>4</v>
      </c>
      <c r="D38" s="38" t="s">
        <v>114</v>
      </c>
      <c r="E38" s="5" t="s">
        <v>116</v>
      </c>
      <c r="F38" s="38" t="str">
        <f t="shared" si="2"/>
        <v>263.4.i</v>
      </c>
      <c r="G38" s="38"/>
      <c r="H38" s="43"/>
      <c r="I38" s="7"/>
      <c r="J38" s="43">
        <v>0</v>
      </c>
      <c r="K38" s="2"/>
      <c r="L38" s="2"/>
    </row>
    <row r="39" spans="1:15" ht="15">
      <c r="A39" s="2"/>
      <c r="B39" s="38">
        <v>263</v>
      </c>
      <c r="C39" s="38">
        <v>7</v>
      </c>
      <c r="D39" s="38" t="s">
        <v>114</v>
      </c>
      <c r="E39" s="5" t="s">
        <v>117</v>
      </c>
      <c r="F39" s="38" t="str">
        <f t="shared" si="2"/>
        <v>263.7.i</v>
      </c>
      <c r="G39" s="38"/>
      <c r="H39" s="43"/>
      <c r="I39" s="7"/>
      <c r="J39" s="43">
        <v>39833</v>
      </c>
      <c r="K39" s="2"/>
      <c r="L39" s="2"/>
    </row>
    <row r="40" spans="1:15" ht="15">
      <c r="A40" s="2"/>
      <c r="B40" s="38">
        <v>263</v>
      </c>
      <c r="C40" s="38">
        <v>15</v>
      </c>
      <c r="D40" s="38" t="s">
        <v>114</v>
      </c>
      <c r="E40" s="5" t="s">
        <v>118</v>
      </c>
      <c r="F40" s="38" t="str">
        <f t="shared" si="2"/>
        <v>263.15.i</v>
      </c>
      <c r="G40" s="38"/>
      <c r="H40" s="43"/>
      <c r="I40" s="7"/>
      <c r="J40" s="43">
        <v>0</v>
      </c>
      <c r="K40" s="2"/>
      <c r="L40" s="2"/>
    </row>
    <row r="41" spans="1:15" ht="15">
      <c r="A41" s="2"/>
      <c r="B41" s="38">
        <v>263</v>
      </c>
      <c r="C41" s="38">
        <v>16</v>
      </c>
      <c r="D41" s="38" t="s">
        <v>114</v>
      </c>
      <c r="E41" s="5" t="s">
        <v>119</v>
      </c>
      <c r="F41" s="38" t="str">
        <f t="shared" si="2"/>
        <v>263.16.i</v>
      </c>
      <c r="G41" s="38"/>
      <c r="H41" s="43"/>
      <c r="I41" s="7"/>
      <c r="J41" s="43">
        <v>0</v>
      </c>
      <c r="K41" s="2"/>
      <c r="L41" s="2"/>
    </row>
    <row r="42" spans="1:15" ht="15">
      <c r="A42" s="2"/>
      <c r="B42" s="38">
        <v>263</v>
      </c>
      <c r="C42" s="38">
        <v>22</v>
      </c>
      <c r="D42" s="38" t="s">
        <v>114</v>
      </c>
      <c r="E42" s="5" t="s">
        <v>120</v>
      </c>
      <c r="F42" s="38" t="str">
        <f t="shared" si="2"/>
        <v>263.22.i</v>
      </c>
      <c r="G42" s="38"/>
      <c r="H42" s="43"/>
      <c r="I42" s="7"/>
      <c r="J42" s="43">
        <v>97045754</v>
      </c>
      <c r="K42" s="2"/>
      <c r="L42" s="2"/>
    </row>
    <row r="43" spans="1:15" ht="15">
      <c r="A43" s="2"/>
      <c r="B43" s="38">
        <v>266</v>
      </c>
      <c r="C43" s="38">
        <v>8</v>
      </c>
      <c r="D43" s="38" t="s">
        <v>111</v>
      </c>
      <c r="E43" s="5" t="s">
        <v>121</v>
      </c>
      <c r="F43" s="38" t="str">
        <f t="shared" ref="F43:F61" si="3">FIXED(B43,0)&amp;"."&amp;FIXED(C43,0)&amp;"."&amp;D43</f>
        <v>266.8.f</v>
      </c>
      <c r="G43" s="38"/>
      <c r="H43" s="43"/>
      <c r="I43" s="7"/>
      <c r="J43" s="43">
        <v>-4545996</v>
      </c>
      <c r="K43" s="2"/>
      <c r="L43" s="2"/>
    </row>
    <row r="44" spans="1:15" ht="15">
      <c r="A44" s="2"/>
      <c r="B44" s="38">
        <v>267</v>
      </c>
      <c r="C44" s="38">
        <v>8</v>
      </c>
      <c r="D44" s="38" t="s">
        <v>122</v>
      </c>
      <c r="E44" s="5" t="s">
        <v>123</v>
      </c>
      <c r="F44" s="38" t="str">
        <f t="shared" si="3"/>
        <v>267.8.b&amp;h</v>
      </c>
      <c r="G44" s="38"/>
      <c r="H44" s="43">
        <v>-11506508</v>
      </c>
      <c r="I44" s="7"/>
      <c r="J44" s="43">
        <v>-6960512</v>
      </c>
      <c r="K44" s="2"/>
      <c r="L44" s="2"/>
    </row>
    <row r="45" spans="1:15" ht="15">
      <c r="A45" s="2"/>
      <c r="B45" s="38">
        <v>273</v>
      </c>
      <c r="C45" s="38">
        <v>8</v>
      </c>
      <c r="D45" s="38" t="s">
        <v>124</v>
      </c>
      <c r="E45" s="5" t="s">
        <v>125</v>
      </c>
      <c r="F45" s="38" t="str">
        <f t="shared" si="3"/>
        <v>273.8.b&amp;k</v>
      </c>
      <c r="G45" s="38"/>
      <c r="H45" s="43">
        <v>-4083000</v>
      </c>
      <c r="I45" s="7"/>
      <c r="J45" s="43">
        <v>-3757590</v>
      </c>
      <c r="K45" s="2"/>
      <c r="L45" s="2"/>
    </row>
    <row r="46" spans="1:15" ht="15">
      <c r="A46" s="2"/>
      <c r="B46" s="38">
        <v>275</v>
      </c>
      <c r="C46" s="38">
        <v>2</v>
      </c>
      <c r="D46" s="38" t="s">
        <v>124</v>
      </c>
      <c r="E46" s="5" t="s">
        <v>126</v>
      </c>
      <c r="F46" s="38" t="str">
        <f t="shared" si="3"/>
        <v>275.2.b&amp;k</v>
      </c>
      <c r="G46" s="38"/>
      <c r="H46" s="43">
        <v>-547273147</v>
      </c>
      <c r="I46" s="7"/>
      <c r="J46" s="43">
        <v>-660183457</v>
      </c>
      <c r="K46" s="2"/>
      <c r="L46" s="2"/>
    </row>
    <row r="47" spans="1:15" ht="15">
      <c r="A47" s="2"/>
      <c r="B47" s="38">
        <v>277</v>
      </c>
      <c r="C47" s="38">
        <v>9</v>
      </c>
      <c r="D47" s="38" t="s">
        <v>124</v>
      </c>
      <c r="E47" s="5" t="s">
        <v>127</v>
      </c>
      <c r="F47" s="38" t="str">
        <f>FIXED(B47,0)&amp;"."&amp;FIXED(C47,0)&amp;"."&amp;D47</f>
        <v>277.9.b&amp;k</v>
      </c>
      <c r="G47" s="38"/>
      <c r="H47" s="43">
        <v>-649870342</v>
      </c>
      <c r="I47" s="7"/>
      <c r="J47" s="43">
        <v>-587646357</v>
      </c>
      <c r="K47" s="2"/>
      <c r="L47" s="2"/>
    </row>
    <row r="48" spans="1:15" ht="15">
      <c r="A48" s="2"/>
      <c r="B48" s="38">
        <v>321</v>
      </c>
      <c r="C48" s="38" t="s">
        <v>128</v>
      </c>
      <c r="D48" s="38" t="s">
        <v>108</v>
      </c>
      <c r="E48" s="5" t="s">
        <v>397</v>
      </c>
      <c r="F48" s="38" t="str">
        <f>B48&amp;"."&amp;C48&amp;"."&amp;D48</f>
        <v>321.84 thru 92.b</v>
      </c>
      <c r="G48" s="38"/>
      <c r="H48" s="43"/>
      <c r="I48" s="7"/>
      <c r="J48" s="43">
        <f>(42374+1278429+870398+1211427+579429+560445)</f>
        <v>4542502</v>
      </c>
      <c r="K48" s="2"/>
      <c r="O48" s="2"/>
    </row>
    <row r="49" spans="1:17" ht="15">
      <c r="A49" s="2"/>
      <c r="B49" s="38">
        <v>321</v>
      </c>
      <c r="C49" s="38">
        <v>96</v>
      </c>
      <c r="D49" s="38" t="s">
        <v>108</v>
      </c>
      <c r="E49" s="5" t="s">
        <v>129</v>
      </c>
      <c r="F49" s="38" t="str">
        <f t="shared" si="3"/>
        <v>321.96.b</v>
      </c>
      <c r="G49" s="38"/>
      <c r="H49" s="43"/>
      <c r="I49" s="7"/>
      <c r="J49" s="43">
        <v>0</v>
      </c>
      <c r="K49" s="2"/>
      <c r="O49" s="2"/>
    </row>
    <row r="50" spans="1:17" ht="15">
      <c r="A50" s="2"/>
      <c r="B50" s="38">
        <v>321</v>
      </c>
      <c r="C50" s="38">
        <v>112</v>
      </c>
      <c r="D50" s="38" t="s">
        <v>108</v>
      </c>
      <c r="E50" s="5" t="s">
        <v>130</v>
      </c>
      <c r="F50" s="38" t="str">
        <f t="shared" si="3"/>
        <v>321.112.b</v>
      </c>
      <c r="G50" s="38"/>
      <c r="H50" s="43"/>
      <c r="I50" s="7"/>
      <c r="J50" s="43">
        <v>35981541</v>
      </c>
      <c r="K50" s="2"/>
      <c r="O50" s="2"/>
    </row>
    <row r="51" spans="1:17" ht="15">
      <c r="A51" s="2"/>
      <c r="B51" s="38">
        <v>323</v>
      </c>
      <c r="C51" s="38">
        <v>185</v>
      </c>
      <c r="D51" s="38" t="s">
        <v>108</v>
      </c>
      <c r="E51" s="5" t="s">
        <v>131</v>
      </c>
      <c r="F51" s="38" t="str">
        <f t="shared" si="3"/>
        <v>323.185.b</v>
      </c>
      <c r="G51" s="38"/>
      <c r="H51" s="43"/>
      <c r="I51" s="7"/>
      <c r="J51" s="43">
        <v>12144902</v>
      </c>
      <c r="K51" s="2"/>
      <c r="O51" s="5"/>
      <c r="P51" s="8"/>
      <c r="Q51" s="43"/>
    </row>
    <row r="52" spans="1:17" ht="15">
      <c r="A52" s="2"/>
      <c r="B52" s="38">
        <v>323</v>
      </c>
      <c r="C52" s="38">
        <v>189</v>
      </c>
      <c r="D52" s="38" t="s">
        <v>108</v>
      </c>
      <c r="E52" s="5" t="s">
        <v>132</v>
      </c>
      <c r="F52" s="38" t="str">
        <f t="shared" si="3"/>
        <v>323.189.b</v>
      </c>
      <c r="G52" s="38"/>
      <c r="H52" s="43"/>
      <c r="I52" s="7"/>
      <c r="J52" s="43">
        <v>484359</v>
      </c>
      <c r="K52" s="2"/>
      <c r="O52" s="2"/>
    </row>
    <row r="53" spans="1:17" ht="15">
      <c r="A53" s="2"/>
      <c r="B53" s="38">
        <v>323</v>
      </c>
      <c r="C53" s="38">
        <v>191</v>
      </c>
      <c r="D53" s="38" t="s">
        <v>108</v>
      </c>
      <c r="E53" s="5" t="s">
        <v>133</v>
      </c>
      <c r="F53" s="38" t="str">
        <f t="shared" si="3"/>
        <v>323.191.b</v>
      </c>
      <c r="G53" s="38"/>
      <c r="H53" s="43"/>
      <c r="I53" s="7"/>
      <c r="J53" s="43">
        <v>1138187</v>
      </c>
      <c r="K53" s="2"/>
      <c r="O53" s="2"/>
      <c r="Q53" s="43"/>
    </row>
    <row r="54" spans="1:17" ht="15">
      <c r="A54" s="2"/>
      <c r="B54" s="38">
        <v>323</v>
      </c>
      <c r="C54" s="38">
        <v>197</v>
      </c>
      <c r="D54" s="38" t="s">
        <v>108</v>
      </c>
      <c r="E54" s="5" t="s">
        <v>134</v>
      </c>
      <c r="F54" s="38" t="str">
        <f t="shared" si="3"/>
        <v>323.197.b</v>
      </c>
      <c r="G54" s="38"/>
      <c r="H54" s="43"/>
      <c r="I54" s="40"/>
      <c r="J54" s="43">
        <v>214751956</v>
      </c>
      <c r="K54" s="2"/>
      <c r="O54" s="2"/>
      <c r="Q54" s="43"/>
    </row>
    <row r="55" spans="1:17" ht="15">
      <c r="A55" s="2"/>
      <c r="B55" s="38">
        <v>335</v>
      </c>
      <c r="C55" s="38">
        <v>1</v>
      </c>
      <c r="D55" s="38" t="s">
        <v>108</v>
      </c>
      <c r="E55" s="5" t="s">
        <v>135</v>
      </c>
      <c r="F55" s="38" t="str">
        <f t="shared" si="3"/>
        <v>335.1.b</v>
      </c>
      <c r="G55" s="38"/>
      <c r="H55" s="43"/>
      <c r="I55" s="40"/>
      <c r="J55" s="43">
        <v>6123329</v>
      </c>
      <c r="K55" s="2"/>
      <c r="O55" s="2"/>
      <c r="Q55" s="43"/>
    </row>
    <row r="56" spans="1:17" ht="15">
      <c r="A56" s="2"/>
      <c r="B56" s="4">
        <v>336</v>
      </c>
      <c r="C56" s="4">
        <v>1</v>
      </c>
      <c r="D56" s="4" t="s">
        <v>111</v>
      </c>
      <c r="E56" s="2" t="s">
        <v>136</v>
      </c>
      <c r="F56" s="4" t="str">
        <f t="shared" si="3"/>
        <v>336.1.f</v>
      </c>
      <c r="G56" s="4"/>
      <c r="H56" s="43"/>
      <c r="I56" s="7"/>
      <c r="J56" s="43">
        <v>2031089</v>
      </c>
      <c r="K56" s="2"/>
      <c r="O56" s="2"/>
    </row>
    <row r="57" spans="1:17" ht="15">
      <c r="A57" s="2"/>
      <c r="B57" s="4">
        <v>336</v>
      </c>
      <c r="C57" s="4">
        <v>7</v>
      </c>
      <c r="D57" s="4" t="s">
        <v>111</v>
      </c>
      <c r="E57" s="2" t="s">
        <v>137</v>
      </c>
      <c r="F57" s="4" t="str">
        <f t="shared" si="3"/>
        <v>336.7.f</v>
      </c>
      <c r="G57" s="4"/>
      <c r="H57" s="43"/>
      <c r="I57" s="7"/>
      <c r="J57" s="43">
        <v>36199684</v>
      </c>
      <c r="K57" s="2"/>
      <c r="O57" s="2" t="s">
        <v>395</v>
      </c>
    </row>
    <row r="58" spans="1:17" ht="15">
      <c r="A58" s="2"/>
      <c r="B58" s="4">
        <v>336</v>
      </c>
      <c r="C58" s="4">
        <v>10</v>
      </c>
      <c r="D58" s="4" t="s">
        <v>111</v>
      </c>
      <c r="E58" s="2" t="s">
        <v>138</v>
      </c>
      <c r="F58" s="4" t="str">
        <f t="shared" si="3"/>
        <v>336.10.f</v>
      </c>
      <c r="G58" s="4"/>
      <c r="H58" s="43"/>
      <c r="I58" s="7"/>
      <c r="J58" s="43">
        <v>16355631</v>
      </c>
      <c r="K58" s="2"/>
      <c r="O58" s="2" t="s">
        <v>393</v>
      </c>
      <c r="Q58" s="220">
        <v>247645</v>
      </c>
    </row>
    <row r="59" spans="1:17" ht="15">
      <c r="A59" s="2"/>
      <c r="B59" s="4">
        <v>354</v>
      </c>
      <c r="C59" s="4">
        <v>21</v>
      </c>
      <c r="D59" s="4" t="s">
        <v>108</v>
      </c>
      <c r="E59" s="2" t="s">
        <v>139</v>
      </c>
      <c r="F59" s="4" t="str">
        <f t="shared" si="3"/>
        <v>354.21.b</v>
      </c>
      <c r="G59" s="4"/>
      <c r="H59" s="43"/>
      <c r="I59" s="7"/>
      <c r="J59" s="43">
        <v>18483961</v>
      </c>
      <c r="K59" s="2"/>
      <c r="O59" s="2" t="s">
        <v>394</v>
      </c>
      <c r="Q59" s="220">
        <v>0</v>
      </c>
    </row>
    <row r="60" spans="1:17" ht="15">
      <c r="A60" s="2"/>
      <c r="B60" s="4">
        <v>354</v>
      </c>
      <c r="C60" s="4">
        <v>27</v>
      </c>
      <c r="D60" s="4" t="s">
        <v>108</v>
      </c>
      <c r="E60" s="2" t="s">
        <v>140</v>
      </c>
      <c r="F60" s="4" t="str">
        <f t="shared" si="3"/>
        <v>354.27.b</v>
      </c>
      <c r="G60" s="4"/>
      <c r="H60" s="43"/>
      <c r="I60" s="7"/>
      <c r="J60" s="43">
        <v>55645200</v>
      </c>
      <c r="K60" s="2"/>
      <c r="O60" s="2" t="s">
        <v>396</v>
      </c>
      <c r="Q60" s="43">
        <f>J56+Q58+Q59</f>
        <v>2278734</v>
      </c>
    </row>
    <row r="61" spans="1:17" ht="15">
      <c r="A61" s="2"/>
      <c r="B61" s="4">
        <v>354</v>
      </c>
      <c r="C61" s="41">
        <v>28</v>
      </c>
      <c r="D61" s="4" t="s">
        <v>108</v>
      </c>
      <c r="E61" s="2" t="s">
        <v>141</v>
      </c>
      <c r="F61" s="4" t="str">
        <f t="shared" si="3"/>
        <v>354.28.b</v>
      </c>
      <c r="G61" s="4"/>
      <c r="H61" s="43"/>
      <c r="I61" s="7"/>
      <c r="J61" s="43">
        <v>296417014</v>
      </c>
      <c r="K61" s="2"/>
      <c r="O61" s="2"/>
    </row>
    <row r="62" spans="1:17" ht="15">
      <c r="A62" s="2"/>
      <c r="B62" s="4">
        <v>400</v>
      </c>
      <c r="C62" s="4">
        <v>17</v>
      </c>
      <c r="D62" s="4" t="s">
        <v>110</v>
      </c>
      <c r="E62" s="2" t="s">
        <v>142</v>
      </c>
      <c r="F62" s="4" t="str">
        <f>B62&amp;"."&amp;C62&amp;"."&amp;D62</f>
        <v>400.17.e</v>
      </c>
      <c r="G62" s="4"/>
      <c r="H62" s="43"/>
      <c r="I62" s="7"/>
      <c r="J62" s="43">
        <v>93561</v>
      </c>
      <c r="K62" s="2"/>
      <c r="O62" s="2"/>
    </row>
    <row r="63" spans="1:17" ht="15">
      <c r="A63" s="2"/>
      <c r="B63" s="4">
        <v>400</v>
      </c>
      <c r="C63" s="4">
        <v>17</v>
      </c>
      <c r="D63" s="4" t="s">
        <v>111</v>
      </c>
      <c r="E63" s="2" t="s">
        <v>143</v>
      </c>
      <c r="F63" s="4" t="str">
        <f>B63&amp;"."&amp;C63&amp;"."&amp;D63</f>
        <v>400.17.f</v>
      </c>
      <c r="G63" s="4"/>
      <c r="H63" s="7"/>
      <c r="I63" s="7"/>
      <c r="J63" s="43">
        <v>9532</v>
      </c>
      <c r="K63" s="2"/>
      <c r="L63" s="2"/>
    </row>
    <row r="64" spans="1:17" ht="15">
      <c r="A64" s="2"/>
      <c r="B64" s="4">
        <v>400</v>
      </c>
      <c r="C64" s="4">
        <v>17</v>
      </c>
      <c r="D64" s="4" t="s">
        <v>144</v>
      </c>
      <c r="E64" s="2" t="s">
        <v>145</v>
      </c>
      <c r="F64" s="4" t="str">
        <f>B64&amp;"."&amp;C64&amp;"."&amp;D64</f>
        <v>400.17.g</v>
      </c>
      <c r="G64" s="4"/>
      <c r="H64" s="7"/>
      <c r="I64" s="7"/>
      <c r="J64" s="43">
        <v>5050</v>
      </c>
      <c r="K64" s="2"/>
      <c r="L64" s="2"/>
    </row>
    <row r="65" spans="1:12" ht="15">
      <c r="A65" s="2"/>
      <c r="B65" s="4">
        <v>400</v>
      </c>
      <c r="C65" s="4">
        <v>17</v>
      </c>
      <c r="D65" s="4" t="s">
        <v>146</v>
      </c>
      <c r="E65" s="2" t="s">
        <v>147</v>
      </c>
      <c r="F65" s="4" t="str">
        <f>B65&amp;"."&amp;C65&amp;"."&amp;D65</f>
        <v>400.17.h</v>
      </c>
      <c r="G65" s="4"/>
      <c r="H65" s="7"/>
      <c r="I65" s="7"/>
      <c r="J65" s="43">
        <v>24735</v>
      </c>
      <c r="K65" s="2"/>
      <c r="L65" s="2"/>
    </row>
    <row r="66" spans="1:12" ht="15">
      <c r="A66" s="2"/>
      <c r="B66" s="4">
        <v>400</v>
      </c>
      <c r="C66" s="4">
        <v>17</v>
      </c>
      <c r="D66" s="4" t="s">
        <v>114</v>
      </c>
      <c r="E66" s="2" t="s">
        <v>148</v>
      </c>
      <c r="F66" s="4" t="str">
        <f>B66&amp;"."&amp;C66&amp;"."&amp;D66</f>
        <v>400.17.i</v>
      </c>
      <c r="G66" s="4"/>
      <c r="H66" s="7"/>
      <c r="I66" s="7"/>
      <c r="J66" s="43">
        <v>900</v>
      </c>
      <c r="K66" s="2"/>
      <c r="L66" s="2"/>
    </row>
    <row r="67" spans="1:12" ht="15">
      <c r="A67" s="2"/>
      <c r="B67" s="4"/>
      <c r="C67" s="2"/>
      <c r="D67" s="4"/>
      <c r="E67" s="2"/>
      <c r="F67" s="2"/>
      <c r="G67" s="2"/>
      <c r="H67" s="2"/>
      <c r="I67" s="2"/>
      <c r="J67" s="2"/>
      <c r="K67" s="2"/>
      <c r="L67" s="2"/>
    </row>
    <row r="68" spans="1:12" ht="15">
      <c r="A68" s="2"/>
      <c r="B68" s="1" t="s">
        <v>149</v>
      </c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5">
      <c r="A70" s="2"/>
      <c r="B70" s="38">
        <v>200</v>
      </c>
      <c r="C70" s="38">
        <v>21</v>
      </c>
      <c r="D70" s="38" t="s">
        <v>87</v>
      </c>
      <c r="E70" s="5" t="s">
        <v>90</v>
      </c>
      <c r="F70" s="38" t="str">
        <f t="shared" ref="F70:F75" si="4">FIXED(B70,0)&amp;"."&amp;FIXED(C70,0)&amp;"."&amp;D70</f>
        <v>200.21.c</v>
      </c>
      <c r="G70" s="38"/>
      <c r="H70" s="7"/>
      <c r="I70" s="7"/>
      <c r="J70" s="43">
        <v>122980014</v>
      </c>
      <c r="K70" s="2"/>
      <c r="L70" s="2"/>
    </row>
    <row r="71" spans="1:12" ht="15">
      <c r="A71" s="2"/>
      <c r="B71" s="38">
        <v>214</v>
      </c>
      <c r="C71" s="38">
        <v>47</v>
      </c>
      <c r="D71" s="38" t="s">
        <v>97</v>
      </c>
      <c r="E71" s="5" t="s">
        <v>150</v>
      </c>
      <c r="F71" s="38" t="str">
        <f t="shared" si="4"/>
        <v>214.47.d</v>
      </c>
      <c r="G71" s="38"/>
      <c r="H71" s="7"/>
      <c r="I71" s="7"/>
      <c r="J71" s="43">
        <v>6192322</v>
      </c>
      <c r="K71" s="2"/>
      <c r="L71" s="2"/>
    </row>
    <row r="72" spans="1:12" ht="15">
      <c r="A72" s="2"/>
      <c r="B72" s="38">
        <v>219</v>
      </c>
      <c r="C72" s="38" t="s">
        <v>99</v>
      </c>
      <c r="D72" s="39" t="s">
        <v>87</v>
      </c>
      <c r="E72" s="5" t="s">
        <v>100</v>
      </c>
      <c r="F72" s="38" t="str">
        <f>B72&amp;"."&amp;C72&amp;"."&amp;D72</f>
        <v>219.20 thru 24.c</v>
      </c>
      <c r="G72" s="38"/>
      <c r="H72" s="7"/>
      <c r="I72" s="7"/>
      <c r="J72" s="43">
        <v>2557992051</v>
      </c>
      <c r="K72" s="2"/>
      <c r="L72" s="2"/>
    </row>
    <row r="73" spans="1:12" ht="15">
      <c r="A73" s="2"/>
      <c r="B73" s="38">
        <v>219</v>
      </c>
      <c r="C73" s="38">
        <v>25</v>
      </c>
      <c r="D73" s="39" t="s">
        <v>87</v>
      </c>
      <c r="E73" s="5" t="s">
        <v>101</v>
      </c>
      <c r="F73" s="38" t="str">
        <f t="shared" si="4"/>
        <v>219.25.c</v>
      </c>
      <c r="G73" s="38"/>
      <c r="H73" s="7"/>
      <c r="I73" s="7"/>
      <c r="J73" s="43">
        <v>475762867</v>
      </c>
      <c r="K73" s="2"/>
      <c r="L73" s="2"/>
    </row>
    <row r="74" spans="1:12" ht="15">
      <c r="A74" s="2"/>
      <c r="B74" s="38">
        <v>219</v>
      </c>
      <c r="C74" s="38">
        <v>26</v>
      </c>
      <c r="D74" s="39" t="s">
        <v>87</v>
      </c>
      <c r="E74" s="5" t="s">
        <v>102</v>
      </c>
      <c r="F74" s="38" t="str">
        <f t="shared" si="4"/>
        <v>219.26.c</v>
      </c>
      <c r="G74" s="38"/>
      <c r="H74" s="7"/>
      <c r="I74" s="7"/>
      <c r="J74" s="43">
        <v>1400066245</v>
      </c>
      <c r="K74" s="2"/>
      <c r="L74" s="2"/>
    </row>
    <row r="75" spans="1:12" ht="15">
      <c r="A75" s="2"/>
      <c r="B75" s="38">
        <v>219</v>
      </c>
      <c r="C75" s="38">
        <v>28</v>
      </c>
      <c r="D75" s="39" t="s">
        <v>87</v>
      </c>
      <c r="E75" s="5" t="s">
        <v>103</v>
      </c>
      <c r="F75" s="38" t="str">
        <f t="shared" si="4"/>
        <v>219.28.c</v>
      </c>
      <c r="G75" s="38"/>
      <c r="H75" s="7"/>
      <c r="I75" s="7"/>
      <c r="J75" s="43">
        <v>128973740</v>
      </c>
      <c r="K75" s="2"/>
      <c r="L75" s="2"/>
    </row>
    <row r="76" spans="1:12" ht="15">
      <c r="A76" s="2"/>
      <c r="B76" s="38" t="s">
        <v>107</v>
      </c>
      <c r="C76" s="38">
        <v>5</v>
      </c>
      <c r="D76" s="38" t="s">
        <v>111</v>
      </c>
      <c r="E76" s="5" t="s">
        <v>112</v>
      </c>
      <c r="F76" s="38" t="str">
        <f>B76&amp;"."&amp;C76&amp;"."&amp;D76</f>
        <v>230a.5.f</v>
      </c>
      <c r="G76" s="38"/>
      <c r="H76" s="7"/>
      <c r="I76" s="7"/>
      <c r="J76" s="43">
        <v>13668566</v>
      </c>
      <c r="K76" s="2"/>
      <c r="L76" s="2"/>
    </row>
    <row r="77" spans="1:12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</sheetData>
  <mergeCells count="3">
    <mergeCell ref="K3:L3"/>
    <mergeCell ref="A5:L5"/>
    <mergeCell ref="A6:L6"/>
  </mergeCells>
  <printOptions horizontalCentered="1"/>
  <pageMargins left="0.5" right="0.5" top="0.75" bottom="0.75" header="0.5" footer="0.5"/>
  <pageSetup scale="60" orientation="portrait" r:id="rId1"/>
  <headerFooter alignWithMargins="0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workbookViewId="0">
      <selection activeCell="K2" sqref="K2"/>
    </sheetView>
  </sheetViews>
  <sheetFormatPr defaultRowHeight="12.75"/>
  <cols>
    <col min="1" max="1" width="5.7109375" style="108" customWidth="1"/>
    <col min="2" max="2" width="3.7109375" style="108" customWidth="1"/>
    <col min="3" max="3" width="9.140625" style="108"/>
    <col min="4" max="4" width="14.5703125" style="108" customWidth="1"/>
    <col min="5" max="5" width="25.28515625" style="108" customWidth="1"/>
    <col min="6" max="10" width="12.7109375" style="108" customWidth="1"/>
    <col min="11" max="11" width="11.7109375" style="108" customWidth="1"/>
    <col min="12" max="12" width="13.42578125" style="108" customWidth="1"/>
    <col min="13" max="16384" width="9.140625" style="108"/>
  </cols>
  <sheetData>
    <row r="1" spans="1:12" ht="15">
      <c r="A1" s="108" t="s">
        <v>619</v>
      </c>
      <c r="K1" s="109" t="s">
        <v>3</v>
      </c>
    </row>
    <row r="2" spans="1:12" ht="15">
      <c r="K2" s="109" t="s">
        <v>620</v>
      </c>
    </row>
    <row r="3" spans="1:12">
      <c r="K3" s="289"/>
      <c r="L3" s="289"/>
    </row>
    <row r="5" spans="1:12">
      <c r="A5" s="290" t="s">
        <v>70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</row>
    <row r="6" spans="1:12" ht="6" customHeight="1"/>
    <row r="7" spans="1:12">
      <c r="A7" s="291" t="s">
        <v>621</v>
      </c>
      <c r="B7" s="291"/>
      <c r="C7" s="291"/>
      <c r="D7" s="291"/>
      <c r="E7" s="291"/>
      <c r="F7" s="291"/>
      <c r="G7" s="291"/>
      <c r="H7" s="291"/>
      <c r="I7" s="291"/>
      <c r="J7" s="291"/>
      <c r="K7" s="291"/>
    </row>
    <row r="10" spans="1:12">
      <c r="A10" s="110" t="s">
        <v>622</v>
      </c>
      <c r="B10" s="111"/>
      <c r="C10" s="111"/>
      <c r="D10" s="111"/>
      <c r="E10" s="111"/>
      <c r="F10" s="112"/>
      <c r="G10" s="112"/>
      <c r="H10" s="112"/>
      <c r="I10" s="112"/>
      <c r="J10" s="112"/>
    </row>
    <row r="11" spans="1:12" ht="13.5" thickBot="1"/>
    <row r="12" spans="1:12" ht="13.5" thickBot="1">
      <c r="A12" s="113">
        <v>1</v>
      </c>
      <c r="B12" s="114" t="s">
        <v>623</v>
      </c>
      <c r="C12" s="114"/>
      <c r="D12" s="114"/>
      <c r="E12" s="114"/>
      <c r="F12" s="114"/>
      <c r="H12" s="115"/>
      <c r="I12" s="115"/>
      <c r="J12" s="115"/>
    </row>
    <row r="13" spans="1:12">
      <c r="A13" s="113">
        <f t="shared" ref="A13:A72" si="0">A12+1</f>
        <v>2</v>
      </c>
      <c r="H13" s="116"/>
      <c r="I13" s="116"/>
      <c r="J13" s="116"/>
    </row>
    <row r="14" spans="1:12">
      <c r="A14" s="113">
        <f t="shared" si="0"/>
        <v>3</v>
      </c>
      <c r="C14" s="117" t="s">
        <v>624</v>
      </c>
      <c r="E14" s="116"/>
      <c r="F14" s="116"/>
      <c r="H14" s="116"/>
      <c r="I14" s="116"/>
      <c r="J14" s="116"/>
    </row>
    <row r="15" spans="1:12">
      <c r="A15" s="113">
        <f t="shared" si="0"/>
        <v>4</v>
      </c>
      <c r="C15" s="118"/>
      <c r="E15" s="116"/>
      <c r="F15" s="116"/>
      <c r="H15" s="116"/>
      <c r="I15" s="116"/>
      <c r="J15" s="116"/>
    </row>
    <row r="16" spans="1:12">
      <c r="A16" s="113">
        <f t="shared" si="0"/>
        <v>5</v>
      </c>
      <c r="C16" s="119" t="s">
        <v>624</v>
      </c>
      <c r="E16" s="116"/>
      <c r="F16" s="116"/>
      <c r="H16" s="116"/>
      <c r="I16" s="116"/>
      <c r="J16" s="116"/>
    </row>
    <row r="17" spans="1:11">
      <c r="A17" s="113">
        <f t="shared" si="0"/>
        <v>6</v>
      </c>
      <c r="C17" s="118" t="s">
        <v>625</v>
      </c>
      <c r="E17" s="116" t="s">
        <v>626</v>
      </c>
      <c r="F17" s="120">
        <f>'[4]PEF - 2 - Page 5 Storm, Notes'!$K$20</f>
        <v>13307907.028750595</v>
      </c>
      <c r="H17" s="116"/>
      <c r="I17" s="116"/>
      <c r="J17" s="116"/>
    </row>
    <row r="18" spans="1:11">
      <c r="A18" s="113">
        <f t="shared" si="0"/>
        <v>7</v>
      </c>
      <c r="C18" s="118" t="s">
        <v>627</v>
      </c>
      <c r="E18" s="116" t="s">
        <v>628</v>
      </c>
      <c r="F18" s="121">
        <f>'[4]PEF - 2 - Page 5 Storm, Notes'!$K$25</f>
        <v>8614773.8050481882</v>
      </c>
      <c r="H18" s="116"/>
      <c r="I18" s="116"/>
      <c r="J18" s="116"/>
    </row>
    <row r="19" spans="1:11">
      <c r="A19" s="113">
        <f t="shared" si="0"/>
        <v>8</v>
      </c>
      <c r="C19" s="108" t="s">
        <v>629</v>
      </c>
      <c r="F19" s="122">
        <f>F17+F18</f>
        <v>21922680.833798781</v>
      </c>
      <c r="G19" s="116"/>
      <c r="H19" s="123"/>
      <c r="I19" s="123"/>
      <c r="J19" s="123"/>
    </row>
    <row r="20" spans="1:11">
      <c r="A20" s="113">
        <f t="shared" si="0"/>
        <v>9</v>
      </c>
      <c r="C20" s="124" t="s">
        <v>630</v>
      </c>
      <c r="F20" s="116"/>
      <c r="G20" s="116"/>
      <c r="H20" s="123"/>
      <c r="I20" s="123"/>
      <c r="J20" s="125"/>
    </row>
    <row r="21" spans="1:11">
      <c r="A21" s="113">
        <f t="shared" si="0"/>
        <v>10</v>
      </c>
      <c r="B21" s="126"/>
      <c r="C21" s="118" t="s">
        <v>631</v>
      </c>
      <c r="F21" s="116"/>
      <c r="G21" s="116"/>
      <c r="H21" s="123"/>
      <c r="I21" s="123"/>
      <c r="J21" s="123"/>
    </row>
    <row r="22" spans="1:11">
      <c r="A22" s="113">
        <f t="shared" si="0"/>
        <v>11</v>
      </c>
      <c r="C22" s="127" t="s">
        <v>632</v>
      </c>
      <c r="E22" s="116" t="s">
        <v>633</v>
      </c>
      <c r="F22" s="120">
        <f>'[4]PEF - 2 - Page 5 Storm, Notes'!$K$27</f>
        <v>368844.85383767809</v>
      </c>
      <c r="H22" s="123"/>
      <c r="I22" s="123"/>
      <c r="J22" s="123"/>
    </row>
    <row r="23" spans="1:11">
      <c r="A23" s="113">
        <f t="shared" si="0"/>
        <v>12</v>
      </c>
      <c r="C23" s="127" t="s">
        <v>634</v>
      </c>
      <c r="E23" s="116" t="s">
        <v>635</v>
      </c>
      <c r="F23" s="122">
        <f>F22*5</f>
        <v>1844224.2691883906</v>
      </c>
      <c r="H23" s="123"/>
      <c r="I23" s="123"/>
      <c r="J23" s="123"/>
    </row>
    <row r="24" spans="1:11">
      <c r="A24" s="113">
        <f t="shared" si="0"/>
        <v>13</v>
      </c>
      <c r="F24" s="116"/>
      <c r="G24" s="116"/>
      <c r="H24" s="123"/>
      <c r="I24" s="123"/>
      <c r="J24" s="123"/>
    </row>
    <row r="25" spans="1:11">
      <c r="A25" s="113">
        <f t="shared" si="0"/>
        <v>14</v>
      </c>
      <c r="C25" s="124" t="s">
        <v>636</v>
      </c>
      <c r="E25" s="116" t="s">
        <v>637</v>
      </c>
      <c r="F25" s="122">
        <f>F19-F23</f>
        <v>20078456.564610392</v>
      </c>
      <c r="H25" s="123"/>
      <c r="I25" s="123"/>
      <c r="J25" s="123"/>
    </row>
    <row r="26" spans="1:11">
      <c r="A26" s="113">
        <f t="shared" si="0"/>
        <v>15</v>
      </c>
      <c r="F26" s="116"/>
      <c r="G26" s="116"/>
      <c r="H26" s="123"/>
      <c r="I26" s="123"/>
      <c r="J26" s="123"/>
    </row>
    <row r="27" spans="1:11">
      <c r="A27" s="113">
        <f t="shared" si="0"/>
        <v>16</v>
      </c>
      <c r="C27" s="128" t="s">
        <v>638</v>
      </c>
      <c r="F27" s="112">
        <v>2008</v>
      </c>
      <c r="G27" s="112">
        <v>2009</v>
      </c>
      <c r="H27" s="112">
        <v>2010</v>
      </c>
      <c r="I27" s="112">
        <v>2011</v>
      </c>
      <c r="J27" s="112">
        <v>2012</v>
      </c>
      <c r="K27" s="112" t="s">
        <v>421</v>
      </c>
    </row>
    <row r="28" spans="1:11">
      <c r="A28" s="113">
        <f t="shared" si="0"/>
        <v>17</v>
      </c>
      <c r="F28" s="116"/>
    </row>
    <row r="29" spans="1:11">
      <c r="A29" s="113">
        <f t="shared" si="0"/>
        <v>18</v>
      </c>
      <c r="C29" s="108" t="s">
        <v>639</v>
      </c>
      <c r="F29" s="116"/>
      <c r="G29" s="116"/>
      <c r="H29" s="116"/>
      <c r="I29" s="116"/>
      <c r="J29" s="116"/>
    </row>
    <row r="30" spans="1:11">
      <c r="A30" s="113">
        <f t="shared" si="0"/>
        <v>19</v>
      </c>
      <c r="C30" s="118" t="s">
        <v>640</v>
      </c>
      <c r="E30" s="118" t="s">
        <v>641</v>
      </c>
      <c r="F30" s="129">
        <v>6593.3859762747506</v>
      </c>
      <c r="G30" s="129">
        <v>13904.176834689111</v>
      </c>
      <c r="H30" s="129">
        <v>30194.461167706668</v>
      </c>
      <c r="I30" s="129">
        <v>37330.800746542569</v>
      </c>
      <c r="J30" s="129">
        <v>39888.800701937114</v>
      </c>
      <c r="K30" s="129">
        <f>SUM(F30:J30)</f>
        <v>127911.62542715023</v>
      </c>
    </row>
    <row r="31" spans="1:11">
      <c r="A31" s="113">
        <f t="shared" si="0"/>
        <v>20</v>
      </c>
      <c r="C31" s="118" t="s">
        <v>642</v>
      </c>
      <c r="E31" s="118" t="s">
        <v>641</v>
      </c>
      <c r="F31" s="121">
        <v>3000</v>
      </c>
      <c r="G31" s="121">
        <v>3000</v>
      </c>
      <c r="H31" s="121">
        <v>3000</v>
      </c>
      <c r="I31" s="121">
        <v>3000</v>
      </c>
      <c r="J31" s="121">
        <v>3000</v>
      </c>
      <c r="K31" s="121">
        <f>SUM(F31:J31)</f>
        <v>15000</v>
      </c>
    </row>
    <row r="32" spans="1:11">
      <c r="A32" s="113">
        <f t="shared" si="0"/>
        <v>21</v>
      </c>
      <c r="C32" s="108" t="s">
        <v>643</v>
      </c>
      <c r="F32" s="116">
        <f t="shared" ref="F32:K32" si="1">SUM(F30:F31)</f>
        <v>9593.3859762747506</v>
      </c>
      <c r="G32" s="116">
        <f t="shared" si="1"/>
        <v>16904.176834689111</v>
      </c>
      <c r="H32" s="116">
        <f t="shared" si="1"/>
        <v>33194.461167706671</v>
      </c>
      <c r="I32" s="116">
        <f t="shared" si="1"/>
        <v>40330.800746542569</v>
      </c>
      <c r="J32" s="116">
        <f t="shared" si="1"/>
        <v>42888.800701937114</v>
      </c>
      <c r="K32" s="116">
        <f t="shared" si="1"/>
        <v>142911.62542715023</v>
      </c>
    </row>
    <row r="33" spans="1:11">
      <c r="A33" s="113">
        <f t="shared" si="0"/>
        <v>22</v>
      </c>
      <c r="F33" s="116"/>
    </row>
    <row r="34" spans="1:11">
      <c r="A34" s="113">
        <f t="shared" si="0"/>
        <v>23</v>
      </c>
      <c r="C34" s="108" t="s">
        <v>644</v>
      </c>
      <c r="E34" s="130" t="s">
        <v>645</v>
      </c>
      <c r="F34" s="131">
        <f>F32/$K$32</f>
        <v>6.7128100653819925E-2</v>
      </c>
      <c r="G34" s="131">
        <f>G32/$K$32</f>
        <v>0.11828412688025917</v>
      </c>
      <c r="H34" s="131">
        <f>H32/$K$32</f>
        <v>0.23227264449964347</v>
      </c>
      <c r="I34" s="131">
        <f>I32/$K$32</f>
        <v>0.28220797731463321</v>
      </c>
      <c r="J34" s="131">
        <f>J32/$K$32</f>
        <v>0.30010715065164417</v>
      </c>
      <c r="K34" s="132">
        <f>SUM(F34:J34)</f>
        <v>1</v>
      </c>
    </row>
    <row r="35" spans="1:11" ht="12" customHeight="1">
      <c r="A35" s="113">
        <f t="shared" si="0"/>
        <v>24</v>
      </c>
      <c r="F35" s="116"/>
    </row>
    <row r="36" spans="1:11" ht="12" customHeight="1">
      <c r="A36" s="113">
        <f t="shared" si="0"/>
        <v>25</v>
      </c>
      <c r="C36" s="108" t="s">
        <v>638</v>
      </c>
      <c r="F36" s="116"/>
    </row>
    <row r="37" spans="1:11">
      <c r="A37" s="113">
        <f t="shared" si="0"/>
        <v>26</v>
      </c>
      <c r="C37" s="118" t="s">
        <v>625</v>
      </c>
      <c r="E37" s="108" t="s">
        <v>646</v>
      </c>
      <c r="F37" s="122">
        <f>F$34*$F$25*($F$17/$F$19)</f>
        <v>818183.62197674019</v>
      </c>
      <c r="G37" s="122">
        <f>G$34*$F$25*($F$17/$F$19)</f>
        <v>1441693.3357362852</v>
      </c>
      <c r="H37" s="122">
        <f>H$34*$F$25*($F$17/$F$19)</f>
        <v>2831030.1008348246</v>
      </c>
      <c r="I37" s="122">
        <f>I$34*$F$25*($F$17/$F$19)</f>
        <v>3439661.5244748043</v>
      </c>
      <c r="J37" s="122">
        <f>J$34*$F$25*($F$17/$F$19)</f>
        <v>3657823.6701131635</v>
      </c>
      <c r="K37" s="122">
        <f>SUM(F37:J37)</f>
        <v>12188392.253135817</v>
      </c>
    </row>
    <row r="38" spans="1:11">
      <c r="A38" s="113">
        <f t="shared" si="0"/>
        <v>27</v>
      </c>
      <c r="C38" s="118" t="s">
        <v>627</v>
      </c>
      <c r="E38" s="108" t="s">
        <v>647</v>
      </c>
      <c r="F38" s="133">
        <f>F$34*$F$25*($F$18/$F$19)</f>
        <v>529645.03126577765</v>
      </c>
      <c r="G38" s="133">
        <f>G$34*$F$25*($F$18/$F$19)</f>
        <v>933269.36811186338</v>
      </c>
      <c r="H38" s="133">
        <f>H$34*$F$25*($F$18/$F$19)</f>
        <v>1832646.1028984583</v>
      </c>
      <c r="I38" s="133">
        <f>I$34*$F$25*($F$18/$F$19)</f>
        <v>2226639.0902236141</v>
      </c>
      <c r="J38" s="133">
        <f>J$34*$F$25*($F$18/$F$19)</f>
        <v>2367864.7189748613</v>
      </c>
      <c r="K38" s="133">
        <f>SUM(F38:J38)</f>
        <v>7890064.3114745747</v>
      </c>
    </row>
    <row r="39" spans="1:11">
      <c r="A39" s="113">
        <f t="shared" si="0"/>
        <v>28</v>
      </c>
      <c r="C39" s="108" t="s">
        <v>648</v>
      </c>
      <c r="F39" s="122">
        <f t="shared" ref="F39:K39" si="2">SUM(F37:F38)</f>
        <v>1347828.6532425177</v>
      </c>
      <c r="G39" s="122">
        <f t="shared" si="2"/>
        <v>2374962.7038481487</v>
      </c>
      <c r="H39" s="122">
        <f t="shared" si="2"/>
        <v>4663676.2037332831</v>
      </c>
      <c r="I39" s="122">
        <f t="shared" si="2"/>
        <v>5666300.6146984184</v>
      </c>
      <c r="J39" s="122">
        <f t="shared" si="2"/>
        <v>6025688.3890880253</v>
      </c>
      <c r="K39" s="122">
        <f t="shared" si="2"/>
        <v>20078456.564610392</v>
      </c>
    </row>
    <row r="40" spans="1:11">
      <c r="A40" s="113">
        <f t="shared" si="0"/>
        <v>29</v>
      </c>
      <c r="F40" s="116"/>
    </row>
    <row r="41" spans="1:11" ht="13.5" thickBot="1">
      <c r="A41" s="113">
        <f t="shared" si="0"/>
        <v>30</v>
      </c>
      <c r="C41" s="126" t="s">
        <v>649</v>
      </c>
      <c r="D41" s="126"/>
      <c r="E41" s="126"/>
    </row>
    <row r="42" spans="1:11" ht="13.5" thickBot="1">
      <c r="A42" s="113">
        <f t="shared" si="0"/>
        <v>31</v>
      </c>
      <c r="C42" s="134" t="s">
        <v>650</v>
      </c>
      <c r="E42" s="116" t="s">
        <v>651</v>
      </c>
      <c r="F42" s="135">
        <f t="shared" ref="F42:K42" si="3">F39/F32</f>
        <v>140.49561401738774</v>
      </c>
      <c r="G42" s="135">
        <f t="shared" si="3"/>
        <v>140.49561401738774</v>
      </c>
      <c r="H42" s="135">
        <f t="shared" si="3"/>
        <v>140.49561401738777</v>
      </c>
      <c r="I42" s="135">
        <f t="shared" si="3"/>
        <v>140.49561401738774</v>
      </c>
      <c r="J42" s="135">
        <f t="shared" si="3"/>
        <v>140.49561401738774</v>
      </c>
      <c r="K42" s="135">
        <f t="shared" si="3"/>
        <v>140.49561401738774</v>
      </c>
    </row>
    <row r="43" spans="1:11" ht="13.5" thickBot="1">
      <c r="A43" s="113">
        <f t="shared" si="0"/>
        <v>32</v>
      </c>
    </row>
    <row r="44" spans="1:11" ht="13.5" thickBot="1">
      <c r="A44" s="113">
        <f t="shared" si="0"/>
        <v>33</v>
      </c>
      <c r="B44" s="136" t="s">
        <v>652</v>
      </c>
      <c r="C44" s="136"/>
      <c r="D44" s="136"/>
      <c r="E44" s="136"/>
      <c r="F44" s="136"/>
    </row>
    <row r="45" spans="1:11">
      <c r="A45" s="113">
        <f t="shared" si="0"/>
        <v>34</v>
      </c>
    </row>
    <row r="46" spans="1:11">
      <c r="A46" s="113">
        <f t="shared" si="0"/>
        <v>35</v>
      </c>
      <c r="C46" s="124" t="s">
        <v>653</v>
      </c>
      <c r="F46" s="116"/>
      <c r="G46" s="116"/>
      <c r="H46" s="116"/>
      <c r="I46" s="116"/>
      <c r="J46" s="116"/>
    </row>
    <row r="47" spans="1:11">
      <c r="A47" s="113">
        <f t="shared" si="0"/>
        <v>36</v>
      </c>
      <c r="C47" s="118" t="s">
        <v>640</v>
      </c>
      <c r="E47" s="118" t="s">
        <v>654</v>
      </c>
      <c r="F47" s="116">
        <f t="shared" ref="F47:J48" si="4">F30*1.05</f>
        <v>6923.0552750884881</v>
      </c>
      <c r="G47" s="116">
        <f t="shared" si="4"/>
        <v>14599.385676423568</v>
      </c>
      <c r="H47" s="116">
        <f t="shared" si="4"/>
        <v>31704.184226092002</v>
      </c>
      <c r="I47" s="116">
        <f t="shared" si="4"/>
        <v>39197.340783869702</v>
      </c>
      <c r="J47" s="116">
        <f t="shared" si="4"/>
        <v>41883.240737033972</v>
      </c>
      <c r="K47" s="116">
        <f>SUM(F47:J47)</f>
        <v>134307.20669850774</v>
      </c>
    </row>
    <row r="48" spans="1:11">
      <c r="A48" s="113">
        <f t="shared" si="0"/>
        <v>37</v>
      </c>
      <c r="C48" s="118" t="s">
        <v>642</v>
      </c>
      <c r="E48" s="118" t="s">
        <v>655</v>
      </c>
      <c r="F48" s="133">
        <f t="shared" si="4"/>
        <v>3150</v>
      </c>
      <c r="G48" s="133">
        <f t="shared" si="4"/>
        <v>3150</v>
      </c>
      <c r="H48" s="133">
        <f t="shared" si="4"/>
        <v>3150</v>
      </c>
      <c r="I48" s="133">
        <f t="shared" si="4"/>
        <v>3150</v>
      </c>
      <c r="J48" s="133">
        <f t="shared" si="4"/>
        <v>3150</v>
      </c>
      <c r="K48" s="133">
        <f>SUM(F48:J48)</f>
        <v>15750</v>
      </c>
    </row>
    <row r="49" spans="1:12">
      <c r="A49" s="113">
        <f t="shared" si="0"/>
        <v>38</v>
      </c>
      <c r="C49" s="108" t="s">
        <v>656</v>
      </c>
      <c r="E49" s="118" t="s">
        <v>657</v>
      </c>
      <c r="F49" s="116">
        <f t="shared" ref="F49:K49" si="5">SUM(F47:F48)</f>
        <v>10073.055275088489</v>
      </c>
      <c r="G49" s="116">
        <f t="shared" si="5"/>
        <v>17749.385676423568</v>
      </c>
      <c r="H49" s="116">
        <f t="shared" si="5"/>
        <v>34854.184226092002</v>
      </c>
      <c r="I49" s="116">
        <f t="shared" si="5"/>
        <v>42347.340783869702</v>
      </c>
      <c r="J49" s="116">
        <f t="shared" si="5"/>
        <v>45033.240737033972</v>
      </c>
      <c r="K49" s="116">
        <f t="shared" si="5"/>
        <v>150057.20669850774</v>
      </c>
    </row>
    <row r="50" spans="1:12">
      <c r="A50" s="113">
        <f t="shared" si="0"/>
        <v>39</v>
      </c>
    </row>
    <row r="51" spans="1:12">
      <c r="A51" s="113">
        <f t="shared" si="0"/>
        <v>40</v>
      </c>
      <c r="C51" s="108" t="s">
        <v>658</v>
      </c>
    </row>
    <row r="52" spans="1:12">
      <c r="A52" s="113">
        <f t="shared" si="0"/>
        <v>41</v>
      </c>
      <c r="C52" s="118" t="s">
        <v>640</v>
      </c>
      <c r="E52" s="118" t="s">
        <v>659</v>
      </c>
      <c r="F52" s="122">
        <f t="shared" ref="F52:J53" si="6">F$42*F47</f>
        <v>972658.90174987225</v>
      </c>
      <c r="G52" s="122">
        <f t="shared" si="6"/>
        <v>2051149.6548857847</v>
      </c>
      <c r="H52" s="122">
        <f t="shared" si="6"/>
        <v>4454298.8297651755</v>
      </c>
      <c r="I52" s="122">
        <f t="shared" si="6"/>
        <v>5507054.461278568</v>
      </c>
      <c r="J52" s="122">
        <f t="shared" si="6"/>
        <v>5884411.6243876554</v>
      </c>
      <c r="K52" s="122">
        <f>SUM(F52:J52)</f>
        <v>18869573.472067054</v>
      </c>
    </row>
    <row r="53" spans="1:12">
      <c r="A53" s="113">
        <f t="shared" si="0"/>
        <v>42</v>
      </c>
      <c r="C53" s="118" t="s">
        <v>642</v>
      </c>
      <c r="E53" s="118" t="s">
        <v>660</v>
      </c>
      <c r="F53" s="133">
        <f t="shared" si="6"/>
        <v>442561.18415477138</v>
      </c>
      <c r="G53" s="133">
        <f t="shared" si="6"/>
        <v>442561.18415477138</v>
      </c>
      <c r="H53" s="133">
        <f t="shared" si="6"/>
        <v>442561.18415477144</v>
      </c>
      <c r="I53" s="133">
        <f t="shared" si="6"/>
        <v>442561.18415477138</v>
      </c>
      <c r="J53" s="133">
        <f t="shared" si="6"/>
        <v>442561.18415477138</v>
      </c>
      <c r="K53" s="133">
        <f>SUM(F53:J53)</f>
        <v>2212805.9207738568</v>
      </c>
    </row>
    <row r="54" spans="1:12">
      <c r="A54" s="113">
        <f t="shared" si="0"/>
        <v>43</v>
      </c>
      <c r="C54" s="137" t="s">
        <v>661</v>
      </c>
      <c r="D54" s="138"/>
      <c r="E54" s="118" t="s">
        <v>662</v>
      </c>
      <c r="F54" s="122">
        <f t="shared" ref="F54:K54" si="7">SUM(F52:F53)</f>
        <v>1415220.0859046436</v>
      </c>
      <c r="G54" s="122">
        <f t="shared" si="7"/>
        <v>2493710.839040556</v>
      </c>
      <c r="H54" s="122">
        <f t="shared" si="7"/>
        <v>4896860.0139199467</v>
      </c>
      <c r="I54" s="122">
        <f t="shared" si="7"/>
        <v>5949615.6454333393</v>
      </c>
      <c r="J54" s="122">
        <f t="shared" si="7"/>
        <v>6326972.8085424267</v>
      </c>
      <c r="K54" s="122">
        <f t="shared" si="7"/>
        <v>21082379.392840911</v>
      </c>
    </row>
    <row r="55" spans="1:12">
      <c r="A55" s="113">
        <f t="shared" si="0"/>
        <v>44</v>
      </c>
    </row>
    <row r="56" spans="1:12" ht="13.5" thickBot="1">
      <c r="A56" s="113">
        <f t="shared" si="0"/>
        <v>45</v>
      </c>
      <c r="C56" s="126" t="s">
        <v>663</v>
      </c>
      <c r="D56" s="126"/>
      <c r="E56" s="126"/>
    </row>
    <row r="57" spans="1:12" ht="13.5" thickBot="1">
      <c r="A57" s="113">
        <f t="shared" si="0"/>
        <v>46</v>
      </c>
      <c r="C57" s="134" t="s">
        <v>664</v>
      </c>
      <c r="E57" s="118" t="s">
        <v>665</v>
      </c>
      <c r="F57" s="139">
        <f>F54-F39</f>
        <v>67391.43266212591</v>
      </c>
      <c r="G57" s="140">
        <f>G54-G39</f>
        <v>118748.1351924073</v>
      </c>
      <c r="H57" s="140">
        <f>H54-H39</f>
        <v>233183.81018666364</v>
      </c>
      <c r="I57" s="140">
        <f>I54-I39</f>
        <v>283315.03073492087</v>
      </c>
      <c r="J57" s="140">
        <f>J54-J39</f>
        <v>301284.41945440136</v>
      </c>
      <c r="K57" s="141">
        <f>SUM(F57:J57)</f>
        <v>1003922.8282305191</v>
      </c>
    </row>
    <row r="58" spans="1:12">
      <c r="A58" s="113">
        <f t="shared" si="0"/>
        <v>47</v>
      </c>
    </row>
    <row r="59" spans="1:12" ht="3" customHeight="1">
      <c r="A59" s="113">
        <f t="shared" si="0"/>
        <v>48</v>
      </c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</row>
    <row r="60" spans="1:12">
      <c r="A60" s="113">
        <f t="shared" si="0"/>
        <v>49</v>
      </c>
      <c r="H60" s="115"/>
      <c r="I60" s="115"/>
      <c r="J60" s="115"/>
    </row>
    <row r="61" spans="1:12">
      <c r="A61" s="113">
        <f t="shared" si="0"/>
        <v>50</v>
      </c>
      <c r="B61" s="126" t="s">
        <v>666</v>
      </c>
      <c r="K61" s="126" t="s">
        <v>667</v>
      </c>
    </row>
    <row r="62" spans="1:12">
      <c r="A62" s="113">
        <f t="shared" si="0"/>
        <v>51</v>
      </c>
      <c r="K62" s="126"/>
    </row>
    <row r="63" spans="1:12">
      <c r="A63" s="113">
        <f t="shared" si="0"/>
        <v>52</v>
      </c>
      <c r="C63" s="108" t="s">
        <v>77</v>
      </c>
      <c r="F63" s="143">
        <v>-13307907</v>
      </c>
      <c r="G63" s="116">
        <f>F68</f>
        <v>-11591233.492919805</v>
      </c>
      <c r="H63" s="116">
        <f>G68</f>
        <v>-8847425.9352339786</v>
      </c>
      <c r="I63" s="116">
        <f>H68</f>
        <v>-3814904.8776630173</v>
      </c>
      <c r="J63" s="116">
        <f>I68</f>
        <v>2220240.5908730794</v>
      </c>
      <c r="K63" s="144">
        <f>J68</f>
        <v>8614773.8337987829</v>
      </c>
    </row>
    <row r="64" spans="1:12">
      <c r="A64" s="113">
        <f t="shared" si="0"/>
        <v>53</v>
      </c>
      <c r="F64" s="116"/>
      <c r="K64" s="126"/>
    </row>
    <row r="65" spans="1:11">
      <c r="A65" s="113">
        <f t="shared" si="0"/>
        <v>54</v>
      </c>
      <c r="C65" s="108" t="s">
        <v>668</v>
      </c>
      <c r="E65" s="108" t="s">
        <v>669</v>
      </c>
      <c r="F65" s="116">
        <f>F39</f>
        <v>1347828.6532425177</v>
      </c>
      <c r="G65" s="116">
        <f>G39</f>
        <v>2374962.7038481487</v>
      </c>
      <c r="H65" s="116">
        <f>H39</f>
        <v>4663676.2037332831</v>
      </c>
      <c r="I65" s="116">
        <f>I39</f>
        <v>5666300.6146984184</v>
      </c>
      <c r="J65" s="116">
        <f>J39</f>
        <v>6025688.3890880253</v>
      </c>
      <c r="K65" s="144"/>
    </row>
    <row r="66" spans="1:11">
      <c r="A66" s="113">
        <f t="shared" si="0"/>
        <v>55</v>
      </c>
      <c r="C66" s="108" t="s">
        <v>670</v>
      </c>
      <c r="E66" s="108" t="s">
        <v>671</v>
      </c>
      <c r="F66" s="116">
        <f>$F$22</f>
        <v>368844.85383767809</v>
      </c>
      <c r="G66" s="116">
        <f>$F$22</f>
        <v>368844.85383767809</v>
      </c>
      <c r="H66" s="116">
        <f>$F$22</f>
        <v>368844.85383767809</v>
      </c>
      <c r="I66" s="116">
        <f>$F$22</f>
        <v>368844.85383767809</v>
      </c>
      <c r="J66" s="116">
        <f>$F$22</f>
        <v>368844.85383767809</v>
      </c>
      <c r="K66" s="144"/>
    </row>
    <row r="67" spans="1:11">
      <c r="A67" s="113">
        <f t="shared" si="0"/>
        <v>56</v>
      </c>
    </row>
    <row r="68" spans="1:11">
      <c r="A68" s="113">
        <f t="shared" si="0"/>
        <v>57</v>
      </c>
      <c r="C68" s="108" t="s">
        <v>447</v>
      </c>
      <c r="F68" s="116">
        <f>SUM(F63:F66)</f>
        <v>-11591233.492919805</v>
      </c>
      <c r="G68" s="116">
        <f>SUM(G63:G66)</f>
        <v>-8847425.9352339786</v>
      </c>
      <c r="H68" s="116">
        <f>SUM(H63:H66)</f>
        <v>-3814904.8776630173</v>
      </c>
      <c r="I68" s="116">
        <f>SUM(I63:I66)</f>
        <v>2220240.5908730794</v>
      </c>
      <c r="J68" s="116">
        <f>SUM(J63:J66)</f>
        <v>8614773.8337987829</v>
      </c>
      <c r="K68" s="144">
        <f>J68</f>
        <v>8614773.8337987829</v>
      </c>
    </row>
    <row r="69" spans="1:11">
      <c r="A69" s="113">
        <f t="shared" si="0"/>
        <v>58</v>
      </c>
    </row>
    <row r="70" spans="1:11">
      <c r="A70" s="113">
        <f t="shared" si="0"/>
        <v>59</v>
      </c>
      <c r="C70" s="108" t="s">
        <v>672</v>
      </c>
      <c r="F70" s="116">
        <f t="shared" ref="F70:K70" si="8">$F$18</f>
        <v>8614773.8050481882</v>
      </c>
      <c r="G70" s="116">
        <f t="shared" si="8"/>
        <v>8614773.8050481882</v>
      </c>
      <c r="H70" s="116">
        <f t="shared" si="8"/>
        <v>8614773.8050481882</v>
      </c>
      <c r="I70" s="116">
        <f t="shared" si="8"/>
        <v>8614773.8050481882</v>
      </c>
      <c r="J70" s="116">
        <f t="shared" si="8"/>
        <v>8614773.8050481882</v>
      </c>
      <c r="K70" s="116">
        <f t="shared" si="8"/>
        <v>8614773.8050481882</v>
      </c>
    </row>
    <row r="71" spans="1:11">
      <c r="A71" s="113">
        <f t="shared" si="0"/>
        <v>60</v>
      </c>
    </row>
    <row r="72" spans="1:11">
      <c r="A72" s="113">
        <f t="shared" si="0"/>
        <v>61</v>
      </c>
      <c r="C72" s="108" t="s">
        <v>673</v>
      </c>
      <c r="F72" s="116">
        <f t="shared" ref="F72:K72" si="9">MIN(F70-F68,0)</f>
        <v>0</v>
      </c>
      <c r="G72" s="116">
        <f t="shared" si="9"/>
        <v>0</v>
      </c>
      <c r="H72" s="116">
        <f t="shared" si="9"/>
        <v>0</v>
      </c>
      <c r="I72" s="116">
        <f t="shared" si="9"/>
        <v>0</v>
      </c>
      <c r="J72" s="116">
        <f t="shared" si="9"/>
        <v>-2.8750594705343246E-2</v>
      </c>
      <c r="K72" s="116">
        <f t="shared" si="9"/>
        <v>-2.8750594705343246E-2</v>
      </c>
    </row>
  </sheetData>
  <mergeCells count="3">
    <mergeCell ref="K3:L3"/>
    <mergeCell ref="A5:K5"/>
    <mergeCell ref="A7:K7"/>
  </mergeCells>
  <printOptions horizontalCentered="1"/>
  <pageMargins left="0.75" right="0.75" top="1" bottom="1" header="0.5" footer="0.5"/>
  <pageSetup scale="61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zoomScaleNormal="100" workbookViewId="0">
      <selection activeCell="C22" sqref="C22"/>
    </sheetView>
  </sheetViews>
  <sheetFormatPr defaultRowHeight="12.75"/>
  <cols>
    <col min="1" max="1" width="31.7109375" customWidth="1"/>
    <col min="2" max="2" width="11.85546875" bestFit="1" customWidth="1"/>
    <col min="3" max="4" width="14" bestFit="1" customWidth="1"/>
    <col min="5" max="5" width="10.28515625" bestFit="1" customWidth="1"/>
    <col min="6" max="6" width="34.140625" customWidth="1"/>
    <col min="7" max="7" width="15.42578125" customWidth="1"/>
    <col min="8" max="8" width="17.42578125" customWidth="1"/>
    <col min="9" max="9" width="15.5703125" customWidth="1"/>
    <col min="257" max="257" width="31.7109375" customWidth="1"/>
    <col min="258" max="258" width="11.85546875" bestFit="1" customWidth="1"/>
    <col min="259" max="260" width="14" bestFit="1" customWidth="1"/>
    <col min="261" max="261" width="10.28515625" bestFit="1" customWidth="1"/>
    <col min="262" max="262" width="34.140625" customWidth="1"/>
    <col min="263" max="263" width="15.42578125" customWidth="1"/>
    <col min="264" max="264" width="17.42578125" customWidth="1"/>
    <col min="265" max="265" width="15.5703125" customWidth="1"/>
    <col min="513" max="513" width="31.7109375" customWidth="1"/>
    <col min="514" max="514" width="11.85546875" bestFit="1" customWidth="1"/>
    <col min="515" max="516" width="14" bestFit="1" customWidth="1"/>
    <col min="517" max="517" width="10.28515625" bestFit="1" customWidth="1"/>
    <col min="518" max="518" width="34.140625" customWidth="1"/>
    <col min="519" max="519" width="15.42578125" customWidth="1"/>
    <col min="520" max="520" width="17.42578125" customWidth="1"/>
    <col min="521" max="521" width="15.5703125" customWidth="1"/>
    <col min="769" max="769" width="31.7109375" customWidth="1"/>
    <col min="770" max="770" width="11.85546875" bestFit="1" customWidth="1"/>
    <col min="771" max="772" width="14" bestFit="1" customWidth="1"/>
    <col min="773" max="773" width="10.28515625" bestFit="1" customWidth="1"/>
    <col min="774" max="774" width="34.140625" customWidth="1"/>
    <col min="775" max="775" width="15.42578125" customWidth="1"/>
    <col min="776" max="776" width="17.42578125" customWidth="1"/>
    <col min="777" max="777" width="15.5703125" customWidth="1"/>
    <col min="1025" max="1025" width="31.7109375" customWidth="1"/>
    <col min="1026" max="1026" width="11.85546875" bestFit="1" customWidth="1"/>
    <col min="1027" max="1028" width="14" bestFit="1" customWidth="1"/>
    <col min="1029" max="1029" width="10.28515625" bestFit="1" customWidth="1"/>
    <col min="1030" max="1030" width="34.140625" customWidth="1"/>
    <col min="1031" max="1031" width="15.42578125" customWidth="1"/>
    <col min="1032" max="1032" width="17.42578125" customWidth="1"/>
    <col min="1033" max="1033" width="15.5703125" customWidth="1"/>
    <col min="1281" max="1281" width="31.7109375" customWidth="1"/>
    <col min="1282" max="1282" width="11.85546875" bestFit="1" customWidth="1"/>
    <col min="1283" max="1284" width="14" bestFit="1" customWidth="1"/>
    <col min="1285" max="1285" width="10.28515625" bestFit="1" customWidth="1"/>
    <col min="1286" max="1286" width="34.140625" customWidth="1"/>
    <col min="1287" max="1287" width="15.42578125" customWidth="1"/>
    <col min="1288" max="1288" width="17.42578125" customWidth="1"/>
    <col min="1289" max="1289" width="15.5703125" customWidth="1"/>
    <col min="1537" max="1537" width="31.7109375" customWidth="1"/>
    <col min="1538" max="1538" width="11.85546875" bestFit="1" customWidth="1"/>
    <col min="1539" max="1540" width="14" bestFit="1" customWidth="1"/>
    <col min="1541" max="1541" width="10.28515625" bestFit="1" customWidth="1"/>
    <col min="1542" max="1542" width="34.140625" customWidth="1"/>
    <col min="1543" max="1543" width="15.42578125" customWidth="1"/>
    <col min="1544" max="1544" width="17.42578125" customWidth="1"/>
    <col min="1545" max="1545" width="15.5703125" customWidth="1"/>
    <col min="1793" max="1793" width="31.7109375" customWidth="1"/>
    <col min="1794" max="1794" width="11.85546875" bestFit="1" customWidth="1"/>
    <col min="1795" max="1796" width="14" bestFit="1" customWidth="1"/>
    <col min="1797" max="1797" width="10.28515625" bestFit="1" customWidth="1"/>
    <col min="1798" max="1798" width="34.140625" customWidth="1"/>
    <col min="1799" max="1799" width="15.42578125" customWidth="1"/>
    <col min="1800" max="1800" width="17.42578125" customWidth="1"/>
    <col min="1801" max="1801" width="15.5703125" customWidth="1"/>
    <col min="2049" max="2049" width="31.7109375" customWidth="1"/>
    <col min="2050" max="2050" width="11.85546875" bestFit="1" customWidth="1"/>
    <col min="2051" max="2052" width="14" bestFit="1" customWidth="1"/>
    <col min="2053" max="2053" width="10.28515625" bestFit="1" customWidth="1"/>
    <col min="2054" max="2054" width="34.140625" customWidth="1"/>
    <col min="2055" max="2055" width="15.42578125" customWidth="1"/>
    <col min="2056" max="2056" width="17.42578125" customWidth="1"/>
    <col min="2057" max="2057" width="15.5703125" customWidth="1"/>
    <col min="2305" max="2305" width="31.7109375" customWidth="1"/>
    <col min="2306" max="2306" width="11.85546875" bestFit="1" customWidth="1"/>
    <col min="2307" max="2308" width="14" bestFit="1" customWidth="1"/>
    <col min="2309" max="2309" width="10.28515625" bestFit="1" customWidth="1"/>
    <col min="2310" max="2310" width="34.140625" customWidth="1"/>
    <col min="2311" max="2311" width="15.42578125" customWidth="1"/>
    <col min="2312" max="2312" width="17.42578125" customWidth="1"/>
    <col min="2313" max="2313" width="15.5703125" customWidth="1"/>
    <col min="2561" max="2561" width="31.7109375" customWidth="1"/>
    <col min="2562" max="2562" width="11.85546875" bestFit="1" customWidth="1"/>
    <col min="2563" max="2564" width="14" bestFit="1" customWidth="1"/>
    <col min="2565" max="2565" width="10.28515625" bestFit="1" customWidth="1"/>
    <col min="2566" max="2566" width="34.140625" customWidth="1"/>
    <col min="2567" max="2567" width="15.42578125" customWidth="1"/>
    <col min="2568" max="2568" width="17.42578125" customWidth="1"/>
    <col min="2569" max="2569" width="15.5703125" customWidth="1"/>
    <col min="2817" max="2817" width="31.7109375" customWidth="1"/>
    <col min="2818" max="2818" width="11.85546875" bestFit="1" customWidth="1"/>
    <col min="2819" max="2820" width="14" bestFit="1" customWidth="1"/>
    <col min="2821" max="2821" width="10.28515625" bestFit="1" customWidth="1"/>
    <col min="2822" max="2822" width="34.140625" customWidth="1"/>
    <col min="2823" max="2823" width="15.42578125" customWidth="1"/>
    <col min="2824" max="2824" width="17.42578125" customWidth="1"/>
    <col min="2825" max="2825" width="15.5703125" customWidth="1"/>
    <col min="3073" max="3073" width="31.7109375" customWidth="1"/>
    <col min="3074" max="3074" width="11.85546875" bestFit="1" customWidth="1"/>
    <col min="3075" max="3076" width="14" bestFit="1" customWidth="1"/>
    <col min="3077" max="3077" width="10.28515625" bestFit="1" customWidth="1"/>
    <col min="3078" max="3078" width="34.140625" customWidth="1"/>
    <col min="3079" max="3079" width="15.42578125" customWidth="1"/>
    <col min="3080" max="3080" width="17.42578125" customWidth="1"/>
    <col min="3081" max="3081" width="15.5703125" customWidth="1"/>
    <col min="3329" max="3329" width="31.7109375" customWidth="1"/>
    <col min="3330" max="3330" width="11.85546875" bestFit="1" customWidth="1"/>
    <col min="3331" max="3332" width="14" bestFit="1" customWidth="1"/>
    <col min="3333" max="3333" width="10.28515625" bestFit="1" customWidth="1"/>
    <col min="3334" max="3334" width="34.140625" customWidth="1"/>
    <col min="3335" max="3335" width="15.42578125" customWidth="1"/>
    <col min="3336" max="3336" width="17.42578125" customWidth="1"/>
    <col min="3337" max="3337" width="15.5703125" customWidth="1"/>
    <col min="3585" max="3585" width="31.7109375" customWidth="1"/>
    <col min="3586" max="3586" width="11.85546875" bestFit="1" customWidth="1"/>
    <col min="3587" max="3588" width="14" bestFit="1" customWidth="1"/>
    <col min="3589" max="3589" width="10.28515625" bestFit="1" customWidth="1"/>
    <col min="3590" max="3590" width="34.140625" customWidth="1"/>
    <col min="3591" max="3591" width="15.42578125" customWidth="1"/>
    <col min="3592" max="3592" width="17.42578125" customWidth="1"/>
    <col min="3593" max="3593" width="15.5703125" customWidth="1"/>
    <col min="3841" max="3841" width="31.7109375" customWidth="1"/>
    <col min="3842" max="3842" width="11.85546875" bestFit="1" customWidth="1"/>
    <col min="3843" max="3844" width="14" bestFit="1" customWidth="1"/>
    <col min="3845" max="3845" width="10.28515625" bestFit="1" customWidth="1"/>
    <col min="3846" max="3846" width="34.140625" customWidth="1"/>
    <col min="3847" max="3847" width="15.42578125" customWidth="1"/>
    <col min="3848" max="3848" width="17.42578125" customWidth="1"/>
    <col min="3849" max="3849" width="15.5703125" customWidth="1"/>
    <col min="4097" max="4097" width="31.7109375" customWidth="1"/>
    <col min="4098" max="4098" width="11.85546875" bestFit="1" customWidth="1"/>
    <col min="4099" max="4100" width="14" bestFit="1" customWidth="1"/>
    <col min="4101" max="4101" width="10.28515625" bestFit="1" customWidth="1"/>
    <col min="4102" max="4102" width="34.140625" customWidth="1"/>
    <col min="4103" max="4103" width="15.42578125" customWidth="1"/>
    <col min="4104" max="4104" width="17.42578125" customWidth="1"/>
    <col min="4105" max="4105" width="15.5703125" customWidth="1"/>
    <col min="4353" max="4353" width="31.7109375" customWidth="1"/>
    <col min="4354" max="4354" width="11.85546875" bestFit="1" customWidth="1"/>
    <col min="4355" max="4356" width="14" bestFit="1" customWidth="1"/>
    <col min="4357" max="4357" width="10.28515625" bestFit="1" customWidth="1"/>
    <col min="4358" max="4358" width="34.140625" customWidth="1"/>
    <col min="4359" max="4359" width="15.42578125" customWidth="1"/>
    <col min="4360" max="4360" width="17.42578125" customWidth="1"/>
    <col min="4361" max="4361" width="15.5703125" customWidth="1"/>
    <col min="4609" max="4609" width="31.7109375" customWidth="1"/>
    <col min="4610" max="4610" width="11.85546875" bestFit="1" customWidth="1"/>
    <col min="4611" max="4612" width="14" bestFit="1" customWidth="1"/>
    <col min="4613" max="4613" width="10.28515625" bestFit="1" customWidth="1"/>
    <col min="4614" max="4614" width="34.140625" customWidth="1"/>
    <col min="4615" max="4615" width="15.42578125" customWidth="1"/>
    <col min="4616" max="4616" width="17.42578125" customWidth="1"/>
    <col min="4617" max="4617" width="15.5703125" customWidth="1"/>
    <col min="4865" max="4865" width="31.7109375" customWidth="1"/>
    <col min="4866" max="4866" width="11.85546875" bestFit="1" customWidth="1"/>
    <col min="4867" max="4868" width="14" bestFit="1" customWidth="1"/>
    <col min="4869" max="4869" width="10.28515625" bestFit="1" customWidth="1"/>
    <col min="4870" max="4870" width="34.140625" customWidth="1"/>
    <col min="4871" max="4871" width="15.42578125" customWidth="1"/>
    <col min="4872" max="4872" width="17.42578125" customWidth="1"/>
    <col min="4873" max="4873" width="15.5703125" customWidth="1"/>
    <col min="5121" max="5121" width="31.7109375" customWidth="1"/>
    <col min="5122" max="5122" width="11.85546875" bestFit="1" customWidth="1"/>
    <col min="5123" max="5124" width="14" bestFit="1" customWidth="1"/>
    <col min="5125" max="5125" width="10.28515625" bestFit="1" customWidth="1"/>
    <col min="5126" max="5126" width="34.140625" customWidth="1"/>
    <col min="5127" max="5127" width="15.42578125" customWidth="1"/>
    <col min="5128" max="5128" width="17.42578125" customWidth="1"/>
    <col min="5129" max="5129" width="15.5703125" customWidth="1"/>
    <col min="5377" max="5377" width="31.7109375" customWidth="1"/>
    <col min="5378" max="5378" width="11.85546875" bestFit="1" customWidth="1"/>
    <col min="5379" max="5380" width="14" bestFit="1" customWidth="1"/>
    <col min="5381" max="5381" width="10.28515625" bestFit="1" customWidth="1"/>
    <col min="5382" max="5382" width="34.140625" customWidth="1"/>
    <col min="5383" max="5383" width="15.42578125" customWidth="1"/>
    <col min="5384" max="5384" width="17.42578125" customWidth="1"/>
    <col min="5385" max="5385" width="15.5703125" customWidth="1"/>
    <col min="5633" max="5633" width="31.7109375" customWidth="1"/>
    <col min="5634" max="5634" width="11.85546875" bestFit="1" customWidth="1"/>
    <col min="5635" max="5636" width="14" bestFit="1" customWidth="1"/>
    <col min="5637" max="5637" width="10.28515625" bestFit="1" customWidth="1"/>
    <col min="5638" max="5638" width="34.140625" customWidth="1"/>
    <col min="5639" max="5639" width="15.42578125" customWidth="1"/>
    <col min="5640" max="5640" width="17.42578125" customWidth="1"/>
    <col min="5641" max="5641" width="15.5703125" customWidth="1"/>
    <col min="5889" max="5889" width="31.7109375" customWidth="1"/>
    <col min="5890" max="5890" width="11.85546875" bestFit="1" customWidth="1"/>
    <col min="5891" max="5892" width="14" bestFit="1" customWidth="1"/>
    <col min="5893" max="5893" width="10.28515625" bestFit="1" customWidth="1"/>
    <col min="5894" max="5894" width="34.140625" customWidth="1"/>
    <col min="5895" max="5895" width="15.42578125" customWidth="1"/>
    <col min="5896" max="5896" width="17.42578125" customWidth="1"/>
    <col min="5897" max="5897" width="15.5703125" customWidth="1"/>
    <col min="6145" max="6145" width="31.7109375" customWidth="1"/>
    <col min="6146" max="6146" width="11.85546875" bestFit="1" customWidth="1"/>
    <col min="6147" max="6148" width="14" bestFit="1" customWidth="1"/>
    <col min="6149" max="6149" width="10.28515625" bestFit="1" customWidth="1"/>
    <col min="6150" max="6150" width="34.140625" customWidth="1"/>
    <col min="6151" max="6151" width="15.42578125" customWidth="1"/>
    <col min="6152" max="6152" width="17.42578125" customWidth="1"/>
    <col min="6153" max="6153" width="15.5703125" customWidth="1"/>
    <col min="6401" max="6401" width="31.7109375" customWidth="1"/>
    <col min="6402" max="6402" width="11.85546875" bestFit="1" customWidth="1"/>
    <col min="6403" max="6404" width="14" bestFit="1" customWidth="1"/>
    <col min="6405" max="6405" width="10.28515625" bestFit="1" customWidth="1"/>
    <col min="6406" max="6406" width="34.140625" customWidth="1"/>
    <col min="6407" max="6407" width="15.42578125" customWidth="1"/>
    <col min="6408" max="6408" width="17.42578125" customWidth="1"/>
    <col min="6409" max="6409" width="15.5703125" customWidth="1"/>
    <col min="6657" max="6657" width="31.7109375" customWidth="1"/>
    <col min="6658" max="6658" width="11.85546875" bestFit="1" customWidth="1"/>
    <col min="6659" max="6660" width="14" bestFit="1" customWidth="1"/>
    <col min="6661" max="6661" width="10.28515625" bestFit="1" customWidth="1"/>
    <col min="6662" max="6662" width="34.140625" customWidth="1"/>
    <col min="6663" max="6663" width="15.42578125" customWidth="1"/>
    <col min="6664" max="6664" width="17.42578125" customWidth="1"/>
    <col min="6665" max="6665" width="15.5703125" customWidth="1"/>
    <col min="6913" max="6913" width="31.7109375" customWidth="1"/>
    <col min="6914" max="6914" width="11.85546875" bestFit="1" customWidth="1"/>
    <col min="6915" max="6916" width="14" bestFit="1" customWidth="1"/>
    <col min="6917" max="6917" width="10.28515625" bestFit="1" customWidth="1"/>
    <col min="6918" max="6918" width="34.140625" customWidth="1"/>
    <col min="6919" max="6919" width="15.42578125" customWidth="1"/>
    <col min="6920" max="6920" width="17.42578125" customWidth="1"/>
    <col min="6921" max="6921" width="15.5703125" customWidth="1"/>
    <col min="7169" max="7169" width="31.7109375" customWidth="1"/>
    <col min="7170" max="7170" width="11.85546875" bestFit="1" customWidth="1"/>
    <col min="7171" max="7172" width="14" bestFit="1" customWidth="1"/>
    <col min="7173" max="7173" width="10.28515625" bestFit="1" customWidth="1"/>
    <col min="7174" max="7174" width="34.140625" customWidth="1"/>
    <col min="7175" max="7175" width="15.42578125" customWidth="1"/>
    <col min="7176" max="7176" width="17.42578125" customWidth="1"/>
    <col min="7177" max="7177" width="15.5703125" customWidth="1"/>
    <col min="7425" max="7425" width="31.7109375" customWidth="1"/>
    <col min="7426" max="7426" width="11.85546875" bestFit="1" customWidth="1"/>
    <col min="7427" max="7428" width="14" bestFit="1" customWidth="1"/>
    <col min="7429" max="7429" width="10.28515625" bestFit="1" customWidth="1"/>
    <col min="7430" max="7430" width="34.140625" customWidth="1"/>
    <col min="7431" max="7431" width="15.42578125" customWidth="1"/>
    <col min="7432" max="7432" width="17.42578125" customWidth="1"/>
    <col min="7433" max="7433" width="15.5703125" customWidth="1"/>
    <col min="7681" max="7681" width="31.7109375" customWidth="1"/>
    <col min="7682" max="7682" width="11.85546875" bestFit="1" customWidth="1"/>
    <col min="7683" max="7684" width="14" bestFit="1" customWidth="1"/>
    <col min="7685" max="7685" width="10.28515625" bestFit="1" customWidth="1"/>
    <col min="7686" max="7686" width="34.140625" customWidth="1"/>
    <col min="7687" max="7687" width="15.42578125" customWidth="1"/>
    <col min="7688" max="7688" width="17.42578125" customWidth="1"/>
    <col min="7689" max="7689" width="15.5703125" customWidth="1"/>
    <col min="7937" max="7937" width="31.7109375" customWidth="1"/>
    <col min="7938" max="7938" width="11.85546875" bestFit="1" customWidth="1"/>
    <col min="7939" max="7940" width="14" bestFit="1" customWidth="1"/>
    <col min="7941" max="7941" width="10.28515625" bestFit="1" customWidth="1"/>
    <col min="7942" max="7942" width="34.140625" customWidth="1"/>
    <col min="7943" max="7943" width="15.42578125" customWidth="1"/>
    <col min="7944" max="7944" width="17.42578125" customWidth="1"/>
    <col min="7945" max="7945" width="15.5703125" customWidth="1"/>
    <col min="8193" max="8193" width="31.7109375" customWidth="1"/>
    <col min="8194" max="8194" width="11.85546875" bestFit="1" customWidth="1"/>
    <col min="8195" max="8196" width="14" bestFit="1" customWidth="1"/>
    <col min="8197" max="8197" width="10.28515625" bestFit="1" customWidth="1"/>
    <col min="8198" max="8198" width="34.140625" customWidth="1"/>
    <col min="8199" max="8199" width="15.42578125" customWidth="1"/>
    <col min="8200" max="8200" width="17.42578125" customWidth="1"/>
    <col min="8201" max="8201" width="15.5703125" customWidth="1"/>
    <col min="8449" max="8449" width="31.7109375" customWidth="1"/>
    <col min="8450" max="8450" width="11.85546875" bestFit="1" customWidth="1"/>
    <col min="8451" max="8452" width="14" bestFit="1" customWidth="1"/>
    <col min="8453" max="8453" width="10.28515625" bestFit="1" customWidth="1"/>
    <col min="8454" max="8454" width="34.140625" customWidth="1"/>
    <col min="8455" max="8455" width="15.42578125" customWidth="1"/>
    <col min="8456" max="8456" width="17.42578125" customWidth="1"/>
    <col min="8457" max="8457" width="15.5703125" customWidth="1"/>
    <col min="8705" max="8705" width="31.7109375" customWidth="1"/>
    <col min="8706" max="8706" width="11.85546875" bestFit="1" customWidth="1"/>
    <col min="8707" max="8708" width="14" bestFit="1" customWidth="1"/>
    <col min="8709" max="8709" width="10.28515625" bestFit="1" customWidth="1"/>
    <col min="8710" max="8710" width="34.140625" customWidth="1"/>
    <col min="8711" max="8711" width="15.42578125" customWidth="1"/>
    <col min="8712" max="8712" width="17.42578125" customWidth="1"/>
    <col min="8713" max="8713" width="15.5703125" customWidth="1"/>
    <col min="8961" max="8961" width="31.7109375" customWidth="1"/>
    <col min="8962" max="8962" width="11.85546875" bestFit="1" customWidth="1"/>
    <col min="8963" max="8964" width="14" bestFit="1" customWidth="1"/>
    <col min="8965" max="8965" width="10.28515625" bestFit="1" customWidth="1"/>
    <col min="8966" max="8966" width="34.140625" customWidth="1"/>
    <col min="8967" max="8967" width="15.42578125" customWidth="1"/>
    <col min="8968" max="8968" width="17.42578125" customWidth="1"/>
    <col min="8969" max="8969" width="15.5703125" customWidth="1"/>
    <col min="9217" max="9217" width="31.7109375" customWidth="1"/>
    <col min="9218" max="9218" width="11.85546875" bestFit="1" customWidth="1"/>
    <col min="9219" max="9220" width="14" bestFit="1" customWidth="1"/>
    <col min="9221" max="9221" width="10.28515625" bestFit="1" customWidth="1"/>
    <col min="9222" max="9222" width="34.140625" customWidth="1"/>
    <col min="9223" max="9223" width="15.42578125" customWidth="1"/>
    <col min="9224" max="9224" width="17.42578125" customWidth="1"/>
    <col min="9225" max="9225" width="15.5703125" customWidth="1"/>
    <col min="9473" max="9473" width="31.7109375" customWidth="1"/>
    <col min="9474" max="9474" width="11.85546875" bestFit="1" customWidth="1"/>
    <col min="9475" max="9476" width="14" bestFit="1" customWidth="1"/>
    <col min="9477" max="9477" width="10.28515625" bestFit="1" customWidth="1"/>
    <col min="9478" max="9478" width="34.140625" customWidth="1"/>
    <col min="9479" max="9479" width="15.42578125" customWidth="1"/>
    <col min="9480" max="9480" width="17.42578125" customWidth="1"/>
    <col min="9481" max="9481" width="15.5703125" customWidth="1"/>
    <col min="9729" max="9729" width="31.7109375" customWidth="1"/>
    <col min="9730" max="9730" width="11.85546875" bestFit="1" customWidth="1"/>
    <col min="9731" max="9732" width="14" bestFit="1" customWidth="1"/>
    <col min="9733" max="9733" width="10.28515625" bestFit="1" customWidth="1"/>
    <col min="9734" max="9734" width="34.140625" customWidth="1"/>
    <col min="9735" max="9735" width="15.42578125" customWidth="1"/>
    <col min="9736" max="9736" width="17.42578125" customWidth="1"/>
    <col min="9737" max="9737" width="15.5703125" customWidth="1"/>
    <col min="9985" max="9985" width="31.7109375" customWidth="1"/>
    <col min="9986" max="9986" width="11.85546875" bestFit="1" customWidth="1"/>
    <col min="9987" max="9988" width="14" bestFit="1" customWidth="1"/>
    <col min="9989" max="9989" width="10.28515625" bestFit="1" customWidth="1"/>
    <col min="9990" max="9990" width="34.140625" customWidth="1"/>
    <col min="9991" max="9991" width="15.42578125" customWidth="1"/>
    <col min="9992" max="9992" width="17.42578125" customWidth="1"/>
    <col min="9993" max="9993" width="15.5703125" customWidth="1"/>
    <col min="10241" max="10241" width="31.7109375" customWidth="1"/>
    <col min="10242" max="10242" width="11.85546875" bestFit="1" customWidth="1"/>
    <col min="10243" max="10244" width="14" bestFit="1" customWidth="1"/>
    <col min="10245" max="10245" width="10.28515625" bestFit="1" customWidth="1"/>
    <col min="10246" max="10246" width="34.140625" customWidth="1"/>
    <col min="10247" max="10247" width="15.42578125" customWidth="1"/>
    <col min="10248" max="10248" width="17.42578125" customWidth="1"/>
    <col min="10249" max="10249" width="15.5703125" customWidth="1"/>
    <col min="10497" max="10497" width="31.7109375" customWidth="1"/>
    <col min="10498" max="10498" width="11.85546875" bestFit="1" customWidth="1"/>
    <col min="10499" max="10500" width="14" bestFit="1" customWidth="1"/>
    <col min="10501" max="10501" width="10.28515625" bestFit="1" customWidth="1"/>
    <col min="10502" max="10502" width="34.140625" customWidth="1"/>
    <col min="10503" max="10503" width="15.42578125" customWidth="1"/>
    <col min="10504" max="10504" width="17.42578125" customWidth="1"/>
    <col min="10505" max="10505" width="15.5703125" customWidth="1"/>
    <col min="10753" max="10753" width="31.7109375" customWidth="1"/>
    <col min="10754" max="10754" width="11.85546875" bestFit="1" customWidth="1"/>
    <col min="10755" max="10756" width="14" bestFit="1" customWidth="1"/>
    <col min="10757" max="10757" width="10.28515625" bestFit="1" customWidth="1"/>
    <col min="10758" max="10758" width="34.140625" customWidth="1"/>
    <col min="10759" max="10759" width="15.42578125" customWidth="1"/>
    <col min="10760" max="10760" width="17.42578125" customWidth="1"/>
    <col min="10761" max="10761" width="15.5703125" customWidth="1"/>
    <col min="11009" max="11009" width="31.7109375" customWidth="1"/>
    <col min="11010" max="11010" width="11.85546875" bestFit="1" customWidth="1"/>
    <col min="11011" max="11012" width="14" bestFit="1" customWidth="1"/>
    <col min="11013" max="11013" width="10.28515625" bestFit="1" customWidth="1"/>
    <col min="11014" max="11014" width="34.140625" customWidth="1"/>
    <col min="11015" max="11015" width="15.42578125" customWidth="1"/>
    <col min="11016" max="11016" width="17.42578125" customWidth="1"/>
    <col min="11017" max="11017" width="15.5703125" customWidth="1"/>
    <col min="11265" max="11265" width="31.7109375" customWidth="1"/>
    <col min="11266" max="11266" width="11.85546875" bestFit="1" customWidth="1"/>
    <col min="11267" max="11268" width="14" bestFit="1" customWidth="1"/>
    <col min="11269" max="11269" width="10.28515625" bestFit="1" customWidth="1"/>
    <col min="11270" max="11270" width="34.140625" customWidth="1"/>
    <col min="11271" max="11271" width="15.42578125" customWidth="1"/>
    <col min="11272" max="11272" width="17.42578125" customWidth="1"/>
    <col min="11273" max="11273" width="15.5703125" customWidth="1"/>
    <col min="11521" max="11521" width="31.7109375" customWidth="1"/>
    <col min="11522" max="11522" width="11.85546875" bestFit="1" customWidth="1"/>
    <col min="11523" max="11524" width="14" bestFit="1" customWidth="1"/>
    <col min="11525" max="11525" width="10.28515625" bestFit="1" customWidth="1"/>
    <col min="11526" max="11526" width="34.140625" customWidth="1"/>
    <col min="11527" max="11527" width="15.42578125" customWidth="1"/>
    <col min="11528" max="11528" width="17.42578125" customWidth="1"/>
    <col min="11529" max="11529" width="15.5703125" customWidth="1"/>
    <col min="11777" max="11777" width="31.7109375" customWidth="1"/>
    <col min="11778" max="11778" width="11.85546875" bestFit="1" customWidth="1"/>
    <col min="11779" max="11780" width="14" bestFit="1" customWidth="1"/>
    <col min="11781" max="11781" width="10.28515625" bestFit="1" customWidth="1"/>
    <col min="11782" max="11782" width="34.140625" customWidth="1"/>
    <col min="11783" max="11783" width="15.42578125" customWidth="1"/>
    <col min="11784" max="11784" width="17.42578125" customWidth="1"/>
    <col min="11785" max="11785" width="15.5703125" customWidth="1"/>
    <col min="12033" max="12033" width="31.7109375" customWidth="1"/>
    <col min="12034" max="12034" width="11.85546875" bestFit="1" customWidth="1"/>
    <col min="12035" max="12036" width="14" bestFit="1" customWidth="1"/>
    <col min="12037" max="12037" width="10.28515625" bestFit="1" customWidth="1"/>
    <col min="12038" max="12038" width="34.140625" customWidth="1"/>
    <col min="12039" max="12039" width="15.42578125" customWidth="1"/>
    <col min="12040" max="12040" width="17.42578125" customWidth="1"/>
    <col min="12041" max="12041" width="15.5703125" customWidth="1"/>
    <col min="12289" max="12289" width="31.7109375" customWidth="1"/>
    <col min="12290" max="12290" width="11.85546875" bestFit="1" customWidth="1"/>
    <col min="12291" max="12292" width="14" bestFit="1" customWidth="1"/>
    <col min="12293" max="12293" width="10.28515625" bestFit="1" customWidth="1"/>
    <col min="12294" max="12294" width="34.140625" customWidth="1"/>
    <col min="12295" max="12295" width="15.42578125" customWidth="1"/>
    <col min="12296" max="12296" width="17.42578125" customWidth="1"/>
    <col min="12297" max="12297" width="15.5703125" customWidth="1"/>
    <col min="12545" max="12545" width="31.7109375" customWidth="1"/>
    <col min="12546" max="12546" width="11.85546875" bestFit="1" customWidth="1"/>
    <col min="12547" max="12548" width="14" bestFit="1" customWidth="1"/>
    <col min="12549" max="12549" width="10.28515625" bestFit="1" customWidth="1"/>
    <col min="12550" max="12550" width="34.140625" customWidth="1"/>
    <col min="12551" max="12551" width="15.42578125" customWidth="1"/>
    <col min="12552" max="12552" width="17.42578125" customWidth="1"/>
    <col min="12553" max="12553" width="15.5703125" customWidth="1"/>
    <col min="12801" max="12801" width="31.7109375" customWidth="1"/>
    <col min="12802" max="12802" width="11.85546875" bestFit="1" customWidth="1"/>
    <col min="12803" max="12804" width="14" bestFit="1" customWidth="1"/>
    <col min="12805" max="12805" width="10.28515625" bestFit="1" customWidth="1"/>
    <col min="12806" max="12806" width="34.140625" customWidth="1"/>
    <col min="12807" max="12807" width="15.42578125" customWidth="1"/>
    <col min="12808" max="12808" width="17.42578125" customWidth="1"/>
    <col min="12809" max="12809" width="15.5703125" customWidth="1"/>
    <col min="13057" max="13057" width="31.7109375" customWidth="1"/>
    <col min="13058" max="13058" width="11.85546875" bestFit="1" customWidth="1"/>
    <col min="13059" max="13060" width="14" bestFit="1" customWidth="1"/>
    <col min="13061" max="13061" width="10.28515625" bestFit="1" customWidth="1"/>
    <col min="13062" max="13062" width="34.140625" customWidth="1"/>
    <col min="13063" max="13063" width="15.42578125" customWidth="1"/>
    <col min="13064" max="13064" width="17.42578125" customWidth="1"/>
    <col min="13065" max="13065" width="15.5703125" customWidth="1"/>
    <col min="13313" max="13313" width="31.7109375" customWidth="1"/>
    <col min="13314" max="13314" width="11.85546875" bestFit="1" customWidth="1"/>
    <col min="13315" max="13316" width="14" bestFit="1" customWidth="1"/>
    <col min="13317" max="13317" width="10.28515625" bestFit="1" customWidth="1"/>
    <col min="13318" max="13318" width="34.140625" customWidth="1"/>
    <col min="13319" max="13319" width="15.42578125" customWidth="1"/>
    <col min="13320" max="13320" width="17.42578125" customWidth="1"/>
    <col min="13321" max="13321" width="15.5703125" customWidth="1"/>
    <col min="13569" max="13569" width="31.7109375" customWidth="1"/>
    <col min="13570" max="13570" width="11.85546875" bestFit="1" customWidth="1"/>
    <col min="13571" max="13572" width="14" bestFit="1" customWidth="1"/>
    <col min="13573" max="13573" width="10.28515625" bestFit="1" customWidth="1"/>
    <col min="13574" max="13574" width="34.140625" customWidth="1"/>
    <col min="13575" max="13575" width="15.42578125" customWidth="1"/>
    <col min="13576" max="13576" width="17.42578125" customWidth="1"/>
    <col min="13577" max="13577" width="15.5703125" customWidth="1"/>
    <col min="13825" max="13825" width="31.7109375" customWidth="1"/>
    <col min="13826" max="13826" width="11.85546875" bestFit="1" customWidth="1"/>
    <col min="13827" max="13828" width="14" bestFit="1" customWidth="1"/>
    <col min="13829" max="13829" width="10.28515625" bestFit="1" customWidth="1"/>
    <col min="13830" max="13830" width="34.140625" customWidth="1"/>
    <col min="13831" max="13831" width="15.42578125" customWidth="1"/>
    <col min="13832" max="13832" width="17.42578125" customWidth="1"/>
    <col min="13833" max="13833" width="15.5703125" customWidth="1"/>
    <col min="14081" max="14081" width="31.7109375" customWidth="1"/>
    <col min="14082" max="14082" width="11.85546875" bestFit="1" customWidth="1"/>
    <col min="14083" max="14084" width="14" bestFit="1" customWidth="1"/>
    <col min="14085" max="14085" width="10.28515625" bestFit="1" customWidth="1"/>
    <col min="14086" max="14086" width="34.140625" customWidth="1"/>
    <col min="14087" max="14087" width="15.42578125" customWidth="1"/>
    <col min="14088" max="14088" width="17.42578125" customWidth="1"/>
    <col min="14089" max="14089" width="15.5703125" customWidth="1"/>
    <col min="14337" max="14337" width="31.7109375" customWidth="1"/>
    <col min="14338" max="14338" width="11.85546875" bestFit="1" customWidth="1"/>
    <col min="14339" max="14340" width="14" bestFit="1" customWidth="1"/>
    <col min="14341" max="14341" width="10.28515625" bestFit="1" customWidth="1"/>
    <col min="14342" max="14342" width="34.140625" customWidth="1"/>
    <col min="14343" max="14343" width="15.42578125" customWidth="1"/>
    <col min="14344" max="14344" width="17.42578125" customWidth="1"/>
    <col min="14345" max="14345" width="15.5703125" customWidth="1"/>
    <col min="14593" max="14593" width="31.7109375" customWidth="1"/>
    <col min="14594" max="14594" width="11.85546875" bestFit="1" customWidth="1"/>
    <col min="14595" max="14596" width="14" bestFit="1" customWidth="1"/>
    <col min="14597" max="14597" width="10.28515625" bestFit="1" customWidth="1"/>
    <col min="14598" max="14598" width="34.140625" customWidth="1"/>
    <col min="14599" max="14599" width="15.42578125" customWidth="1"/>
    <col min="14600" max="14600" width="17.42578125" customWidth="1"/>
    <col min="14601" max="14601" width="15.5703125" customWidth="1"/>
    <col min="14849" max="14849" width="31.7109375" customWidth="1"/>
    <col min="14850" max="14850" width="11.85546875" bestFit="1" customWidth="1"/>
    <col min="14851" max="14852" width="14" bestFit="1" customWidth="1"/>
    <col min="14853" max="14853" width="10.28515625" bestFit="1" customWidth="1"/>
    <col min="14854" max="14854" width="34.140625" customWidth="1"/>
    <col min="14855" max="14855" width="15.42578125" customWidth="1"/>
    <col min="14856" max="14856" width="17.42578125" customWidth="1"/>
    <col min="14857" max="14857" width="15.5703125" customWidth="1"/>
    <col min="15105" max="15105" width="31.7109375" customWidth="1"/>
    <col min="15106" max="15106" width="11.85546875" bestFit="1" customWidth="1"/>
    <col min="15107" max="15108" width="14" bestFit="1" customWidth="1"/>
    <col min="15109" max="15109" width="10.28515625" bestFit="1" customWidth="1"/>
    <col min="15110" max="15110" width="34.140625" customWidth="1"/>
    <col min="15111" max="15111" width="15.42578125" customWidth="1"/>
    <col min="15112" max="15112" width="17.42578125" customWidth="1"/>
    <col min="15113" max="15113" width="15.5703125" customWidth="1"/>
    <col min="15361" max="15361" width="31.7109375" customWidth="1"/>
    <col min="15362" max="15362" width="11.85546875" bestFit="1" customWidth="1"/>
    <col min="15363" max="15364" width="14" bestFit="1" customWidth="1"/>
    <col min="15365" max="15365" width="10.28515625" bestFit="1" customWidth="1"/>
    <col min="15366" max="15366" width="34.140625" customWidth="1"/>
    <col min="15367" max="15367" width="15.42578125" customWidth="1"/>
    <col min="15368" max="15368" width="17.42578125" customWidth="1"/>
    <col min="15369" max="15369" width="15.5703125" customWidth="1"/>
    <col min="15617" max="15617" width="31.7109375" customWidth="1"/>
    <col min="15618" max="15618" width="11.85546875" bestFit="1" customWidth="1"/>
    <col min="15619" max="15620" width="14" bestFit="1" customWidth="1"/>
    <col min="15621" max="15621" width="10.28515625" bestFit="1" customWidth="1"/>
    <col min="15622" max="15622" width="34.140625" customWidth="1"/>
    <col min="15623" max="15623" width="15.42578125" customWidth="1"/>
    <col min="15624" max="15624" width="17.42578125" customWidth="1"/>
    <col min="15625" max="15625" width="15.5703125" customWidth="1"/>
    <col min="15873" max="15873" width="31.7109375" customWidth="1"/>
    <col min="15874" max="15874" width="11.85546875" bestFit="1" customWidth="1"/>
    <col min="15875" max="15876" width="14" bestFit="1" customWidth="1"/>
    <col min="15877" max="15877" width="10.28515625" bestFit="1" customWidth="1"/>
    <col min="15878" max="15878" width="34.140625" customWidth="1"/>
    <col min="15879" max="15879" width="15.42578125" customWidth="1"/>
    <col min="15880" max="15880" width="17.42578125" customWidth="1"/>
    <col min="15881" max="15881" width="15.5703125" customWidth="1"/>
    <col min="16129" max="16129" width="31.7109375" customWidth="1"/>
    <col min="16130" max="16130" width="11.85546875" bestFit="1" customWidth="1"/>
    <col min="16131" max="16132" width="14" bestFit="1" customWidth="1"/>
    <col min="16133" max="16133" width="10.28515625" bestFit="1" customWidth="1"/>
    <col min="16134" max="16134" width="34.140625" customWidth="1"/>
    <col min="16135" max="16135" width="15.42578125" customWidth="1"/>
    <col min="16136" max="16136" width="17.42578125" customWidth="1"/>
    <col min="16137" max="16137" width="15.5703125" customWidth="1"/>
  </cols>
  <sheetData>
    <row r="1" spans="1:9" ht="15">
      <c r="I1" s="9" t="s">
        <v>3</v>
      </c>
    </row>
    <row r="2" spans="1:9" ht="15">
      <c r="I2" s="9" t="s">
        <v>4</v>
      </c>
    </row>
    <row r="4" spans="1:9">
      <c r="A4" s="10" t="s">
        <v>5</v>
      </c>
    </row>
    <row r="5" spans="1:9">
      <c r="A5" t="s">
        <v>6</v>
      </c>
    </row>
    <row r="8" spans="1:9">
      <c r="A8" s="11" t="s">
        <v>7</v>
      </c>
    </row>
    <row r="9" spans="1:9">
      <c r="A9" s="12" t="s">
        <v>8</v>
      </c>
    </row>
    <row r="10" spans="1:9">
      <c r="A10" t="s">
        <v>9</v>
      </c>
    </row>
    <row r="11" spans="1:9">
      <c r="A11" t="s">
        <v>10</v>
      </c>
    </row>
    <row r="12" spans="1:9">
      <c r="A12" t="s">
        <v>11</v>
      </c>
    </row>
    <row r="13" spans="1:9">
      <c r="A13" t="s">
        <v>12</v>
      </c>
    </row>
    <row r="15" spans="1:9">
      <c r="A15" s="10" t="s">
        <v>13</v>
      </c>
    </row>
    <row r="17" spans="1:9">
      <c r="A17" t="s">
        <v>14</v>
      </c>
      <c r="C17" s="13">
        <v>1000000</v>
      </c>
    </row>
    <row r="18" spans="1:9">
      <c r="A18" t="s">
        <v>15</v>
      </c>
      <c r="C18" s="14" t="s">
        <v>16</v>
      </c>
    </row>
    <row r="19" spans="1:9">
      <c r="A19" t="s">
        <v>17</v>
      </c>
      <c r="B19" s="15" t="s">
        <v>18</v>
      </c>
      <c r="C19" s="16">
        <v>0.06</v>
      </c>
    </row>
    <row r="20" spans="1:9">
      <c r="A20" t="s">
        <v>19</v>
      </c>
      <c r="B20" s="15" t="s">
        <v>18</v>
      </c>
      <c r="C20" s="17">
        <f>+C17/5</f>
        <v>200000</v>
      </c>
      <c r="E20" s="18"/>
    </row>
    <row r="21" spans="1:9">
      <c r="E21" s="18"/>
    </row>
    <row r="22" spans="1:9">
      <c r="A22" s="19" t="s">
        <v>20</v>
      </c>
      <c r="B22" s="20"/>
      <c r="C22" s="20"/>
      <c r="D22" s="20"/>
      <c r="E22" s="18"/>
      <c r="F22" s="19" t="s">
        <v>21</v>
      </c>
      <c r="G22" s="20"/>
      <c r="H22" s="20"/>
      <c r="I22" s="20"/>
    </row>
    <row r="23" spans="1:9">
      <c r="F23" s="21" t="s">
        <v>22</v>
      </c>
      <c r="G23" s="8"/>
      <c r="H23" s="8"/>
      <c r="I23" s="8"/>
    </row>
    <row r="24" spans="1:9">
      <c r="A24" s="10" t="s">
        <v>23</v>
      </c>
      <c r="F24" s="21" t="s">
        <v>24</v>
      </c>
      <c r="G24" s="8"/>
      <c r="H24" s="8"/>
      <c r="I24" s="8"/>
    </row>
    <row r="25" spans="1:9">
      <c r="A25" s="22" t="s">
        <v>25</v>
      </c>
      <c r="B25" s="22" t="s">
        <v>26</v>
      </c>
      <c r="C25" s="22" t="s">
        <v>27</v>
      </c>
      <c r="D25" s="22" t="s">
        <v>28</v>
      </c>
      <c r="F25" s="21" t="s">
        <v>29</v>
      </c>
      <c r="G25" s="8"/>
      <c r="H25" s="8"/>
      <c r="I25" s="8"/>
    </row>
    <row r="26" spans="1:9">
      <c r="A26" t="s">
        <v>30</v>
      </c>
      <c r="B26" s="15">
        <v>101</v>
      </c>
      <c r="C26" s="17">
        <f>+C17</f>
        <v>1000000</v>
      </c>
      <c r="F26" s="21" t="s">
        <v>31</v>
      </c>
      <c r="G26" s="8"/>
      <c r="H26" s="8"/>
      <c r="I26" s="8"/>
    </row>
    <row r="27" spans="1:9">
      <c r="A27" t="s">
        <v>32</v>
      </c>
      <c r="B27" s="15">
        <v>252</v>
      </c>
      <c r="D27" s="17">
        <f>+C17</f>
        <v>1000000</v>
      </c>
      <c r="F27" s="8"/>
      <c r="G27" s="8"/>
      <c r="H27" s="8"/>
      <c r="I27" s="8"/>
    </row>
    <row r="28" spans="1:9">
      <c r="F28" s="10" t="s">
        <v>23</v>
      </c>
    </row>
    <row r="29" spans="1:9">
      <c r="F29" s="22" t="s">
        <v>25</v>
      </c>
      <c r="G29" s="22" t="s">
        <v>26</v>
      </c>
      <c r="H29" s="22" t="s">
        <v>27</v>
      </c>
      <c r="I29" s="22" t="s">
        <v>28</v>
      </c>
    </row>
    <row r="30" spans="1:9">
      <c r="F30" t="s">
        <v>30</v>
      </c>
      <c r="G30" s="15">
        <v>101</v>
      </c>
      <c r="H30" s="17">
        <f>-+G50</f>
        <v>1000000</v>
      </c>
    </row>
    <row r="31" spans="1:9">
      <c r="A31" s="10" t="s">
        <v>33</v>
      </c>
      <c r="F31" t="s">
        <v>32</v>
      </c>
      <c r="G31" s="15">
        <v>252</v>
      </c>
      <c r="I31" s="17">
        <f>+H30</f>
        <v>1000000</v>
      </c>
    </row>
    <row r="32" spans="1:9">
      <c r="A32" s="22" t="s">
        <v>25</v>
      </c>
      <c r="B32" s="22" t="s">
        <v>26</v>
      </c>
      <c r="C32" s="22" t="s">
        <v>27</v>
      </c>
      <c r="D32" s="22" t="s">
        <v>28</v>
      </c>
    </row>
    <row r="33" spans="1:9">
      <c r="A33" t="s">
        <v>34</v>
      </c>
      <c r="B33" s="15">
        <v>130</v>
      </c>
      <c r="C33" s="17"/>
      <c r="D33" s="23">
        <f>+C34+C35</f>
        <v>260000</v>
      </c>
      <c r="F33" s="10" t="s">
        <v>35</v>
      </c>
    </row>
    <row r="34" spans="1:9">
      <c r="A34" t="s">
        <v>32</v>
      </c>
      <c r="B34" s="15">
        <v>252</v>
      </c>
      <c r="C34" s="23">
        <f>+C20</f>
        <v>200000</v>
      </c>
      <c r="D34" s="17"/>
      <c r="F34" s="22" t="s">
        <v>25</v>
      </c>
      <c r="G34" s="22" t="s">
        <v>26</v>
      </c>
      <c r="H34" s="22" t="s">
        <v>27</v>
      </c>
      <c r="I34" s="22" t="s">
        <v>28</v>
      </c>
    </row>
    <row r="35" spans="1:9">
      <c r="A35" t="s">
        <v>36</v>
      </c>
      <c r="B35" s="15">
        <v>431</v>
      </c>
      <c r="C35" s="17">
        <f>+C26*0.06</f>
        <v>60000</v>
      </c>
      <c r="F35" t="s">
        <v>32</v>
      </c>
      <c r="G35" s="15">
        <v>252</v>
      </c>
      <c r="H35" s="23"/>
      <c r="I35" s="17">
        <f>+H36</f>
        <v>60000</v>
      </c>
    </row>
    <row r="36" spans="1:9">
      <c r="D36" s="23"/>
      <c r="F36" t="s">
        <v>37</v>
      </c>
      <c r="G36" s="15">
        <v>431</v>
      </c>
      <c r="H36" s="17">
        <f>+H30*0.06</f>
        <v>60000</v>
      </c>
    </row>
    <row r="37" spans="1:9">
      <c r="F37" t="s">
        <v>38</v>
      </c>
      <c r="G37" s="15">
        <v>182.3</v>
      </c>
      <c r="H37" s="23">
        <f>+H36</f>
        <v>60000</v>
      </c>
    </row>
    <row r="38" spans="1:9" ht="13.5" thickBot="1">
      <c r="A38" s="24"/>
      <c r="B38" s="25" t="s">
        <v>39</v>
      </c>
      <c r="C38" s="25"/>
      <c r="D38" s="25" t="s">
        <v>40</v>
      </c>
      <c r="F38" s="8" t="s">
        <v>41</v>
      </c>
      <c r="G38" s="26">
        <v>407.4</v>
      </c>
      <c r="H38" s="8"/>
      <c r="I38" s="27">
        <f>+H37</f>
        <v>60000</v>
      </c>
    </row>
    <row r="39" spans="1:9">
      <c r="B39" s="28"/>
      <c r="C39" s="28"/>
      <c r="D39" s="28"/>
      <c r="F39" s="8"/>
      <c r="G39" s="8"/>
      <c r="H39" s="8"/>
      <c r="I39" s="8"/>
    </row>
    <row r="40" spans="1:9">
      <c r="A40" s="29"/>
      <c r="B40" s="28"/>
      <c r="C40" s="28"/>
      <c r="D40" s="28"/>
      <c r="F40" s="10" t="s">
        <v>42</v>
      </c>
    </row>
    <row r="41" spans="1:9" ht="14.25">
      <c r="A41" s="10" t="s">
        <v>43</v>
      </c>
      <c r="B41" s="30">
        <f>+C26</f>
        <v>1000000</v>
      </c>
      <c r="C41" s="28"/>
      <c r="D41" s="28"/>
      <c r="F41" s="22" t="s">
        <v>25</v>
      </c>
      <c r="G41" s="22" t="s">
        <v>26</v>
      </c>
      <c r="H41" s="22" t="s">
        <v>27</v>
      </c>
      <c r="I41" s="22" t="s">
        <v>28</v>
      </c>
    </row>
    <row r="42" spans="1:9">
      <c r="A42" s="29"/>
      <c r="B42" s="28"/>
      <c r="C42" s="28"/>
      <c r="D42" s="28"/>
      <c r="F42" t="s">
        <v>32</v>
      </c>
      <c r="G42" s="15">
        <v>252</v>
      </c>
      <c r="H42" s="23">
        <f>+G65+I65</f>
        <v>1338225.5776</v>
      </c>
      <c r="I42" s="17"/>
    </row>
    <row r="43" spans="1:9">
      <c r="A43" t="s">
        <v>44</v>
      </c>
      <c r="B43" s="23">
        <f>-D27</f>
        <v>-1000000</v>
      </c>
      <c r="F43" t="s">
        <v>34</v>
      </c>
      <c r="G43" s="15">
        <v>131</v>
      </c>
      <c r="H43" s="17"/>
      <c r="I43" s="23">
        <f>+H42</f>
        <v>1338225.5776</v>
      </c>
    </row>
    <row r="44" spans="1:9" ht="15.75">
      <c r="A44" t="s">
        <v>45</v>
      </c>
      <c r="B44" s="23">
        <f>-C35</f>
        <v>-60000</v>
      </c>
      <c r="D44" s="23">
        <f>-B44</f>
        <v>60000</v>
      </c>
      <c r="F44" t="s">
        <v>38</v>
      </c>
      <c r="G44" s="15">
        <v>182.3</v>
      </c>
      <c r="H44" s="23"/>
      <c r="I44" s="23">
        <f>+I65</f>
        <v>338225.57759999996</v>
      </c>
    </row>
    <row r="45" spans="1:9" ht="15.75">
      <c r="A45" t="s">
        <v>46</v>
      </c>
      <c r="B45" s="23">
        <f>+D33</f>
        <v>260000</v>
      </c>
      <c r="F45" s="8" t="s">
        <v>41</v>
      </c>
      <c r="G45" s="26">
        <v>407.3</v>
      </c>
      <c r="H45" s="27">
        <f>+I44</f>
        <v>338225.57759999996</v>
      </c>
      <c r="I45" s="27"/>
    </row>
    <row r="46" spans="1:9" ht="15" thickBot="1">
      <c r="A46" s="10" t="s">
        <v>47</v>
      </c>
      <c r="B46" s="31">
        <f>SUM(B43:B45)</f>
        <v>-800000</v>
      </c>
      <c r="C46" s="10"/>
      <c r="D46" s="31">
        <f>+-B44</f>
        <v>60000</v>
      </c>
      <c r="F46" s="8"/>
      <c r="G46" s="26"/>
      <c r="H46" s="27"/>
      <c r="I46" s="27"/>
    </row>
    <row r="47" spans="1:9" ht="14.25" thickTop="1" thickBot="1">
      <c r="F47" s="24"/>
      <c r="G47" s="25" t="s">
        <v>39</v>
      </c>
      <c r="H47" s="25"/>
      <c r="I47" s="25" t="s">
        <v>40</v>
      </c>
    </row>
    <row r="48" spans="1:9" ht="14.25">
      <c r="A48" s="10" t="s">
        <v>48</v>
      </c>
      <c r="B48" s="30">
        <f>+B41</f>
        <v>1000000</v>
      </c>
    </row>
    <row r="49" spans="1:9" ht="15" thickBot="1">
      <c r="A49" s="10" t="s">
        <v>49</v>
      </c>
      <c r="B49" s="32">
        <f>+-B48/40</f>
        <v>-25000</v>
      </c>
      <c r="F49" s="33" t="s">
        <v>50</v>
      </c>
      <c r="G49" s="24"/>
    </row>
    <row r="50" spans="1:9">
      <c r="F50" t="str">
        <f>+A51</f>
        <v>BEGINNING BAL.</v>
      </c>
      <c r="G50" s="23">
        <f>+B43</f>
        <v>-1000000</v>
      </c>
    </row>
    <row r="51" spans="1:9" ht="15.75">
      <c r="A51" t="s">
        <v>44</v>
      </c>
      <c r="B51" s="23">
        <f>+B46</f>
        <v>-800000</v>
      </c>
      <c r="F51" t="s">
        <v>51</v>
      </c>
      <c r="G51" s="17">
        <f>+G50*0.06</f>
        <v>-60000</v>
      </c>
      <c r="I51" s="23">
        <f>+G51</f>
        <v>-60000</v>
      </c>
    </row>
    <row r="52" spans="1:9" ht="15.75">
      <c r="A52" t="s">
        <v>52</v>
      </c>
      <c r="B52" s="34">
        <f>+B51*0.06</f>
        <v>-48000</v>
      </c>
      <c r="D52" s="23">
        <f>-B52</f>
        <v>48000</v>
      </c>
      <c r="F52" t="s">
        <v>53</v>
      </c>
      <c r="G52" s="17">
        <f>-G51</f>
        <v>60000</v>
      </c>
      <c r="I52" s="23">
        <f>+G52</f>
        <v>60000</v>
      </c>
    </row>
    <row r="53" spans="1:9" ht="16.5" thickBot="1">
      <c r="A53" t="s">
        <v>54</v>
      </c>
      <c r="B53" s="35" t="s">
        <v>55</v>
      </c>
      <c r="F53" s="10" t="s">
        <v>47</v>
      </c>
      <c r="G53" s="31">
        <f>SUM(G50:G52)</f>
        <v>-1000000</v>
      </c>
      <c r="H53" s="10"/>
      <c r="I53" s="31">
        <f>SUM(I51:I52)</f>
        <v>0</v>
      </c>
    </row>
    <row r="54" spans="1:9" ht="17.25" thickTop="1" thickBot="1">
      <c r="A54" s="10" t="s">
        <v>56</v>
      </c>
      <c r="B54" s="31">
        <f>SUM(B51:B53)</f>
        <v>-848000</v>
      </c>
      <c r="C54" s="10"/>
      <c r="D54" s="31">
        <f>+-B52</f>
        <v>48000</v>
      </c>
      <c r="F54" t="s">
        <v>57</v>
      </c>
      <c r="G54" s="17">
        <f>(+G53+G51)*0.06</f>
        <v>-63600</v>
      </c>
      <c r="I54" s="23">
        <f>+G54</f>
        <v>-63600</v>
      </c>
    </row>
    <row r="55" spans="1:9" ht="16.5" thickTop="1">
      <c r="A55" s="20"/>
      <c r="B55" s="20"/>
      <c r="C55" s="20"/>
      <c r="D55" s="20"/>
      <c r="F55" t="s">
        <v>58</v>
      </c>
      <c r="G55" s="17">
        <f>-G54</f>
        <v>63600</v>
      </c>
      <c r="I55" s="23">
        <f>+G55</f>
        <v>63600</v>
      </c>
    </row>
    <row r="56" spans="1:9" s="8" customFormat="1" ht="15" thickBot="1">
      <c r="F56" s="10" t="s">
        <v>56</v>
      </c>
      <c r="G56" s="31">
        <f>SUM(G53:G55)</f>
        <v>-1000000</v>
      </c>
      <c r="H56" s="10"/>
      <c r="I56" s="31">
        <f>SUM(I54:I55)</f>
        <v>0</v>
      </c>
    </row>
    <row r="57" spans="1:9" s="8" customFormat="1" ht="16.5" thickTop="1">
      <c r="F57" t="s">
        <v>59</v>
      </c>
      <c r="G57" s="17">
        <f>(+G56+G54+G51)*0.06</f>
        <v>-67416</v>
      </c>
      <c r="H57"/>
      <c r="I57" s="23">
        <f>+G57</f>
        <v>-67416</v>
      </c>
    </row>
    <row r="58" spans="1:9" s="8" customFormat="1" ht="15.75">
      <c r="F58" t="s">
        <v>60</v>
      </c>
      <c r="G58" s="17">
        <f>-G57</f>
        <v>67416</v>
      </c>
      <c r="H58"/>
      <c r="I58" s="23">
        <f>+G58</f>
        <v>67416</v>
      </c>
    </row>
    <row r="59" spans="1:9" s="8" customFormat="1" ht="15" thickBot="1">
      <c r="F59" s="10" t="s">
        <v>61</v>
      </c>
      <c r="G59" s="31">
        <f>SUM(G56:G58)</f>
        <v>-1000000</v>
      </c>
      <c r="H59" s="10"/>
      <c r="I59" s="31">
        <f>SUM(I57:I58)</f>
        <v>0</v>
      </c>
    </row>
    <row r="60" spans="1:9" s="8" customFormat="1" ht="16.5" thickTop="1">
      <c r="F60" t="s">
        <v>62</v>
      </c>
      <c r="G60" s="17">
        <f>(+G59+G57+G54+G51)*0.06</f>
        <v>-71460.959999999992</v>
      </c>
      <c r="H60"/>
      <c r="I60" s="23">
        <f>+G60</f>
        <v>-71460.959999999992</v>
      </c>
    </row>
    <row r="61" spans="1:9" ht="15.75">
      <c r="F61" t="s">
        <v>63</v>
      </c>
      <c r="G61" s="17">
        <f>-G60</f>
        <v>71460.959999999992</v>
      </c>
      <c r="I61" s="23">
        <f>+G61</f>
        <v>71460.959999999992</v>
      </c>
    </row>
    <row r="62" spans="1:9" ht="15" thickBot="1">
      <c r="F62" s="10" t="s">
        <v>64</v>
      </c>
      <c r="G62" s="31">
        <f>SUM(G59:G61)</f>
        <v>-1000000</v>
      </c>
      <c r="H62" s="10"/>
      <c r="I62" s="31">
        <f>SUM(I60:I61)</f>
        <v>0</v>
      </c>
    </row>
    <row r="63" spans="1:9" ht="16.5" thickTop="1">
      <c r="F63" t="s">
        <v>65</v>
      </c>
      <c r="G63" s="17">
        <f>(+G62+G60+G57+G54+G51)*0.06</f>
        <v>-75748.617599999998</v>
      </c>
      <c r="I63" s="23">
        <f>+G63</f>
        <v>-75748.617599999998</v>
      </c>
    </row>
    <row r="64" spans="1:9" ht="15.75">
      <c r="F64" t="s">
        <v>66</v>
      </c>
      <c r="G64" s="17">
        <f>-G63</f>
        <v>75748.617599999998</v>
      </c>
      <c r="I64" s="23">
        <f>+G64</f>
        <v>75748.617599999998</v>
      </c>
    </row>
    <row r="65" spans="6:9" ht="15.75">
      <c r="F65" t="s">
        <v>67</v>
      </c>
      <c r="G65" s="17">
        <f>+-G62</f>
        <v>1000000</v>
      </c>
      <c r="I65" s="23">
        <f>+I52+I55+I58+I61+I64</f>
        <v>338225.57759999996</v>
      </c>
    </row>
    <row r="66" spans="6:9" ht="15" thickBot="1">
      <c r="F66" s="10" t="s">
        <v>68</v>
      </c>
      <c r="G66" s="31">
        <f>SUM(G62:G65)</f>
        <v>0</v>
      </c>
      <c r="H66" s="10"/>
      <c r="I66" s="31">
        <f>SUM(I63:I65)</f>
        <v>338225.57759999996</v>
      </c>
    </row>
    <row r="67" spans="6:9" ht="13.5" thickTop="1">
      <c r="F67" s="20"/>
      <c r="G67" s="20"/>
      <c r="H67" s="20"/>
      <c r="I67" s="20"/>
    </row>
    <row r="71" spans="6:9" s="8" customFormat="1"/>
    <row r="72" spans="6:9" s="8" customFormat="1"/>
    <row r="78" spans="6:9" s="8" customFormat="1"/>
    <row r="79" spans="6:9" s="8" customFormat="1"/>
    <row r="80" spans="6:9" s="8" customFormat="1"/>
  </sheetData>
  <pageMargins left="0.75" right="0.75" top="0.2" bottom="0.18" header="0.17" footer="0.17"/>
  <pageSetup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8"/>
  <sheetViews>
    <sheetView workbookViewId="0">
      <selection activeCell="Q42" sqref="Q42"/>
    </sheetView>
  </sheetViews>
  <sheetFormatPr defaultRowHeight="12.75"/>
  <cols>
    <col min="2" max="2" width="2.7109375" customWidth="1"/>
    <col min="3" max="3" width="34.7109375" customWidth="1"/>
    <col min="4" max="4" width="15.140625" bestFit="1" customWidth="1"/>
    <col min="5" max="5" width="3.7109375" customWidth="1"/>
    <col min="6" max="6" width="13.42578125" customWidth="1"/>
    <col min="7" max="7" width="3.7109375" customWidth="1"/>
    <col min="8" max="8" width="13.42578125" customWidth="1"/>
    <col min="9" max="9" width="3.7109375" customWidth="1"/>
    <col min="10" max="10" width="14.5703125" bestFit="1" customWidth="1"/>
    <col min="11" max="11" width="3.7109375" customWidth="1"/>
    <col min="12" max="12" width="12.5703125" bestFit="1" customWidth="1"/>
    <col min="13" max="13" width="9.5703125" bestFit="1" customWidth="1"/>
    <col min="14" max="14" width="3.7109375" customWidth="1"/>
    <col min="15" max="15" width="14.7109375" customWidth="1"/>
    <col min="16" max="16" width="5.7109375" customWidth="1"/>
    <col min="17" max="17" width="13.42578125" bestFit="1" customWidth="1"/>
    <col min="18" max="18" width="9.7109375" bestFit="1" customWidth="1"/>
  </cols>
  <sheetData>
    <row r="1" spans="1:16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57" t="s">
        <v>384</v>
      </c>
      <c r="O1" s="257"/>
      <c r="P1" s="257"/>
    </row>
    <row r="2" spans="1:16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58" t="s">
        <v>444</v>
      </c>
      <c r="O2" s="258"/>
      <c r="P2" s="259"/>
    </row>
    <row r="3" spans="1:16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60" t="str">
        <f>'PEF - 6  p1, FF1 Inputs '!K3</f>
        <v>Year Ending 12/31/2009</v>
      </c>
      <c r="O3" s="260"/>
      <c r="P3" s="260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>
      <c r="A5" s="263" t="s">
        <v>70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</row>
    <row r="6" spans="1:16" ht="15">
      <c r="A6" s="263" t="s">
        <v>386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</row>
    <row r="7" spans="1:16" ht="15">
      <c r="A7" s="161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</row>
    <row r="8" spans="1:16" ht="15">
      <c r="A8" s="263" t="s">
        <v>445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</row>
    <row r="9" spans="1:16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5">
      <c r="A10" s="165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30">
      <c r="A11" s="161" t="s">
        <v>0</v>
      </c>
      <c r="B11" s="166" t="s">
        <v>446</v>
      </c>
      <c r="C11" s="58"/>
      <c r="D11" s="161" t="s">
        <v>76</v>
      </c>
      <c r="E11" s="161"/>
      <c r="F11" s="163" t="s">
        <v>77</v>
      </c>
      <c r="G11" s="161"/>
      <c r="H11" s="163" t="s">
        <v>447</v>
      </c>
      <c r="I11" s="161"/>
      <c r="J11" s="161" t="s">
        <v>403</v>
      </c>
      <c r="K11" s="161"/>
      <c r="L11" s="263" t="s">
        <v>157</v>
      </c>
      <c r="M11" s="263"/>
      <c r="N11" s="161"/>
      <c r="O11" s="163" t="s">
        <v>422</v>
      </c>
      <c r="P11" s="164"/>
    </row>
    <row r="12" spans="1:16" ht="15">
      <c r="A12" s="165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5">
      <c r="A13" s="165"/>
      <c r="B13" s="1" t="s">
        <v>448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5">
      <c r="A14" s="167">
        <v>1</v>
      </c>
      <c r="B14" s="1"/>
      <c r="C14" s="2" t="str">
        <f>'PEF - 6  p1, FF1 Inputs '!E22</f>
        <v xml:space="preserve">Production Plant </v>
      </c>
      <c r="D14" s="165" t="str">
        <f>'PEF - 6  p1, FF1 Inputs '!F22</f>
        <v>205.46.b&amp;g</v>
      </c>
      <c r="E14" s="165"/>
      <c r="F14" s="168">
        <f>'PEF - 6  p1, FF1 Inputs '!H22</f>
        <v>4470390771</v>
      </c>
      <c r="G14" s="168"/>
      <c r="H14" s="168">
        <f>'PEF - 6  p1, FF1 Inputs '!J22</f>
        <v>6062620307</v>
      </c>
      <c r="I14" s="165"/>
      <c r="J14" s="6">
        <f>(F14+H14)/2</f>
        <v>5266505539</v>
      </c>
      <c r="K14" s="2"/>
      <c r="L14" s="165" t="s">
        <v>449</v>
      </c>
      <c r="M14" s="2"/>
      <c r="N14" s="2"/>
      <c r="O14" s="2" t="str">
        <f>IF(ISNUMBER(M14),J14*M14,"")</f>
        <v/>
      </c>
      <c r="P14" s="2"/>
    </row>
    <row r="15" spans="1:16" ht="15">
      <c r="A15" s="165">
        <f>A14+1</f>
        <v>2</v>
      </c>
      <c r="B15" s="1"/>
      <c r="C15" s="2" t="str">
        <f>'PEF - 6  p1, FF1 Inputs '!E23&amp;" (Note V)"</f>
        <v>Transmission Plant (Note V)</v>
      </c>
      <c r="D15" s="165" t="str">
        <f>'PEF - 6  p1, FF1 Inputs '!F23</f>
        <v>207.58.b&amp;g</v>
      </c>
      <c r="E15" s="165"/>
      <c r="F15" s="168">
        <f>'PEF - 6  p1, FF1 Inputs '!H23</f>
        <v>1508154774</v>
      </c>
      <c r="G15" s="168"/>
      <c r="H15" s="168">
        <f>'PEF - 6  p1, FF1 Inputs '!J23</f>
        <v>1729186642</v>
      </c>
      <c r="I15" s="165"/>
      <c r="J15" s="6">
        <f>(F15+H15)/2</f>
        <v>1618670708</v>
      </c>
      <c r="K15" s="2"/>
      <c r="L15" s="165" t="s">
        <v>450</v>
      </c>
      <c r="M15" s="153">
        <f>'PEF - 2 - Page 4 Support'!I$20</f>
        <v>0.92460546182318382</v>
      </c>
      <c r="N15" s="153"/>
      <c r="O15" s="6">
        <f>IF(ISNUMBER(M15),J15*M15,"")</f>
        <v>1496631777.51</v>
      </c>
      <c r="P15" s="2"/>
    </row>
    <row r="16" spans="1:16" ht="15">
      <c r="A16" s="165">
        <f>A15+1</f>
        <v>3</v>
      </c>
      <c r="B16" s="1"/>
      <c r="C16" s="2" t="str">
        <f>'PEF - 6  p1, FF1 Inputs '!E24</f>
        <v>Distribution Plant</v>
      </c>
      <c r="D16" s="165" t="str">
        <f>'PEF - 6  p1, FF1 Inputs '!F24</f>
        <v>207.75.b&amp;g</v>
      </c>
      <c r="E16" s="165"/>
      <c r="F16" s="168">
        <f>'PEF - 6  p1, FF1 Inputs '!H24</f>
        <v>3707979638</v>
      </c>
      <c r="G16" s="168"/>
      <c r="H16" s="168">
        <f>'PEF - 6  p1, FF1 Inputs '!J24</f>
        <v>3885359783</v>
      </c>
      <c r="I16" s="165"/>
      <c r="J16" s="6">
        <f>(F16+H16)/2</f>
        <v>3796669710.5</v>
      </c>
      <c r="K16" s="2"/>
      <c r="L16" s="165" t="s">
        <v>449</v>
      </c>
      <c r="M16" s="153"/>
      <c r="N16" s="153"/>
      <c r="O16" s="6" t="str">
        <f>IF(ISNUMBER(M16),J16*M16,"")</f>
        <v/>
      </c>
      <c r="P16" s="2"/>
    </row>
    <row r="17" spans="1:16" ht="15">
      <c r="A17" s="165">
        <f>A16+1</f>
        <v>4</v>
      </c>
      <c r="B17" s="1"/>
      <c r="C17" s="2" t="str">
        <f>'PEF - 6  p1, FF1 Inputs '!E25</f>
        <v>General Plant</v>
      </c>
      <c r="D17" s="165" t="str">
        <f>'PEF - 6  p1, FF1 Inputs '!F25</f>
        <v>207.99.b&amp;g</v>
      </c>
      <c r="E17" s="38"/>
      <c r="F17" s="169">
        <f>'PEF - 6  p1, FF1 Inputs '!H25</f>
        <v>360051573</v>
      </c>
      <c r="G17" s="169"/>
      <c r="H17" s="169">
        <f>'PEF - 6  p1, FF1 Inputs '!J25</f>
        <v>353871726</v>
      </c>
      <c r="I17" s="38"/>
      <c r="J17" s="6">
        <f>(F17+H17)/2</f>
        <v>356961649.5</v>
      </c>
      <c r="K17" s="2"/>
      <c r="L17" s="165" t="s">
        <v>451</v>
      </c>
      <c r="M17" s="153">
        <f>'PEF - 2 - Page 4 Support'!I$35</f>
        <v>7.05738175871157E-2</v>
      </c>
      <c r="N17" s="153"/>
      <c r="O17" s="6">
        <f>IF(ISNUMBER(M17),J17*M17,"")</f>
        <v>25192146.33740893</v>
      </c>
      <c r="P17" s="2"/>
    </row>
    <row r="18" spans="1:16" ht="15.75" thickBot="1">
      <c r="A18" s="165">
        <f>A17+1</f>
        <v>5</v>
      </c>
      <c r="B18" s="1"/>
      <c r="C18" s="2" t="str">
        <f>'PEF - 6  p1, FF1 Inputs '!E21</f>
        <v>Intangible Plant</v>
      </c>
      <c r="D18" s="165" t="str">
        <f>'PEF - 6  p1, FF1 Inputs '!F21</f>
        <v>205.5.b&amp;g</v>
      </c>
      <c r="E18" s="165"/>
      <c r="F18" s="169">
        <f>'PEF - 6  p1, FF1 Inputs '!H21</f>
        <v>132901880</v>
      </c>
      <c r="G18" s="169"/>
      <c r="H18" s="169">
        <f>'PEF - 6  p1, FF1 Inputs '!J21</f>
        <v>136998392</v>
      </c>
      <c r="I18" s="165"/>
      <c r="J18" s="6">
        <f>(F18+H18)/2</f>
        <v>134950136</v>
      </c>
      <c r="K18" s="2"/>
      <c r="L18" s="165" t="s">
        <v>451</v>
      </c>
      <c r="M18" s="153">
        <f>M17</f>
        <v>7.05738175871157E-2</v>
      </c>
      <c r="N18" s="153"/>
      <c r="O18" s="6">
        <f>IF(ISNUMBER(M18),J18*M18,"")</f>
        <v>9523946.2814204562</v>
      </c>
      <c r="P18" s="2"/>
    </row>
    <row r="19" spans="1:16" ht="15" customHeight="1" thickTop="1">
      <c r="A19" s="165">
        <f>A18+1</f>
        <v>6</v>
      </c>
      <c r="B19" s="1" t="s">
        <v>452</v>
      </c>
      <c r="C19" s="2"/>
      <c r="D19" s="165"/>
      <c r="E19" s="165"/>
      <c r="F19" s="168"/>
      <c r="G19" s="168"/>
      <c r="H19" s="168"/>
      <c r="I19" s="165"/>
      <c r="J19" s="170">
        <f>SUM(J14:J18)</f>
        <v>11173757743</v>
      </c>
      <c r="K19" s="2"/>
      <c r="L19" s="165" t="s">
        <v>453</v>
      </c>
      <c r="M19" s="153">
        <f>O19/J19</f>
        <v>0.13704860131661345</v>
      </c>
      <c r="N19" s="153"/>
      <c r="O19" s="170">
        <f>SUM(O14:O18)</f>
        <v>1531347870.1288295</v>
      </c>
      <c r="P19" s="2"/>
    </row>
    <row r="20" spans="1:16" ht="15">
      <c r="A20" s="165"/>
      <c r="B20" s="1"/>
      <c r="C20" s="2"/>
      <c r="D20" s="165"/>
      <c r="E20" s="165"/>
      <c r="F20" s="168"/>
      <c r="G20" s="168"/>
      <c r="H20" s="168"/>
      <c r="I20" s="165"/>
      <c r="J20" s="2"/>
      <c r="K20" s="2"/>
      <c r="L20" s="165"/>
      <c r="M20" s="2"/>
      <c r="N20" s="2"/>
      <c r="O20" s="2"/>
      <c r="P20" s="2"/>
    </row>
    <row r="21" spans="1:16" ht="15">
      <c r="A21" s="165"/>
      <c r="B21" s="1" t="s">
        <v>454</v>
      </c>
      <c r="C21" s="2"/>
      <c r="D21" s="165"/>
      <c r="E21" s="165"/>
      <c r="F21" s="168"/>
      <c r="G21" s="168"/>
      <c r="H21" s="168"/>
      <c r="I21" s="165"/>
      <c r="J21" s="2"/>
      <c r="K21" s="2"/>
      <c r="L21" s="165"/>
      <c r="M21" s="2"/>
      <c r="N21" s="2"/>
      <c r="O21" s="2"/>
      <c r="P21" s="2"/>
    </row>
    <row r="22" spans="1:16" ht="15">
      <c r="A22" s="165">
        <f>A19+1</f>
        <v>7</v>
      </c>
      <c r="B22" s="1"/>
      <c r="C22" s="2" t="str">
        <f>'PEF - 6  p1, FF1 Inputs '!E27</f>
        <v>Production Depr. Reserve</v>
      </c>
      <c r="D22" s="165" t="str">
        <f>'PEF - 6  p1, FF1 Inputs '!F27</f>
        <v>219.20 thru 24.c</v>
      </c>
      <c r="E22" s="165"/>
      <c r="F22" s="168">
        <f>'PEF - 6  p1, FF1 Inputs '!J72</f>
        <v>2557992051</v>
      </c>
      <c r="G22" s="168"/>
      <c r="H22" s="6">
        <f>'PEF - 6  p1, FF1 Inputs '!J27</f>
        <v>2526507234</v>
      </c>
      <c r="I22" s="165"/>
      <c r="J22" s="6">
        <f>(F22+H22)/2</f>
        <v>2542249642.5</v>
      </c>
      <c r="K22" s="2"/>
      <c r="L22" s="165" t="s">
        <v>449</v>
      </c>
      <c r="M22" s="2"/>
      <c r="N22" s="2"/>
      <c r="O22" s="2" t="str">
        <f>IF(ISNUMBER(M22),J22*M22,"")</f>
        <v/>
      </c>
      <c r="P22" s="2"/>
    </row>
    <row r="23" spans="1:16" ht="15">
      <c r="A23" s="165">
        <f>A22+1</f>
        <v>8</v>
      </c>
      <c r="B23" s="64"/>
      <c r="C23" s="2" t="str">
        <f>'PEF - 6  p1, FF1 Inputs '!E28&amp;" (Note V)"</f>
        <v>Transmission Depr. Reserve (Note V)</v>
      </c>
      <c r="D23" s="165" t="str">
        <f>'PEF - 6  p1, FF1 Inputs '!F28</f>
        <v>219.25.c</v>
      </c>
      <c r="E23" s="165"/>
      <c r="F23" s="168">
        <f>'PEF - 6  p1, FF1 Inputs '!J73</f>
        <v>475762867</v>
      </c>
      <c r="G23" s="168"/>
      <c r="H23" s="6">
        <f>'PEF - 6  p1, FF1 Inputs '!J28</f>
        <v>487291520</v>
      </c>
      <c r="I23" s="165"/>
      <c r="J23" s="6">
        <f>(F23+H23)/2</f>
        <v>481527193.5</v>
      </c>
      <c r="K23" s="5"/>
      <c r="L23" s="38" t="s">
        <v>450</v>
      </c>
      <c r="M23" s="98">
        <f>'PEF - 2 - Page 4 Support'!I$20</f>
        <v>0.92460546182318382</v>
      </c>
      <c r="N23" s="98"/>
      <c r="O23" s="7">
        <f>IF(ISNUMBER(M23),J23*M23,"")</f>
        <v>445222673.1264891</v>
      </c>
      <c r="P23" s="2"/>
    </row>
    <row r="24" spans="1:16" ht="15">
      <c r="A24" s="165">
        <f>A23+1</f>
        <v>9</v>
      </c>
      <c r="B24" s="1"/>
      <c r="C24" s="2" t="str">
        <f>'PEF - 6  p1, FF1 Inputs '!E29</f>
        <v>Distribution Depr. Reserve</v>
      </c>
      <c r="D24" s="165" t="str">
        <f>'PEF - 6  p1, FF1 Inputs '!F29</f>
        <v>219.26.c</v>
      </c>
      <c r="E24" s="165"/>
      <c r="F24" s="168">
        <f>'PEF - 6  p1, FF1 Inputs '!J74</f>
        <v>1400066245</v>
      </c>
      <c r="G24" s="168"/>
      <c r="H24" s="6">
        <f>'PEF - 6  p1, FF1 Inputs '!J29</f>
        <v>1509513184</v>
      </c>
      <c r="I24" s="165"/>
      <c r="J24" s="6">
        <f>(F24+H24)/2</f>
        <v>1454789714.5</v>
      </c>
      <c r="K24" s="2"/>
      <c r="L24" s="165" t="s">
        <v>449</v>
      </c>
      <c r="M24" s="153"/>
      <c r="N24" s="153"/>
      <c r="O24" s="6" t="str">
        <f>IF(ISNUMBER(M24),J24*M24,"")</f>
        <v/>
      </c>
      <c r="P24" s="2"/>
    </row>
    <row r="25" spans="1:16" ht="15">
      <c r="A25" s="165">
        <f>A24+1</f>
        <v>10</v>
      </c>
      <c r="B25" s="1"/>
      <c r="C25" s="2" t="str">
        <f>'PEF - 6  p1, FF1 Inputs '!E30</f>
        <v>General Depr. Reserve</v>
      </c>
      <c r="D25" s="165" t="str">
        <f>'PEF - 6  p1, FF1 Inputs '!F30</f>
        <v>219.28.c</v>
      </c>
      <c r="E25" s="165"/>
      <c r="F25" s="168">
        <f>'PEF - 6  p1, FF1 Inputs '!J75</f>
        <v>128973740</v>
      </c>
      <c r="G25" s="168"/>
      <c r="H25" s="6">
        <f>'PEF - 6  p1, FF1 Inputs '!J30</f>
        <v>111452527</v>
      </c>
      <c r="I25" s="165"/>
      <c r="J25" s="6">
        <f>(F25+H25)/2</f>
        <v>120213133.5</v>
      </c>
      <c r="K25" s="2"/>
      <c r="L25" s="165" t="s">
        <v>451</v>
      </c>
      <c r="M25" s="153">
        <f>'PEF - 2 - Page 4 Support'!I$35</f>
        <v>7.05738175871157E-2</v>
      </c>
      <c r="N25" s="153"/>
      <c r="O25" s="6">
        <f>IF(ISNUMBER(M25),J25*M25,"")</f>
        <v>8483899.7552045882</v>
      </c>
      <c r="P25" s="2"/>
    </row>
    <row r="26" spans="1:16" ht="15.75" thickBot="1">
      <c r="A26" s="165">
        <f>A25+1</f>
        <v>11</v>
      </c>
      <c r="B26" s="1"/>
      <c r="C26" s="2" t="str">
        <f>'PEF - 6  p1, FF1 Inputs '!E20</f>
        <v>Intangible Amort. Reserve</v>
      </c>
      <c r="D26" s="165" t="str">
        <f>'PEF - 6  p1, FF1 Inputs '!F20</f>
        <v>200.21.c</v>
      </c>
      <c r="E26" s="165"/>
      <c r="F26" s="168">
        <f>'PEF - 6  p1, FF1 Inputs '!J70</f>
        <v>122980014</v>
      </c>
      <c r="G26" s="168"/>
      <c r="H26" s="6">
        <f>'PEF - 6  p1, FF1 Inputs '!J20</f>
        <v>125244007</v>
      </c>
      <c r="I26" s="165"/>
      <c r="J26" s="6">
        <f>(F26+H26)/2</f>
        <v>124112010.5</v>
      </c>
      <c r="K26" s="2"/>
      <c r="L26" s="165" t="s">
        <v>451</v>
      </c>
      <c r="M26" s="153">
        <f>M25</f>
        <v>7.05738175871157E-2</v>
      </c>
      <c r="N26" s="153"/>
      <c r="O26" s="6">
        <f>IF(ISNUMBER(M26),J26*M26,"")</f>
        <v>8759058.389397189</v>
      </c>
      <c r="P26" s="2"/>
    </row>
    <row r="27" spans="1:16" ht="15.75" thickTop="1">
      <c r="A27" s="165">
        <f>A26+1</f>
        <v>12</v>
      </c>
      <c r="B27" s="1" t="s">
        <v>455</v>
      </c>
      <c r="C27" s="2"/>
      <c r="D27" s="165"/>
      <c r="E27" s="165"/>
      <c r="F27" s="168"/>
      <c r="G27" s="168"/>
      <c r="H27" s="168"/>
      <c r="I27" s="165"/>
      <c r="J27" s="170">
        <f>SUM(J22:J26)</f>
        <v>4722891694.5</v>
      </c>
      <c r="K27" s="2"/>
      <c r="L27" s="165"/>
      <c r="M27" s="153"/>
      <c r="N27" s="153"/>
      <c r="O27" s="170">
        <f>SUM(O22:O26)</f>
        <v>462465631.27109092</v>
      </c>
      <c r="P27" s="2"/>
    </row>
    <row r="28" spans="1:16" ht="15">
      <c r="A28" s="165"/>
      <c r="B28" s="1"/>
      <c r="C28" s="2"/>
      <c r="D28" s="165"/>
      <c r="E28" s="165"/>
      <c r="F28" s="168"/>
      <c r="G28" s="168"/>
      <c r="H28" s="168"/>
      <c r="I28" s="165"/>
      <c r="J28" s="2"/>
      <c r="K28" s="2"/>
      <c r="L28" s="165"/>
      <c r="M28" s="2"/>
      <c r="N28" s="2"/>
      <c r="O28" s="2"/>
      <c r="P28" s="2"/>
    </row>
    <row r="29" spans="1:16" ht="15">
      <c r="A29" s="165"/>
      <c r="B29" s="1" t="s">
        <v>456</v>
      </c>
      <c r="C29" s="2"/>
      <c r="D29" s="165"/>
      <c r="E29" s="165"/>
      <c r="F29" s="168"/>
      <c r="G29" s="168"/>
      <c r="H29" s="168"/>
      <c r="I29" s="165"/>
      <c r="J29" s="2"/>
      <c r="K29" s="2"/>
      <c r="L29" s="165"/>
      <c r="M29" s="2"/>
      <c r="N29" s="2"/>
      <c r="O29" s="6"/>
      <c r="P29" s="2"/>
    </row>
    <row r="30" spans="1:16" ht="15">
      <c r="A30" s="165">
        <f>A27+1</f>
        <v>13</v>
      </c>
      <c r="B30" s="1"/>
      <c r="C30" s="2" t="s">
        <v>457</v>
      </c>
      <c r="D30" s="165" t="s">
        <v>458</v>
      </c>
      <c r="E30" s="165"/>
      <c r="F30" s="168"/>
      <c r="G30" s="168"/>
      <c r="H30" s="168"/>
      <c r="I30" s="165"/>
      <c r="J30" s="6">
        <f>J14-J22</f>
        <v>2724255896.5</v>
      </c>
      <c r="K30" s="2"/>
      <c r="L30" s="165"/>
      <c r="M30" s="2"/>
      <c r="N30" s="2"/>
      <c r="O30" s="6" t="str">
        <f>IF(ISNUMBER(O14),O14-O22,"")</f>
        <v/>
      </c>
      <c r="P30" s="2"/>
    </row>
    <row r="31" spans="1:16" ht="15">
      <c r="A31" s="165">
        <f>A30+1</f>
        <v>14</v>
      </c>
      <c r="B31" s="1"/>
      <c r="C31" s="2" t="s">
        <v>459</v>
      </c>
      <c r="D31" s="165" t="s">
        <v>460</v>
      </c>
      <c r="E31" s="165"/>
      <c r="F31" s="168"/>
      <c r="G31" s="168"/>
      <c r="H31" s="168"/>
      <c r="I31" s="165"/>
      <c r="J31" s="6">
        <f>J15-J23</f>
        <v>1137143514.5</v>
      </c>
      <c r="K31" s="2"/>
      <c r="L31" s="165"/>
      <c r="M31" s="2"/>
      <c r="N31" s="2"/>
      <c r="O31" s="6">
        <f>IF(ISNUMBER(O15),O15-O23,"")</f>
        <v>1051409104.3835108</v>
      </c>
      <c r="P31" s="2"/>
    </row>
    <row r="32" spans="1:16" ht="15">
      <c r="A32" s="165">
        <f>A31+1</f>
        <v>15</v>
      </c>
      <c r="B32" s="1"/>
      <c r="C32" s="2" t="s">
        <v>461</v>
      </c>
      <c r="D32" s="165" t="s">
        <v>462</v>
      </c>
      <c r="E32" s="165"/>
      <c r="F32" s="168"/>
      <c r="G32" s="168"/>
      <c r="H32" s="168"/>
      <c r="I32" s="165"/>
      <c r="J32" s="6">
        <f>J16-J24</f>
        <v>2341879996</v>
      </c>
      <c r="K32" s="2"/>
      <c r="L32" s="165"/>
      <c r="M32" s="2"/>
      <c r="N32" s="2"/>
      <c r="O32" s="6" t="str">
        <f>IF(ISNUMBER(O16),O16-O24,"")</f>
        <v/>
      </c>
      <c r="P32" s="2"/>
    </row>
    <row r="33" spans="1:17" ht="15">
      <c r="A33" s="165">
        <f>A32+1</f>
        <v>16</v>
      </c>
      <c r="B33" s="1"/>
      <c r="C33" s="2" t="s">
        <v>463</v>
      </c>
      <c r="D33" s="165" t="s">
        <v>464</v>
      </c>
      <c r="E33" s="165"/>
      <c r="F33" s="168"/>
      <c r="G33" s="168"/>
      <c r="H33" s="168"/>
      <c r="I33" s="165"/>
      <c r="J33" s="6">
        <f>J17-J25</f>
        <v>236748516</v>
      </c>
      <c r="K33" s="2"/>
      <c r="L33" s="165"/>
      <c r="M33" s="2"/>
      <c r="N33" s="2"/>
      <c r="O33" s="6">
        <f>IF(ISNUMBER(O17),O17-O25,"")</f>
        <v>16708246.582204342</v>
      </c>
      <c r="P33" s="2"/>
    </row>
    <row r="34" spans="1:17" ht="15.75" thickBot="1">
      <c r="A34" s="165">
        <f>A33+1</f>
        <v>17</v>
      </c>
      <c r="B34" s="1"/>
      <c r="C34" s="2" t="s">
        <v>465</v>
      </c>
      <c r="D34" s="165" t="s">
        <v>466</v>
      </c>
      <c r="E34" s="165"/>
      <c r="F34" s="168"/>
      <c r="G34" s="168"/>
      <c r="H34" s="168"/>
      <c r="I34" s="165"/>
      <c r="J34" s="6">
        <f>J18-J26</f>
        <v>10838125.5</v>
      </c>
      <c r="K34" s="2"/>
      <c r="L34" s="165"/>
      <c r="M34" s="2"/>
      <c r="N34" s="2"/>
      <c r="O34" s="6">
        <f>IF(ISNUMBER(O18),O18-O26,"")</f>
        <v>764887.89202326722</v>
      </c>
      <c r="P34" s="2"/>
    </row>
    <row r="35" spans="1:17" ht="15.75" thickTop="1">
      <c r="A35" s="165">
        <f>A34+1</f>
        <v>18</v>
      </c>
      <c r="B35" s="1" t="s">
        <v>467</v>
      </c>
      <c r="C35" s="2"/>
      <c r="D35" s="165"/>
      <c r="E35" s="165"/>
      <c r="F35" s="168"/>
      <c r="G35" s="168"/>
      <c r="H35" s="168"/>
      <c r="I35" s="165"/>
      <c r="J35" s="170">
        <f>SUM(J30:J34)</f>
        <v>6450866048.5</v>
      </c>
      <c r="K35" s="2"/>
      <c r="L35" s="165" t="s">
        <v>468</v>
      </c>
      <c r="M35" s="153">
        <f>O35/J35</f>
        <v>0.16569592839496061</v>
      </c>
      <c r="N35" s="153"/>
      <c r="O35" s="170">
        <f>SUM(O30:O34)</f>
        <v>1068882238.8577385</v>
      </c>
      <c r="P35" s="2"/>
    </row>
    <row r="36" spans="1:17" ht="15">
      <c r="A36" s="165"/>
      <c r="B36" s="1"/>
      <c r="C36" s="2"/>
      <c r="D36" s="165"/>
      <c r="E36" s="165"/>
      <c r="F36" s="168"/>
      <c r="G36" s="168"/>
      <c r="H36" s="168"/>
      <c r="I36" s="165"/>
      <c r="J36" s="2"/>
      <c r="K36" s="2"/>
      <c r="L36" s="165"/>
      <c r="M36" s="2"/>
      <c r="N36" s="2"/>
      <c r="O36" s="2"/>
      <c r="P36" s="2"/>
    </row>
    <row r="37" spans="1:17" ht="15">
      <c r="A37" s="165"/>
      <c r="B37" s="1" t="s">
        <v>469</v>
      </c>
      <c r="C37" s="2"/>
      <c r="D37" s="165"/>
      <c r="E37" s="165"/>
      <c r="F37" s="168"/>
      <c r="G37" s="168"/>
      <c r="H37" s="168"/>
      <c r="I37" s="165"/>
      <c r="J37" s="2"/>
      <c r="K37" s="2"/>
      <c r="L37" s="165"/>
      <c r="M37" s="2"/>
      <c r="N37" s="2"/>
      <c r="O37" s="2"/>
      <c r="P37" s="2"/>
    </row>
    <row r="38" spans="1:17" ht="15">
      <c r="A38" s="165">
        <f>A35+1</f>
        <v>19</v>
      </c>
      <c r="B38" s="1"/>
      <c r="C38" s="2" t="s">
        <v>113</v>
      </c>
      <c r="D38" s="171" t="str">
        <f>'PEF - 6  p1, FF1 Inputs '!F36</f>
        <v>234.8.b&amp;c</v>
      </c>
      <c r="E38" s="165"/>
      <c r="F38" s="168">
        <f>'PEF - 6  p1, FF1 Inputs '!H36</f>
        <v>642773374</v>
      </c>
      <c r="G38" s="168"/>
      <c r="H38" s="168">
        <f>'PEF - 6  p1, FF1 Inputs '!J36</f>
        <v>541048062</v>
      </c>
      <c r="I38" s="165"/>
      <c r="J38" s="6">
        <f>(F38+H38)/2</f>
        <v>591910718</v>
      </c>
      <c r="K38" s="2"/>
      <c r="L38" s="264" t="s">
        <v>153</v>
      </c>
      <c r="M38" s="265"/>
      <c r="N38" s="5"/>
      <c r="O38" s="172">
        <f>('PEF - 5, p1 PY ADIT 190'!I60+'PEF - 5, p3 CY ADIT 190'!I76)/2</f>
        <v>16996134.975035936</v>
      </c>
      <c r="P38" s="2"/>
    </row>
    <row r="39" spans="1:17" ht="15">
      <c r="A39" s="165">
        <f>A38+1</f>
        <v>20</v>
      </c>
      <c r="B39" s="1"/>
      <c r="C39" s="2" t="s">
        <v>125</v>
      </c>
      <c r="D39" s="171" t="str">
        <f>'PEF - 6  p1, FF1 Inputs '!F45</f>
        <v>273.8.b&amp;k</v>
      </c>
      <c r="E39" s="165"/>
      <c r="F39" s="168">
        <f>'PEF - 6  p1, FF1 Inputs '!H45</f>
        <v>-4083000</v>
      </c>
      <c r="G39" s="168"/>
      <c r="H39" s="168">
        <f>'PEF - 6  p1, FF1 Inputs '!J45</f>
        <v>-3757590</v>
      </c>
      <c r="I39" s="165"/>
      <c r="J39" s="6">
        <f>(F39+H39)/2</f>
        <v>-3920295</v>
      </c>
      <c r="K39" s="2"/>
      <c r="L39" s="264" t="s">
        <v>153</v>
      </c>
      <c r="M39" s="265"/>
      <c r="N39" s="5"/>
      <c r="O39" s="172">
        <f>('PEF - 5, p2 PY ADIT 28x'!I13+'PEF - 5, p4 CY ADIT 28x'!I13)/2</f>
        <v>0</v>
      </c>
      <c r="P39" s="2"/>
    </row>
    <row r="40" spans="1:17" ht="15">
      <c r="A40" s="165">
        <f>A39+1</f>
        <v>21</v>
      </c>
      <c r="B40" s="1"/>
      <c r="C40" s="2" t="s">
        <v>126</v>
      </c>
      <c r="D40" s="171" t="str">
        <f>'PEF - 6  p1, FF1 Inputs '!F46</f>
        <v>275.2.b&amp;k</v>
      </c>
      <c r="E40" s="165"/>
      <c r="F40" s="168">
        <f>'PEF - 6  p1, FF1 Inputs '!H46</f>
        <v>-547273147</v>
      </c>
      <c r="G40" s="168"/>
      <c r="H40" s="168">
        <f>'PEF - 6  p1, FF1 Inputs '!J46</f>
        <v>-660183457</v>
      </c>
      <c r="I40" s="165"/>
      <c r="J40" s="6">
        <f>(F40+H40)/2</f>
        <v>-603728302</v>
      </c>
      <c r="K40" s="2"/>
      <c r="L40" s="264" t="s">
        <v>153</v>
      </c>
      <c r="M40" s="265"/>
      <c r="N40" s="5"/>
      <c r="O40" s="6">
        <f>('PEF - 5, p2 PY ADIT 28x'!I19+'PEF - 5, p4 CY ADIT 28x'!I19)/2</f>
        <v>-116686410.22312099</v>
      </c>
      <c r="P40" s="2"/>
    </row>
    <row r="41" spans="1:17" ht="15">
      <c r="A41" s="165">
        <f>A40+1</f>
        <v>22</v>
      </c>
      <c r="B41" s="1"/>
      <c r="C41" s="2" t="s">
        <v>470</v>
      </c>
      <c r="D41" s="171" t="str">
        <f>'PEF - 6  p1, FF1 Inputs '!F47</f>
        <v>277.9.b&amp;k</v>
      </c>
      <c r="E41" s="165"/>
      <c r="F41" s="168">
        <f>'PEF - 6  p1, FF1 Inputs '!H47</f>
        <v>-649870342</v>
      </c>
      <c r="G41" s="168"/>
      <c r="H41" s="168">
        <f>'PEF - 6  p1, FF1 Inputs '!J47</f>
        <v>-587646357</v>
      </c>
      <c r="I41" s="165"/>
      <c r="J41" s="6">
        <f>(F41+H41)/2</f>
        <v>-618758349.5</v>
      </c>
      <c r="K41" s="2"/>
      <c r="L41" s="264" t="s">
        <v>153</v>
      </c>
      <c r="M41" s="265"/>
      <c r="N41" s="5"/>
      <c r="O41" s="6">
        <f>('PEF - 5, p2 PY ADIT 28x'!I44+'PEF - 5, p4 CY ADIT 28x'!I44)/2</f>
        <v>-5410582.5438133869</v>
      </c>
      <c r="P41" s="2"/>
    </row>
    <row r="42" spans="1:17" ht="15.75" thickBot="1">
      <c r="A42" s="165">
        <f>A41+1</f>
        <v>23</v>
      </c>
      <c r="B42" s="1"/>
      <c r="C42" s="2" t="str">
        <f>'PEF - 6  p1, FF1 Inputs '!E44</f>
        <v>Accum Deferred ITC - 255 (Negative)</v>
      </c>
      <c r="D42" s="171" t="str">
        <f>'PEF - 6  p1, FF1 Inputs '!F44</f>
        <v>267.8.b&amp;h</v>
      </c>
      <c r="E42" s="165"/>
      <c r="F42" s="169">
        <f>'PEF - 6  p1, FF1 Inputs '!$H$44</f>
        <v>-11506508</v>
      </c>
      <c r="G42" s="168"/>
      <c r="H42" s="169">
        <f>'PEF - 6  p1, FF1 Inputs '!$J$44</f>
        <v>-6960512</v>
      </c>
      <c r="I42" s="165"/>
      <c r="J42" s="7">
        <f>(F42+H42)/2</f>
        <v>-9233510</v>
      </c>
      <c r="K42" s="2"/>
      <c r="L42" s="38" t="s">
        <v>164</v>
      </c>
      <c r="M42" s="153">
        <f>M35</f>
        <v>0.16569592839496061</v>
      </c>
      <c r="N42" s="2"/>
      <c r="O42" s="6">
        <f>J42*M42</f>
        <v>-1529955.0117941527</v>
      </c>
      <c r="P42" s="2"/>
    </row>
    <row r="43" spans="1:17" ht="15.75" thickTop="1">
      <c r="A43" s="165">
        <f>A42+1</f>
        <v>24</v>
      </c>
      <c r="B43" s="1" t="s">
        <v>471</v>
      </c>
      <c r="C43" s="2"/>
      <c r="D43" s="165"/>
      <c r="E43" s="165"/>
      <c r="F43" s="168"/>
      <c r="G43" s="168"/>
      <c r="H43" s="168"/>
      <c r="I43" s="165"/>
      <c r="J43" s="170">
        <f>SUM(J38:J42)</f>
        <v>-643729738.5</v>
      </c>
      <c r="K43" s="2"/>
      <c r="L43" s="165"/>
      <c r="M43" s="153"/>
      <c r="N43" s="153"/>
      <c r="O43" s="170">
        <f>SUM(O38:O42)</f>
        <v>-106630812.80369259</v>
      </c>
      <c r="P43" s="2"/>
    </row>
    <row r="44" spans="1:17" ht="15">
      <c r="A44" s="165"/>
      <c r="B44" s="1"/>
      <c r="C44" s="2"/>
      <c r="D44" s="165"/>
      <c r="E44" s="165"/>
      <c r="F44" s="168"/>
      <c r="G44" s="168"/>
      <c r="H44" s="168"/>
      <c r="I44" s="165"/>
      <c r="J44" s="2"/>
      <c r="K44" s="2"/>
      <c r="L44" s="165"/>
      <c r="M44" s="2"/>
      <c r="N44" s="2"/>
      <c r="O44" s="2"/>
      <c r="P44" s="2"/>
    </row>
    <row r="45" spans="1:17" ht="20.100000000000001" customHeight="1">
      <c r="A45" s="100" t="s">
        <v>752</v>
      </c>
      <c r="B45" s="266" t="s">
        <v>794</v>
      </c>
      <c r="C45" s="267"/>
      <c r="D45" s="100" t="s">
        <v>795</v>
      </c>
      <c r="E45" s="100"/>
      <c r="F45" s="195">
        <f>-'PEF - 5A'!E31</f>
        <v>-254749899</v>
      </c>
      <c r="G45" s="195"/>
      <c r="H45" s="195">
        <f>-'PEF - 5A'!G31</f>
        <v>-254480994.09999999</v>
      </c>
      <c r="I45" s="100"/>
      <c r="J45" s="101">
        <f>(F45+H45)/2</f>
        <v>-254615446.55000001</v>
      </c>
      <c r="K45" s="94"/>
      <c r="L45" s="268" t="s">
        <v>753</v>
      </c>
      <c r="M45" s="269">
        <f>'PEF - 2 - Page 4 Support'!I35</f>
        <v>7.05738175871157E-2</v>
      </c>
      <c r="N45" s="94"/>
      <c r="O45" s="101">
        <f>-'PEF - 5A'!N31</f>
        <v>-17969184.079681709</v>
      </c>
      <c r="P45" s="2"/>
      <c r="Q45" s="210"/>
    </row>
    <row r="46" spans="1:17" ht="15">
      <c r="A46" s="165"/>
      <c r="B46" s="1"/>
      <c r="C46" s="2"/>
      <c r="D46" s="165"/>
      <c r="E46" s="165"/>
      <c r="F46" s="168"/>
      <c r="G46" s="168"/>
      <c r="H46" s="168"/>
      <c r="I46" s="165"/>
      <c r="J46" s="2"/>
      <c r="K46" s="2"/>
      <c r="L46" s="165"/>
      <c r="M46" s="2"/>
      <c r="N46" s="2"/>
      <c r="O46" s="2"/>
      <c r="P46" s="2"/>
    </row>
    <row r="47" spans="1:17" ht="30" customHeight="1">
      <c r="A47" s="162">
        <f>A43+1</f>
        <v>25</v>
      </c>
      <c r="B47" s="261" t="s">
        <v>472</v>
      </c>
      <c r="C47" s="262"/>
      <c r="D47" s="162" t="str">
        <f>'PEF - 6  p1, FF1 Inputs '!F35</f>
        <v>230a.5.f</v>
      </c>
      <c r="E47" s="162"/>
      <c r="F47" s="173">
        <f>'PEF - 6  p1, FF1 Inputs '!J76</f>
        <v>13668566</v>
      </c>
      <c r="G47" s="173"/>
      <c r="H47" s="173">
        <f>'PEF - 6  p1, FF1 Inputs '!J35</f>
        <v>10501360</v>
      </c>
      <c r="I47" s="162"/>
      <c r="J47" s="59">
        <f>(F47+H47)/2</f>
        <v>12084963</v>
      </c>
      <c r="K47" s="58"/>
      <c r="L47" s="162" t="str">
        <f>"p. 5, l. "&amp;'PEF - 2 - Page 5 Storm, Notes'!B39</f>
        <v>p. 5, l. 16</v>
      </c>
      <c r="M47" s="174">
        <f>'PEF - 2 - Page 5 Storm, Notes'!K39</f>
        <v>2.8722795704536876</v>
      </c>
      <c r="N47" s="58"/>
      <c r="O47" s="59">
        <f>J47*M47</f>
        <v>34711392.334588706</v>
      </c>
      <c r="P47" s="2"/>
    </row>
    <row r="48" spans="1:17" ht="15">
      <c r="A48" s="165"/>
      <c r="B48" s="1"/>
      <c r="C48" s="2"/>
      <c r="D48" s="165"/>
      <c r="E48" s="165"/>
      <c r="F48" s="168"/>
      <c r="G48" s="168"/>
      <c r="H48" s="168"/>
      <c r="I48" s="165"/>
      <c r="J48" s="2"/>
      <c r="K48" s="2"/>
      <c r="L48" s="165"/>
      <c r="M48" s="2"/>
      <c r="N48" s="2"/>
      <c r="O48" s="2"/>
      <c r="P48" s="2"/>
    </row>
    <row r="49" spans="1:17" ht="15">
      <c r="A49" s="162">
        <f>A47+1</f>
        <v>26</v>
      </c>
      <c r="B49" s="1" t="s">
        <v>473</v>
      </c>
      <c r="C49" s="2"/>
      <c r="D49" s="165" t="str">
        <f>'PEF - 6  p1, FF1 Inputs '!F26</f>
        <v>214.47.d</v>
      </c>
      <c r="E49" s="165"/>
      <c r="F49" s="168">
        <f>'PEF - 6  p1, FF1 Inputs '!J71</f>
        <v>6192322</v>
      </c>
      <c r="G49" s="168"/>
      <c r="H49" s="168">
        <f>'PEF - 6  p1, FF1 Inputs '!J26</f>
        <v>6192322</v>
      </c>
      <c r="I49" s="165"/>
      <c r="J49" s="6">
        <f>(F49+H49)/2</f>
        <v>6192322</v>
      </c>
      <c r="K49" s="2"/>
      <c r="L49" s="165" t="s">
        <v>474</v>
      </c>
      <c r="M49" s="2"/>
      <c r="N49" s="2"/>
      <c r="O49" s="6">
        <f>J49</f>
        <v>6192322</v>
      </c>
      <c r="P49" s="2"/>
    </row>
    <row r="50" spans="1:17" ht="15">
      <c r="A50" s="165"/>
      <c r="B50" s="1"/>
      <c r="C50" s="2"/>
      <c r="D50" s="2"/>
      <c r="E50" s="2"/>
      <c r="F50" s="6"/>
      <c r="G50" s="6"/>
      <c r="H50" s="6"/>
      <c r="I50" s="2"/>
      <c r="J50" s="2"/>
      <c r="K50" s="2"/>
      <c r="L50" s="165"/>
      <c r="M50" s="2"/>
      <c r="N50" s="2"/>
      <c r="O50" s="2"/>
      <c r="P50" s="2"/>
    </row>
    <row r="51" spans="1:17" ht="15">
      <c r="A51" s="162">
        <f>A49+1</f>
        <v>27</v>
      </c>
      <c r="B51" s="1" t="s">
        <v>777</v>
      </c>
      <c r="C51" s="2"/>
      <c r="D51" s="2"/>
      <c r="E51" s="2"/>
      <c r="F51" s="7">
        <f>185950232.08-7563665.76</f>
        <v>178386566.32000002</v>
      </c>
      <c r="G51" s="6"/>
      <c r="H51" s="169">
        <v>88422121.75</v>
      </c>
      <c r="I51" s="2"/>
      <c r="J51" s="6">
        <f>(F51+H51)/2</f>
        <v>133404344.03500001</v>
      </c>
      <c r="K51" s="2"/>
      <c r="L51" s="165"/>
      <c r="M51" s="104">
        <v>0.5</v>
      </c>
      <c r="N51" s="2"/>
      <c r="O51" s="6">
        <f>J51*M51</f>
        <v>66702172.017500006</v>
      </c>
      <c r="P51" s="2"/>
      <c r="Q51" s="203"/>
    </row>
    <row r="52" spans="1:17" ht="12.75" customHeight="1">
      <c r="A52" s="165"/>
      <c r="B52" s="2"/>
      <c r="C52" s="175"/>
      <c r="D52" s="162"/>
      <c r="E52" s="162"/>
      <c r="F52" s="176"/>
      <c r="G52" s="176"/>
      <c r="H52" s="176"/>
      <c r="I52" s="162"/>
      <c r="J52" s="59"/>
      <c r="K52" s="58"/>
      <c r="L52" s="162"/>
      <c r="M52" s="174"/>
      <c r="N52" s="58"/>
      <c r="O52" s="59"/>
      <c r="P52" s="2"/>
    </row>
    <row r="53" spans="1:17" ht="12.75" customHeight="1">
      <c r="A53" s="38"/>
      <c r="B53" s="64" t="s">
        <v>475</v>
      </c>
      <c r="C53" s="211"/>
      <c r="D53" s="100"/>
      <c r="E53" s="100"/>
      <c r="F53" s="177"/>
      <c r="G53" s="177"/>
      <c r="H53" s="177"/>
      <c r="I53" s="100"/>
      <c r="J53" s="101"/>
      <c r="K53" s="94"/>
      <c r="L53" s="100"/>
      <c r="M53" s="104"/>
      <c r="N53" s="94"/>
      <c r="O53" s="101"/>
      <c r="P53" s="2"/>
    </row>
    <row r="54" spans="1:17" ht="15" customHeight="1">
      <c r="A54" s="165">
        <f>A51+1</f>
        <v>28</v>
      </c>
      <c r="B54" s="8"/>
      <c r="C54" s="106" t="s">
        <v>782</v>
      </c>
      <c r="D54" s="100"/>
      <c r="E54" s="100"/>
      <c r="F54" s="169">
        <v>0</v>
      </c>
      <c r="G54" s="169"/>
      <c r="H54" s="169">
        <v>0</v>
      </c>
      <c r="I54" s="165"/>
      <c r="J54" s="6">
        <f>(F54+H54)/2</f>
        <v>0</v>
      </c>
      <c r="K54" s="94"/>
      <c r="L54" s="100" t="s">
        <v>427</v>
      </c>
      <c r="M54" s="104">
        <v>-1</v>
      </c>
      <c r="N54" s="94"/>
      <c r="O54" s="101">
        <f>J54*M54</f>
        <v>0</v>
      </c>
      <c r="P54" s="2"/>
    </row>
    <row r="55" spans="1:17" ht="12.75" customHeight="1" thickBot="1">
      <c r="A55" s="165">
        <f>A54+1</f>
        <v>29</v>
      </c>
      <c r="B55" s="5"/>
      <c r="C55" s="106" t="s">
        <v>476</v>
      </c>
      <c r="D55" s="100"/>
      <c r="E55" s="100"/>
      <c r="F55" s="169">
        <v>0</v>
      </c>
      <c r="G55" s="169"/>
      <c r="H55" s="169">
        <v>0</v>
      </c>
      <c r="I55" s="165"/>
      <c r="J55" s="6">
        <f>(F55+H55)/2</f>
        <v>0</v>
      </c>
      <c r="K55" s="94"/>
      <c r="L55" s="100" t="s">
        <v>427</v>
      </c>
      <c r="M55" s="104">
        <v>1</v>
      </c>
      <c r="N55" s="94"/>
      <c r="O55" s="101">
        <f>J55*M55</f>
        <v>0</v>
      </c>
      <c r="P55" s="2"/>
    </row>
    <row r="56" spans="1:17" ht="12.75" customHeight="1" thickTop="1">
      <c r="A56" s="165">
        <f>A55+1</f>
        <v>30</v>
      </c>
      <c r="B56" s="1" t="s">
        <v>477</v>
      </c>
      <c r="C56" s="106"/>
      <c r="D56" s="178"/>
      <c r="E56" s="178"/>
      <c r="F56" s="168"/>
      <c r="G56" s="168"/>
      <c r="H56" s="168"/>
      <c r="I56" s="165"/>
      <c r="J56" s="6"/>
      <c r="K56" s="94"/>
      <c r="L56" s="100"/>
      <c r="M56" s="104"/>
      <c r="N56" s="94"/>
      <c r="O56" s="170">
        <f>SUM(O54:O55)</f>
        <v>0</v>
      </c>
      <c r="P56" s="2"/>
    </row>
    <row r="57" spans="1:17" ht="12.75" customHeight="1">
      <c r="A57" s="38"/>
      <c r="B57" s="179"/>
      <c r="C57" s="106"/>
      <c r="D57" s="178"/>
      <c r="E57" s="178"/>
      <c r="F57" s="168"/>
      <c r="G57" s="168"/>
      <c r="H57" s="168"/>
      <c r="I57" s="165"/>
      <c r="J57" s="6"/>
      <c r="K57" s="94"/>
      <c r="L57" s="100"/>
      <c r="M57" s="104"/>
      <c r="N57" s="94"/>
      <c r="O57" s="101"/>
      <c r="P57" s="2"/>
    </row>
    <row r="58" spans="1:17" ht="15">
      <c r="A58" s="165"/>
      <c r="B58" s="1" t="s">
        <v>478</v>
      </c>
      <c r="C58" s="2"/>
      <c r="D58" s="165"/>
      <c r="E58" s="165"/>
      <c r="F58" s="171"/>
      <c r="G58" s="171"/>
      <c r="H58" s="171"/>
      <c r="I58" s="165"/>
      <c r="J58" s="2"/>
      <c r="K58" s="2"/>
      <c r="L58" s="165"/>
      <c r="M58" s="2"/>
      <c r="N58" s="2"/>
      <c r="O58" s="2"/>
      <c r="P58" s="2"/>
    </row>
    <row r="59" spans="1:17" ht="15">
      <c r="A59" s="165">
        <f>A56+1</f>
        <v>31</v>
      </c>
      <c r="B59" s="1"/>
      <c r="C59" s="2" t="s">
        <v>479</v>
      </c>
      <c r="D59" s="165" t="str">
        <f>"Page 3, line "&amp;'PEF - 2 - Page 3 Rev Reqt'!A34</f>
        <v>Page 3, line 17</v>
      </c>
      <c r="E59" s="165"/>
      <c r="F59" s="171"/>
      <c r="G59" s="171"/>
      <c r="H59" s="171"/>
      <c r="I59" s="165"/>
      <c r="J59" s="2"/>
      <c r="K59" s="2"/>
      <c r="L59" s="165"/>
      <c r="M59" s="2"/>
      <c r="N59" s="2"/>
      <c r="O59" s="6">
        <f>'PEF - 2 - Page 3 Rev Reqt'!K34/8</f>
        <v>5843419.0559363728</v>
      </c>
      <c r="P59" s="2"/>
    </row>
    <row r="60" spans="1:17" ht="15">
      <c r="A60" s="165">
        <f>A59+1</f>
        <v>32</v>
      </c>
      <c r="B60" s="1"/>
      <c r="C60" s="5" t="s">
        <v>105</v>
      </c>
      <c r="D60" s="165" t="str">
        <f>'PEF - 6  p1, FF1 Inputs '!F31</f>
        <v>227.8.b&amp;c</v>
      </c>
      <c r="E60" s="165"/>
      <c r="F60" s="168">
        <f>'PEF - 6  p1, FF1 Inputs '!H31</f>
        <v>4422282</v>
      </c>
      <c r="G60" s="171"/>
      <c r="H60" s="168">
        <f>'PEF - 6  p1, FF1 Inputs '!J31</f>
        <v>3214854</v>
      </c>
      <c r="I60" s="165"/>
      <c r="J60" s="6">
        <f>(F60+H60)/2</f>
        <v>3818568</v>
      </c>
      <c r="K60" s="2"/>
      <c r="L60" s="165" t="s">
        <v>450</v>
      </c>
      <c r="M60" s="153">
        <f>'PEF - 2 - Page 4 Support'!I20</f>
        <v>0.92460546182318382</v>
      </c>
      <c r="N60" s="153"/>
      <c r="O60" s="6">
        <f>J60*M60</f>
        <v>3530668.8291432313</v>
      </c>
      <c r="P60" s="2"/>
    </row>
    <row r="61" spans="1:17" ht="15">
      <c r="A61" s="165">
        <f>A60+1</f>
        <v>33</v>
      </c>
      <c r="B61" s="1"/>
      <c r="C61" s="5" t="s">
        <v>106</v>
      </c>
      <c r="D61" s="165" t="str">
        <f>'PEF - 6  p1, FF1 Inputs '!F32</f>
        <v>227.16.b&amp;c</v>
      </c>
      <c r="E61" s="165"/>
      <c r="F61" s="169">
        <f>'PEF - 6  p1, FF1 Inputs '!H32-14826987</f>
        <v>7242971</v>
      </c>
      <c r="G61" s="50"/>
      <c r="H61" s="169">
        <f>'PEF - 6  p1, FF1 Inputs '!J32</f>
        <v>8181652</v>
      </c>
      <c r="I61" s="165"/>
      <c r="J61" s="6">
        <f>(F61+H61)/2</f>
        <v>7712311.5</v>
      </c>
      <c r="K61" s="2"/>
      <c r="L61" s="165" t="s">
        <v>451</v>
      </c>
      <c r="M61" s="153">
        <f>'PEF - 2 - Page 4 Support'!I35</f>
        <v>7.05738175871157E-2</v>
      </c>
      <c r="N61" s="153"/>
      <c r="O61" s="6">
        <f>J61*M61</f>
        <v>544287.26497601462</v>
      </c>
      <c r="P61" s="2"/>
      <c r="Q61" s="203"/>
    </row>
    <row r="62" spans="1:17" ht="15.75" thickBot="1">
      <c r="A62" s="165">
        <f>A61+1</f>
        <v>34</v>
      </c>
      <c r="B62" s="1"/>
      <c r="C62" s="5" t="s">
        <v>480</v>
      </c>
      <c r="D62" s="165" t="str">
        <f>'PEF - 6  p1, FF1 Inputs '!F11</f>
        <v>111.57.c&amp;d</v>
      </c>
      <c r="E62" s="165"/>
      <c r="F62" s="169">
        <f>'PEF - 6  p1, FF1 Inputs '!$H$11</f>
        <v>8240691</v>
      </c>
      <c r="G62" s="171"/>
      <c r="H62" s="169">
        <f>'PEF - 6  p1, FF1 Inputs '!$J$11</f>
        <v>7883109</v>
      </c>
      <c r="I62" s="165"/>
      <c r="J62" s="6">
        <f>(F62+H62)/2</f>
        <v>8061900</v>
      </c>
      <c r="K62" s="2"/>
      <c r="L62" s="165" t="s">
        <v>192</v>
      </c>
      <c r="M62" s="153">
        <f>M19</f>
        <v>0.13704860131661345</v>
      </c>
      <c r="N62" s="153"/>
      <c r="O62" s="6">
        <f>J62*M62</f>
        <v>1104872.1189544059</v>
      </c>
      <c r="P62" s="2"/>
    </row>
    <row r="63" spans="1:17" ht="15.75" thickTop="1">
      <c r="A63" s="165">
        <f>A62+1</f>
        <v>35</v>
      </c>
      <c r="B63" s="1" t="s">
        <v>481</v>
      </c>
      <c r="C63" s="2"/>
      <c r="D63" s="165"/>
      <c r="E63" s="165"/>
      <c r="F63" s="171"/>
      <c r="G63" s="171"/>
      <c r="H63" s="171"/>
      <c r="I63" s="165"/>
      <c r="J63" s="2"/>
      <c r="K63" s="2"/>
      <c r="L63" s="2"/>
      <c r="M63" s="2"/>
      <c r="N63" s="2"/>
      <c r="O63" s="170">
        <f>SUM(O59:O62)</f>
        <v>11023247.269010024</v>
      </c>
      <c r="P63" s="2"/>
    </row>
    <row r="64" spans="1:17" ht="15">
      <c r="A64" s="165"/>
      <c r="B64" s="1"/>
      <c r="C64" s="2"/>
      <c r="D64" s="165"/>
      <c r="E64" s="165"/>
      <c r="F64" s="171"/>
      <c r="G64" s="171"/>
      <c r="H64" s="171"/>
      <c r="I64" s="165"/>
      <c r="J64" s="2"/>
      <c r="K64" s="2"/>
      <c r="L64" s="2"/>
      <c r="M64" s="2"/>
      <c r="N64" s="2"/>
      <c r="O64" s="2"/>
      <c r="P64" s="2"/>
    </row>
    <row r="65" spans="1:18" ht="15">
      <c r="A65" s="165">
        <f>A63+1</f>
        <v>36</v>
      </c>
      <c r="B65" s="1" t="str">
        <f>"Rate Base (Sum of Lines "&amp;A35&amp;", "&amp;A43&amp;" thru "&amp;A51&amp;", "&amp;A56&amp;", and "&amp;A63&amp;")"</f>
        <v>Rate Base (Sum of Lines 18, 24 thru 27, 30, and 35)</v>
      </c>
      <c r="C65" s="2"/>
      <c r="D65" s="165"/>
      <c r="E65" s="165"/>
      <c r="F65" s="165"/>
      <c r="G65" s="165"/>
      <c r="H65" s="165"/>
      <c r="I65" s="165"/>
      <c r="J65" s="2"/>
      <c r="K65" s="2"/>
      <c r="L65" s="2"/>
      <c r="M65" s="2"/>
      <c r="N65" s="2"/>
      <c r="O65" s="6">
        <f>O35+O43+O45+O47+O49+O51+O56+O63</f>
        <v>1062911375.5954629</v>
      </c>
      <c r="P65" s="2"/>
      <c r="Q65" s="91"/>
      <c r="R65" s="91"/>
    </row>
    <row r="66" spans="1:18" ht="15">
      <c r="A66" s="2"/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8" ht="15">
      <c r="A67" s="2"/>
      <c r="B67" s="1" t="s">
        <v>482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8" ht="15">
      <c r="A68" s="2"/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8" ht="15">
      <c r="A69" s="38">
        <f>A65+1</f>
        <v>37</v>
      </c>
      <c r="B69" s="5"/>
      <c r="C69" s="5" t="str">
        <f>'PEF - 6  p1, FF1 Inputs '!E16</f>
        <v>Long Term Debt</v>
      </c>
      <c r="D69" s="38" t="str">
        <f>'PEF - 6  p1, FF1 Inputs '!F16</f>
        <v>112.24.c&amp;d</v>
      </c>
      <c r="E69" s="5"/>
      <c r="F69" s="7">
        <f>'PEF - 6  p1, FF1 Inputs '!H16</f>
        <v>4181893644</v>
      </c>
      <c r="G69" s="7"/>
      <c r="H69" s="7">
        <f>'PEF - 6  p1, FF1 Inputs '!J16</f>
        <v>4182644297</v>
      </c>
      <c r="I69" s="6"/>
      <c r="J69" s="6">
        <f>(F69+H69)/2</f>
        <v>4182268970.5</v>
      </c>
      <c r="K69" s="2"/>
      <c r="L69" s="2"/>
      <c r="M69" s="2"/>
      <c r="N69" s="2"/>
      <c r="O69" s="2"/>
      <c r="P69" s="2"/>
    </row>
    <row r="70" spans="1:18" ht="15">
      <c r="A70" s="165">
        <f>A69+1</f>
        <v>38</v>
      </c>
      <c r="B70" s="5"/>
      <c r="C70" s="5" t="s">
        <v>483</v>
      </c>
      <c r="D70" s="165" t="str">
        <f>'PEF - 6  p1, FF1 Inputs '!F12</f>
        <v>111.81.c&amp;d</v>
      </c>
      <c r="E70" s="2"/>
      <c r="F70" s="168">
        <f>'PEF - 6  p1, FF1 Inputs '!H12</f>
        <v>20969828</v>
      </c>
      <c r="G70" s="6"/>
      <c r="H70" s="168">
        <f>'PEF - 6  p1, FF1 Inputs '!J12</f>
        <v>19606719</v>
      </c>
      <c r="I70" s="6"/>
      <c r="J70" s="6">
        <f>(F70+H70)/2</f>
        <v>20288273.5</v>
      </c>
      <c r="K70" s="2"/>
      <c r="L70" s="2"/>
      <c r="M70" s="2"/>
      <c r="N70" s="2"/>
      <c r="O70" s="2"/>
      <c r="P70" s="2"/>
    </row>
    <row r="71" spans="1:18" ht="15">
      <c r="A71" s="165">
        <f>A70+1</f>
        <v>39</v>
      </c>
      <c r="B71" s="5"/>
      <c r="C71" s="5" t="s">
        <v>484</v>
      </c>
      <c r="D71" s="165" t="str">
        <f>'PEF - 6  p1, FF1 Inputs '!F17</f>
        <v>113.61.c&amp;d</v>
      </c>
      <c r="E71" s="2"/>
      <c r="F71" s="168">
        <f>'PEF - 6  p1, FF1 Inputs '!H17</f>
        <v>0</v>
      </c>
      <c r="G71" s="6"/>
      <c r="H71" s="168">
        <f>'PEF - 6  p1, FF1 Inputs '!J17</f>
        <v>0</v>
      </c>
      <c r="I71" s="6"/>
      <c r="J71" s="6">
        <f>(F71+H71)/2</f>
        <v>0</v>
      </c>
      <c r="K71" s="2"/>
      <c r="L71" s="2"/>
      <c r="M71" s="2"/>
      <c r="N71" s="2"/>
      <c r="O71" s="2"/>
      <c r="P71" s="2"/>
    </row>
    <row r="72" spans="1:18" ht="15.75" thickBot="1">
      <c r="A72" s="165">
        <f>A71+1</f>
        <v>40</v>
      </c>
      <c r="B72" s="5"/>
      <c r="C72" s="5" t="s">
        <v>485</v>
      </c>
      <c r="D72" s="38" t="s">
        <v>486</v>
      </c>
      <c r="E72" s="2"/>
      <c r="F72" s="7">
        <v>0</v>
      </c>
      <c r="G72" s="7"/>
      <c r="H72" s="7">
        <v>0</v>
      </c>
      <c r="I72" s="6"/>
      <c r="J72" s="6">
        <f>(F72+H72)/2</f>
        <v>0</v>
      </c>
      <c r="K72" s="2"/>
      <c r="L72" s="2"/>
      <c r="M72" s="2"/>
      <c r="N72" s="2"/>
      <c r="O72" s="2"/>
      <c r="P72" s="2"/>
    </row>
    <row r="73" spans="1:18" ht="15.75" thickTop="1">
      <c r="A73" s="165">
        <f>A72+1</f>
        <v>41</v>
      </c>
      <c r="B73" s="5"/>
      <c r="C73" s="5" t="s">
        <v>487</v>
      </c>
      <c r="D73" s="2"/>
      <c r="E73" s="2"/>
      <c r="F73" s="6"/>
      <c r="G73" s="6"/>
      <c r="H73" s="6"/>
      <c r="I73" s="6"/>
      <c r="J73" s="170">
        <f>J69-J70+J71-J72</f>
        <v>4161980697</v>
      </c>
      <c r="K73" s="2"/>
      <c r="L73" s="2"/>
      <c r="M73" s="2"/>
      <c r="N73" s="2"/>
      <c r="O73" s="2"/>
      <c r="P73" s="2"/>
    </row>
    <row r="74" spans="1:18" ht="6" customHeight="1">
      <c r="A74" s="5"/>
      <c r="B74" s="5"/>
      <c r="C74" s="5"/>
      <c r="D74" s="2"/>
      <c r="E74" s="2"/>
      <c r="F74" s="6"/>
      <c r="G74" s="6"/>
      <c r="H74" s="6"/>
      <c r="I74" s="6"/>
      <c r="J74" s="6"/>
      <c r="K74" s="2"/>
      <c r="L74" s="2"/>
      <c r="M74" s="2"/>
      <c r="N74" s="2"/>
      <c r="O74" s="2"/>
      <c r="P74" s="2"/>
    </row>
    <row r="75" spans="1:18" ht="15">
      <c r="A75" s="38">
        <f>A73+1</f>
        <v>42</v>
      </c>
      <c r="B75" s="5"/>
      <c r="C75" s="5" t="s">
        <v>488</v>
      </c>
      <c r="D75" s="165" t="str">
        <f>'PEF - 6  p1, FF1 Inputs '!F13</f>
        <v>112.3.c&amp;d</v>
      </c>
      <c r="E75" s="2"/>
      <c r="F75" s="168">
        <f>'PEF - 6  p1, FF1 Inputs '!H13</f>
        <v>33496700</v>
      </c>
      <c r="G75" s="6"/>
      <c r="H75" s="168">
        <f>'PEF - 6  p1, FF1 Inputs '!J13</f>
        <v>33496700</v>
      </c>
      <c r="I75" s="6"/>
      <c r="J75" s="6">
        <f>(F75+H75)/2</f>
        <v>33496700</v>
      </c>
      <c r="K75" s="2"/>
      <c r="L75" s="2"/>
      <c r="M75" s="2"/>
      <c r="N75" s="2"/>
      <c r="O75" s="2"/>
      <c r="P75" s="2"/>
    </row>
    <row r="76" spans="1:18" ht="6" customHeight="1">
      <c r="A76" s="38"/>
      <c r="B76" s="5"/>
      <c r="C76" s="5"/>
      <c r="D76" s="2"/>
      <c r="E76" s="2"/>
      <c r="F76" s="6"/>
      <c r="G76" s="6"/>
      <c r="H76" s="6"/>
      <c r="I76" s="6"/>
      <c r="J76" s="6"/>
      <c r="K76" s="2"/>
      <c r="L76" s="2"/>
      <c r="M76" s="2"/>
      <c r="N76" s="2"/>
      <c r="O76" s="2"/>
      <c r="P76" s="2"/>
    </row>
    <row r="77" spans="1:18" ht="15">
      <c r="A77" s="38"/>
      <c r="B77" s="5"/>
      <c r="C77" s="5" t="s">
        <v>489</v>
      </c>
      <c r="D77" s="2"/>
      <c r="E77" s="2"/>
      <c r="F77" s="6"/>
      <c r="G77" s="6"/>
      <c r="H77" s="6"/>
      <c r="I77" s="6"/>
      <c r="J77" s="6"/>
      <c r="K77" s="2"/>
      <c r="L77" s="2"/>
      <c r="M77" s="2"/>
      <c r="N77" s="2"/>
      <c r="O77" s="2"/>
      <c r="P77" s="2"/>
    </row>
    <row r="78" spans="1:18" ht="15">
      <c r="A78" s="38">
        <f>A75+1</f>
        <v>43</v>
      </c>
      <c r="B78" s="5"/>
      <c r="C78" s="5" t="s">
        <v>490</v>
      </c>
      <c r="D78" s="165" t="str">
        <f>'PEF - 6  p1, FF1 Inputs '!F15</f>
        <v>112.16.c&amp;d</v>
      </c>
      <c r="E78" s="2"/>
      <c r="F78" s="168">
        <f>'PEF - 6  p1, FF1 Inputs '!H15</f>
        <v>3433028549</v>
      </c>
      <c r="G78" s="6"/>
      <c r="H78" s="168">
        <f>'PEF - 6  p1, FF1 Inputs '!J15</f>
        <v>4524026195</v>
      </c>
      <c r="I78" s="6"/>
      <c r="J78" s="6">
        <f>(F78+H78)/2</f>
        <v>3978527372</v>
      </c>
      <c r="K78" s="2"/>
      <c r="L78" s="2"/>
      <c r="M78" s="2"/>
      <c r="N78" s="2"/>
      <c r="O78" s="2"/>
      <c r="P78" s="2"/>
    </row>
    <row r="79" spans="1:18" ht="15">
      <c r="A79" s="38">
        <f>A78+1</f>
        <v>44</v>
      </c>
      <c r="B79" s="5"/>
      <c r="C79" s="5" t="s">
        <v>491</v>
      </c>
      <c r="D79" s="165" t="str">
        <f>D75</f>
        <v>112.3.c&amp;d</v>
      </c>
      <c r="E79" s="2"/>
      <c r="F79" s="168">
        <f>F75</f>
        <v>33496700</v>
      </c>
      <c r="G79" s="6"/>
      <c r="H79" s="168">
        <f>H75</f>
        <v>33496700</v>
      </c>
      <c r="I79" s="6"/>
      <c r="J79" s="6">
        <f>(F79+H79)/2</f>
        <v>33496700</v>
      </c>
      <c r="K79" s="2"/>
      <c r="L79" s="2"/>
      <c r="M79" s="2"/>
      <c r="N79" s="2"/>
      <c r="O79" s="2"/>
      <c r="P79" s="2"/>
    </row>
    <row r="80" spans="1:18" ht="15.75" thickBot="1">
      <c r="A80" s="38">
        <f>A79+1</f>
        <v>45</v>
      </c>
      <c r="B80" s="5"/>
      <c r="C80" s="5" t="s">
        <v>492</v>
      </c>
      <c r="D80" s="165" t="str">
        <f>'PEF - 6  p1, FF1 Inputs '!F14</f>
        <v>112.12.c&amp;d</v>
      </c>
      <c r="E80" s="2"/>
      <c r="F80" s="168">
        <f>'PEF - 6  p1, FF1 Inputs '!H14</f>
        <v>5490</v>
      </c>
      <c r="G80" s="6"/>
      <c r="H80" s="168">
        <f>'PEF - 6  p1, FF1 Inputs '!J14</f>
        <v>143</v>
      </c>
      <c r="I80" s="6"/>
      <c r="J80" s="6">
        <f>(F80+H80)/2</f>
        <v>2816.5</v>
      </c>
      <c r="K80" s="2"/>
      <c r="L80" s="2"/>
      <c r="M80" s="2"/>
      <c r="N80" s="2"/>
      <c r="O80" s="2"/>
      <c r="P80" s="2"/>
    </row>
    <row r="81" spans="1:16" ht="15.75" thickTop="1">
      <c r="A81" s="38">
        <f>A80+1</f>
        <v>46</v>
      </c>
      <c r="B81" s="5"/>
      <c r="C81" s="5" t="s">
        <v>493</v>
      </c>
      <c r="D81" s="2"/>
      <c r="E81" s="2"/>
      <c r="F81" s="6"/>
      <c r="G81" s="6"/>
      <c r="H81" s="6"/>
      <c r="I81" s="6"/>
      <c r="J81" s="170">
        <f>J78-J79-J80</f>
        <v>3945027855.5</v>
      </c>
      <c r="K81" s="2"/>
      <c r="L81" s="2"/>
      <c r="M81" s="2"/>
      <c r="N81" s="2"/>
      <c r="O81" s="2"/>
      <c r="P81" s="2"/>
    </row>
    <row r="82" spans="1:16" ht="15">
      <c r="A82" s="5"/>
      <c r="B82" s="5"/>
      <c r="C82" s="5"/>
      <c r="D82" s="2"/>
      <c r="E82" s="2"/>
      <c r="F82" s="6"/>
      <c r="G82" s="6"/>
      <c r="H82" s="6"/>
      <c r="I82" s="6"/>
      <c r="J82" s="6"/>
      <c r="K82" s="2"/>
      <c r="L82" s="2"/>
      <c r="M82" s="2"/>
      <c r="N82" s="2"/>
      <c r="O82" s="2"/>
      <c r="P82" s="2"/>
    </row>
    <row r="83" spans="1:16" ht="15">
      <c r="A83" s="38">
        <f>A81+1</f>
        <v>47</v>
      </c>
      <c r="B83" s="5"/>
      <c r="C83" s="5" t="str">
        <f>"Total Capitalization (Sum of Lines "&amp;A73&amp;", "&amp;A75&amp;", and "&amp;A81&amp;")"</f>
        <v>Total Capitalization (Sum of Lines 41, 42, and 46)</v>
      </c>
      <c r="D83" s="2"/>
      <c r="E83" s="2"/>
      <c r="F83" s="6"/>
      <c r="G83" s="6"/>
      <c r="H83" s="6"/>
      <c r="I83" s="6"/>
      <c r="J83" s="6">
        <f>J73+J75+J81</f>
        <v>8140505252.5</v>
      </c>
      <c r="K83" s="2"/>
      <c r="L83" s="2"/>
      <c r="M83" s="2"/>
      <c r="N83" s="2"/>
      <c r="O83" s="2"/>
      <c r="P83" s="2"/>
    </row>
    <row r="84" spans="1:16">
      <c r="B84" s="10"/>
      <c r="F84" s="91"/>
      <c r="G84" s="91"/>
      <c r="H84" s="91"/>
      <c r="I84" s="91"/>
      <c r="J84" s="91"/>
    </row>
    <row r="85" spans="1:16">
      <c r="B85" s="10"/>
      <c r="F85" s="91"/>
      <c r="G85" s="91"/>
      <c r="H85" s="91"/>
      <c r="I85" s="91"/>
      <c r="J85" s="91"/>
    </row>
    <row r="86" spans="1:16">
      <c r="B86" s="10"/>
      <c r="F86" s="91"/>
      <c r="G86" s="91"/>
      <c r="H86" s="91"/>
      <c r="I86" s="91"/>
      <c r="J86" s="91"/>
    </row>
    <row r="87" spans="1:16">
      <c r="B87" s="10"/>
      <c r="F87" s="91"/>
      <c r="G87" s="91"/>
      <c r="H87" s="91"/>
      <c r="I87" s="91"/>
      <c r="J87" s="91"/>
    </row>
    <row r="88" spans="1:16">
      <c r="F88" s="91"/>
      <c r="G88" s="91"/>
      <c r="H88" s="91"/>
      <c r="I88" s="91"/>
      <c r="J88" s="91"/>
    </row>
    <row r="89" spans="1:16">
      <c r="F89" s="91"/>
      <c r="G89" s="91"/>
      <c r="H89" s="91"/>
      <c r="I89" s="91"/>
      <c r="J89" s="91"/>
    </row>
    <row r="90" spans="1:16">
      <c r="F90" s="91"/>
      <c r="G90" s="91"/>
      <c r="H90" s="91"/>
      <c r="I90" s="91"/>
      <c r="J90" s="91"/>
    </row>
    <row r="91" spans="1:16">
      <c r="F91" s="91"/>
      <c r="G91" s="91"/>
      <c r="H91" s="91"/>
      <c r="I91" s="91"/>
      <c r="J91" s="91"/>
    </row>
    <row r="92" spans="1:16">
      <c r="F92" s="91"/>
      <c r="G92" s="91"/>
      <c r="H92" s="91"/>
      <c r="I92" s="91"/>
      <c r="J92" s="91"/>
    </row>
    <row r="93" spans="1:16">
      <c r="F93" s="91"/>
      <c r="G93" s="91"/>
      <c r="H93" s="91"/>
      <c r="I93" s="91"/>
      <c r="J93" s="91"/>
    </row>
    <row r="94" spans="1:16">
      <c r="F94" s="91"/>
      <c r="G94" s="91"/>
      <c r="H94" s="91"/>
      <c r="I94" s="91"/>
      <c r="J94" s="91"/>
    </row>
    <row r="95" spans="1:16">
      <c r="F95" s="91"/>
      <c r="G95" s="91"/>
      <c r="H95" s="91"/>
      <c r="I95" s="91"/>
      <c r="J95" s="91"/>
    </row>
    <row r="96" spans="1:16">
      <c r="F96" s="91"/>
      <c r="G96" s="91"/>
      <c r="H96" s="91"/>
      <c r="I96" s="91"/>
      <c r="J96" s="91"/>
    </row>
    <row r="97" spans="6:10">
      <c r="F97" s="91"/>
      <c r="G97" s="91"/>
      <c r="H97" s="91"/>
      <c r="I97" s="91"/>
      <c r="J97" s="91"/>
    </row>
    <row r="98" spans="6:10">
      <c r="F98" s="91"/>
      <c r="G98" s="91"/>
      <c r="H98" s="91"/>
      <c r="I98" s="91"/>
      <c r="J98" s="91"/>
    </row>
  </sheetData>
  <mergeCells count="14">
    <mergeCell ref="B47:C47"/>
    <mergeCell ref="N1:P1"/>
    <mergeCell ref="N2:P2"/>
    <mergeCell ref="N3:P3"/>
    <mergeCell ref="A5:P5"/>
    <mergeCell ref="A6:P6"/>
    <mergeCell ref="A8:P8"/>
    <mergeCell ref="L11:M11"/>
    <mergeCell ref="L38:M38"/>
    <mergeCell ref="L39:M39"/>
    <mergeCell ref="L40:M40"/>
    <mergeCell ref="L41:M41"/>
    <mergeCell ref="B45:C45"/>
    <mergeCell ref="L45:M45"/>
  </mergeCells>
  <pageMargins left="0.75" right="0.75" top="1" bottom="1" header="0.5" footer="0.5"/>
  <pageSetup scale="53" orientation="portrait" r:id="rId1"/>
  <headerFooter alignWithMargins="0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3:D15"/>
  <sheetViews>
    <sheetView workbookViewId="0">
      <selection activeCell="C16" sqref="C16"/>
    </sheetView>
  </sheetViews>
  <sheetFormatPr defaultRowHeight="12.75"/>
  <cols>
    <col min="1" max="1" width="4.7109375" customWidth="1"/>
    <col min="2" max="2" width="10.28515625" customWidth="1"/>
    <col min="3" max="3" width="12.140625" customWidth="1"/>
  </cols>
  <sheetData>
    <row r="3" spans="1:4">
      <c r="C3" s="10"/>
    </row>
    <row r="4" spans="1:4" ht="15">
      <c r="A4" s="1" t="s">
        <v>748</v>
      </c>
      <c r="B4" s="1"/>
      <c r="C4" s="1"/>
      <c r="D4" s="2"/>
    </row>
    <row r="5" spans="1:4" ht="15">
      <c r="B5" s="2"/>
      <c r="C5" s="2"/>
      <c r="D5" s="2"/>
    </row>
    <row r="6" spans="1:4" ht="15">
      <c r="B6" s="2" t="s">
        <v>190</v>
      </c>
      <c r="C6" s="153">
        <v>0</v>
      </c>
      <c r="D6" s="2"/>
    </row>
    <row r="7" spans="1:4" ht="15">
      <c r="B7" s="2" t="s">
        <v>192</v>
      </c>
      <c r="C7" s="153">
        <f>'PEF - 2 Page 2 Rate Base'!M19</f>
        <v>0.13704860131661345</v>
      </c>
      <c r="D7" s="2"/>
    </row>
    <row r="8" spans="1:4" ht="15">
      <c r="B8" s="2" t="s">
        <v>168</v>
      </c>
      <c r="C8" s="153">
        <f>'PEF - 2 - Page 4 Support'!I35</f>
        <v>7.05738175871157E-2</v>
      </c>
      <c r="D8" s="2"/>
    </row>
    <row r="9" spans="1:4" ht="15">
      <c r="B9" s="2" t="s">
        <v>164</v>
      </c>
      <c r="C9" s="153">
        <f>'PEF - 2 Page 2 Rate Base'!M35</f>
        <v>0.16569592839496061</v>
      </c>
      <c r="D9" s="2"/>
    </row>
    <row r="10" spans="1:4" ht="15">
      <c r="B10" s="2" t="s">
        <v>749</v>
      </c>
      <c r="C10" s="153">
        <v>1</v>
      </c>
      <c r="D10" s="2"/>
    </row>
    <row r="11" spans="1:4" ht="15">
      <c r="B11" s="2" t="s">
        <v>166</v>
      </c>
      <c r="C11" s="153">
        <v>0</v>
      </c>
      <c r="D11" s="2"/>
    </row>
    <row r="12" spans="1:4" ht="15">
      <c r="B12" s="2" t="s">
        <v>176</v>
      </c>
      <c r="C12" s="153">
        <v>0</v>
      </c>
      <c r="D12" s="2"/>
    </row>
    <row r="13" spans="1:4" ht="15">
      <c r="B13" s="2" t="s">
        <v>162</v>
      </c>
      <c r="C13" s="153">
        <v>0</v>
      </c>
      <c r="D13" s="2"/>
    </row>
    <row r="14" spans="1:4" ht="15">
      <c r="B14" s="2" t="s">
        <v>747</v>
      </c>
      <c r="C14" s="153">
        <f>'PEF - 2 - Page 5 Storm, Notes'!I20</f>
        <v>0.8498729351098574</v>
      </c>
      <c r="D14" s="2"/>
    </row>
    <row r="15" spans="1:4" ht="15">
      <c r="B15" s="2" t="s">
        <v>450</v>
      </c>
      <c r="C15" s="153">
        <f>'PEF - 2 - Page 4 Support'!I20</f>
        <v>0.92460546182318382</v>
      </c>
      <c r="D15" s="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workbookViewId="0">
      <selection activeCell="C29" sqref="C29"/>
    </sheetView>
  </sheetViews>
  <sheetFormatPr defaultRowHeight="12.75"/>
  <cols>
    <col min="2" max="2" width="2.7109375" customWidth="1"/>
    <col min="3" max="3" width="40.42578125" customWidth="1"/>
    <col min="4" max="4" width="15.140625" bestFit="1" customWidth="1"/>
    <col min="5" max="5" width="4.7109375" customWidth="1"/>
    <col min="6" max="6" width="13.42578125" customWidth="1"/>
    <col min="7" max="7" width="3.7109375" customWidth="1"/>
    <col min="8" max="8" width="12.5703125" bestFit="1" customWidth="1"/>
    <col min="10" max="10" width="3.7109375" customWidth="1"/>
    <col min="11" max="11" width="13.7109375" customWidth="1"/>
    <col min="12" max="12" width="5.7109375" customWidth="1"/>
  </cols>
  <sheetData>
    <row r="1" spans="1:12" ht="15.75">
      <c r="A1" s="5"/>
      <c r="B1" s="5"/>
      <c r="C1" s="5"/>
      <c r="D1" s="5"/>
      <c r="E1" s="5"/>
      <c r="F1" s="5"/>
      <c r="G1" s="5"/>
      <c r="H1" s="5"/>
      <c r="I1" s="5"/>
      <c r="J1" s="270" t="s">
        <v>384</v>
      </c>
      <c r="K1" s="270"/>
      <c r="L1" s="270"/>
    </row>
    <row r="2" spans="1:12" ht="15.75">
      <c r="A2" s="5"/>
      <c r="B2" s="5"/>
      <c r="C2" s="5"/>
      <c r="D2" s="5"/>
      <c r="E2" s="5"/>
      <c r="F2" s="5"/>
      <c r="G2" s="5"/>
      <c r="H2" s="5"/>
      <c r="I2" s="5"/>
      <c r="J2" s="271" t="s">
        <v>494</v>
      </c>
      <c r="K2" s="271"/>
      <c r="L2" s="272"/>
    </row>
    <row r="3" spans="1:12" ht="15">
      <c r="A3" s="5"/>
      <c r="B3" s="5"/>
      <c r="C3" s="5"/>
      <c r="D3" s="5"/>
      <c r="E3" s="5"/>
      <c r="F3" s="5"/>
      <c r="G3" s="5"/>
      <c r="H3" s="5"/>
      <c r="I3" s="5"/>
      <c r="J3" s="260" t="str">
        <f>'PEF - 6  p1, FF1 Inputs '!K3</f>
        <v>Year Ending 12/31/2009</v>
      </c>
      <c r="K3" s="260"/>
      <c r="L3" s="260"/>
    </row>
    <row r="4" spans="1:12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5">
      <c r="A5" s="254" t="s">
        <v>70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</row>
    <row r="6" spans="1:12" ht="15">
      <c r="A6" s="254" t="s">
        <v>386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</row>
    <row r="7" spans="1:12" ht="15">
      <c r="A7" s="158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</row>
    <row r="8" spans="1:12" ht="15">
      <c r="A8" s="254" t="s">
        <v>495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</row>
    <row r="9" spans="1:12" ht="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15">
      <c r="A10" s="38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30">
      <c r="A11" s="158" t="s">
        <v>0</v>
      </c>
      <c r="B11" s="93" t="s">
        <v>496</v>
      </c>
      <c r="C11" s="94"/>
      <c r="D11" s="158" t="s">
        <v>76</v>
      </c>
      <c r="E11" s="158"/>
      <c r="F11" s="158" t="s">
        <v>421</v>
      </c>
      <c r="G11" s="158"/>
      <c r="H11" s="254" t="s">
        <v>157</v>
      </c>
      <c r="I11" s="254"/>
      <c r="J11" s="158"/>
      <c r="K11" s="95" t="s">
        <v>422</v>
      </c>
      <c r="L11" s="96"/>
    </row>
    <row r="12" spans="1:12" ht="15">
      <c r="A12" s="38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5">
      <c r="A13" s="38"/>
      <c r="B13" s="64" t="s">
        <v>497</v>
      </c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15">
      <c r="A14" s="97">
        <v>1</v>
      </c>
      <c r="B14" s="64"/>
      <c r="C14" s="5" t="str">
        <f>'PEF - 6  p1, FF1 Inputs '!E50</f>
        <v>TOTAL Transmission Expenses</v>
      </c>
      <c r="D14" s="38" t="str">
        <f>'PEF - 6  p1, FF1 Inputs '!F50</f>
        <v>321.112.b</v>
      </c>
      <c r="E14" s="38"/>
      <c r="F14" s="169">
        <f>'PEF - 6  p1, FF1 Inputs '!J50</f>
        <v>35981541</v>
      </c>
      <c r="G14" s="5"/>
      <c r="H14" s="38"/>
      <c r="I14" s="5"/>
      <c r="J14" s="5"/>
      <c r="K14" s="7"/>
      <c r="L14" s="5"/>
    </row>
    <row r="15" spans="1:12" ht="15">
      <c r="A15" s="38">
        <f>A14+1</f>
        <v>2</v>
      </c>
      <c r="B15" s="64"/>
      <c r="C15" s="5" t="s">
        <v>498</v>
      </c>
      <c r="D15" s="38" t="s">
        <v>499</v>
      </c>
      <c r="E15" s="38"/>
      <c r="F15" s="169">
        <f>'PEF - 6  p1, FF1 Inputs '!$J$48</f>
        <v>4542502</v>
      </c>
      <c r="G15" s="5"/>
      <c r="H15" s="38"/>
      <c r="I15" s="5"/>
      <c r="J15" s="5"/>
      <c r="K15" s="7"/>
      <c r="L15" s="5"/>
    </row>
    <row r="16" spans="1:12" ht="15.75" thickBot="1">
      <c r="A16" s="38">
        <f>A15+1</f>
        <v>3</v>
      </c>
      <c r="B16" s="64"/>
      <c r="C16" s="5" t="s">
        <v>500</v>
      </c>
      <c r="D16" s="38" t="str">
        <f>'PEF - 6  p1, FF1 Inputs '!F49</f>
        <v>321.96.b</v>
      </c>
      <c r="E16" s="38"/>
      <c r="F16" s="169">
        <f>'PEF - 6  p1, FF1 Inputs '!J49</f>
        <v>0</v>
      </c>
      <c r="G16" s="5"/>
      <c r="H16" s="38"/>
      <c r="I16" s="98"/>
      <c r="J16" s="98"/>
      <c r="K16" s="7"/>
      <c r="L16" s="5"/>
    </row>
    <row r="17" spans="1:13" ht="15.75" thickTop="1">
      <c r="A17" s="38">
        <f>A16+1</f>
        <v>4</v>
      </c>
      <c r="B17" s="64"/>
      <c r="C17" s="5" t="s">
        <v>501</v>
      </c>
      <c r="D17" s="38" t="s">
        <v>502</v>
      </c>
      <c r="E17" s="38"/>
      <c r="F17" s="99">
        <f>F14-F15-F16</f>
        <v>31439039</v>
      </c>
      <c r="G17" s="5"/>
      <c r="H17" s="38" t="s">
        <v>503</v>
      </c>
      <c r="I17" s="98">
        <f>'PEF - 2 - Page 4 Support'!I23</f>
        <v>0.94666027218304372</v>
      </c>
      <c r="J17" s="98"/>
      <c r="K17" s="99">
        <f>F17*I17</f>
        <v>29762089.216913328</v>
      </c>
      <c r="L17" s="5"/>
    </row>
    <row r="18" spans="1:13" ht="15">
      <c r="A18" s="38"/>
      <c r="B18" s="64"/>
      <c r="C18" s="5"/>
      <c r="D18" s="38"/>
      <c r="E18" s="38"/>
      <c r="F18" s="7"/>
      <c r="G18" s="5"/>
      <c r="H18" s="38"/>
      <c r="I18" s="98"/>
      <c r="J18" s="98"/>
      <c r="K18" s="7"/>
      <c r="L18" s="5"/>
    </row>
    <row r="19" spans="1:13" ht="15">
      <c r="A19" s="38">
        <f>A17+1</f>
        <v>5</v>
      </c>
      <c r="B19" s="64"/>
      <c r="C19" s="212" t="s">
        <v>783</v>
      </c>
      <c r="D19" s="38" t="str">
        <f>'PEF - 6  p1, FF1 Inputs '!F54</f>
        <v>323.197.b</v>
      </c>
      <c r="E19" s="38"/>
      <c r="F19" s="7">
        <f>'PEF - 6  p1, FF1 Inputs '!J54-728536+28156-2027148-469764-1010-578473+33814778</f>
        <v>244789959</v>
      </c>
      <c r="G19" s="5"/>
      <c r="H19" s="38"/>
      <c r="I19" s="98"/>
      <c r="J19" s="98"/>
      <c r="K19" s="7" t="str">
        <f>IF(ISNUMBER(I19),F19*I19,"")</f>
        <v/>
      </c>
      <c r="L19" s="5"/>
      <c r="M19" s="203"/>
    </row>
    <row r="20" spans="1:13" ht="15">
      <c r="A20" s="38">
        <f>A19+1</f>
        <v>6</v>
      </c>
      <c r="B20" s="64"/>
      <c r="C20" s="5" t="str">
        <f>" Less "&amp;'PEF - 6  p1, FF1 Inputs '!E51</f>
        <v xml:space="preserve"> Less (924) Property Insurance</v>
      </c>
      <c r="D20" s="38" t="str">
        <f>'PEF - 6  p1, FF1 Inputs '!F51</f>
        <v>323.185.b</v>
      </c>
      <c r="E20" s="38"/>
      <c r="F20" s="7">
        <f>'PEF - 6  p1, FF1 Inputs '!J51</f>
        <v>12144902</v>
      </c>
      <c r="G20" s="5"/>
      <c r="H20" s="38"/>
      <c r="I20" s="98"/>
      <c r="J20" s="98"/>
      <c r="K20" s="7"/>
      <c r="L20" s="5"/>
    </row>
    <row r="21" spans="1:13" ht="15">
      <c r="A21" s="38">
        <f>A20+1</f>
        <v>7</v>
      </c>
      <c r="B21" s="64"/>
      <c r="C21" s="5" t="str">
        <f>" Less "&amp;'PEF - 6  p1, FF1 Inputs '!E52</f>
        <v xml:space="preserve"> Less (928) Regulatory Commission Expenses</v>
      </c>
      <c r="D21" s="38" t="str">
        <f>'PEF - 6  p1, FF1 Inputs '!F52</f>
        <v>323.189.b</v>
      </c>
      <c r="E21" s="38"/>
      <c r="F21" s="7">
        <f>'PEF - 6  p1, FF1 Inputs '!J52</f>
        <v>484359</v>
      </c>
      <c r="G21" s="5"/>
      <c r="H21" s="38"/>
      <c r="I21" s="98"/>
      <c r="J21" s="98"/>
      <c r="K21" s="7"/>
      <c r="L21" s="5"/>
    </row>
    <row r="22" spans="1:13" ht="15">
      <c r="A22" s="38">
        <f>A21+1</f>
        <v>8</v>
      </c>
      <c r="B22" s="64"/>
      <c r="C22" s="5" t="str">
        <f>" Less "&amp;'PEF - 6  p1, FF1 Inputs '!E53</f>
        <v xml:space="preserve"> Less (930.1) General Advertising Expenses</v>
      </c>
      <c r="D22" s="38" t="str">
        <f>'PEF - 6  p1, FF1 Inputs '!F53</f>
        <v>323.191.b</v>
      </c>
      <c r="E22" s="38"/>
      <c r="F22" s="7">
        <f>'PEF - 6  p1, FF1 Inputs '!J53</f>
        <v>1138187</v>
      </c>
      <c r="G22" s="5"/>
      <c r="H22" s="38"/>
      <c r="I22" s="98"/>
      <c r="J22" s="98"/>
      <c r="K22" s="7"/>
      <c r="L22" s="5"/>
    </row>
    <row r="23" spans="1:13" ht="15.75" thickBot="1">
      <c r="A23" s="38">
        <f>A22+1</f>
        <v>9</v>
      </c>
      <c r="B23" s="64"/>
      <c r="C23" s="5" t="s">
        <v>504</v>
      </c>
      <c r="D23" s="97" t="s">
        <v>505</v>
      </c>
      <c r="E23" s="38"/>
      <c r="F23" s="7">
        <f>'PEF - 6  p1, FF1 Inputs '!J55</f>
        <v>6123329</v>
      </c>
      <c r="G23" s="5"/>
      <c r="H23" s="38"/>
      <c r="I23" s="98"/>
      <c r="J23" s="98"/>
      <c r="K23" s="7"/>
      <c r="L23" s="5"/>
    </row>
    <row r="24" spans="1:13" ht="15.75" thickTop="1">
      <c r="A24" s="38">
        <f>A23+1</f>
        <v>10</v>
      </c>
      <c r="B24" s="64"/>
      <c r="C24" s="5" t="s">
        <v>506</v>
      </c>
      <c r="D24" s="38"/>
      <c r="E24" s="38"/>
      <c r="F24" s="99">
        <f>F19-SUM(F20:F23)</f>
        <v>224899182</v>
      </c>
      <c r="G24" s="5"/>
      <c r="H24" s="38" t="s">
        <v>451</v>
      </c>
      <c r="I24" s="98">
        <f>'PEF - 2 - Page 4 Support'!I35</f>
        <v>7.05738175871157E-2</v>
      </c>
      <c r="J24" s="98"/>
      <c r="K24" s="7">
        <f>F24*I24</f>
        <v>15871993.845959535</v>
      </c>
      <c r="L24" s="5"/>
    </row>
    <row r="25" spans="1:13" ht="15">
      <c r="A25" s="38"/>
      <c r="B25" s="64"/>
      <c r="C25" s="5"/>
      <c r="D25" s="38"/>
      <c r="E25" s="38"/>
      <c r="F25" s="180"/>
      <c r="G25" s="5"/>
      <c r="H25" s="38"/>
      <c r="I25" s="98"/>
      <c r="J25" s="98"/>
      <c r="K25" s="7"/>
      <c r="L25" s="5"/>
    </row>
    <row r="26" spans="1:13" ht="15">
      <c r="A26" s="38">
        <f>A24+1</f>
        <v>11</v>
      </c>
      <c r="B26" s="64"/>
      <c r="C26" s="5" t="str">
        <f>'PEF - 6  p1, FF1 Inputs '!E51</f>
        <v>(924) Property Insurance</v>
      </c>
      <c r="D26" s="38" t="str">
        <f>'PEF - 6  p1, FF1 Inputs '!F51</f>
        <v>323.185.b</v>
      </c>
      <c r="E26" s="38"/>
      <c r="F26" s="7">
        <f>'PEF - 6  p1, FF1 Inputs '!J51</f>
        <v>12144902</v>
      </c>
      <c r="G26" s="5"/>
      <c r="H26" s="38"/>
      <c r="I26" s="98"/>
      <c r="J26" s="98"/>
      <c r="K26" s="7"/>
      <c r="L26" s="5"/>
    </row>
    <row r="27" spans="1:13" ht="15.75" thickBot="1">
      <c r="A27" s="38">
        <f>A26+1</f>
        <v>12</v>
      </c>
      <c r="B27" s="64"/>
      <c r="C27" s="106" t="s">
        <v>507</v>
      </c>
      <c r="D27" s="38"/>
      <c r="E27" s="38"/>
      <c r="F27" s="7">
        <f>6000000+6636</f>
        <v>6006636</v>
      </c>
      <c r="G27" s="5"/>
      <c r="H27" s="38"/>
      <c r="I27" s="98"/>
      <c r="J27" s="98"/>
      <c r="K27" s="7"/>
      <c r="L27" s="5"/>
    </row>
    <row r="28" spans="1:13" ht="15.75" thickTop="1">
      <c r="A28" s="38">
        <f>A27+1</f>
        <v>13</v>
      </c>
      <c r="B28" s="64"/>
      <c r="C28" s="106" t="s">
        <v>508</v>
      </c>
      <c r="D28" s="38"/>
      <c r="E28" s="38"/>
      <c r="F28" s="99">
        <f>F26-F27</f>
        <v>6138266</v>
      </c>
      <c r="G28" s="5"/>
      <c r="H28" s="38" t="s">
        <v>192</v>
      </c>
      <c r="I28" s="98">
        <f>'PEF - 2 Page 2 Rate Base'!M19</f>
        <v>0.13704860131661345</v>
      </c>
      <c r="J28" s="98"/>
      <c r="K28" s="7">
        <f>F28*I28</f>
        <v>841240.7698093236</v>
      </c>
      <c r="L28" s="5"/>
    </row>
    <row r="29" spans="1:13" ht="15">
      <c r="A29" s="38"/>
      <c r="B29" s="64"/>
      <c r="C29" s="5"/>
      <c r="D29" s="38"/>
      <c r="E29" s="38"/>
      <c r="F29" s="7"/>
      <c r="G29" s="5"/>
      <c r="H29" s="38"/>
      <c r="I29" s="98"/>
      <c r="J29" s="98"/>
      <c r="K29" s="7"/>
      <c r="L29" s="5"/>
    </row>
    <row r="30" spans="1:13" ht="15">
      <c r="A30" s="38">
        <f>A28+1</f>
        <v>14</v>
      </c>
      <c r="B30" s="64"/>
      <c r="C30" s="5" t="s">
        <v>509</v>
      </c>
      <c r="D30" s="38" t="s">
        <v>510</v>
      </c>
      <c r="E30" s="38"/>
      <c r="F30" s="7"/>
      <c r="G30" s="5"/>
      <c r="H30" s="38" t="s">
        <v>427</v>
      </c>
      <c r="I30" s="98">
        <v>1</v>
      </c>
      <c r="J30" s="98"/>
      <c r="K30" s="7">
        <f>F30*I30</f>
        <v>0</v>
      </c>
      <c r="L30" s="5"/>
    </row>
    <row r="31" spans="1:13" ht="15">
      <c r="A31" s="38">
        <f>A30+1</f>
        <v>15</v>
      </c>
      <c r="B31" s="64"/>
      <c r="C31" s="5" t="s">
        <v>511</v>
      </c>
      <c r="D31" s="38" t="s">
        <v>510</v>
      </c>
      <c r="E31" s="38"/>
      <c r="F31" s="7"/>
      <c r="G31" s="5"/>
      <c r="H31" s="38" t="s">
        <v>427</v>
      </c>
      <c r="I31" s="98">
        <v>1</v>
      </c>
      <c r="J31" s="98"/>
      <c r="K31" s="7">
        <f>F31*I31</f>
        <v>0</v>
      </c>
      <c r="L31" s="5"/>
    </row>
    <row r="32" spans="1:13" ht="15">
      <c r="A32" s="38">
        <f>A31+1</f>
        <v>16</v>
      </c>
      <c r="B32" s="64"/>
      <c r="C32" s="5" t="s">
        <v>512</v>
      </c>
      <c r="D32" s="38" t="s">
        <v>513</v>
      </c>
      <c r="E32" s="38"/>
      <c r="F32" s="7">
        <f>'PEF - 2 - Page 6, PBOPs'!G50</f>
        <v>3854526</v>
      </c>
      <c r="G32" s="5"/>
      <c r="H32" s="38" t="s">
        <v>451</v>
      </c>
      <c r="I32" s="98">
        <f>'PEF - 2 - Page 4 Support'!I35</f>
        <v>7.05738175871157E-2</v>
      </c>
      <c r="J32" s="98"/>
      <c r="K32" s="7">
        <f>F32*I32</f>
        <v>272028.61480879475</v>
      </c>
      <c r="L32" s="5"/>
    </row>
    <row r="33" spans="1:13" ht="15.75" thickBot="1">
      <c r="A33" s="38"/>
      <c r="B33" s="64"/>
      <c r="C33" s="5"/>
      <c r="D33" s="38"/>
      <c r="E33" s="38"/>
      <c r="F33" s="7"/>
      <c r="G33" s="5"/>
      <c r="H33" s="38"/>
      <c r="I33" s="98"/>
      <c r="J33" s="98"/>
      <c r="K33" s="7"/>
      <c r="L33" s="5"/>
    </row>
    <row r="34" spans="1:13" ht="15.75" thickTop="1">
      <c r="A34" s="38">
        <f>A32+1</f>
        <v>17</v>
      </c>
      <c r="B34" s="64" t="str">
        <f>"Total O&amp;M (Sum of Lines "&amp;A17&amp;", "&amp;A24&amp;", and "&amp;A28&amp;" thru "&amp;A32&amp;")"</f>
        <v>Total O&amp;M (Sum of Lines 4, 10, and 13 thru 16)</v>
      </c>
      <c r="C34" s="5"/>
      <c r="D34" s="38"/>
      <c r="E34" s="38"/>
      <c r="F34" s="7"/>
      <c r="G34" s="5"/>
      <c r="H34" s="38"/>
      <c r="I34" s="98"/>
      <c r="J34" s="98"/>
      <c r="K34" s="62">
        <f>K17+K24+SUM(K26:K32)</f>
        <v>46747352.447490983</v>
      </c>
      <c r="L34" s="5"/>
    </row>
    <row r="35" spans="1:13" ht="15">
      <c r="A35" s="38"/>
      <c r="B35" s="64"/>
      <c r="C35" s="5"/>
      <c r="D35" s="38"/>
      <c r="E35" s="38"/>
      <c r="F35" s="7"/>
      <c r="G35" s="5"/>
      <c r="H35" s="38"/>
      <c r="I35" s="98"/>
      <c r="J35" s="98"/>
      <c r="K35" s="7"/>
      <c r="L35" s="5"/>
    </row>
    <row r="36" spans="1:13" ht="15">
      <c r="A36" s="38"/>
      <c r="B36" s="64" t="s">
        <v>514</v>
      </c>
      <c r="C36" s="5"/>
      <c r="D36" s="38"/>
      <c r="E36" s="38"/>
      <c r="F36" s="7"/>
      <c r="G36" s="5"/>
      <c r="H36" s="38"/>
      <c r="I36" s="98"/>
      <c r="J36" s="98"/>
      <c r="K36" s="7"/>
      <c r="L36" s="5"/>
    </row>
    <row r="37" spans="1:13" ht="15">
      <c r="A37" s="38">
        <f>A34+1</f>
        <v>18</v>
      </c>
      <c r="B37" s="64"/>
      <c r="C37" s="159" t="str">
        <f>'PEF - 6  p1, FF1 Inputs '!E57&amp;" (Note V)"</f>
        <v>Transmission Depr. Expense (Note V)</v>
      </c>
      <c r="D37" s="38" t="str">
        <f>'PEF - 6  p1, FF1 Inputs '!F57</f>
        <v>336.7.f</v>
      </c>
      <c r="E37" s="38"/>
      <c r="F37" s="7">
        <f>'PEF - 6  p1, FF1 Inputs '!J57</f>
        <v>36199684</v>
      </c>
      <c r="G37" s="5"/>
      <c r="H37" s="38" t="s">
        <v>450</v>
      </c>
      <c r="I37" s="98">
        <f>'PEF - 2 - Page 4 Support'!I20</f>
        <v>0.92460546182318382</v>
      </c>
      <c r="J37" s="98"/>
      <c r="K37" s="7">
        <f>F37*I37</f>
        <v>33470425.54267332</v>
      </c>
      <c r="L37" s="5"/>
    </row>
    <row r="38" spans="1:13" ht="15">
      <c r="A38" s="38">
        <f>A37+1</f>
        <v>19</v>
      </c>
      <c r="B38" s="64"/>
      <c r="C38" s="159" t="str">
        <f>'PEF - 6  p1, FF1 Inputs '!E58</f>
        <v>General Depr. Expense</v>
      </c>
      <c r="D38" s="38" t="str">
        <f>'PEF - 6  p1, FF1 Inputs '!F58</f>
        <v>336.10.f</v>
      </c>
      <c r="E38" s="38"/>
      <c r="F38" s="7">
        <f>'PEF - 6  p1, FF1 Inputs '!J58</f>
        <v>16355631</v>
      </c>
      <c r="G38" s="5"/>
      <c r="H38" s="38" t="s">
        <v>451</v>
      </c>
      <c r="I38" s="98">
        <f>'PEF - 2 - Page 4 Support'!I35</f>
        <v>7.05738175871157E-2</v>
      </c>
      <c r="J38" s="98"/>
      <c r="K38" s="7">
        <f>F38*I38</f>
        <v>1154279.3187161747</v>
      </c>
      <c r="L38" s="5"/>
    </row>
    <row r="39" spans="1:13" ht="15.75" thickBot="1">
      <c r="A39" s="38">
        <f>A38+1</f>
        <v>20</v>
      </c>
      <c r="B39" s="64"/>
      <c r="C39" s="159" t="str">
        <f>'PEF - 6  p1, FF1 Inputs '!E56&amp;" (Note E)"</f>
        <v>Intangible Amortization (Note E)</v>
      </c>
      <c r="D39" s="38" t="str">
        <f>'PEF - 6  p1, FF1 Inputs '!F56</f>
        <v>336.1.f</v>
      </c>
      <c r="E39" s="38"/>
      <c r="F39" s="7">
        <f>'PEF - 6  p1, FF1 Inputs '!J56</f>
        <v>2031089</v>
      </c>
      <c r="G39" s="5"/>
      <c r="H39" s="38" t="s">
        <v>451</v>
      </c>
      <c r="I39" s="98">
        <f>'PEF - 2 - Page 4 Support'!I35</f>
        <v>7.05738175871157E-2</v>
      </c>
      <c r="J39" s="98"/>
      <c r="K39" s="7">
        <f>F39*I39</f>
        <v>143341.70458919724</v>
      </c>
      <c r="L39" s="5"/>
      <c r="M39" s="203"/>
    </row>
    <row r="40" spans="1:13" ht="15" customHeight="1" thickTop="1">
      <c r="A40" s="38">
        <f>A39+1</f>
        <v>21</v>
      </c>
      <c r="B40" s="64" t="s">
        <v>515</v>
      </c>
      <c r="C40" s="5"/>
      <c r="D40" s="38"/>
      <c r="E40" s="38"/>
      <c r="F40" s="99">
        <f>SUM(F37:F39)</f>
        <v>54586404</v>
      </c>
      <c r="G40" s="5"/>
      <c r="H40" s="38"/>
      <c r="I40" s="98"/>
      <c r="J40" s="98"/>
      <c r="K40" s="62">
        <f>SUM(K37:K39)</f>
        <v>34768046.565978691</v>
      </c>
      <c r="L40" s="5"/>
    </row>
    <row r="41" spans="1:13" ht="15">
      <c r="A41" s="38"/>
      <c r="B41" s="64"/>
      <c r="C41" s="5"/>
      <c r="D41" s="38"/>
      <c r="E41" s="38"/>
      <c r="F41" s="5"/>
      <c r="G41" s="5"/>
      <c r="H41" s="38"/>
      <c r="I41" s="5"/>
      <c r="J41" s="5"/>
      <c r="K41" s="5"/>
      <c r="L41" s="5"/>
    </row>
    <row r="42" spans="1:13" ht="15">
      <c r="A42" s="38"/>
      <c r="B42" s="64" t="s">
        <v>516</v>
      </c>
      <c r="C42" s="5"/>
      <c r="D42" s="38"/>
      <c r="E42" s="38"/>
      <c r="F42" s="5"/>
      <c r="G42" s="5"/>
      <c r="H42" s="38"/>
      <c r="I42" s="5"/>
      <c r="J42" s="5"/>
      <c r="K42" s="5"/>
      <c r="L42" s="5"/>
    </row>
    <row r="43" spans="1:13" ht="15">
      <c r="A43" s="38">
        <f>A40+1</f>
        <v>22</v>
      </c>
      <c r="B43" s="64"/>
      <c r="C43" s="5" t="s">
        <v>517</v>
      </c>
      <c r="D43" s="97" t="s">
        <v>518</v>
      </c>
      <c r="E43" s="97"/>
      <c r="F43" s="7">
        <f>'PEF - 6  p1, FF1 Inputs '!J37+'PEF - 6  p1, FF1 Inputs '!J38+'PEF - 6  p1, FF1 Inputs '!J40</f>
        <v>21360718</v>
      </c>
      <c r="G43" s="5"/>
      <c r="H43" s="38" t="s">
        <v>451</v>
      </c>
      <c r="I43" s="98">
        <f>'PEF - 2 - Page 4 Support'!I35</f>
        <v>7.05738175871157E-2</v>
      </c>
      <c r="J43" s="98"/>
      <c r="K43" s="7">
        <f>F43*I43</f>
        <v>1507507.4156618188</v>
      </c>
      <c r="L43" s="5"/>
    </row>
    <row r="44" spans="1:13" ht="15.75" thickBot="1">
      <c r="A44" s="38">
        <f>A43+1</f>
        <v>23</v>
      </c>
      <c r="B44" s="64"/>
      <c r="C44" s="5" t="s">
        <v>519</v>
      </c>
      <c r="D44" s="38" t="s">
        <v>518</v>
      </c>
      <c r="E44" s="38"/>
      <c r="F44" s="7">
        <f>'PEF - 6  p1, FF1 Inputs '!J39+'PEF - 6  p1, FF1 Inputs '!J41+'PEF - 6  p1, FF1 Inputs '!J42</f>
        <v>97085587</v>
      </c>
      <c r="G44" s="5"/>
      <c r="H44" s="38" t="s">
        <v>192</v>
      </c>
      <c r="I44" s="98">
        <f>'PEF - 2 Page 2 Rate Base'!M19</f>
        <v>0.13704860131661345</v>
      </c>
      <c r="J44" s="98"/>
      <c r="K44" s="7">
        <f>F44*I44</f>
        <v>13305443.90635239</v>
      </c>
      <c r="L44" s="5"/>
    </row>
    <row r="45" spans="1:13" ht="15.75" thickTop="1">
      <c r="A45" s="38">
        <f>A44+1</f>
        <v>24</v>
      </c>
      <c r="B45" s="64" t="s">
        <v>520</v>
      </c>
      <c r="C45" s="5"/>
      <c r="D45" s="38"/>
      <c r="E45" s="38"/>
      <c r="F45" s="99">
        <f>SUM(F42:F44)</f>
        <v>118446305</v>
      </c>
      <c r="G45" s="5"/>
      <c r="H45" s="38"/>
      <c r="I45" s="98"/>
      <c r="J45" s="98"/>
      <c r="K45" s="62">
        <f>SUM(K42:K44)</f>
        <v>14812951.322014209</v>
      </c>
      <c r="L45" s="5"/>
    </row>
    <row r="46" spans="1:13" ht="15">
      <c r="A46" s="38"/>
      <c r="B46" s="64"/>
      <c r="C46" s="5"/>
      <c r="D46" s="38"/>
      <c r="E46" s="38"/>
      <c r="F46" s="180"/>
      <c r="G46" s="5"/>
      <c r="H46" s="38"/>
      <c r="I46" s="98"/>
      <c r="J46" s="98"/>
      <c r="K46" s="180"/>
      <c r="L46" s="5"/>
    </row>
    <row r="47" spans="1:13" ht="15">
      <c r="A47" s="38"/>
      <c r="B47" s="64" t="s">
        <v>521</v>
      </c>
      <c r="C47" s="5"/>
      <c r="D47" s="38"/>
      <c r="E47" s="38"/>
      <c r="F47" s="7"/>
      <c r="G47" s="5"/>
      <c r="H47" s="38"/>
      <c r="I47" s="98"/>
      <c r="J47" s="98"/>
      <c r="K47" s="7"/>
      <c r="L47" s="5"/>
    </row>
    <row r="48" spans="1:13" ht="15">
      <c r="A48" s="38">
        <f>A45+1</f>
        <v>25</v>
      </c>
      <c r="B48" s="64"/>
      <c r="C48" s="5" t="str">
        <f>"Rate Base (Page 2, Line "&amp;'PEF - 2 Page 2 Rate Base'!A65&amp;") * Rate of Return (Page 4, Line "&amp;'PEF - 2 - Page 4 Support'!C54&amp;")"</f>
        <v>Rate Base (Page 2, Line 36) * Rate of Return (Page 4, Line 27)</v>
      </c>
      <c r="D48" s="5"/>
      <c r="E48" s="5"/>
      <c r="F48" s="5"/>
      <c r="G48" s="5"/>
      <c r="H48" s="5"/>
      <c r="I48" s="5"/>
      <c r="J48" s="5"/>
      <c r="K48" s="46">
        <f>'PEF - 2 Page 2 Rate Base'!O65*'PEF - 2 - Page 4 Support'!I54</f>
        <v>87069383.105505988</v>
      </c>
      <c r="L48" s="5"/>
    </row>
    <row r="49" spans="1:12" ht="15">
      <c r="A49" s="5"/>
      <c r="B49" s="64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15">
      <c r="A50" s="5"/>
      <c r="B50" s="64" t="s">
        <v>522</v>
      </c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6" customHeight="1">
      <c r="A51" s="5"/>
      <c r="B51" s="64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15">
      <c r="A52" s="38">
        <f>A48+1</f>
        <v>26</v>
      </c>
      <c r="B52" s="64"/>
      <c r="C52" s="5" t="s">
        <v>523</v>
      </c>
      <c r="D52" s="38" t="s">
        <v>524</v>
      </c>
      <c r="E52" s="5"/>
      <c r="F52" s="181">
        <v>5.5E-2</v>
      </c>
      <c r="G52" s="5"/>
      <c r="H52" s="5"/>
      <c r="I52" s="5"/>
      <c r="J52" s="5"/>
      <c r="K52" s="5"/>
      <c r="L52" s="5"/>
    </row>
    <row r="53" spans="1:12" ht="15">
      <c r="A53" s="38">
        <f>A52+1</f>
        <v>27</v>
      </c>
      <c r="B53" s="64"/>
      <c r="C53" s="5" t="s">
        <v>525</v>
      </c>
      <c r="D53" s="38" t="s">
        <v>524</v>
      </c>
      <c r="E53" s="5"/>
      <c r="F53" s="182">
        <v>0.35</v>
      </c>
      <c r="G53" s="5"/>
      <c r="H53" s="5"/>
      <c r="I53" s="5"/>
      <c r="J53" s="5"/>
      <c r="K53" s="5"/>
      <c r="L53" s="5"/>
    </row>
    <row r="54" spans="1:12" ht="15">
      <c r="A54" s="38">
        <f>A53+1</f>
        <v>28</v>
      </c>
      <c r="B54" s="64"/>
      <c r="C54" s="5" t="s">
        <v>526</v>
      </c>
      <c r="D54" s="5"/>
      <c r="E54" s="5"/>
      <c r="F54" s="181">
        <f>F52+(1-F52)*F53</f>
        <v>0.38574999999999998</v>
      </c>
      <c r="G54" s="5"/>
      <c r="H54" s="5"/>
      <c r="I54" s="5"/>
      <c r="J54" s="5"/>
      <c r="K54" s="5"/>
      <c r="L54" s="5"/>
    </row>
    <row r="55" spans="1:12" ht="6" customHeight="1">
      <c r="A55" s="38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8">
      <c r="A56" s="38">
        <f>A54+1</f>
        <v>29</v>
      </c>
      <c r="B56" s="5"/>
      <c r="C56" s="5" t="s">
        <v>771</v>
      </c>
      <c r="D56" s="5"/>
      <c r="E56" s="5"/>
      <c r="F56" s="181">
        <f>F54/(1-F54)*(1-'PEF - 2 - Page 4 Support'!I51/'PEF - 2 - Page 4 Support'!I54)</f>
        <v>0.40267360890362247</v>
      </c>
      <c r="G56" s="5"/>
      <c r="H56" s="5"/>
      <c r="I56" s="5"/>
      <c r="J56" s="5"/>
      <c r="K56" s="5"/>
      <c r="L56" s="5"/>
    </row>
    <row r="57" spans="1:12" ht="15">
      <c r="A57" s="38">
        <f>A56+1</f>
        <v>30</v>
      </c>
      <c r="B57" s="5"/>
      <c r="C57" s="5" t="s">
        <v>527</v>
      </c>
      <c r="D57" s="38"/>
      <c r="E57" s="5"/>
      <c r="F57" s="183">
        <f>1/(1-F54)</f>
        <v>1.6280016280016281</v>
      </c>
      <c r="G57" s="5"/>
      <c r="H57" s="5"/>
      <c r="I57" s="5"/>
      <c r="J57" s="5"/>
      <c r="K57" s="5"/>
      <c r="L57" s="5"/>
    </row>
    <row r="58" spans="1:12" ht="15">
      <c r="A58" s="38">
        <f>A57+1</f>
        <v>31</v>
      </c>
      <c r="B58" s="5"/>
      <c r="C58" s="5" t="str">
        <f>'PEF - 6  p1, FF1 Inputs '!E43</f>
        <v>Amortized ITC (Negative)</v>
      </c>
      <c r="D58" s="38" t="str">
        <f>'PEF - 6  p1, FF1 Inputs '!F43</f>
        <v>266.8.f</v>
      </c>
      <c r="E58" s="38"/>
      <c r="F58" s="7">
        <f>'PEF - 6  p1, FF1 Inputs '!J43</f>
        <v>-4545996</v>
      </c>
      <c r="G58" s="5"/>
      <c r="H58" s="5"/>
      <c r="I58" s="5"/>
      <c r="J58" s="5"/>
      <c r="K58" s="5"/>
      <c r="L58" s="5"/>
    </row>
    <row r="59" spans="1:12" ht="6" customHeight="1">
      <c r="A59" s="38"/>
      <c r="B59" s="5"/>
      <c r="C59" s="5"/>
      <c r="D59" s="5"/>
      <c r="E59" s="5"/>
      <c r="F59" s="5"/>
      <c r="G59" s="5"/>
      <c r="H59" s="38"/>
      <c r="I59" s="98"/>
      <c r="J59" s="98"/>
      <c r="K59" s="7"/>
      <c r="L59" s="5"/>
    </row>
    <row r="60" spans="1:12" ht="15">
      <c r="A60" s="38">
        <f>A58+1</f>
        <v>32</v>
      </c>
      <c r="B60" s="5"/>
      <c r="C60" s="5" t="str">
        <f>"Income Taxes Calculated (Line "&amp;A48&amp;" * Line "&amp;A56&amp;")"</f>
        <v>Income Taxes Calculated (Line 25 * Line 29)</v>
      </c>
      <c r="D60" s="5"/>
      <c r="E60" s="5"/>
      <c r="F60" s="5"/>
      <c r="G60" s="5"/>
      <c r="H60" s="38"/>
      <c r="I60" s="98"/>
      <c r="J60" s="98"/>
      <c r="K60" s="7">
        <f>F56*K48</f>
        <v>35060542.720106192</v>
      </c>
      <c r="L60" s="5"/>
    </row>
    <row r="61" spans="1:12" ht="15.75" thickBot="1">
      <c r="A61" s="38">
        <f>A60+1</f>
        <v>33</v>
      </c>
      <c r="B61" s="5"/>
      <c r="C61" s="5" t="str">
        <f>"ITC Adjustment (Line "&amp;A57&amp;" * Line "&amp;A58&amp;")"</f>
        <v>ITC Adjustment (Line 30 * Line 31)</v>
      </c>
      <c r="D61" s="5"/>
      <c r="E61" s="5"/>
      <c r="F61" s="7">
        <f>F58*F57</f>
        <v>-7400888.888888889</v>
      </c>
      <c r="G61" s="5"/>
      <c r="H61" s="38" t="s">
        <v>164</v>
      </c>
      <c r="I61" s="98">
        <f>'PEF - 2 Page 2 Rate Base'!M35</f>
        <v>0.16569592839496061</v>
      </c>
      <c r="J61" s="98"/>
      <c r="K61" s="7">
        <f>F61*I61</f>
        <v>-1226297.155392393</v>
      </c>
      <c r="L61" s="5"/>
    </row>
    <row r="62" spans="1:12" ht="15.75" thickTop="1">
      <c r="A62" s="38">
        <f>A61+1</f>
        <v>34</v>
      </c>
      <c r="B62" s="64" t="s">
        <v>528</v>
      </c>
      <c r="C62" s="5"/>
      <c r="D62" s="5"/>
      <c r="E62" s="5"/>
      <c r="F62" s="5"/>
      <c r="G62" s="5"/>
      <c r="H62" s="5"/>
      <c r="I62" s="5"/>
      <c r="J62" s="5"/>
      <c r="K62" s="62">
        <f>K60+K61</f>
        <v>33834245.564713798</v>
      </c>
      <c r="L62" s="5"/>
    </row>
    <row r="63" spans="1:12" ht="15">
      <c r="A63" s="38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15">
      <c r="A64" s="38">
        <f>A62+1</f>
        <v>35</v>
      </c>
      <c r="B64" s="64" t="str">
        <f>"TOTAL REVENUE REQUIREMENT (Sum of Lines "&amp;A34&amp;", "&amp;A40&amp;", "&amp;A45&amp;", "&amp;A48&amp;", and "&amp;A62&amp;")"</f>
        <v>TOTAL REVENUE REQUIREMENT (Sum of Lines 17, 21, 24, 25, and 34)</v>
      </c>
      <c r="C64" s="5"/>
      <c r="D64" s="5"/>
      <c r="E64" s="5"/>
      <c r="F64" s="5"/>
      <c r="G64" s="5"/>
      <c r="H64" s="5"/>
      <c r="I64" s="5"/>
      <c r="J64" s="5"/>
      <c r="K64" s="46">
        <f>K34+K40+K45+K48+K62</f>
        <v>217231979.00570366</v>
      </c>
      <c r="L64" s="5"/>
    </row>
  </sheetData>
  <mergeCells count="7">
    <mergeCell ref="H11:I11"/>
    <mergeCell ref="J1:L1"/>
    <mergeCell ref="J2:L2"/>
    <mergeCell ref="J3:L3"/>
    <mergeCell ref="A5:L5"/>
    <mergeCell ref="A6:L6"/>
    <mergeCell ref="A8:L8"/>
  </mergeCells>
  <pageMargins left="0.75" right="0.75" top="1" bottom="1" header="0.5" footer="0.5"/>
  <pageSetup scale="67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opLeftCell="A12" workbookViewId="0">
      <selection activeCell="J26" sqref="J26"/>
    </sheetView>
  </sheetViews>
  <sheetFormatPr defaultRowHeight="12.75"/>
  <cols>
    <col min="4" max="4" width="3.7109375" customWidth="1"/>
    <col min="5" max="5" width="36.85546875" customWidth="1"/>
    <col min="7" max="7" width="12.140625" customWidth="1"/>
    <col min="8" max="8" width="3.7109375" customWidth="1"/>
    <col min="9" max="9" width="13.42578125" customWidth="1"/>
    <col min="12" max="12" width="5.7109375" customWidth="1"/>
  </cols>
  <sheetData>
    <row r="1" spans="1:12" ht="15.75">
      <c r="A1" s="2"/>
      <c r="B1" s="2"/>
      <c r="C1" s="2"/>
      <c r="D1" s="2"/>
      <c r="E1" s="2"/>
      <c r="F1" s="2"/>
      <c r="G1" s="2"/>
      <c r="H1" s="2"/>
      <c r="I1" s="2"/>
      <c r="J1" s="257" t="s">
        <v>384</v>
      </c>
      <c r="K1" s="257"/>
      <c r="L1" s="257"/>
    </row>
    <row r="2" spans="1:12" ht="15.75">
      <c r="A2" s="2"/>
      <c r="B2" s="2"/>
      <c r="C2" s="2"/>
      <c r="D2" s="2"/>
      <c r="E2" s="2"/>
      <c r="F2" s="2"/>
      <c r="G2" s="2"/>
      <c r="H2" s="2"/>
      <c r="I2" s="2"/>
      <c r="J2" s="258" t="s">
        <v>529</v>
      </c>
      <c r="K2" s="258"/>
      <c r="L2" s="259"/>
    </row>
    <row r="3" spans="1:12" ht="15">
      <c r="A3" s="2"/>
      <c r="B3" s="2"/>
      <c r="C3" s="2"/>
      <c r="D3" s="2"/>
      <c r="E3" s="2"/>
      <c r="F3" s="2"/>
      <c r="G3" s="2"/>
      <c r="H3" s="2"/>
      <c r="I3" s="2"/>
      <c r="J3" s="260" t="str">
        <f>'PEF - 6  p1, FF1 Inputs '!K3</f>
        <v>Year Ending 12/31/2009</v>
      </c>
      <c r="K3" s="260"/>
      <c r="L3" s="260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>
      <c r="A5" s="263" t="s">
        <v>70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</row>
    <row r="6" spans="1:12" ht="15">
      <c r="A6" s="263" t="s">
        <v>386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</row>
    <row r="7" spans="1:12" ht="15">
      <c r="A7" s="161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</row>
    <row r="8" spans="1:12" ht="15">
      <c r="A8" s="263" t="s">
        <v>530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/>
      <c r="B11" s="2"/>
      <c r="C11" s="161" t="s">
        <v>0</v>
      </c>
      <c r="D11" s="166"/>
      <c r="E11" s="58"/>
      <c r="F11" s="58"/>
      <c r="G11" s="161" t="s">
        <v>76</v>
      </c>
      <c r="H11" s="161"/>
      <c r="I11" s="161" t="s">
        <v>421</v>
      </c>
      <c r="J11" s="161"/>
      <c r="K11" s="263"/>
      <c r="L11" s="263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/>
      <c r="B13" s="2"/>
      <c r="C13" s="2"/>
      <c r="D13" s="1" t="s">
        <v>531</v>
      </c>
      <c r="E13" s="2"/>
      <c r="F13" s="2"/>
      <c r="G13" s="165"/>
      <c r="H13" s="165"/>
      <c r="I13" s="2"/>
      <c r="J13" s="2"/>
      <c r="K13" s="2"/>
      <c r="L13" s="2"/>
    </row>
    <row r="14" spans="1:12" ht="15">
      <c r="A14" s="2"/>
      <c r="B14" s="2"/>
      <c r="C14" s="165">
        <v>1</v>
      </c>
      <c r="D14" s="2"/>
      <c r="E14" s="2" t="s">
        <v>784</v>
      </c>
      <c r="F14" s="2"/>
      <c r="G14" s="165" t="s">
        <v>532</v>
      </c>
      <c r="H14" s="165"/>
      <c r="I14" s="6">
        <f>'PEF - 2 Page 2 Rate Base'!J15</f>
        <v>1618670708</v>
      </c>
      <c r="J14" s="2"/>
      <c r="K14" s="2"/>
      <c r="L14" s="2"/>
    </row>
    <row r="15" spans="1:12" ht="15">
      <c r="A15" s="2"/>
      <c r="B15" s="2"/>
      <c r="C15" s="165">
        <v>2</v>
      </c>
      <c r="D15" s="2"/>
      <c r="E15" s="2" t="s">
        <v>533</v>
      </c>
      <c r="F15" s="2"/>
      <c r="G15" s="165" t="s">
        <v>398</v>
      </c>
      <c r="H15" s="165"/>
      <c r="I15" s="6">
        <f>'PEF - 4, p2 Step Ups '!G77</f>
        <v>80691019.49000001</v>
      </c>
      <c r="J15" s="2"/>
      <c r="K15" s="2"/>
      <c r="L15" s="2"/>
    </row>
    <row r="16" spans="1:12" ht="15">
      <c r="A16" s="2"/>
      <c r="B16" s="2"/>
      <c r="C16" s="38">
        <v>3</v>
      </c>
      <c r="D16" s="5"/>
      <c r="E16" s="5" t="s">
        <v>534</v>
      </c>
      <c r="F16" s="5"/>
      <c r="G16" s="38" t="s">
        <v>398</v>
      </c>
      <c r="H16" s="38"/>
      <c r="I16" s="7">
        <f>'PEF - 4,  p3 Order 2003 '!J85</f>
        <v>5648435.5</v>
      </c>
      <c r="J16" s="5"/>
      <c r="K16" s="2"/>
      <c r="L16" s="2"/>
    </row>
    <row r="17" spans="1:12" ht="15.75" thickBot="1">
      <c r="A17" s="2"/>
      <c r="B17" s="2"/>
      <c r="C17" s="38">
        <v>4</v>
      </c>
      <c r="D17" s="5"/>
      <c r="E17" s="5" t="s">
        <v>535</v>
      </c>
      <c r="F17" s="5"/>
      <c r="G17" s="38" t="s">
        <v>536</v>
      </c>
      <c r="H17" s="38"/>
      <c r="I17" s="184">
        <f>(35513180+35885771)/2</f>
        <v>35699475.5</v>
      </c>
      <c r="J17" s="5"/>
      <c r="K17" s="2"/>
      <c r="L17" s="2"/>
    </row>
    <row r="18" spans="1:12" ht="15.75" thickTop="1">
      <c r="A18" s="2"/>
      <c r="B18" s="2"/>
      <c r="C18" s="38">
        <v>5</v>
      </c>
      <c r="D18" s="5"/>
      <c r="E18" s="5" t="s">
        <v>537</v>
      </c>
      <c r="F18" s="5"/>
      <c r="G18" s="38"/>
      <c r="H18" s="38"/>
      <c r="I18" s="99">
        <f>I14-I15-I16-I17</f>
        <v>1496631777.51</v>
      </c>
      <c r="J18" s="5"/>
      <c r="K18" s="2"/>
      <c r="L18" s="2"/>
    </row>
    <row r="19" spans="1:12" ht="6" customHeight="1">
      <c r="A19" s="2"/>
      <c r="B19" s="2"/>
      <c r="C19" s="38"/>
      <c r="D19" s="5"/>
      <c r="E19" s="5"/>
      <c r="F19" s="5"/>
      <c r="G19" s="38"/>
      <c r="H19" s="38"/>
      <c r="I19" s="5"/>
      <c r="J19" s="5"/>
      <c r="K19" s="2"/>
      <c r="L19" s="2"/>
    </row>
    <row r="20" spans="1:12" ht="15">
      <c r="A20" s="2"/>
      <c r="B20" s="2"/>
      <c r="C20" s="38">
        <v>6</v>
      </c>
      <c r="D20" s="64" t="s">
        <v>538</v>
      </c>
      <c r="E20" s="5"/>
      <c r="F20" s="5"/>
      <c r="G20" s="38" t="s">
        <v>502</v>
      </c>
      <c r="H20" s="38"/>
      <c r="I20" s="185">
        <f>I18/I14</f>
        <v>0.92460546182318382</v>
      </c>
      <c r="J20" s="5"/>
      <c r="K20" s="2"/>
      <c r="L20" s="2"/>
    </row>
    <row r="21" spans="1:12" ht="15">
      <c r="A21" s="2"/>
      <c r="B21" s="2"/>
      <c r="C21" s="38"/>
      <c r="D21" s="5"/>
      <c r="E21" s="5"/>
      <c r="F21" s="5"/>
      <c r="G21" s="38"/>
      <c r="H21" s="38"/>
      <c r="I21" s="5"/>
      <c r="J21" s="5"/>
      <c r="K21" s="2"/>
      <c r="L21" s="2"/>
    </row>
    <row r="22" spans="1:12" ht="15">
      <c r="A22" s="2"/>
      <c r="B22" s="2"/>
      <c r="C22" s="38">
        <v>7</v>
      </c>
      <c r="D22" s="5"/>
      <c r="E22" s="5" t="s">
        <v>539</v>
      </c>
      <c r="F22" s="5"/>
      <c r="G22" s="38"/>
      <c r="H22" s="38"/>
      <c r="I22" s="7">
        <f>I18+I17</f>
        <v>1532331253.01</v>
      </c>
      <c r="J22" s="5"/>
      <c r="K22" s="2"/>
      <c r="L22" s="2"/>
    </row>
    <row r="23" spans="1:12" ht="15">
      <c r="A23" s="2"/>
      <c r="B23" s="2"/>
      <c r="C23" s="38">
        <v>8</v>
      </c>
      <c r="D23" s="64" t="s">
        <v>540</v>
      </c>
      <c r="E23" s="5"/>
      <c r="F23" s="5"/>
      <c r="G23" s="38"/>
      <c r="H23" s="38"/>
      <c r="I23" s="185">
        <f>I22/I14</f>
        <v>0.94666027218304372</v>
      </c>
      <c r="J23" s="5"/>
      <c r="K23" s="2"/>
      <c r="L23" s="2"/>
    </row>
    <row r="24" spans="1:12" ht="15">
      <c r="A24" s="2"/>
      <c r="B24" s="2"/>
      <c r="C24" s="38"/>
      <c r="D24" s="5"/>
      <c r="E24" s="5"/>
      <c r="F24" s="5"/>
      <c r="G24" s="38"/>
      <c r="H24" s="38"/>
      <c r="I24" s="5"/>
      <c r="J24" s="5"/>
      <c r="K24" s="2"/>
      <c r="L24" s="2"/>
    </row>
    <row r="25" spans="1:12" ht="15">
      <c r="A25" s="2"/>
      <c r="B25" s="2"/>
      <c r="C25" s="5"/>
      <c r="D25" s="64" t="s">
        <v>541</v>
      </c>
      <c r="E25" s="5"/>
      <c r="F25" s="5"/>
      <c r="G25" s="38"/>
      <c r="H25" s="38"/>
      <c r="I25" s="5"/>
      <c r="J25" s="5"/>
      <c r="K25" s="2"/>
      <c r="L25" s="2"/>
    </row>
    <row r="26" spans="1:12" ht="15">
      <c r="A26" s="2"/>
      <c r="B26" s="2"/>
      <c r="C26" s="38">
        <v>9</v>
      </c>
      <c r="D26" s="5"/>
      <c r="E26" s="5" t="str">
        <f>'PEF - 6  p1, FF1 Inputs '!E61</f>
        <v>Total Direct Payroll - O&amp;M Labor</v>
      </c>
      <c r="F26" s="5"/>
      <c r="G26" s="38" t="str">
        <f>'PEF - 6  p1, FF1 Inputs '!F61</f>
        <v>354.28.b</v>
      </c>
      <c r="H26" s="38"/>
      <c r="I26" s="7">
        <f>'PEF - 6  p1, FF1 Inputs '!J61</f>
        <v>296417014</v>
      </c>
      <c r="J26" s="5"/>
      <c r="K26" s="2"/>
      <c r="L26" s="2"/>
    </row>
    <row r="27" spans="1:12" ht="15">
      <c r="A27" s="2"/>
      <c r="B27" s="2"/>
      <c r="C27" s="38">
        <v>10</v>
      </c>
      <c r="D27" s="5"/>
      <c r="E27" s="5" t="str">
        <f>'PEF - 6  p1, FF1 Inputs '!E60</f>
        <v>A&amp;G Labor</v>
      </c>
      <c r="F27" s="5"/>
      <c r="G27" s="38" t="str">
        <f>'PEF - 6  p1, FF1 Inputs '!F60</f>
        <v>354.27.b</v>
      </c>
      <c r="H27" s="38"/>
      <c r="I27" s="7">
        <f>'PEF - 6  p1, FF1 Inputs '!J60</f>
        <v>55645200</v>
      </c>
      <c r="J27" s="5"/>
      <c r="K27" s="2"/>
      <c r="L27" s="2"/>
    </row>
    <row r="28" spans="1:12" ht="15.75" thickBot="1">
      <c r="A28" s="2"/>
      <c r="B28" s="2"/>
      <c r="C28" s="38">
        <v>11</v>
      </c>
      <c r="D28" s="5"/>
      <c r="E28" s="5" t="s">
        <v>542</v>
      </c>
      <c r="F28" s="5"/>
      <c r="G28" s="38"/>
      <c r="H28" s="38"/>
      <c r="I28" s="7">
        <v>1391241.38</v>
      </c>
      <c r="J28" s="5"/>
      <c r="K28" s="2"/>
      <c r="L28" s="2"/>
    </row>
    <row r="29" spans="1:12" ht="15.75" thickTop="1">
      <c r="A29" s="2"/>
      <c r="B29" s="2"/>
      <c r="C29" s="38">
        <v>12</v>
      </c>
      <c r="D29" s="5"/>
      <c r="E29" s="5" t="s">
        <v>543</v>
      </c>
      <c r="F29" s="5"/>
      <c r="G29" s="38"/>
      <c r="H29" s="38"/>
      <c r="I29" s="99">
        <f>I26-I27+I28</f>
        <v>242163055.38</v>
      </c>
      <c r="J29" s="5"/>
      <c r="K29" s="2"/>
      <c r="L29" s="2"/>
    </row>
    <row r="30" spans="1:12" ht="6" customHeight="1">
      <c r="A30" s="2"/>
      <c r="B30" s="2"/>
      <c r="C30" s="38"/>
      <c r="D30" s="5"/>
      <c r="E30" s="5"/>
      <c r="F30" s="5"/>
      <c r="G30" s="38"/>
      <c r="H30" s="38"/>
      <c r="I30" s="7"/>
      <c r="J30" s="5"/>
      <c r="K30" s="2"/>
      <c r="L30" s="2"/>
    </row>
    <row r="31" spans="1:12" ht="15">
      <c r="A31" s="2"/>
      <c r="B31" s="2"/>
      <c r="C31" s="38">
        <v>13</v>
      </c>
      <c r="D31" s="5"/>
      <c r="E31" s="5" t="str">
        <f>'PEF - 6  p1, FF1 Inputs '!E59</f>
        <v>Transmission O&amp;M Labor</v>
      </c>
      <c r="F31" s="5"/>
      <c r="G31" s="38" t="str">
        <f>'PEF - 6  p1, FF1 Inputs '!F59</f>
        <v>354.21.b</v>
      </c>
      <c r="H31" s="38"/>
      <c r="I31" s="7">
        <f>'PEF - 6  p1, FF1 Inputs '!J59</f>
        <v>18483961</v>
      </c>
      <c r="J31" s="5"/>
      <c r="K31" s="2"/>
      <c r="L31" s="2"/>
    </row>
    <row r="32" spans="1:12" ht="6" customHeight="1">
      <c r="A32" s="2"/>
      <c r="B32" s="2"/>
      <c r="C32" s="38"/>
      <c r="D32" s="5"/>
      <c r="E32" s="5"/>
      <c r="F32" s="5"/>
      <c r="G32" s="38"/>
      <c r="H32" s="38"/>
      <c r="I32" s="7"/>
      <c r="J32" s="5"/>
      <c r="K32" s="2"/>
      <c r="L32" s="2"/>
    </row>
    <row r="33" spans="1:12" ht="12.75" customHeight="1">
      <c r="A33" s="2"/>
      <c r="B33" s="2"/>
      <c r="C33" s="38">
        <v>14</v>
      </c>
      <c r="D33" s="64" t="s">
        <v>544</v>
      </c>
      <c r="E33" s="5"/>
      <c r="F33" s="5"/>
      <c r="G33" s="38"/>
      <c r="H33" s="38"/>
      <c r="I33" s="185">
        <f>I31/I29</f>
        <v>7.632857526923395E-2</v>
      </c>
      <c r="J33" s="5"/>
      <c r="K33" s="2"/>
      <c r="L33" s="2"/>
    </row>
    <row r="34" spans="1:12" ht="6" customHeight="1">
      <c r="A34" s="2"/>
      <c r="B34" s="2"/>
      <c r="C34" s="38"/>
      <c r="D34" s="5"/>
      <c r="E34" s="5"/>
      <c r="F34" s="5"/>
      <c r="G34" s="38"/>
      <c r="H34" s="38"/>
      <c r="I34" s="7"/>
      <c r="J34" s="5"/>
      <c r="K34" s="2"/>
      <c r="L34" s="2"/>
    </row>
    <row r="35" spans="1:12" ht="15">
      <c r="A35" s="2"/>
      <c r="B35" s="2"/>
      <c r="C35" s="38">
        <v>15</v>
      </c>
      <c r="D35" s="64" t="s">
        <v>545</v>
      </c>
      <c r="E35" s="5"/>
      <c r="F35" s="5"/>
      <c r="G35" s="38" t="s">
        <v>502</v>
      </c>
      <c r="H35" s="38"/>
      <c r="I35" s="185">
        <f>I20*I33</f>
        <v>7.05738175871157E-2</v>
      </c>
      <c r="J35" s="5"/>
      <c r="K35" s="2"/>
      <c r="L35" s="2"/>
    </row>
    <row r="36" spans="1:12" ht="15">
      <c r="A36" s="2"/>
      <c r="B36" s="2"/>
      <c r="C36" s="38"/>
      <c r="D36" s="5"/>
      <c r="E36" s="5"/>
      <c r="F36" s="5"/>
      <c r="G36" s="38"/>
      <c r="H36" s="38"/>
      <c r="I36" s="5"/>
      <c r="J36" s="5"/>
      <c r="K36" s="2"/>
      <c r="L36" s="2"/>
    </row>
    <row r="37" spans="1:12" ht="15">
      <c r="A37" s="2"/>
      <c r="B37" s="2"/>
      <c r="C37" s="38"/>
      <c r="D37" s="64" t="s">
        <v>546</v>
      </c>
      <c r="E37" s="5"/>
      <c r="F37" s="5"/>
      <c r="G37" s="38"/>
      <c r="H37" s="38"/>
      <c r="I37" s="5"/>
      <c r="J37" s="5"/>
      <c r="K37" s="2"/>
      <c r="L37" s="2"/>
    </row>
    <row r="38" spans="1:12" ht="6" customHeight="1">
      <c r="A38" s="2"/>
      <c r="B38" s="2"/>
      <c r="C38" s="38"/>
      <c r="D38" s="5"/>
      <c r="E38" s="5"/>
      <c r="F38" s="5"/>
      <c r="G38" s="38"/>
      <c r="H38" s="38"/>
      <c r="I38" s="5"/>
      <c r="J38" s="5"/>
      <c r="K38" s="2"/>
      <c r="L38" s="2"/>
    </row>
    <row r="39" spans="1:12" ht="15">
      <c r="A39" s="2"/>
      <c r="B39" s="2"/>
      <c r="C39" s="38">
        <v>16</v>
      </c>
      <c r="D39" s="5"/>
      <c r="E39" s="5" t="s">
        <v>88</v>
      </c>
      <c r="F39" s="5"/>
      <c r="G39" s="38" t="str">
        <f>'PEF - 6  p1, FF1 Inputs '!F18</f>
        <v>117.62 thru 66.c</v>
      </c>
      <c r="H39" s="38"/>
      <c r="I39" s="7">
        <f>'PEF - 6  p1, FF1 Inputs '!J18-14789</f>
        <v>239262261</v>
      </c>
      <c r="J39" s="5"/>
      <c r="K39" s="204"/>
      <c r="L39" s="2"/>
    </row>
    <row r="40" spans="1:12" ht="15.75" thickBot="1">
      <c r="A40" s="2"/>
      <c r="B40" s="2"/>
      <c r="C40" s="38">
        <v>17</v>
      </c>
      <c r="D40" s="5"/>
      <c r="E40" s="5" t="s">
        <v>547</v>
      </c>
      <c r="F40" s="5"/>
      <c r="G40" s="38" t="s">
        <v>486</v>
      </c>
      <c r="H40" s="38"/>
      <c r="I40" s="7">
        <v>0</v>
      </c>
      <c r="J40" s="5"/>
      <c r="K40" s="2"/>
      <c r="L40" s="2"/>
    </row>
    <row r="41" spans="1:12" ht="15.75" thickTop="1">
      <c r="A41" s="2"/>
      <c r="B41" s="2"/>
      <c r="C41" s="38">
        <v>18</v>
      </c>
      <c r="D41" s="5"/>
      <c r="E41" s="5" t="s">
        <v>548</v>
      </c>
      <c r="F41" s="5"/>
      <c r="G41" s="38"/>
      <c r="H41" s="38"/>
      <c r="I41" s="99">
        <f>I39-I40</f>
        <v>239262261</v>
      </c>
      <c r="J41" s="5"/>
      <c r="K41" s="2"/>
      <c r="L41" s="2"/>
    </row>
    <row r="42" spans="1:12" ht="11.25" customHeight="1">
      <c r="A42" s="2"/>
      <c r="B42" s="2"/>
      <c r="C42" s="38"/>
      <c r="D42" s="5"/>
      <c r="E42" s="5"/>
      <c r="F42" s="5"/>
      <c r="G42" s="38"/>
      <c r="H42" s="38"/>
      <c r="I42" s="7"/>
      <c r="J42" s="5"/>
      <c r="K42" s="2"/>
      <c r="L42" s="2"/>
    </row>
    <row r="43" spans="1:12" ht="15">
      <c r="A43" s="2"/>
      <c r="B43" s="2"/>
      <c r="C43" s="38">
        <v>19</v>
      </c>
      <c r="D43" s="5"/>
      <c r="E43" s="5" t="s">
        <v>89</v>
      </c>
      <c r="F43" s="5"/>
      <c r="G43" s="38" t="str">
        <f>'PEF - 6  p1, FF1 Inputs '!F19</f>
        <v>118.29.c</v>
      </c>
      <c r="H43" s="38"/>
      <c r="I43" s="7">
        <f>'PEF - 6  p1, FF1 Inputs '!J19</f>
        <v>1511860</v>
      </c>
      <c r="J43" s="5"/>
      <c r="K43" s="2"/>
      <c r="L43" s="2"/>
    </row>
    <row r="44" spans="1:12" ht="12" customHeight="1">
      <c r="A44" s="2"/>
      <c r="B44" s="2"/>
      <c r="C44" s="38"/>
      <c r="D44" s="5"/>
      <c r="E44" s="5"/>
      <c r="F44" s="5"/>
      <c r="G44" s="38"/>
      <c r="H44" s="38"/>
      <c r="I44" s="5"/>
      <c r="J44" s="5"/>
      <c r="K44" s="2"/>
      <c r="L44" s="2"/>
    </row>
    <row r="45" spans="1:12" ht="15">
      <c r="A45" s="2"/>
      <c r="B45" s="2"/>
      <c r="C45" s="38">
        <v>20</v>
      </c>
      <c r="D45" s="5"/>
      <c r="E45" s="5" t="s">
        <v>85</v>
      </c>
      <c r="F45" s="5"/>
      <c r="G45" s="38" t="str">
        <f>"p.2, line "&amp;'PEF - 2 Page 2 Rate Base'!A73</f>
        <v>p.2, line 41</v>
      </c>
      <c r="H45" s="38"/>
      <c r="I45" s="180">
        <f>'PEF - 2 Page 2 Rate Base'!J73</f>
        <v>4161980697</v>
      </c>
      <c r="J45" s="5"/>
      <c r="K45" s="2"/>
      <c r="L45" s="2"/>
    </row>
    <row r="46" spans="1:12" ht="15">
      <c r="A46" s="2"/>
      <c r="B46" s="2"/>
      <c r="C46" s="38">
        <v>21</v>
      </c>
      <c r="D46" s="5"/>
      <c r="E46" s="5" t="str">
        <f>'PEF - 2 Page 2 Rate Base'!C75</f>
        <v>Preferred Stock</v>
      </c>
      <c r="F46" s="5"/>
      <c r="G46" s="38" t="str">
        <f>"p.2, line "&amp;'PEF - 2 Page 2 Rate Base'!A75</f>
        <v>p.2, line 42</v>
      </c>
      <c r="H46" s="38"/>
      <c r="I46" s="7">
        <f>'PEF - 2 Page 2 Rate Base'!J75</f>
        <v>33496700</v>
      </c>
      <c r="J46" s="5"/>
      <c r="K46" s="2"/>
      <c r="L46" s="2"/>
    </row>
    <row r="47" spans="1:12" ht="15.75" thickBot="1">
      <c r="A47" s="2"/>
      <c r="B47" s="2"/>
      <c r="C47" s="38">
        <v>22</v>
      </c>
      <c r="D47" s="5"/>
      <c r="E47" s="5" t="s">
        <v>493</v>
      </c>
      <c r="F47" s="5"/>
      <c r="G47" s="38" t="str">
        <f>"p.2, line "&amp;'PEF - 2 Page 2 Rate Base'!A81</f>
        <v>p.2, line 46</v>
      </c>
      <c r="H47" s="5"/>
      <c r="I47" s="186">
        <f>'PEF - 2 Page 2 Rate Base'!J81</f>
        <v>3945027855.5</v>
      </c>
      <c r="J47" s="5"/>
      <c r="K47" s="2"/>
      <c r="L47" s="2"/>
    </row>
    <row r="48" spans="1:12" ht="15.75" thickTop="1">
      <c r="A48" s="2"/>
      <c r="B48" s="2"/>
      <c r="C48" s="38">
        <v>23</v>
      </c>
      <c r="D48" s="5"/>
      <c r="E48" s="5" t="s">
        <v>549</v>
      </c>
      <c r="F48" s="5"/>
      <c r="G48" s="5"/>
      <c r="H48" s="5"/>
      <c r="I48" s="99">
        <f>I45+I46+I47</f>
        <v>8140505252.5</v>
      </c>
      <c r="J48" s="5"/>
      <c r="K48" s="2"/>
      <c r="L48" s="2"/>
    </row>
    <row r="49" spans="1:12" ht="15">
      <c r="A49" s="2"/>
      <c r="B49" s="2"/>
      <c r="C49" s="5"/>
      <c r="D49" s="5"/>
      <c r="E49" s="5"/>
      <c r="F49" s="5"/>
      <c r="G49" s="5"/>
      <c r="H49" s="5"/>
      <c r="I49" s="5"/>
      <c r="J49" s="5"/>
      <c r="K49" s="2"/>
      <c r="L49" s="2"/>
    </row>
    <row r="50" spans="1:12" ht="15">
      <c r="A50" s="2"/>
      <c r="B50" s="2"/>
      <c r="C50" s="5"/>
      <c r="D50" s="187" t="s">
        <v>550</v>
      </c>
      <c r="E50" s="187"/>
      <c r="F50" s="188" t="s">
        <v>551</v>
      </c>
      <c r="G50" s="188" t="s">
        <v>552</v>
      </c>
      <c r="H50" s="188"/>
      <c r="I50" s="188" t="s">
        <v>553</v>
      </c>
      <c r="J50" s="5"/>
      <c r="K50" s="2"/>
      <c r="L50" s="2"/>
    </row>
    <row r="51" spans="1:12" ht="15">
      <c r="A51" s="2"/>
      <c r="B51" s="2"/>
      <c r="C51" s="38">
        <v>24</v>
      </c>
      <c r="D51" s="5"/>
      <c r="E51" s="5" t="s">
        <v>554</v>
      </c>
      <c r="F51" s="181">
        <f>I45/I48</f>
        <v>0.5112681053454059</v>
      </c>
      <c r="G51" s="181">
        <f>I41/I45</f>
        <v>5.7487595070410291E-2</v>
      </c>
      <c r="H51" s="181"/>
      <c r="I51" s="181">
        <f>F51*G51</f>
        <v>2.9391573812512565E-2</v>
      </c>
      <c r="J51" s="5"/>
      <c r="K51" s="2"/>
      <c r="L51" s="2"/>
    </row>
    <row r="52" spans="1:12" ht="15">
      <c r="A52" s="2"/>
      <c r="B52" s="2"/>
      <c r="C52" s="38">
        <v>25</v>
      </c>
      <c r="D52" s="5"/>
      <c r="E52" s="5" t="s">
        <v>488</v>
      </c>
      <c r="F52" s="181">
        <f>I46/I48</f>
        <v>4.1148183019368428E-3</v>
      </c>
      <c r="G52" s="181">
        <f>I43/I46</f>
        <v>4.5134595348198477E-2</v>
      </c>
      <c r="H52" s="181"/>
      <c r="I52" s="181">
        <f>F52*G52</f>
        <v>1.8572065898928057E-4</v>
      </c>
      <c r="J52" s="5"/>
      <c r="K52" s="2"/>
      <c r="L52" s="2"/>
    </row>
    <row r="53" spans="1:12" ht="15.75" thickBot="1">
      <c r="A53" s="2"/>
      <c r="B53" s="2"/>
      <c r="C53" s="38">
        <v>26</v>
      </c>
      <c r="D53" s="5"/>
      <c r="E53" s="5" t="s">
        <v>555</v>
      </c>
      <c r="F53" s="181">
        <f>I47/I48</f>
        <v>0.48461707635265727</v>
      </c>
      <c r="G53" s="189">
        <v>0.108</v>
      </c>
      <c r="H53" s="189"/>
      <c r="I53" s="181">
        <f>F53*G53</f>
        <v>5.2338644246086988E-2</v>
      </c>
      <c r="J53" s="5"/>
      <c r="K53" s="2"/>
      <c r="L53" s="2"/>
    </row>
    <row r="54" spans="1:12" ht="18.75" thickTop="1">
      <c r="A54" s="2"/>
      <c r="B54" s="2"/>
      <c r="C54" s="38">
        <v>27</v>
      </c>
      <c r="D54" s="5"/>
      <c r="E54" s="64" t="s">
        <v>772</v>
      </c>
      <c r="F54" s="5"/>
      <c r="G54" s="5"/>
      <c r="H54" s="5"/>
      <c r="I54" s="190">
        <f>SUM(I51:I53)</f>
        <v>8.1915938717588829E-2</v>
      </c>
      <c r="J54" s="5"/>
      <c r="K54" s="2"/>
      <c r="L54" s="2"/>
    </row>
    <row r="55" spans="1:12">
      <c r="C55" s="8"/>
      <c r="D55" s="8"/>
      <c r="E55" s="8"/>
      <c r="F55" s="8"/>
      <c r="G55" s="8"/>
      <c r="H55" s="8"/>
      <c r="I55" s="8"/>
      <c r="J55" s="8"/>
    </row>
    <row r="56" spans="1:12">
      <c r="C56" s="8"/>
      <c r="D56" s="8"/>
      <c r="E56" s="8"/>
      <c r="F56" s="8"/>
      <c r="G56" s="8"/>
      <c r="H56" s="8"/>
      <c r="I56" s="8"/>
      <c r="J56" s="8"/>
    </row>
  </sheetData>
  <mergeCells count="7">
    <mergeCell ref="K11:L11"/>
    <mergeCell ref="J1:L1"/>
    <mergeCell ref="J2:L2"/>
    <mergeCell ref="J3:L3"/>
    <mergeCell ref="A5:L5"/>
    <mergeCell ref="A6:L6"/>
    <mergeCell ref="A8:L8"/>
  </mergeCells>
  <pageMargins left="0.75" right="0.75" top="1" bottom="1" header="0.5" footer="0.5"/>
  <pageSetup scale="6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2"/>
  <sheetViews>
    <sheetView topLeftCell="A22" workbookViewId="0">
      <selection activeCell="F36" sqref="F36"/>
    </sheetView>
  </sheetViews>
  <sheetFormatPr defaultRowHeight="12.75"/>
  <cols>
    <col min="1" max="1" width="5.7109375" customWidth="1"/>
    <col min="3" max="3" width="2.7109375" customWidth="1"/>
    <col min="4" max="4" width="34.7109375" customWidth="1"/>
    <col min="5" max="5" width="15.140625" bestFit="1" customWidth="1"/>
    <col min="6" max="6" width="13.42578125" customWidth="1"/>
    <col min="7" max="7" width="3.7109375" customWidth="1"/>
    <col min="8" max="8" width="12.140625" customWidth="1"/>
    <col min="10" max="10" width="3.7109375" customWidth="1"/>
    <col min="11" max="11" width="13.7109375" customWidth="1"/>
    <col min="12" max="12" width="5.7109375" customWidth="1"/>
    <col min="13" max="13" width="10" customWidth="1"/>
  </cols>
  <sheetData>
    <row r="1" spans="1:18" ht="15.75">
      <c r="A1" s="2"/>
      <c r="B1" s="2"/>
      <c r="C1" s="2"/>
      <c r="D1" s="2"/>
      <c r="E1" s="2"/>
      <c r="F1" s="2"/>
      <c r="G1" s="2"/>
      <c r="H1" s="2"/>
      <c r="I1" s="2"/>
      <c r="J1" s="257" t="s">
        <v>384</v>
      </c>
      <c r="K1" s="257"/>
      <c r="L1" s="257"/>
      <c r="M1" s="145"/>
    </row>
    <row r="2" spans="1:18" ht="15.75">
      <c r="A2" s="2"/>
      <c r="B2" s="2"/>
      <c r="C2" s="2"/>
      <c r="D2" s="2"/>
      <c r="E2" s="2"/>
      <c r="F2" s="2" t="s">
        <v>55</v>
      </c>
      <c r="G2" s="2"/>
      <c r="H2" s="2"/>
      <c r="I2" s="2"/>
      <c r="J2" s="258" t="s">
        <v>556</v>
      </c>
      <c r="K2" s="258"/>
      <c r="L2" s="259"/>
      <c r="M2" s="145"/>
    </row>
    <row r="3" spans="1:18" ht="15">
      <c r="A3" s="2"/>
      <c r="B3" s="2"/>
      <c r="C3" s="2"/>
      <c r="D3" s="2"/>
      <c r="E3" s="2"/>
      <c r="F3" s="2"/>
      <c r="G3" s="2"/>
      <c r="H3" s="2"/>
      <c r="I3" s="2"/>
      <c r="J3" s="273" t="str">
        <f>'PEF - 6  p1, FF1 Inputs '!K3</f>
        <v>Year Ending 12/31/2009</v>
      </c>
      <c r="K3" s="273"/>
      <c r="L3" s="273"/>
      <c r="M3" s="145"/>
    </row>
    <row r="4" spans="1:18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45"/>
    </row>
    <row r="5" spans="1:18" ht="15">
      <c r="A5" s="263" t="s">
        <v>70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145"/>
    </row>
    <row r="6" spans="1:18" ht="15">
      <c r="A6" s="263" t="s">
        <v>386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145"/>
    </row>
    <row r="7" spans="1:18" ht="15">
      <c r="A7" s="161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45"/>
    </row>
    <row r="8" spans="1:18" ht="15">
      <c r="A8" s="263" t="s">
        <v>557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145"/>
    </row>
    <row r="9" spans="1:18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145"/>
    </row>
    <row r="10" spans="1:18" ht="15">
      <c r="A10" s="2"/>
      <c r="B10" s="165"/>
      <c r="C10" s="2"/>
      <c r="D10" s="2"/>
      <c r="E10" s="2"/>
      <c r="F10" s="2"/>
      <c r="G10" s="2"/>
      <c r="H10" s="2"/>
      <c r="I10" s="2"/>
      <c r="J10" s="2"/>
      <c r="K10" s="2"/>
      <c r="L10" s="2"/>
      <c r="M10" s="145"/>
    </row>
    <row r="11" spans="1:18" ht="30">
      <c r="A11" s="2"/>
      <c r="B11" s="161" t="s">
        <v>0</v>
      </c>
      <c r="C11" s="166"/>
      <c r="D11" s="58"/>
      <c r="E11" s="161" t="s">
        <v>76</v>
      </c>
      <c r="F11" s="161" t="s">
        <v>421</v>
      </c>
      <c r="G11" s="161"/>
      <c r="H11" s="263" t="s">
        <v>157</v>
      </c>
      <c r="I11" s="263"/>
      <c r="J11" s="161"/>
      <c r="K11" s="163" t="s">
        <v>422</v>
      </c>
      <c r="L11" s="164"/>
      <c r="M11" s="145"/>
    </row>
    <row r="12" spans="1:18" ht="15">
      <c r="A12" s="2"/>
      <c r="B12" s="165"/>
      <c r="C12" s="2"/>
      <c r="D12" s="2"/>
      <c r="E12" s="2"/>
      <c r="F12" s="2"/>
      <c r="G12" s="2"/>
      <c r="H12" s="2"/>
      <c r="I12" s="2"/>
      <c r="J12" s="2"/>
      <c r="K12" s="2"/>
      <c r="L12" s="2"/>
      <c r="M12" s="145"/>
    </row>
    <row r="13" spans="1:18" ht="15">
      <c r="A13" s="2"/>
      <c r="B13" s="165"/>
      <c r="C13" s="1"/>
      <c r="D13" s="2"/>
      <c r="E13" s="2"/>
      <c r="F13" s="2"/>
      <c r="G13" s="2"/>
      <c r="H13" s="2"/>
      <c r="I13" s="2"/>
      <c r="J13" s="2"/>
      <c r="K13" s="2"/>
      <c r="L13" s="2"/>
      <c r="M13" s="145"/>
    </row>
    <row r="14" spans="1:18" ht="15">
      <c r="A14" s="2"/>
      <c r="B14" s="167">
        <v>1</v>
      </c>
      <c r="C14" s="1" t="s">
        <v>558</v>
      </c>
      <c r="D14" s="2"/>
      <c r="E14" s="165" t="str">
        <f>'PEF - 6  p1, FF1 Inputs '!F33</f>
        <v>230a.5.b</v>
      </c>
      <c r="F14" s="6">
        <f>'PEF - 6  p1, FF1 Inputs '!J33</f>
        <v>13668566</v>
      </c>
      <c r="G14" s="2"/>
      <c r="H14" s="165"/>
      <c r="I14" s="153"/>
      <c r="J14" s="153"/>
      <c r="K14" s="191"/>
      <c r="L14" s="2"/>
      <c r="M14" s="146"/>
    </row>
    <row r="15" spans="1:18" ht="15.75" thickBot="1">
      <c r="A15" s="2"/>
      <c r="B15" s="167">
        <v>2</v>
      </c>
      <c r="C15" s="1"/>
      <c r="D15" s="2" t="s">
        <v>559</v>
      </c>
      <c r="E15" s="165" t="s">
        <v>560</v>
      </c>
      <c r="F15" s="192">
        <f>14534920/15796861</f>
        <v>0.92011444552180333</v>
      </c>
      <c r="G15" s="2"/>
      <c r="H15" s="165" t="s">
        <v>561</v>
      </c>
      <c r="I15" s="153"/>
      <c r="J15" s="153"/>
      <c r="K15" s="191"/>
      <c r="L15" s="2"/>
      <c r="M15" s="147"/>
      <c r="N15" s="8"/>
      <c r="O15" s="8"/>
      <c r="P15" s="8"/>
      <c r="Q15" s="8"/>
      <c r="R15" s="8"/>
    </row>
    <row r="16" spans="1:18" ht="15.75" thickTop="1">
      <c r="A16" s="2"/>
      <c r="B16" s="167">
        <v>3</v>
      </c>
      <c r="C16" s="1" t="s">
        <v>562</v>
      </c>
      <c r="D16" s="2"/>
      <c r="E16" s="165"/>
      <c r="F16" s="99">
        <f>F14*F15</f>
        <v>12576645.026168173</v>
      </c>
      <c r="G16" s="2"/>
      <c r="H16" s="165" t="s">
        <v>563</v>
      </c>
      <c r="I16" s="153">
        <f>1055859696/1143125894</f>
        <v>0.92366002864772823</v>
      </c>
      <c r="J16" s="153"/>
      <c r="K16" s="191">
        <f>F16*I16</f>
        <v>11616544.305162804</v>
      </c>
      <c r="L16" s="2"/>
      <c r="M16" s="145"/>
    </row>
    <row r="17" spans="1:13" ht="15">
      <c r="A17" s="2"/>
      <c r="B17" s="167"/>
      <c r="C17" s="1"/>
      <c r="D17" s="2"/>
      <c r="E17" s="165"/>
      <c r="F17" s="169"/>
      <c r="G17" s="2"/>
      <c r="H17" s="165"/>
      <c r="I17" s="153"/>
      <c r="J17" s="153"/>
      <c r="K17" s="191"/>
      <c r="L17" s="2"/>
      <c r="M17" s="145"/>
    </row>
    <row r="18" spans="1:13" ht="15">
      <c r="A18" s="2"/>
      <c r="B18" s="167"/>
      <c r="C18" s="1" t="s">
        <v>564</v>
      </c>
      <c r="D18" s="2"/>
      <c r="E18" s="165"/>
      <c r="F18" s="169"/>
      <c r="G18" s="2"/>
      <c r="H18" s="165"/>
      <c r="I18" s="153"/>
      <c r="J18" s="153"/>
      <c r="K18" s="191"/>
      <c r="L18" s="2"/>
      <c r="M18" s="145"/>
    </row>
    <row r="19" spans="1:13" ht="6" customHeight="1">
      <c r="A19" s="2"/>
      <c r="B19" s="167"/>
      <c r="C19" s="1"/>
      <c r="D19" s="2"/>
      <c r="E19" s="165"/>
      <c r="F19" s="169"/>
      <c r="G19" s="2"/>
      <c r="H19" s="165"/>
      <c r="I19" s="153"/>
      <c r="J19" s="153"/>
      <c r="K19" s="191"/>
      <c r="L19" s="2"/>
      <c r="M19" s="145"/>
    </row>
    <row r="20" spans="1:13" ht="12.75" customHeight="1">
      <c r="A20" s="2"/>
      <c r="B20" s="193">
        <v>4</v>
      </c>
      <c r="C20" s="1"/>
      <c r="D20" s="194" t="s">
        <v>565</v>
      </c>
      <c r="E20" s="162" t="str">
        <f>'PEF - 6  p1, FF1 Inputs '!F35</f>
        <v>230a.5.f</v>
      </c>
      <c r="F20" s="195">
        <v>15658702</v>
      </c>
      <c r="G20" s="194"/>
      <c r="H20" s="196" t="s">
        <v>228</v>
      </c>
      <c r="I20" s="153">
        <f>F15*I16</f>
        <v>0.8498729351098574</v>
      </c>
      <c r="J20" s="197"/>
      <c r="K20" s="173">
        <f>F20*I20</f>
        <v>13307907.028750595</v>
      </c>
      <c r="L20" s="2"/>
      <c r="M20" s="145"/>
    </row>
    <row r="21" spans="1:13" ht="6" customHeight="1">
      <c r="A21" s="2"/>
      <c r="B21" s="167"/>
      <c r="C21" s="1"/>
      <c r="D21" s="2"/>
      <c r="E21" s="165"/>
      <c r="F21" s="169"/>
      <c r="G21" s="2"/>
      <c r="H21" s="38"/>
      <c r="I21" s="153"/>
      <c r="J21" s="153"/>
      <c r="K21" s="191"/>
      <c r="L21" s="2"/>
      <c r="M21" s="145"/>
    </row>
    <row r="22" spans="1:13" ht="12.75" customHeight="1">
      <c r="A22" s="2"/>
      <c r="B22" s="167"/>
      <c r="C22" s="1"/>
      <c r="D22" s="2" t="s">
        <v>566</v>
      </c>
      <c r="E22" s="165"/>
      <c r="F22" s="169"/>
      <c r="G22" s="2"/>
      <c r="H22" s="38"/>
      <c r="I22" s="153"/>
      <c r="J22" s="153"/>
      <c r="K22" s="191"/>
      <c r="L22" s="2"/>
      <c r="M22" s="145"/>
    </row>
    <row r="23" spans="1:13" ht="12.75" customHeight="1">
      <c r="A23" s="2"/>
      <c r="B23" s="167">
        <v>5</v>
      </c>
      <c r="C23" s="1"/>
      <c r="D23" s="2" t="s">
        <v>567</v>
      </c>
      <c r="E23" s="165" t="s">
        <v>568</v>
      </c>
      <c r="F23" s="169">
        <v>434000</v>
      </c>
      <c r="G23" s="2"/>
      <c r="H23" s="165" t="s">
        <v>228</v>
      </c>
      <c r="I23" s="98">
        <f>F23/6000000</f>
        <v>7.2333333333333333E-2</v>
      </c>
      <c r="J23" s="153"/>
      <c r="K23" s="191"/>
      <c r="L23" s="2"/>
      <c r="M23" s="145"/>
    </row>
    <row r="24" spans="1:13" ht="12.75" customHeight="1">
      <c r="A24" s="2"/>
      <c r="B24" s="167">
        <v>6</v>
      </c>
      <c r="C24" s="1"/>
      <c r="D24" s="2" t="s">
        <v>569</v>
      </c>
      <c r="E24" s="165"/>
      <c r="F24" s="169">
        <f>130000000/(1-I23)</f>
        <v>140136543.29859865</v>
      </c>
      <c r="G24" s="2"/>
      <c r="H24" s="38"/>
      <c r="I24" s="153"/>
      <c r="J24" s="153"/>
      <c r="K24" s="191"/>
      <c r="L24" s="2"/>
      <c r="M24" s="145"/>
    </row>
    <row r="25" spans="1:13" ht="12.75" customHeight="1">
      <c r="A25" s="2"/>
      <c r="B25" s="167">
        <v>7</v>
      </c>
      <c r="C25" s="1"/>
      <c r="D25" s="2" t="s">
        <v>570</v>
      </c>
      <c r="E25" s="165"/>
      <c r="F25" s="169">
        <f>F24-130000000</f>
        <v>10136543.298598647</v>
      </c>
      <c r="G25" s="2"/>
      <c r="H25" s="196" t="s">
        <v>228</v>
      </c>
      <c r="I25" s="153">
        <f>I20</f>
        <v>0.8498729351098574</v>
      </c>
      <c r="J25" s="197"/>
      <c r="K25" s="173">
        <f>F25*I25</f>
        <v>8614773.8050481882</v>
      </c>
      <c r="L25" s="2"/>
      <c r="M25" s="145"/>
    </row>
    <row r="26" spans="1:13" ht="12.75" customHeight="1">
      <c r="A26" s="2"/>
      <c r="B26" s="167"/>
      <c r="C26" s="1"/>
      <c r="D26" s="2"/>
      <c r="E26" s="165"/>
      <c r="F26" s="168"/>
      <c r="G26" s="2"/>
      <c r="H26" s="38"/>
      <c r="I26" s="153"/>
      <c r="J26" s="153"/>
      <c r="K26" s="191"/>
      <c r="L26" s="2"/>
      <c r="M26" s="145"/>
    </row>
    <row r="27" spans="1:13" ht="12.75" customHeight="1">
      <c r="A27" s="2"/>
      <c r="B27" s="167">
        <f>B25+1</f>
        <v>8</v>
      </c>
      <c r="C27" s="1" t="s">
        <v>571</v>
      </c>
      <c r="D27" s="2"/>
      <c r="E27" s="165" t="s">
        <v>568</v>
      </c>
      <c r="F27" s="168">
        <f>F23</f>
        <v>434000</v>
      </c>
      <c r="G27" s="194"/>
      <c r="H27" s="198" t="s">
        <v>228</v>
      </c>
      <c r="I27" s="153">
        <f>I20</f>
        <v>0.8498729351098574</v>
      </c>
      <c r="J27" s="197"/>
      <c r="K27" s="168">
        <f>F27*I27</f>
        <v>368844.85383767809</v>
      </c>
      <c r="L27" s="2"/>
      <c r="M27" s="145"/>
    </row>
    <row r="28" spans="1:13" ht="12.75" customHeight="1">
      <c r="A28" s="2"/>
      <c r="B28" s="167"/>
      <c r="C28" s="1"/>
      <c r="D28" s="2"/>
      <c r="E28" s="165"/>
      <c r="F28" s="168"/>
      <c r="G28" s="194"/>
      <c r="H28" s="198"/>
      <c r="I28" s="197"/>
      <c r="J28" s="197"/>
      <c r="K28" s="168"/>
      <c r="L28" s="2"/>
      <c r="M28" s="145"/>
    </row>
    <row r="29" spans="1:13" ht="12.75" customHeight="1">
      <c r="A29" s="2"/>
      <c r="B29" s="167">
        <f>B27+1</f>
        <v>9</v>
      </c>
      <c r="C29" s="64" t="s">
        <v>773</v>
      </c>
      <c r="D29" s="2"/>
      <c r="E29" s="165"/>
      <c r="F29" s="168"/>
      <c r="G29" s="194"/>
      <c r="H29" s="198"/>
      <c r="I29" s="197"/>
      <c r="J29" s="197"/>
      <c r="K29" s="199">
        <f>'PEF - 6 p2, Levelized Storm'!F42</f>
        <v>140.49561401738774</v>
      </c>
      <c r="L29" s="2"/>
      <c r="M29" s="145"/>
    </row>
    <row r="30" spans="1:13" ht="12.75" customHeight="1">
      <c r="A30" s="2"/>
      <c r="B30" s="167"/>
      <c r="C30" s="1"/>
      <c r="D30" s="2"/>
      <c r="E30" s="165"/>
      <c r="F30" s="168"/>
      <c r="G30" s="194"/>
      <c r="H30" s="198"/>
      <c r="I30" s="197"/>
      <c r="J30" s="197"/>
      <c r="K30" s="168"/>
      <c r="L30" s="2"/>
      <c r="M30" s="145"/>
    </row>
    <row r="31" spans="1:13" ht="15">
      <c r="A31" s="2"/>
      <c r="B31" s="165"/>
      <c r="C31" s="1" t="s">
        <v>572</v>
      </c>
      <c r="D31" s="2"/>
      <c r="E31" s="165"/>
      <c r="F31" s="168"/>
      <c r="G31" s="2"/>
      <c r="H31" s="165"/>
      <c r="I31" s="153"/>
      <c r="J31" s="153"/>
      <c r="K31" s="6"/>
      <c r="L31" s="2"/>
      <c r="M31" s="145"/>
    </row>
    <row r="32" spans="1:13" ht="15">
      <c r="A32" s="2"/>
      <c r="B32" s="165">
        <f>B29+1</f>
        <v>10</v>
      </c>
      <c r="C32" s="1"/>
      <c r="D32" s="160" t="str">
        <f>'PEF - 6  p1, FF1 Inputs '!E62</f>
        <v>Firm Network Service for Self</v>
      </c>
      <c r="E32" s="165" t="str">
        <f>'PEF - 6  p1, FF1 Inputs '!F62</f>
        <v>400.17.e</v>
      </c>
      <c r="F32" s="7">
        <f>'[3]PEF - 6  p1, FF1 Inputs '!J62</f>
        <v>93561</v>
      </c>
      <c r="G32" s="2"/>
      <c r="H32" s="165"/>
      <c r="I32" s="98">
        <v>0</v>
      </c>
      <c r="J32" s="153"/>
      <c r="K32" s="6">
        <f>IF(ISNUMBER(I32),F32*I32,"")</f>
        <v>0</v>
      </c>
      <c r="L32" s="2"/>
      <c r="M32" s="203"/>
    </row>
    <row r="33" spans="1:13" ht="15">
      <c r="A33" s="2"/>
      <c r="B33" s="165">
        <f>B32+1</f>
        <v>11</v>
      </c>
      <c r="C33" s="1"/>
      <c r="D33" s="160" t="str">
        <f>'PEF - 6  p1, FF1 Inputs '!E63&amp;" (Note K)"</f>
        <v>Firm Network Service for Others (Note K)</v>
      </c>
      <c r="E33" s="165" t="str">
        <f>'PEF - 6  p1, FF1 Inputs '!F63</f>
        <v>400.17.f</v>
      </c>
      <c r="F33" s="7">
        <f>'[3]PEF - 6  p1, FF1 Inputs '!J63</f>
        <v>9532</v>
      </c>
      <c r="G33" s="2"/>
      <c r="H33" s="165"/>
      <c r="I33" s="98">
        <v>1</v>
      </c>
      <c r="J33" s="153"/>
      <c r="K33" s="6">
        <f>IF(ISNUMBER(I33),F33*I33,"")</f>
        <v>9532</v>
      </c>
      <c r="L33" s="2"/>
      <c r="M33" s="145"/>
    </row>
    <row r="34" spans="1:13" ht="15">
      <c r="A34" s="2"/>
      <c r="B34" s="165">
        <f>B33+1</f>
        <v>12</v>
      </c>
      <c r="C34" s="1"/>
      <c r="D34" s="160" t="str">
        <f>'PEF - 6  p1, FF1 Inputs '!E64</f>
        <v>Long-Term Firm P-t-P Reservations</v>
      </c>
      <c r="E34" s="165" t="str">
        <f>'PEF - 6  p1, FF1 Inputs '!F64</f>
        <v>400.17.g</v>
      </c>
      <c r="F34" s="7">
        <f>'[3]PEF - 6  p1, FF1 Inputs '!J64</f>
        <v>5050</v>
      </c>
      <c r="G34" s="2"/>
      <c r="H34" s="165"/>
      <c r="I34" s="98">
        <v>1</v>
      </c>
      <c r="J34" s="153"/>
      <c r="K34" s="6">
        <f>IF(ISNUMBER(I34),F34*I34,"")</f>
        <v>5050</v>
      </c>
      <c r="L34" s="2"/>
      <c r="M34" s="145"/>
    </row>
    <row r="35" spans="1:13" ht="15">
      <c r="A35" s="2"/>
      <c r="B35" s="165">
        <f>B34+1</f>
        <v>13</v>
      </c>
      <c r="C35" s="1"/>
      <c r="D35" s="160" t="str">
        <f>'PEF - 6  p1, FF1 Inputs '!E65</f>
        <v>Other Long-Term Firm Service</v>
      </c>
      <c r="E35" s="165" t="str">
        <f>'PEF - 6  p1, FF1 Inputs '!F65</f>
        <v>400.17.h</v>
      </c>
      <c r="F35" s="7">
        <f>'[3]PEF - 6  p1, FF1 Inputs '!J65</f>
        <v>24735</v>
      </c>
      <c r="G35" s="2"/>
      <c r="H35" s="165"/>
      <c r="I35" s="98">
        <v>1</v>
      </c>
      <c r="J35" s="153"/>
      <c r="K35" s="6">
        <f>IF(ISNUMBER(I35),F35*I35,"")</f>
        <v>24735</v>
      </c>
      <c r="L35" s="2"/>
      <c r="M35" s="203"/>
    </row>
    <row r="36" spans="1:13" ht="15.75" thickBot="1">
      <c r="A36" s="2"/>
      <c r="B36" s="165">
        <f>B35+1</f>
        <v>14</v>
      </c>
      <c r="C36" s="1"/>
      <c r="D36" s="5" t="s">
        <v>573</v>
      </c>
      <c r="E36" s="38"/>
      <c r="F36" s="7">
        <v>0</v>
      </c>
      <c r="G36" s="5"/>
      <c r="H36" s="38"/>
      <c r="I36" s="98">
        <v>1</v>
      </c>
      <c r="J36" s="98"/>
      <c r="K36" s="7">
        <f>F36*I36</f>
        <v>0</v>
      </c>
      <c r="L36" s="2"/>
      <c r="M36" s="203"/>
    </row>
    <row r="37" spans="1:13" ht="15.75" thickTop="1">
      <c r="A37" s="2"/>
      <c r="B37" s="165">
        <f>B36+1</f>
        <v>15</v>
      </c>
      <c r="C37" s="1"/>
      <c r="D37" s="5" t="s">
        <v>674</v>
      </c>
      <c r="E37" s="38"/>
      <c r="F37" s="99">
        <f>SUM(F32:F36)</f>
        <v>132878</v>
      </c>
      <c r="G37" s="5"/>
      <c r="H37" s="38"/>
      <c r="I37" s="98"/>
      <c r="J37" s="98"/>
      <c r="K37" s="99">
        <f>SUM(K32:K36)</f>
        <v>39317</v>
      </c>
      <c r="L37" s="2"/>
      <c r="M37" s="145"/>
    </row>
    <row r="38" spans="1:13" ht="15">
      <c r="A38" s="2"/>
      <c r="B38" s="165"/>
      <c r="C38" s="1"/>
      <c r="D38" s="2"/>
      <c r="E38" s="165"/>
      <c r="F38" s="191"/>
      <c r="G38" s="2"/>
      <c r="H38" s="165"/>
      <c r="I38" s="153"/>
      <c r="J38" s="153"/>
      <c r="K38" s="6"/>
      <c r="L38" s="2"/>
      <c r="M38" s="145"/>
    </row>
    <row r="39" spans="1:13" ht="15">
      <c r="A39" s="2"/>
      <c r="B39" s="165">
        <f>B37+1</f>
        <v>16</v>
      </c>
      <c r="C39" s="1" t="s">
        <v>774</v>
      </c>
      <c r="D39" s="2"/>
      <c r="E39" s="165"/>
      <c r="F39" s="6"/>
      <c r="G39" s="2"/>
      <c r="H39" s="165"/>
      <c r="I39" s="153"/>
      <c r="J39" s="153"/>
      <c r="K39" s="153">
        <f>F37/K37*I16*F15</f>
        <v>2.8722795704536876</v>
      </c>
      <c r="L39" s="2"/>
      <c r="M39" s="145"/>
    </row>
    <row r="40" spans="1:13" ht="15">
      <c r="A40" s="2"/>
      <c r="B40" s="165"/>
      <c r="C40" s="1"/>
      <c r="D40" s="2"/>
      <c r="E40" s="165"/>
      <c r="F40" s="6"/>
      <c r="G40" s="2"/>
      <c r="H40" s="165"/>
      <c r="I40" s="153"/>
      <c r="J40" s="153"/>
      <c r="K40" s="153"/>
      <c r="L40" s="2"/>
      <c r="M40" s="145"/>
    </row>
    <row r="41" spans="1:13" ht="3" customHeight="1">
      <c r="A41" s="2"/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"/>
      <c r="M41" s="145"/>
    </row>
    <row r="42" spans="1:13" ht="6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145"/>
    </row>
    <row r="43" spans="1:13" ht="15">
      <c r="A43" s="2"/>
      <c r="B43" s="162" t="s">
        <v>574</v>
      </c>
      <c r="C43" s="2" t="s">
        <v>575</v>
      </c>
      <c r="D43" s="2"/>
      <c r="E43" s="2"/>
      <c r="F43" s="2"/>
      <c r="G43" s="2"/>
      <c r="H43" s="2"/>
      <c r="I43" s="2"/>
      <c r="J43" s="2"/>
      <c r="K43" s="2"/>
      <c r="L43" s="2"/>
      <c r="M43" s="145"/>
    </row>
    <row r="44" spans="1:13" ht="15">
      <c r="A44" s="2"/>
      <c r="B44" s="162" t="s">
        <v>576</v>
      </c>
      <c r="C44" s="2" t="s">
        <v>577</v>
      </c>
      <c r="D44" s="2"/>
      <c r="E44" s="2"/>
      <c r="F44" s="2"/>
      <c r="G44" s="2"/>
      <c r="H44" s="2"/>
      <c r="I44" s="2"/>
      <c r="J44" s="2"/>
      <c r="K44" s="2"/>
      <c r="L44" s="2"/>
      <c r="M44" s="145"/>
    </row>
    <row r="45" spans="1:13" ht="15">
      <c r="A45" s="2"/>
      <c r="B45" s="162"/>
      <c r="C45" s="2" t="s">
        <v>578</v>
      </c>
      <c r="D45" s="2"/>
      <c r="E45" s="2"/>
      <c r="F45" s="2"/>
      <c r="G45" s="2"/>
      <c r="H45" s="2"/>
      <c r="I45" s="2"/>
      <c r="J45" s="2"/>
      <c r="K45" s="2"/>
      <c r="L45" s="2"/>
      <c r="M45" s="145"/>
    </row>
    <row r="46" spans="1:13" ht="15">
      <c r="A46" s="2"/>
      <c r="B46" s="162"/>
      <c r="C46" s="2" t="s">
        <v>579</v>
      </c>
      <c r="D46" s="2"/>
      <c r="E46" s="2"/>
      <c r="F46" s="2"/>
      <c r="G46" s="2"/>
      <c r="H46" s="2"/>
      <c r="I46" s="2"/>
      <c r="J46" s="2"/>
      <c r="K46" s="2"/>
      <c r="L46" s="2"/>
      <c r="M46" s="145"/>
    </row>
    <row r="47" spans="1:13" ht="15">
      <c r="A47" s="2"/>
      <c r="B47" s="162" t="s">
        <v>580</v>
      </c>
      <c r="C47" s="2" t="s">
        <v>581</v>
      </c>
      <c r="D47" s="2"/>
      <c r="E47" s="2"/>
      <c r="F47" s="2"/>
      <c r="G47" s="2"/>
      <c r="H47" s="2"/>
      <c r="I47" s="2"/>
      <c r="J47" s="2"/>
      <c r="K47" s="2"/>
      <c r="L47" s="2"/>
      <c r="M47" s="145"/>
    </row>
    <row r="48" spans="1:13" ht="15">
      <c r="A48" s="2"/>
      <c r="B48" s="162" t="s">
        <v>582</v>
      </c>
      <c r="C48" s="2" t="s">
        <v>583</v>
      </c>
      <c r="D48" s="2"/>
      <c r="E48" s="2"/>
      <c r="F48" s="2"/>
      <c r="G48" s="2"/>
      <c r="H48" s="2"/>
      <c r="I48" s="2"/>
      <c r="J48" s="2"/>
      <c r="K48" s="2"/>
      <c r="L48" s="2"/>
      <c r="M48" s="145"/>
    </row>
    <row r="49" spans="1:13" ht="15">
      <c r="A49" s="2"/>
      <c r="B49" s="162" t="s">
        <v>584</v>
      </c>
      <c r="C49" s="2" t="s">
        <v>585</v>
      </c>
      <c r="D49" s="2"/>
      <c r="E49" s="2"/>
      <c r="F49" s="2"/>
      <c r="G49" s="2"/>
      <c r="H49" s="2"/>
      <c r="I49" s="2"/>
      <c r="J49" s="2"/>
      <c r="K49" s="2"/>
      <c r="L49" s="2"/>
      <c r="M49" s="145"/>
    </row>
    <row r="50" spans="1:13" ht="15">
      <c r="A50" s="2"/>
      <c r="B50" s="162" t="s">
        <v>586</v>
      </c>
      <c r="C50" s="2" t="s">
        <v>587</v>
      </c>
      <c r="D50" s="2"/>
      <c r="E50" s="2"/>
      <c r="F50" s="2"/>
      <c r="G50" s="2"/>
      <c r="H50" s="2"/>
      <c r="I50" s="2"/>
      <c r="J50" s="2"/>
      <c r="K50" s="2"/>
      <c r="L50" s="2"/>
      <c r="M50" s="145"/>
    </row>
    <row r="51" spans="1:13" ht="15">
      <c r="A51" s="2"/>
      <c r="B51" s="162"/>
      <c r="C51" s="2" t="s">
        <v>588</v>
      </c>
      <c r="D51" s="2"/>
      <c r="E51" s="2"/>
      <c r="F51" s="2"/>
      <c r="G51" s="2"/>
      <c r="H51" s="2"/>
      <c r="I51" s="2"/>
      <c r="J51" s="2"/>
      <c r="K51" s="2"/>
      <c r="L51" s="2"/>
      <c r="M51" s="145"/>
    </row>
    <row r="52" spans="1:13" ht="15">
      <c r="A52" s="2"/>
      <c r="B52" s="162" t="s">
        <v>589</v>
      </c>
      <c r="C52" s="2" t="s">
        <v>590</v>
      </c>
      <c r="D52" s="2"/>
      <c r="E52" s="2"/>
      <c r="F52" s="2"/>
      <c r="G52" s="2"/>
      <c r="H52" s="2"/>
      <c r="I52" s="2"/>
      <c r="J52" s="2"/>
      <c r="K52" s="2"/>
      <c r="L52" s="2"/>
      <c r="M52" s="145"/>
    </row>
    <row r="53" spans="1:13" ht="12.75" customHeight="1">
      <c r="A53" s="2"/>
      <c r="B53" s="162" t="s">
        <v>591</v>
      </c>
      <c r="C53" s="2" t="s">
        <v>675</v>
      </c>
      <c r="D53" s="2"/>
      <c r="E53" s="2"/>
      <c r="F53" s="2"/>
      <c r="G53" s="2"/>
      <c r="H53" s="2"/>
      <c r="I53" s="2"/>
      <c r="J53" s="2"/>
      <c r="K53" s="2"/>
      <c r="L53" s="2"/>
      <c r="M53" s="145"/>
    </row>
    <row r="54" spans="1:13" ht="12.75" customHeight="1">
      <c r="A54" s="2"/>
      <c r="B54" s="162"/>
      <c r="C54" s="2" t="s">
        <v>592</v>
      </c>
      <c r="D54" s="2"/>
      <c r="E54" s="2"/>
      <c r="F54" s="2"/>
      <c r="G54" s="2"/>
      <c r="H54" s="2"/>
      <c r="I54" s="2"/>
      <c r="J54" s="2"/>
      <c r="K54" s="2"/>
      <c r="L54" s="2"/>
      <c r="M54" s="145"/>
    </row>
    <row r="55" spans="1:13" ht="15">
      <c r="A55" s="2"/>
      <c r="B55" s="162" t="s">
        <v>593</v>
      </c>
      <c r="C55" s="2" t="s">
        <v>594</v>
      </c>
      <c r="D55" s="2"/>
      <c r="E55" s="2"/>
      <c r="F55" s="2"/>
      <c r="G55" s="2"/>
      <c r="H55" s="2"/>
      <c r="I55" s="2"/>
      <c r="J55" s="2"/>
      <c r="K55" s="2"/>
      <c r="L55" s="2"/>
      <c r="M55" s="145"/>
    </row>
    <row r="56" spans="1:13" ht="15">
      <c r="A56" s="2"/>
      <c r="B56" s="2"/>
      <c r="C56" s="2" t="s">
        <v>595</v>
      </c>
      <c r="D56" s="2"/>
      <c r="E56" s="2"/>
      <c r="F56" s="2"/>
      <c r="G56" s="2"/>
      <c r="H56" s="2"/>
      <c r="I56" s="2"/>
      <c r="J56" s="2"/>
      <c r="K56" s="2"/>
      <c r="L56" s="2"/>
      <c r="M56" s="145"/>
    </row>
    <row r="57" spans="1:13" ht="15">
      <c r="A57" s="2"/>
      <c r="B57" s="162" t="s">
        <v>596</v>
      </c>
      <c r="C57" s="2" t="s">
        <v>597</v>
      </c>
      <c r="D57" s="2"/>
      <c r="E57" s="2"/>
      <c r="F57" s="2"/>
      <c r="G57" s="2"/>
      <c r="H57" s="2"/>
      <c r="I57" s="2"/>
      <c r="J57" s="2"/>
      <c r="K57" s="2"/>
      <c r="L57" s="2"/>
      <c r="M57" s="145"/>
    </row>
    <row r="58" spans="1:13" ht="15">
      <c r="A58" s="2"/>
      <c r="B58" s="2"/>
      <c r="C58" s="2" t="s">
        <v>598</v>
      </c>
      <c r="D58" s="2"/>
      <c r="E58" s="2"/>
      <c r="F58" s="2"/>
      <c r="G58" s="2"/>
      <c r="H58" s="2"/>
      <c r="I58" s="2"/>
      <c r="J58" s="2"/>
      <c r="K58" s="2"/>
      <c r="L58" s="2"/>
      <c r="M58" s="145"/>
    </row>
    <row r="59" spans="1:13" ht="15">
      <c r="A59" s="2"/>
      <c r="B59" s="162" t="s">
        <v>599</v>
      </c>
      <c r="C59" s="2" t="s">
        <v>600</v>
      </c>
      <c r="D59" s="2"/>
      <c r="E59" s="2"/>
      <c r="F59" s="2"/>
      <c r="G59" s="2"/>
      <c r="H59" s="2"/>
      <c r="I59" s="2"/>
      <c r="J59" s="2"/>
      <c r="K59" s="2"/>
      <c r="L59" s="2"/>
      <c r="M59" s="145"/>
    </row>
    <row r="60" spans="1:13" ht="15">
      <c r="A60" s="2"/>
      <c r="B60" s="162" t="s">
        <v>601</v>
      </c>
      <c r="C60" s="5" t="s">
        <v>770</v>
      </c>
      <c r="D60" s="2"/>
      <c r="E60" s="2"/>
      <c r="F60" s="2"/>
      <c r="G60" s="2"/>
      <c r="H60" s="2"/>
      <c r="I60" s="2"/>
      <c r="J60" s="2"/>
      <c r="K60" s="2"/>
      <c r="L60" s="2"/>
      <c r="M60" s="145"/>
    </row>
    <row r="61" spans="1:13" ht="15">
      <c r="A61" s="2"/>
      <c r="B61" s="162" t="s">
        <v>602</v>
      </c>
      <c r="C61" s="2" t="s">
        <v>603</v>
      </c>
      <c r="D61" s="2"/>
      <c r="E61" s="2"/>
      <c r="F61" s="2"/>
      <c r="G61" s="2"/>
      <c r="H61" s="2"/>
      <c r="I61" s="2"/>
      <c r="J61" s="2"/>
      <c r="K61" s="2"/>
      <c r="L61" s="2"/>
      <c r="M61" s="145"/>
    </row>
    <row r="62" spans="1:13" ht="15">
      <c r="A62" s="2"/>
      <c r="B62" s="2"/>
      <c r="C62" s="2" t="s">
        <v>604</v>
      </c>
      <c r="D62" s="2"/>
      <c r="E62" s="2"/>
      <c r="F62" s="2"/>
      <c r="G62" s="2"/>
      <c r="H62" s="2"/>
      <c r="I62" s="2"/>
      <c r="J62" s="2"/>
      <c r="K62" s="2"/>
      <c r="L62" s="2"/>
      <c r="M62" s="145"/>
    </row>
    <row r="63" spans="1:13" ht="15">
      <c r="A63" s="2"/>
      <c r="B63" s="162" t="s">
        <v>605</v>
      </c>
      <c r="C63" s="2" t="s">
        <v>606</v>
      </c>
      <c r="D63" s="2"/>
      <c r="E63" s="2"/>
      <c r="F63" s="2"/>
      <c r="G63" s="2"/>
      <c r="H63" s="2"/>
      <c r="I63" s="2"/>
      <c r="J63" s="2"/>
      <c r="K63" s="2"/>
      <c r="L63" s="2"/>
      <c r="M63" s="145"/>
    </row>
    <row r="64" spans="1:13" ht="15">
      <c r="A64" s="2"/>
      <c r="B64" s="2"/>
      <c r="C64" s="2" t="s">
        <v>607</v>
      </c>
      <c r="D64" s="2"/>
      <c r="E64" s="2"/>
      <c r="F64" s="2"/>
      <c r="G64" s="2"/>
      <c r="H64" s="2"/>
      <c r="I64" s="2"/>
      <c r="J64" s="2"/>
      <c r="K64" s="2"/>
      <c r="L64" s="2"/>
      <c r="M64" s="145"/>
    </row>
    <row r="65" spans="1:13" ht="15">
      <c r="A65" s="2"/>
      <c r="B65" s="165" t="s">
        <v>608</v>
      </c>
      <c r="C65" s="2" t="s">
        <v>609</v>
      </c>
      <c r="D65" s="2"/>
      <c r="E65" s="2"/>
      <c r="F65" s="2"/>
      <c r="G65" s="2"/>
      <c r="H65" s="2"/>
      <c r="I65" s="2"/>
      <c r="J65" s="2"/>
      <c r="K65" s="2"/>
      <c r="L65" s="2"/>
      <c r="M65" s="145"/>
    </row>
    <row r="66" spans="1:13" ht="15">
      <c r="A66" s="2"/>
      <c r="B66" s="2"/>
      <c r="C66" s="2" t="s">
        <v>610</v>
      </c>
      <c r="D66" s="2"/>
      <c r="E66" s="2"/>
      <c r="F66" s="2"/>
      <c r="G66" s="2"/>
      <c r="H66" s="2"/>
      <c r="I66" s="2"/>
      <c r="J66" s="2"/>
      <c r="K66" s="2"/>
      <c r="L66" s="2"/>
      <c r="M66" s="145"/>
    </row>
    <row r="67" spans="1:13" ht="15">
      <c r="A67" s="2"/>
      <c r="B67" s="201" t="s">
        <v>611</v>
      </c>
      <c r="C67" s="2" t="s">
        <v>612</v>
      </c>
      <c r="D67" s="2"/>
      <c r="E67" s="2"/>
      <c r="F67" s="2"/>
      <c r="G67" s="2"/>
      <c r="H67" s="2"/>
      <c r="I67" s="2"/>
      <c r="J67" s="2"/>
      <c r="K67" s="2"/>
      <c r="L67" s="2"/>
      <c r="M67" s="145"/>
    </row>
    <row r="68" spans="1:13" ht="15">
      <c r="A68" s="2"/>
      <c r="B68" s="2"/>
      <c r="C68" s="2" t="s">
        <v>613</v>
      </c>
      <c r="D68" s="2"/>
      <c r="E68" s="2"/>
      <c r="F68" s="2"/>
      <c r="G68" s="2"/>
      <c r="H68" s="2"/>
      <c r="I68" s="2"/>
      <c r="J68" s="2"/>
      <c r="K68" s="2"/>
      <c r="L68" s="2"/>
      <c r="M68" s="145"/>
    </row>
    <row r="69" spans="1:13" ht="15">
      <c r="A69" s="2"/>
      <c r="B69" s="165" t="s">
        <v>614</v>
      </c>
      <c r="C69" s="2" t="s">
        <v>615</v>
      </c>
      <c r="D69" s="2"/>
      <c r="E69" s="2"/>
      <c r="F69" s="2"/>
      <c r="G69" s="2"/>
      <c r="H69" s="2"/>
      <c r="I69" s="2"/>
      <c r="J69" s="2"/>
      <c r="K69" s="2"/>
      <c r="L69" s="2"/>
      <c r="M69" s="145"/>
    </row>
    <row r="70" spans="1:13" ht="15">
      <c r="A70" s="2"/>
      <c r="B70" s="2"/>
      <c r="C70" s="2" t="s">
        <v>616</v>
      </c>
      <c r="D70" s="2"/>
      <c r="E70" s="2"/>
      <c r="F70" s="2"/>
      <c r="G70" s="2"/>
      <c r="H70" s="2"/>
      <c r="I70" s="2"/>
      <c r="J70" s="2"/>
      <c r="K70" s="2"/>
      <c r="L70" s="2"/>
      <c r="M70" s="145"/>
    </row>
    <row r="71" spans="1:13" ht="15">
      <c r="A71" s="2"/>
      <c r="B71" s="201" t="s">
        <v>617</v>
      </c>
      <c r="C71" s="2" t="s">
        <v>776</v>
      </c>
      <c r="D71" s="2"/>
      <c r="E71" s="2"/>
      <c r="F71" s="2"/>
      <c r="G71" s="2"/>
      <c r="H71" s="2"/>
      <c r="I71" s="2"/>
      <c r="J71" s="2"/>
      <c r="K71" s="2"/>
      <c r="L71" s="2"/>
      <c r="M71" s="145"/>
    </row>
    <row r="72" spans="1:13" ht="15">
      <c r="A72" s="2"/>
      <c r="B72" s="2"/>
      <c r="C72" s="2" t="s">
        <v>775</v>
      </c>
      <c r="D72" s="2"/>
      <c r="E72" s="2"/>
      <c r="F72" s="2"/>
      <c r="G72" s="2"/>
      <c r="H72" s="2"/>
      <c r="I72" s="2"/>
      <c r="J72" s="2"/>
      <c r="K72" s="2"/>
      <c r="L72" s="2"/>
      <c r="M72" s="145"/>
    </row>
    <row r="73" spans="1:13" ht="15">
      <c r="B73" s="205" t="s">
        <v>785</v>
      </c>
      <c r="C73" s="2" t="s">
        <v>786</v>
      </c>
    </row>
    <row r="74" spans="1:13" ht="15">
      <c r="B74" s="205"/>
      <c r="C74" s="2" t="s">
        <v>787</v>
      </c>
    </row>
    <row r="75" spans="1:13" ht="15">
      <c r="B75" s="205"/>
      <c r="C75" s="2" t="s">
        <v>788</v>
      </c>
    </row>
    <row r="76" spans="1:13" ht="15">
      <c r="B76" s="2"/>
      <c r="C76" s="2" t="s">
        <v>789</v>
      </c>
    </row>
    <row r="77" spans="1:13" ht="15">
      <c r="B77" s="205" t="s">
        <v>790</v>
      </c>
      <c r="C77" s="2" t="s">
        <v>791</v>
      </c>
    </row>
    <row r="78" spans="1:13" ht="15">
      <c r="B78" s="205" t="s">
        <v>792</v>
      </c>
      <c r="C78" s="2" t="s">
        <v>804</v>
      </c>
    </row>
    <row r="79" spans="1:13" ht="15">
      <c r="B79" s="205"/>
      <c r="C79" s="2" t="s">
        <v>805</v>
      </c>
    </row>
    <row r="80" spans="1:13" ht="15">
      <c r="B80" s="205"/>
      <c r="C80" s="2" t="s">
        <v>806</v>
      </c>
    </row>
    <row r="81" spans="2:3" ht="15">
      <c r="B81" s="205"/>
      <c r="C81" s="2" t="s">
        <v>807</v>
      </c>
    </row>
    <row r="82" spans="2:3" ht="15">
      <c r="B82" s="205" t="s">
        <v>793</v>
      </c>
      <c r="C82" s="2" t="s">
        <v>803</v>
      </c>
    </row>
  </sheetData>
  <mergeCells count="7">
    <mergeCell ref="H11:I11"/>
    <mergeCell ref="J1:L1"/>
    <mergeCell ref="J2:L2"/>
    <mergeCell ref="J3:L3"/>
    <mergeCell ref="A5:L5"/>
    <mergeCell ref="A6:L6"/>
    <mergeCell ref="A8:L8"/>
  </mergeCells>
  <printOptions horizontalCentered="1"/>
  <pageMargins left="0.75" right="0.75" top="0.75" bottom="0.75" header="0.5" footer="0.5"/>
  <pageSetup scale="5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topLeftCell="A21" workbookViewId="0">
      <selection activeCell="I47" sqref="I47"/>
    </sheetView>
  </sheetViews>
  <sheetFormatPr defaultRowHeight="12.75"/>
  <cols>
    <col min="1" max="2" width="3.7109375" style="65" customWidth="1"/>
    <col min="3" max="5" width="9.140625" style="65"/>
    <col min="6" max="6" width="5.7109375" style="65" customWidth="1"/>
    <col min="7" max="7" width="11.7109375" style="65" customWidth="1"/>
    <col min="8" max="16384" width="9.140625" style="65"/>
  </cols>
  <sheetData>
    <row r="1" spans="1:13" ht="15.75">
      <c r="A1" s="66"/>
      <c r="B1" s="66"/>
      <c r="C1" s="66"/>
      <c r="D1" s="66"/>
      <c r="E1" s="66"/>
      <c r="F1" s="66"/>
      <c r="G1" s="66"/>
      <c r="H1" s="66"/>
      <c r="I1" s="66"/>
      <c r="J1" s="66"/>
      <c r="K1" s="276" t="s">
        <v>384</v>
      </c>
      <c r="L1" s="276"/>
      <c r="M1" s="276"/>
    </row>
    <row r="2" spans="1:13" ht="15.75">
      <c r="A2" s="66"/>
      <c r="B2" s="66"/>
      <c r="C2" s="66"/>
      <c r="D2" s="66"/>
      <c r="E2" s="66"/>
      <c r="F2" s="66"/>
      <c r="G2" s="66"/>
      <c r="H2" s="66"/>
      <c r="I2" s="66"/>
      <c r="J2" s="66"/>
      <c r="K2" s="277" t="s">
        <v>385</v>
      </c>
      <c r="L2" s="277"/>
      <c r="M2" s="278"/>
    </row>
    <row r="3" spans="1:13" ht="15">
      <c r="A3" s="66"/>
      <c r="B3" s="66"/>
      <c r="C3" s="66"/>
      <c r="D3" s="66"/>
      <c r="E3" s="66"/>
      <c r="F3" s="66"/>
      <c r="G3" s="66"/>
      <c r="H3" s="66"/>
      <c r="I3" s="66"/>
      <c r="J3" s="66"/>
      <c r="K3" s="279" t="str">
        <f>'PEF - 6  p1, FF1 Inputs '!K3:L3</f>
        <v>Year Ending 12/31/2009</v>
      </c>
      <c r="L3" s="279"/>
      <c r="M3" s="279"/>
    </row>
    <row r="4" spans="1:13" ht="1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3" ht="1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13" ht="15">
      <c r="A6" s="280" t="s">
        <v>70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75"/>
    </row>
    <row r="7" spans="1:13" ht="15">
      <c r="A7" s="280" t="s">
        <v>386</v>
      </c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75"/>
    </row>
    <row r="8" spans="1:13" ht="15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6"/>
    </row>
    <row r="9" spans="1:13" ht="15">
      <c r="A9" s="274" t="s">
        <v>387</v>
      </c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5"/>
    </row>
    <row r="10" spans="1:13" ht="15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</row>
    <row r="11" spans="1:13" ht="1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</row>
    <row r="12" spans="1:13" ht="15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</row>
    <row r="13" spans="1:13" ht="15">
      <c r="A13" s="68" t="s">
        <v>388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</row>
    <row r="46" spans="1:7" ht="15">
      <c r="A46" s="68" t="s">
        <v>391</v>
      </c>
      <c r="B46" s="66"/>
      <c r="C46" s="66"/>
      <c r="D46" s="66"/>
      <c r="E46" s="66"/>
      <c r="F46" s="66"/>
      <c r="G46" s="232">
        <v>18336474</v>
      </c>
    </row>
    <row r="47" spans="1:7" ht="15">
      <c r="A47" s="66"/>
      <c r="B47" s="66"/>
      <c r="C47" s="66"/>
      <c r="D47" s="66"/>
      <c r="E47" s="66"/>
      <c r="F47" s="66"/>
      <c r="G47" s="70"/>
    </row>
    <row r="48" spans="1:7" ht="15">
      <c r="A48" s="66"/>
      <c r="B48" s="66"/>
      <c r="C48" s="66" t="s">
        <v>389</v>
      </c>
      <c r="D48" s="66"/>
      <c r="E48" s="66"/>
      <c r="F48" s="66"/>
      <c r="G48" s="69">
        <v>22191000</v>
      </c>
    </row>
    <row r="49" spans="1:7" ht="15">
      <c r="A49" s="66"/>
      <c r="B49" s="66"/>
      <c r="C49" s="66"/>
      <c r="D49" s="66"/>
      <c r="E49" s="66"/>
      <c r="F49" s="66"/>
      <c r="G49" s="70"/>
    </row>
    <row r="50" spans="1:7" ht="15">
      <c r="A50" s="71" t="s">
        <v>390</v>
      </c>
      <c r="B50" s="66"/>
      <c r="C50" s="66"/>
      <c r="D50" s="66"/>
      <c r="E50" s="66"/>
      <c r="F50" s="66"/>
      <c r="G50" s="70">
        <f>G48-G46</f>
        <v>3854526</v>
      </c>
    </row>
  </sheetData>
  <mergeCells count="6">
    <mergeCell ref="A9:M9"/>
    <mergeCell ref="K1:M1"/>
    <mergeCell ref="K2:M2"/>
    <mergeCell ref="K3:M3"/>
    <mergeCell ref="A6:M6"/>
    <mergeCell ref="A7:M7"/>
  </mergeCells>
  <printOptions horizontalCentered="1"/>
  <pageMargins left="1" right="0.5" top="1" bottom="1" header="0.5" footer="0.5"/>
  <pageSetup scale="8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opLeftCell="A10" workbookViewId="0">
      <selection activeCell="I23" sqref="I23"/>
    </sheetView>
  </sheetViews>
  <sheetFormatPr defaultRowHeight="12.75"/>
  <cols>
    <col min="1" max="1" width="5.7109375" customWidth="1"/>
    <col min="2" max="2" width="45.5703125" customWidth="1"/>
    <col min="3" max="3" width="5.7109375" customWidth="1"/>
    <col min="4" max="4" width="13.140625" bestFit="1" customWidth="1"/>
    <col min="5" max="5" width="5.7109375" customWidth="1"/>
    <col min="6" max="6" width="12.5703125" customWidth="1"/>
    <col min="7" max="7" width="11.7109375" customWidth="1"/>
    <col min="8" max="8" width="12.7109375" customWidth="1"/>
  </cols>
  <sheetData>
    <row r="1" spans="1:8" ht="15.75">
      <c r="G1" s="258" t="s">
        <v>426</v>
      </c>
      <c r="H1" s="258"/>
    </row>
    <row r="2" spans="1:8" ht="15.75">
      <c r="G2" s="157" t="s">
        <v>766</v>
      </c>
      <c r="H2" s="49"/>
    </row>
    <row r="3" spans="1:8" ht="15">
      <c r="G3" s="273" t="str">
        <f>'PEF - 6  p1, FF1 Inputs '!K3</f>
        <v>Year Ending 12/31/2009</v>
      </c>
      <c r="H3" s="273"/>
    </row>
    <row r="6" spans="1:8" ht="15">
      <c r="A6" s="263" t="s">
        <v>70</v>
      </c>
      <c r="B6" s="263"/>
      <c r="C6" s="263"/>
      <c r="D6" s="263"/>
      <c r="E6" s="263"/>
      <c r="F6" s="263"/>
      <c r="G6" s="263"/>
      <c r="H6" s="263"/>
    </row>
    <row r="7" spans="1:8" ht="15">
      <c r="A7" s="281" t="s">
        <v>254</v>
      </c>
      <c r="B7" s="281"/>
      <c r="C7" s="281"/>
      <c r="D7" s="281"/>
      <c r="E7" s="281"/>
      <c r="F7" s="281"/>
      <c r="G7" s="281"/>
      <c r="H7" s="281"/>
    </row>
    <row r="8" spans="1:8" ht="15">
      <c r="A8" s="281" t="s">
        <v>255</v>
      </c>
      <c r="B8" s="281"/>
      <c r="C8" s="281"/>
      <c r="D8" s="281"/>
      <c r="E8" s="281"/>
      <c r="F8" s="281"/>
      <c r="G8" s="281"/>
      <c r="H8" s="281"/>
    </row>
    <row r="10" spans="1:8" ht="15">
      <c r="D10" s="55" t="s">
        <v>255</v>
      </c>
      <c r="E10" s="1"/>
      <c r="F10" s="56" t="s">
        <v>270</v>
      </c>
      <c r="G10" s="282" t="s">
        <v>273</v>
      </c>
      <c r="H10" s="283"/>
    </row>
    <row r="11" spans="1:8" ht="20.100000000000001" customHeight="1">
      <c r="B11" s="216" t="s">
        <v>256</v>
      </c>
      <c r="C11" s="216"/>
      <c r="D11" s="101">
        <v>10902557.609999999</v>
      </c>
      <c r="E11" s="250"/>
      <c r="F11" s="101"/>
      <c r="G11" s="60"/>
      <c r="H11" s="60"/>
    </row>
    <row r="12" spans="1:8" ht="20.100000000000001" customHeight="1">
      <c r="B12" s="216" t="s">
        <v>275</v>
      </c>
      <c r="C12" s="216"/>
      <c r="D12" s="101">
        <v>202088</v>
      </c>
      <c r="E12" s="250"/>
      <c r="F12" s="101">
        <f>D12</f>
        <v>202088</v>
      </c>
      <c r="G12" s="60"/>
      <c r="H12" s="60"/>
    </row>
    <row r="13" spans="1:8" ht="20.100000000000001" customHeight="1">
      <c r="B13" s="216" t="s">
        <v>257</v>
      </c>
      <c r="C13" s="216"/>
      <c r="D13" s="101">
        <v>1524458</v>
      </c>
      <c r="E13" s="250"/>
      <c r="F13" s="101">
        <f>D13</f>
        <v>1524458</v>
      </c>
      <c r="G13" s="60"/>
      <c r="H13" s="60"/>
    </row>
    <row r="14" spans="1:8" ht="20.100000000000001" customHeight="1">
      <c r="B14" s="216" t="s">
        <v>276</v>
      </c>
      <c r="C14" s="216"/>
      <c r="D14" s="101">
        <v>62129648.130000003</v>
      </c>
      <c r="E14" s="250"/>
      <c r="F14" s="101"/>
      <c r="G14" s="60"/>
      <c r="H14" s="60"/>
    </row>
    <row r="15" spans="1:8" ht="20.100000000000001" customHeight="1">
      <c r="B15" s="216" t="s">
        <v>278</v>
      </c>
      <c r="C15" s="216"/>
      <c r="D15" s="101">
        <v>86509.440000000002</v>
      </c>
      <c r="E15" s="250"/>
      <c r="F15" s="101">
        <f>D15</f>
        <v>86509.440000000002</v>
      </c>
      <c r="G15" s="60"/>
      <c r="H15" s="60"/>
    </row>
    <row r="16" spans="1:8" ht="20.100000000000001" customHeight="1">
      <c r="B16" s="216" t="s">
        <v>277</v>
      </c>
      <c r="C16" s="216"/>
      <c r="D16" s="101">
        <v>660408</v>
      </c>
      <c r="E16" s="250"/>
      <c r="F16" s="101">
        <f>D16</f>
        <v>660408</v>
      </c>
      <c r="G16" s="60"/>
      <c r="H16" s="60"/>
    </row>
    <row r="17" spans="2:8" ht="20.100000000000001" customHeight="1">
      <c r="B17" s="216" t="s">
        <v>258</v>
      </c>
      <c r="C17" s="216"/>
      <c r="D17" s="101">
        <v>42000</v>
      </c>
      <c r="E17" s="250"/>
      <c r="F17" s="101">
        <f>D17</f>
        <v>42000</v>
      </c>
      <c r="G17" s="60"/>
      <c r="H17" s="60"/>
    </row>
    <row r="18" spans="2:8" ht="20.100000000000001" customHeight="1">
      <c r="B18" s="216" t="s">
        <v>259</v>
      </c>
      <c r="C18" s="216"/>
      <c r="D18" s="101">
        <v>6931993.3300000001</v>
      </c>
      <c r="E18" s="250"/>
      <c r="F18" s="101"/>
      <c r="G18" s="60"/>
      <c r="H18" s="60"/>
    </row>
    <row r="19" spans="2:8" ht="20.100000000000001" customHeight="1">
      <c r="B19" s="216" t="s">
        <v>260</v>
      </c>
      <c r="C19" s="216"/>
      <c r="D19" s="101">
        <v>409573.26</v>
      </c>
      <c r="E19" s="250"/>
      <c r="F19" s="101"/>
      <c r="G19" s="60"/>
      <c r="H19" s="60"/>
    </row>
    <row r="20" spans="2:8" ht="20.100000000000001" customHeight="1">
      <c r="B20" s="216" t="s">
        <v>261</v>
      </c>
      <c r="C20" s="216"/>
      <c r="D20" s="101">
        <v>0</v>
      </c>
      <c r="E20" s="250"/>
      <c r="F20" s="101"/>
      <c r="G20" s="60"/>
      <c r="H20" s="60"/>
    </row>
    <row r="21" spans="2:8" ht="20.100000000000001" customHeight="1">
      <c r="B21" s="216" t="s">
        <v>262</v>
      </c>
      <c r="C21" s="216"/>
      <c r="D21" s="101">
        <v>259346.05</v>
      </c>
      <c r="E21" s="250"/>
      <c r="F21" s="101"/>
      <c r="G21" s="60"/>
      <c r="H21" s="60"/>
    </row>
    <row r="22" spans="2:8" ht="20.100000000000001" customHeight="1">
      <c r="B22" s="251" t="s">
        <v>919</v>
      </c>
      <c r="C22" s="216"/>
      <c r="D22" s="101">
        <v>193836.39</v>
      </c>
      <c r="E22" s="250"/>
      <c r="F22" s="101"/>
      <c r="G22" s="60"/>
      <c r="H22" s="60"/>
    </row>
    <row r="23" spans="2:8" ht="20.100000000000001" customHeight="1">
      <c r="B23" s="216" t="s">
        <v>263</v>
      </c>
      <c r="C23" s="216"/>
      <c r="D23" s="101">
        <v>1015535.06</v>
      </c>
      <c r="E23" s="250"/>
      <c r="F23" s="101"/>
      <c r="G23" s="60"/>
      <c r="H23" s="60"/>
    </row>
    <row r="24" spans="2:8" ht="20.100000000000001" customHeight="1">
      <c r="B24" s="216" t="s">
        <v>264</v>
      </c>
      <c r="C24" s="216"/>
      <c r="D24" s="101">
        <v>3100</v>
      </c>
      <c r="E24" s="250"/>
      <c r="F24" s="101"/>
      <c r="G24" s="60"/>
      <c r="H24" s="60"/>
    </row>
    <row r="25" spans="2:8" ht="20.100000000000001" customHeight="1">
      <c r="B25" s="216" t="s">
        <v>265</v>
      </c>
      <c r="C25" s="216"/>
      <c r="D25" s="101">
        <v>340067.55</v>
      </c>
      <c r="E25" s="250"/>
      <c r="F25" s="101">
        <f>D25</f>
        <v>340067.55</v>
      </c>
      <c r="G25" s="268"/>
      <c r="H25" s="268"/>
    </row>
    <row r="26" spans="2:8" ht="20.100000000000001" customHeight="1">
      <c r="B26" s="216" t="s">
        <v>266</v>
      </c>
      <c r="C26" s="216"/>
      <c r="D26" s="101">
        <v>490782.11</v>
      </c>
      <c r="E26" s="250"/>
      <c r="F26" s="101">
        <f>D26*[3]Alloc_Table!C$8</f>
        <v>34636.367106159749</v>
      </c>
      <c r="G26" s="106" t="s">
        <v>274</v>
      </c>
      <c r="H26" s="106"/>
    </row>
    <row r="27" spans="2:8" ht="20.100000000000001" customHeight="1">
      <c r="B27" s="216" t="s">
        <v>267</v>
      </c>
      <c r="C27" s="216"/>
      <c r="D27" s="101">
        <v>310788.59999999998</v>
      </c>
      <c r="E27" s="250"/>
      <c r="F27" s="101">
        <f>D27*[3]Alloc_Table!C$8</f>
        <v>21933.537964555064</v>
      </c>
      <c r="G27" s="106" t="s">
        <v>274</v>
      </c>
      <c r="H27" s="106"/>
    </row>
    <row r="28" spans="2:8" ht="20.100000000000001" customHeight="1">
      <c r="B28" s="216" t="s">
        <v>268</v>
      </c>
      <c r="C28" s="216"/>
      <c r="D28" s="101">
        <v>298100.21999999997</v>
      </c>
      <c r="E28" s="250"/>
      <c r="F28" s="101">
        <f>D28*[3]Alloc_Table!C$8</f>
        <v>21038.070548959058</v>
      </c>
      <c r="G28" s="106" t="s">
        <v>274</v>
      </c>
      <c r="H28" s="106"/>
    </row>
    <row r="29" spans="2:8" ht="20.100000000000001" customHeight="1">
      <c r="B29" s="216" t="s">
        <v>269</v>
      </c>
      <c r="C29" s="216"/>
      <c r="D29" s="101">
        <v>3569.1600000113249</v>
      </c>
      <c r="E29" s="250"/>
      <c r="F29" s="101"/>
      <c r="G29" s="60"/>
      <c r="H29" s="60"/>
    </row>
    <row r="30" spans="2:8">
      <c r="D30" s="57" t="s">
        <v>271</v>
      </c>
      <c r="F30" s="57" t="s">
        <v>271</v>
      </c>
    </row>
    <row r="31" spans="2:8" ht="15">
      <c r="B31" s="2" t="s">
        <v>272</v>
      </c>
      <c r="D31" s="6">
        <f>SUM(D11:D29)</f>
        <v>85804360.910000011</v>
      </c>
      <c r="F31" s="6">
        <f>SUM(F11:F29)</f>
        <v>2933138.9656196735</v>
      </c>
    </row>
  </sheetData>
  <mergeCells count="7">
    <mergeCell ref="G25:H25"/>
    <mergeCell ref="G1:H1"/>
    <mergeCell ref="G3:H3"/>
    <mergeCell ref="A6:H6"/>
    <mergeCell ref="A7:H7"/>
    <mergeCell ref="A8:H8"/>
    <mergeCell ref="G10:H10"/>
  </mergeCells>
  <pageMargins left="0.45" right="0.45" top="1" bottom="0.75" header="0.3" footer="0.3"/>
  <pageSetup scale="8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topLeftCell="A6" workbookViewId="0">
      <selection activeCell="H88" sqref="H88"/>
    </sheetView>
  </sheetViews>
  <sheetFormatPr defaultRowHeight="12.75"/>
  <cols>
    <col min="1" max="1" width="5.7109375" customWidth="1"/>
    <col min="2" max="2" width="11" customWidth="1"/>
    <col min="3" max="3" width="3.7109375" customWidth="1"/>
    <col min="4" max="4" width="34.5703125" customWidth="1"/>
    <col min="5" max="5" width="12.7109375" customWidth="1"/>
    <col min="6" max="6" width="13.7109375" customWidth="1"/>
    <col min="7" max="7" width="19.140625" customWidth="1"/>
    <col min="8" max="8" width="7" customWidth="1"/>
  </cols>
  <sheetData>
    <row r="1" spans="1:8" ht="15.75">
      <c r="G1" s="258" t="s">
        <v>426</v>
      </c>
      <c r="H1" s="258"/>
    </row>
    <row r="2" spans="1:8" ht="15.75">
      <c r="G2" s="157" t="s">
        <v>767</v>
      </c>
      <c r="H2" s="49"/>
    </row>
    <row r="3" spans="1:8" ht="15">
      <c r="G3" s="273" t="str">
        <f>'PEF - 6  p1, FF1 Inputs '!K3</f>
        <v>Year Ending 12/31/2009</v>
      </c>
      <c r="H3" s="273"/>
    </row>
    <row r="6" spans="1:8" ht="15">
      <c r="A6" s="263" t="s">
        <v>70</v>
      </c>
      <c r="B6" s="263"/>
      <c r="C6" s="263"/>
      <c r="D6" s="263"/>
      <c r="E6" s="263"/>
      <c r="F6" s="263"/>
      <c r="G6" s="263"/>
      <c r="H6" s="263"/>
    </row>
    <row r="7" spans="1:8" ht="15">
      <c r="A7" s="281" t="s">
        <v>254</v>
      </c>
      <c r="B7" s="281"/>
      <c r="C7" s="281"/>
      <c r="D7" s="281"/>
      <c r="E7" s="281"/>
      <c r="F7" s="281"/>
      <c r="G7" s="281"/>
      <c r="H7" s="281"/>
    </row>
    <row r="8" spans="1:8" ht="15">
      <c r="A8" s="281" t="s">
        <v>279</v>
      </c>
      <c r="B8" s="281"/>
      <c r="C8" s="281"/>
      <c r="D8" s="281"/>
      <c r="E8" s="281"/>
      <c r="F8" s="281"/>
      <c r="G8" s="281"/>
      <c r="H8" s="281"/>
    </row>
    <row r="10" spans="1:8" ht="15">
      <c r="B10" s="284" t="s">
        <v>280</v>
      </c>
      <c r="C10" s="61"/>
      <c r="D10" s="45" t="s">
        <v>281</v>
      </c>
      <c r="E10" s="45" t="s">
        <v>282</v>
      </c>
      <c r="F10" s="45" t="s">
        <v>283</v>
      </c>
      <c r="G10" s="45" t="s">
        <v>284</v>
      </c>
    </row>
    <row r="11" spans="1:8" ht="15">
      <c r="B11" s="284"/>
      <c r="C11" s="61"/>
      <c r="D11" s="218" t="s">
        <v>918</v>
      </c>
      <c r="E11" s="45" t="s">
        <v>285</v>
      </c>
      <c r="F11" s="45" t="s">
        <v>286</v>
      </c>
      <c r="G11" s="45" t="s">
        <v>287</v>
      </c>
    </row>
    <row r="13" spans="1:8" ht="15">
      <c r="B13" s="5" t="s">
        <v>832</v>
      </c>
      <c r="C13" s="248"/>
      <c r="D13" s="248" t="s">
        <v>288</v>
      </c>
      <c r="E13" s="248" t="s">
        <v>328</v>
      </c>
      <c r="F13" s="248" t="s">
        <v>329</v>
      </c>
      <c r="G13" s="7">
        <v>13798</v>
      </c>
    </row>
    <row r="14" spans="1:8" ht="15">
      <c r="B14" s="5" t="s">
        <v>833</v>
      </c>
      <c r="C14" s="248"/>
      <c r="D14" s="248" t="s">
        <v>289</v>
      </c>
      <c r="E14" s="248" t="s">
        <v>330</v>
      </c>
      <c r="F14" s="248" t="s">
        <v>331</v>
      </c>
      <c r="G14" s="7">
        <v>1494526</v>
      </c>
    </row>
    <row r="15" spans="1:8" ht="15">
      <c r="B15" s="5" t="s">
        <v>834</v>
      </c>
      <c r="C15" s="248"/>
      <c r="D15" s="248" t="s">
        <v>290</v>
      </c>
      <c r="E15" s="248" t="s">
        <v>332</v>
      </c>
      <c r="F15" s="248" t="s">
        <v>333</v>
      </c>
      <c r="G15" s="7">
        <v>34342</v>
      </c>
    </row>
    <row r="16" spans="1:8" ht="15">
      <c r="B16" s="5" t="s">
        <v>835</v>
      </c>
      <c r="C16" s="248"/>
      <c r="D16" s="248" t="s">
        <v>291</v>
      </c>
      <c r="E16" s="248" t="s">
        <v>332</v>
      </c>
      <c r="F16" s="248" t="s">
        <v>334</v>
      </c>
      <c r="G16" s="7">
        <v>145579</v>
      </c>
    </row>
    <row r="17" spans="2:7" ht="15">
      <c r="B17" s="5" t="s">
        <v>836</v>
      </c>
      <c r="C17" s="248"/>
      <c r="D17" s="248" t="s">
        <v>837</v>
      </c>
      <c r="E17" s="248" t="s">
        <v>332</v>
      </c>
      <c r="F17" s="248" t="s">
        <v>838</v>
      </c>
      <c r="G17" s="7">
        <v>36685</v>
      </c>
    </row>
    <row r="18" spans="2:7" ht="15">
      <c r="B18" s="5" t="s">
        <v>839</v>
      </c>
      <c r="C18" s="248"/>
      <c r="D18" s="248" t="s">
        <v>292</v>
      </c>
      <c r="E18" s="248" t="s">
        <v>332</v>
      </c>
      <c r="F18" s="248" t="s">
        <v>335</v>
      </c>
      <c r="G18" s="7">
        <v>22231</v>
      </c>
    </row>
    <row r="19" spans="2:7" ht="15">
      <c r="B19" s="5" t="s">
        <v>840</v>
      </c>
      <c r="C19" s="248"/>
      <c r="D19" s="248" t="s">
        <v>293</v>
      </c>
      <c r="E19" s="248" t="s">
        <v>332</v>
      </c>
      <c r="F19" s="248" t="s">
        <v>336</v>
      </c>
      <c r="G19" s="7">
        <v>1298</v>
      </c>
    </row>
    <row r="20" spans="2:7" ht="15">
      <c r="B20" s="5" t="s">
        <v>841</v>
      </c>
      <c r="C20" s="248"/>
      <c r="D20" s="248" t="s">
        <v>294</v>
      </c>
      <c r="E20" s="248" t="s">
        <v>332</v>
      </c>
      <c r="F20" s="248" t="s">
        <v>337</v>
      </c>
      <c r="G20" s="7">
        <v>2511</v>
      </c>
    </row>
    <row r="21" spans="2:7" ht="15">
      <c r="B21" s="5" t="s">
        <v>842</v>
      </c>
      <c r="C21" s="248"/>
      <c r="D21" s="248" t="s">
        <v>295</v>
      </c>
      <c r="E21" s="248" t="s">
        <v>332</v>
      </c>
      <c r="F21" s="248" t="s">
        <v>338</v>
      </c>
      <c r="G21" s="7">
        <v>2237</v>
      </c>
    </row>
    <row r="22" spans="2:7" ht="15">
      <c r="B22" s="5" t="s">
        <v>843</v>
      </c>
      <c r="C22" s="248"/>
      <c r="D22" s="248" t="s">
        <v>296</v>
      </c>
      <c r="E22" s="248" t="s">
        <v>332</v>
      </c>
      <c r="F22" s="248" t="s">
        <v>339</v>
      </c>
      <c r="G22" s="7">
        <v>30864</v>
      </c>
    </row>
    <row r="23" spans="2:7" ht="15">
      <c r="B23" s="5" t="s">
        <v>844</v>
      </c>
      <c r="C23" s="248"/>
      <c r="D23" s="248" t="s">
        <v>297</v>
      </c>
      <c r="E23" s="248" t="s">
        <v>332</v>
      </c>
      <c r="F23" s="248" t="s">
        <v>340</v>
      </c>
      <c r="G23" s="7">
        <v>-3</v>
      </c>
    </row>
    <row r="24" spans="2:7" ht="15">
      <c r="B24" s="5" t="s">
        <v>845</v>
      </c>
      <c r="C24" s="248"/>
      <c r="D24" s="248" t="s">
        <v>298</v>
      </c>
      <c r="E24" s="248" t="s">
        <v>328</v>
      </c>
      <c r="F24" s="248" t="s">
        <v>341</v>
      </c>
      <c r="G24" s="7">
        <v>275185</v>
      </c>
    </row>
    <row r="25" spans="2:7" ht="15">
      <c r="B25" s="5" t="s">
        <v>846</v>
      </c>
      <c r="C25" s="248"/>
      <c r="D25" s="248" t="s">
        <v>299</v>
      </c>
      <c r="E25" s="248" t="s">
        <v>342</v>
      </c>
      <c r="F25" s="248" t="s">
        <v>343</v>
      </c>
      <c r="G25" s="7">
        <v>1038015</v>
      </c>
    </row>
    <row r="26" spans="2:7" ht="15">
      <c r="B26" s="5" t="s">
        <v>847</v>
      </c>
      <c r="C26" s="248"/>
      <c r="D26" s="248" t="s">
        <v>300</v>
      </c>
      <c r="E26" s="248" t="s">
        <v>328</v>
      </c>
      <c r="F26" s="248" t="s">
        <v>344</v>
      </c>
      <c r="G26" s="7">
        <v>705409</v>
      </c>
    </row>
    <row r="27" spans="2:7" ht="15">
      <c r="B27" s="5" t="s">
        <v>848</v>
      </c>
      <c r="C27" s="248"/>
      <c r="D27" s="248" t="s">
        <v>300</v>
      </c>
      <c r="E27" s="248" t="s">
        <v>332</v>
      </c>
      <c r="F27" s="248" t="s">
        <v>345</v>
      </c>
      <c r="G27" s="7">
        <v>0</v>
      </c>
    </row>
    <row r="28" spans="2:7" ht="15">
      <c r="B28" s="5" t="s">
        <v>849</v>
      </c>
      <c r="C28" s="248"/>
      <c r="D28" s="248" t="s">
        <v>300</v>
      </c>
      <c r="E28" s="248" t="s">
        <v>360</v>
      </c>
      <c r="F28" s="248" t="s">
        <v>374</v>
      </c>
      <c r="G28" s="7">
        <v>0</v>
      </c>
    </row>
    <row r="29" spans="2:7" ht="15">
      <c r="B29" s="5" t="s">
        <v>850</v>
      </c>
      <c r="C29" s="248"/>
      <c r="D29" s="248" t="s">
        <v>301</v>
      </c>
      <c r="E29" s="248" t="s">
        <v>328</v>
      </c>
      <c r="F29" s="248" t="s">
        <v>346</v>
      </c>
      <c r="G29" s="7">
        <v>131980</v>
      </c>
    </row>
    <row r="30" spans="2:7" ht="15">
      <c r="B30" s="5" t="s">
        <v>851</v>
      </c>
      <c r="C30" s="248"/>
      <c r="D30" s="248" t="s">
        <v>302</v>
      </c>
      <c r="E30" s="248" t="s">
        <v>332</v>
      </c>
      <c r="F30" s="248" t="s">
        <v>347</v>
      </c>
      <c r="G30" s="7">
        <v>23728</v>
      </c>
    </row>
    <row r="31" spans="2:7" ht="15">
      <c r="B31" s="5" t="s">
        <v>852</v>
      </c>
      <c r="C31" s="248"/>
      <c r="D31" s="248" t="s">
        <v>303</v>
      </c>
      <c r="E31" s="248" t="s">
        <v>330</v>
      </c>
      <c r="F31" s="248" t="s">
        <v>348</v>
      </c>
      <c r="G31" s="7">
        <v>495676</v>
      </c>
    </row>
    <row r="32" spans="2:7" ht="15">
      <c r="B32" s="5" t="s">
        <v>853</v>
      </c>
      <c r="C32" s="248"/>
      <c r="D32" s="248" t="s">
        <v>854</v>
      </c>
      <c r="E32" s="248" t="s">
        <v>332</v>
      </c>
      <c r="F32" s="248" t="s">
        <v>855</v>
      </c>
      <c r="G32" s="7">
        <v>94020</v>
      </c>
    </row>
    <row r="33" spans="2:7" ht="15">
      <c r="B33" s="5" t="s">
        <v>856</v>
      </c>
      <c r="C33" s="248"/>
      <c r="D33" s="248" t="s">
        <v>304</v>
      </c>
      <c r="E33" s="248" t="s">
        <v>328</v>
      </c>
      <c r="F33" s="248" t="s">
        <v>349</v>
      </c>
      <c r="G33" s="7">
        <v>114041</v>
      </c>
    </row>
    <row r="34" spans="2:7" ht="15">
      <c r="B34" s="5" t="s">
        <v>857</v>
      </c>
      <c r="C34" s="248"/>
      <c r="D34" s="248" t="s">
        <v>304</v>
      </c>
      <c r="E34" s="248" t="s">
        <v>328</v>
      </c>
      <c r="F34" s="248" t="s">
        <v>858</v>
      </c>
      <c r="G34" s="7">
        <v>517775</v>
      </c>
    </row>
    <row r="35" spans="2:7" ht="15">
      <c r="B35" s="5" t="s">
        <v>859</v>
      </c>
      <c r="C35" s="248"/>
      <c r="D35" s="248" t="s">
        <v>304</v>
      </c>
      <c r="E35" s="248" t="s">
        <v>332</v>
      </c>
      <c r="F35" s="248" t="s">
        <v>350</v>
      </c>
      <c r="G35" s="7">
        <v>14387</v>
      </c>
    </row>
    <row r="36" spans="2:7" ht="15">
      <c r="B36" s="5" t="s">
        <v>860</v>
      </c>
      <c r="C36" s="248"/>
      <c r="D36" s="248" t="s">
        <v>305</v>
      </c>
      <c r="E36" s="248" t="s">
        <v>332</v>
      </c>
      <c r="F36" s="248" t="s">
        <v>351</v>
      </c>
      <c r="G36" s="7">
        <v>5136</v>
      </c>
    </row>
    <row r="37" spans="2:7" ht="15">
      <c r="B37" s="5" t="s">
        <v>861</v>
      </c>
      <c r="C37" s="248"/>
      <c r="D37" s="248" t="s">
        <v>306</v>
      </c>
      <c r="E37" s="248" t="s">
        <v>328</v>
      </c>
      <c r="F37" s="248" t="s">
        <v>352</v>
      </c>
      <c r="G37" s="7">
        <v>529930</v>
      </c>
    </row>
    <row r="38" spans="2:7" ht="15">
      <c r="B38" s="5" t="s">
        <v>862</v>
      </c>
      <c r="C38" s="248"/>
      <c r="D38" s="248" t="s">
        <v>307</v>
      </c>
      <c r="E38" s="248" t="s">
        <v>328</v>
      </c>
      <c r="F38" s="248" t="s">
        <v>353</v>
      </c>
      <c r="G38" s="7">
        <v>287512</v>
      </c>
    </row>
    <row r="39" spans="2:7" ht="15">
      <c r="B39" s="5" t="s">
        <v>863</v>
      </c>
      <c r="C39" s="248"/>
      <c r="D39" s="248" t="s">
        <v>307</v>
      </c>
      <c r="E39" s="248" t="s">
        <v>332</v>
      </c>
      <c r="F39" s="248" t="s">
        <v>354</v>
      </c>
      <c r="G39" s="7">
        <v>15624</v>
      </c>
    </row>
    <row r="40" spans="2:7" ht="15">
      <c r="B40" s="5" t="s">
        <v>864</v>
      </c>
      <c r="C40" s="248"/>
      <c r="D40" s="248" t="s">
        <v>308</v>
      </c>
      <c r="E40" s="248" t="s">
        <v>330</v>
      </c>
      <c r="F40" s="248" t="s">
        <v>355</v>
      </c>
      <c r="G40" s="7">
        <v>340316</v>
      </c>
    </row>
    <row r="41" spans="2:7" ht="15">
      <c r="B41" s="5" t="s">
        <v>865</v>
      </c>
      <c r="C41" s="248"/>
      <c r="D41" s="248" t="s">
        <v>309</v>
      </c>
      <c r="E41" s="248" t="s">
        <v>332</v>
      </c>
      <c r="F41" s="248" t="s">
        <v>356</v>
      </c>
      <c r="G41" s="7">
        <v>-3230</v>
      </c>
    </row>
    <row r="42" spans="2:7" ht="15">
      <c r="B42" s="5" t="s">
        <v>866</v>
      </c>
      <c r="C42" s="248"/>
      <c r="D42" s="248" t="s">
        <v>310</v>
      </c>
      <c r="E42" s="248" t="s">
        <v>332</v>
      </c>
      <c r="F42" s="248" t="s">
        <v>357</v>
      </c>
      <c r="G42" s="7">
        <v>82307</v>
      </c>
    </row>
    <row r="43" spans="2:7" ht="15">
      <c r="B43" s="5" t="s">
        <v>867</v>
      </c>
      <c r="C43" s="248"/>
      <c r="D43" s="248" t="s">
        <v>311</v>
      </c>
      <c r="E43" s="248" t="s">
        <v>328</v>
      </c>
      <c r="F43" s="248" t="s">
        <v>358</v>
      </c>
      <c r="G43" s="7">
        <v>-17</v>
      </c>
    </row>
    <row r="44" spans="2:7" ht="15">
      <c r="B44" s="5" t="s">
        <v>868</v>
      </c>
      <c r="C44" s="248"/>
      <c r="D44" s="248" t="s">
        <v>311</v>
      </c>
      <c r="E44" s="248" t="s">
        <v>332</v>
      </c>
      <c r="F44" s="248" t="s">
        <v>359</v>
      </c>
      <c r="G44" s="7">
        <v>0</v>
      </c>
    </row>
    <row r="45" spans="2:7" ht="15">
      <c r="B45" s="5" t="s">
        <v>869</v>
      </c>
      <c r="C45" s="248"/>
      <c r="D45" s="248" t="s">
        <v>312</v>
      </c>
      <c r="E45" s="248" t="s">
        <v>360</v>
      </c>
      <c r="F45" s="248" t="s">
        <v>361</v>
      </c>
      <c r="G45" s="7">
        <v>266605</v>
      </c>
    </row>
    <row r="46" spans="2:7" ht="15">
      <c r="B46" s="5" t="s">
        <v>870</v>
      </c>
      <c r="C46" s="248"/>
      <c r="D46" s="248" t="s">
        <v>312</v>
      </c>
      <c r="E46" s="248" t="s">
        <v>332</v>
      </c>
      <c r="F46" s="248" t="s">
        <v>362</v>
      </c>
      <c r="G46" s="7">
        <v>26280</v>
      </c>
    </row>
    <row r="47" spans="2:7" ht="15">
      <c r="B47" s="5" t="s">
        <v>871</v>
      </c>
      <c r="C47" s="248"/>
      <c r="D47" s="248" t="s">
        <v>313</v>
      </c>
      <c r="E47" s="248" t="s">
        <v>332</v>
      </c>
      <c r="F47" s="248" t="s">
        <v>363</v>
      </c>
      <c r="G47" s="7">
        <v>7355</v>
      </c>
    </row>
    <row r="48" spans="2:7" ht="15">
      <c r="B48" s="5" t="s">
        <v>872</v>
      </c>
      <c r="C48" s="248"/>
      <c r="D48" s="248" t="s">
        <v>314</v>
      </c>
      <c r="E48" s="248" t="s">
        <v>328</v>
      </c>
      <c r="F48" s="248" t="s">
        <v>364</v>
      </c>
      <c r="G48" s="7">
        <v>268767</v>
      </c>
    </row>
    <row r="49" spans="2:7" ht="15">
      <c r="B49" s="5" t="s">
        <v>873</v>
      </c>
      <c r="C49" s="248"/>
      <c r="D49" s="248" t="s">
        <v>314</v>
      </c>
      <c r="E49" s="248" t="s">
        <v>328</v>
      </c>
      <c r="F49" s="248" t="s">
        <v>365</v>
      </c>
      <c r="G49" s="7">
        <v>253511</v>
      </c>
    </row>
    <row r="50" spans="2:7" ht="15">
      <c r="B50" s="5" t="s">
        <v>874</v>
      </c>
      <c r="C50" s="248"/>
      <c r="D50" s="248" t="s">
        <v>314</v>
      </c>
      <c r="E50" s="248" t="s">
        <v>332</v>
      </c>
      <c r="F50" s="248" t="s">
        <v>366</v>
      </c>
      <c r="G50" s="7">
        <v>4872</v>
      </c>
    </row>
    <row r="51" spans="2:7" ht="15">
      <c r="B51" s="5" t="s">
        <v>875</v>
      </c>
      <c r="C51" s="248"/>
      <c r="D51" s="248" t="s">
        <v>315</v>
      </c>
      <c r="E51" s="248" t="s">
        <v>328</v>
      </c>
      <c r="F51" s="248" t="s">
        <v>876</v>
      </c>
      <c r="G51" s="7">
        <v>3909568</v>
      </c>
    </row>
    <row r="52" spans="2:7" ht="15">
      <c r="B52" s="5" t="s">
        <v>877</v>
      </c>
      <c r="C52" s="248"/>
      <c r="D52" s="248" t="s">
        <v>315</v>
      </c>
      <c r="E52" s="248" t="s">
        <v>332</v>
      </c>
      <c r="F52" s="248" t="s">
        <v>368</v>
      </c>
      <c r="G52" s="7">
        <v>137838</v>
      </c>
    </row>
    <row r="53" spans="2:7" ht="15">
      <c r="B53" s="5" t="s">
        <v>878</v>
      </c>
      <c r="C53" s="248"/>
      <c r="D53" s="248" t="s">
        <v>315</v>
      </c>
      <c r="E53" s="248" t="s">
        <v>330</v>
      </c>
      <c r="F53" s="248" t="s">
        <v>369</v>
      </c>
      <c r="G53" s="7">
        <v>317353</v>
      </c>
    </row>
    <row r="54" spans="2:7" ht="15">
      <c r="B54" s="5" t="s">
        <v>879</v>
      </c>
      <c r="C54" s="248"/>
      <c r="D54" s="248" t="s">
        <v>315</v>
      </c>
      <c r="E54" s="248" t="s">
        <v>360</v>
      </c>
      <c r="F54" s="248" t="s">
        <v>367</v>
      </c>
      <c r="G54" s="7">
        <v>1540493</v>
      </c>
    </row>
    <row r="55" spans="2:7" ht="15">
      <c r="B55" s="5" t="s">
        <v>880</v>
      </c>
      <c r="C55" s="248"/>
      <c r="D55" s="248" t="s">
        <v>881</v>
      </c>
      <c r="E55" s="248" t="s">
        <v>332</v>
      </c>
      <c r="F55" s="248" t="s">
        <v>882</v>
      </c>
      <c r="G55" s="7">
        <v>3628</v>
      </c>
    </row>
    <row r="56" spans="2:7" ht="15">
      <c r="B56" s="5" t="s">
        <v>883</v>
      </c>
      <c r="C56" s="248"/>
      <c r="D56" s="248" t="s">
        <v>316</v>
      </c>
      <c r="E56" s="248" t="s">
        <v>328</v>
      </c>
      <c r="F56" s="248" t="s">
        <v>884</v>
      </c>
      <c r="G56" s="7">
        <v>206163</v>
      </c>
    </row>
    <row r="57" spans="2:7" ht="15">
      <c r="B57" s="5" t="s">
        <v>885</v>
      </c>
      <c r="C57" s="248"/>
      <c r="D57" s="248" t="s">
        <v>316</v>
      </c>
      <c r="E57" s="248" t="s">
        <v>328</v>
      </c>
      <c r="F57" s="248" t="s">
        <v>886</v>
      </c>
      <c r="G57" s="7">
        <v>1810850</v>
      </c>
    </row>
    <row r="58" spans="2:7" ht="15">
      <c r="B58" s="5" t="s">
        <v>887</v>
      </c>
      <c r="C58" s="248"/>
      <c r="D58" s="248" t="s">
        <v>316</v>
      </c>
      <c r="E58" s="248" t="s">
        <v>360</v>
      </c>
      <c r="F58" s="248" t="s">
        <v>888</v>
      </c>
      <c r="G58" s="7">
        <v>0</v>
      </c>
    </row>
    <row r="59" spans="2:7" ht="15">
      <c r="B59" s="5" t="s">
        <v>889</v>
      </c>
      <c r="C59" s="248"/>
      <c r="D59" s="248" t="s">
        <v>316</v>
      </c>
      <c r="E59" s="248" t="s">
        <v>360</v>
      </c>
      <c r="F59" s="248" t="s">
        <v>370</v>
      </c>
      <c r="G59" s="7">
        <v>24235</v>
      </c>
    </row>
    <row r="60" spans="2:7" ht="15">
      <c r="B60" s="5" t="s">
        <v>890</v>
      </c>
      <c r="C60" s="248"/>
      <c r="D60" s="248" t="s">
        <v>316</v>
      </c>
      <c r="E60" s="248" t="s">
        <v>332</v>
      </c>
      <c r="F60" s="248" t="s">
        <v>371</v>
      </c>
      <c r="G60" s="7">
        <v>239854</v>
      </c>
    </row>
    <row r="61" spans="2:7" ht="15">
      <c r="B61" s="5" t="s">
        <v>891</v>
      </c>
      <c r="C61" s="248"/>
      <c r="D61" s="248" t="s">
        <v>317</v>
      </c>
      <c r="E61" s="248" t="s">
        <v>330</v>
      </c>
      <c r="F61" s="248" t="s">
        <v>372</v>
      </c>
      <c r="G61" s="7">
        <v>167118</v>
      </c>
    </row>
    <row r="62" spans="2:7" ht="15">
      <c r="B62" s="5" t="s">
        <v>892</v>
      </c>
      <c r="C62" s="248"/>
      <c r="D62" s="248" t="s">
        <v>318</v>
      </c>
      <c r="E62" s="248" t="s">
        <v>330</v>
      </c>
      <c r="F62" s="248" t="s">
        <v>373</v>
      </c>
      <c r="G62" s="7">
        <v>2090582</v>
      </c>
    </row>
    <row r="63" spans="2:7" ht="15">
      <c r="B63" s="5" t="s">
        <v>893</v>
      </c>
      <c r="C63" s="248"/>
      <c r="D63" s="248" t="s">
        <v>894</v>
      </c>
      <c r="E63" s="248" t="s">
        <v>332</v>
      </c>
      <c r="F63" s="248" t="s">
        <v>895</v>
      </c>
      <c r="G63" s="7">
        <v>5675</v>
      </c>
    </row>
    <row r="64" spans="2:7" ht="15">
      <c r="B64" s="5" t="s">
        <v>896</v>
      </c>
      <c r="C64" s="248"/>
      <c r="D64" s="248" t="s">
        <v>897</v>
      </c>
      <c r="E64" s="248" t="s">
        <v>332</v>
      </c>
      <c r="F64" s="248" t="s">
        <v>898</v>
      </c>
      <c r="G64" s="7">
        <v>876063</v>
      </c>
    </row>
    <row r="65" spans="2:7" ht="15">
      <c r="B65" s="5" t="s">
        <v>899</v>
      </c>
      <c r="C65" s="248"/>
      <c r="D65" s="248" t="s">
        <v>900</v>
      </c>
      <c r="E65" s="248" t="s">
        <v>332</v>
      </c>
      <c r="F65" s="248" t="s">
        <v>376</v>
      </c>
      <c r="G65" s="7">
        <v>2483</v>
      </c>
    </row>
    <row r="66" spans="2:7" ht="15">
      <c r="B66" s="5" t="s">
        <v>901</v>
      </c>
      <c r="C66" s="248"/>
      <c r="D66" s="248" t="s">
        <v>902</v>
      </c>
      <c r="E66" s="248" t="s">
        <v>330</v>
      </c>
      <c r="F66" s="248" t="s">
        <v>903</v>
      </c>
      <c r="G66" s="7">
        <v>13742688</v>
      </c>
    </row>
    <row r="67" spans="2:7" ht="15">
      <c r="B67" s="5" t="s">
        <v>904</v>
      </c>
      <c r="C67" s="248"/>
      <c r="D67" s="248" t="s">
        <v>319</v>
      </c>
      <c r="E67" s="248" t="s">
        <v>375</v>
      </c>
      <c r="F67" s="248" t="s">
        <v>338</v>
      </c>
      <c r="G67" s="7">
        <v>4557256</v>
      </c>
    </row>
    <row r="68" spans="2:7" ht="15">
      <c r="B68" s="5" t="s">
        <v>905</v>
      </c>
      <c r="C68" s="248"/>
      <c r="D68" s="248" t="s">
        <v>320</v>
      </c>
      <c r="E68" s="248" t="s">
        <v>375</v>
      </c>
      <c r="F68" s="248" t="s">
        <v>376</v>
      </c>
      <c r="G68" s="7">
        <v>1594374</v>
      </c>
    </row>
    <row r="69" spans="2:7" ht="15">
      <c r="B69" s="5" t="s">
        <v>906</v>
      </c>
      <c r="C69" s="248"/>
      <c r="D69" s="248" t="s">
        <v>321</v>
      </c>
      <c r="E69" s="248" t="s">
        <v>375</v>
      </c>
      <c r="F69" s="248" t="s">
        <v>376</v>
      </c>
      <c r="G69" s="7">
        <v>17324454</v>
      </c>
    </row>
    <row r="70" spans="2:7" ht="15">
      <c r="B70" s="5" t="s">
        <v>907</v>
      </c>
      <c r="C70" s="248"/>
      <c r="D70" s="248" t="s">
        <v>908</v>
      </c>
      <c r="E70" s="248" t="s">
        <v>375</v>
      </c>
      <c r="F70" s="248" t="s">
        <v>376</v>
      </c>
      <c r="G70" s="7">
        <v>287749</v>
      </c>
    </row>
    <row r="71" spans="2:7" ht="15">
      <c r="B71" s="5" t="s">
        <v>909</v>
      </c>
      <c r="C71" s="248"/>
      <c r="D71" s="248" t="s">
        <v>322</v>
      </c>
      <c r="E71" s="248" t="s">
        <v>332</v>
      </c>
      <c r="F71" s="248" t="s">
        <v>377</v>
      </c>
      <c r="G71" s="7">
        <v>9526</v>
      </c>
    </row>
    <row r="72" spans="2:7" ht="15">
      <c r="B72" s="5" t="s">
        <v>910</v>
      </c>
      <c r="C72" s="248"/>
      <c r="D72" s="248" t="s">
        <v>323</v>
      </c>
      <c r="E72" s="248" t="s">
        <v>375</v>
      </c>
      <c r="F72" s="248" t="s">
        <v>376</v>
      </c>
      <c r="G72" s="7">
        <v>0</v>
      </c>
    </row>
    <row r="73" spans="2:7" ht="15">
      <c r="B73" s="5" t="s">
        <v>911</v>
      </c>
      <c r="C73" s="248"/>
      <c r="D73" s="248" t="s">
        <v>324</v>
      </c>
      <c r="E73" s="248" t="s">
        <v>332</v>
      </c>
      <c r="F73" s="248" t="s">
        <v>376</v>
      </c>
      <c r="G73" s="7">
        <v>0</v>
      </c>
    </row>
    <row r="74" spans="2:7" ht="15">
      <c r="B74" s="5" t="s">
        <v>912</v>
      </c>
      <c r="C74" s="248"/>
      <c r="D74" s="248" t="s">
        <v>325</v>
      </c>
      <c r="E74" s="248" t="s">
        <v>332</v>
      </c>
      <c r="F74" s="248" t="s">
        <v>376</v>
      </c>
      <c r="G74" s="7">
        <v>24677</v>
      </c>
    </row>
    <row r="75" spans="2:7" ht="15">
      <c r="B75" s="5" t="s">
        <v>913</v>
      </c>
      <c r="C75" s="248"/>
      <c r="D75" s="248" t="s">
        <v>326</v>
      </c>
      <c r="E75" s="248" t="s">
        <v>332</v>
      </c>
      <c r="F75" s="248" t="s">
        <v>378</v>
      </c>
      <c r="G75" s="7">
        <v>0</v>
      </c>
    </row>
    <row r="76" spans="2:7" ht="15">
      <c r="B76" s="5" t="s">
        <v>914</v>
      </c>
      <c r="C76" s="248"/>
      <c r="D76" s="248" t="s">
        <v>327</v>
      </c>
      <c r="E76" s="248" t="s">
        <v>332</v>
      </c>
      <c r="F76" s="248" t="s">
        <v>915</v>
      </c>
      <c r="G76" s="7">
        <v>1999</v>
      </c>
    </row>
    <row r="77" spans="2:7" ht="15.75" thickBot="1">
      <c r="B77" s="5" t="s">
        <v>916</v>
      </c>
      <c r="C77" s="248"/>
      <c r="D77" s="248" t="s">
        <v>917</v>
      </c>
      <c r="E77" s="248" t="s">
        <v>332</v>
      </c>
      <c r="F77" s="248" t="s">
        <v>376</v>
      </c>
      <c r="G77" s="7">
        <v>1560</v>
      </c>
    </row>
    <row r="78" spans="2:7" ht="15.75" thickTop="1">
      <c r="D78" s="1" t="s">
        <v>379</v>
      </c>
      <c r="E78" s="1"/>
      <c r="F78" s="1"/>
      <c r="G78" s="62">
        <f>SUM(G13:G77)</f>
        <v>56155438</v>
      </c>
    </row>
    <row r="79" spans="2:7" ht="15">
      <c r="D79" s="2"/>
      <c r="E79" s="2"/>
      <c r="F79" s="2"/>
      <c r="G79" s="5"/>
    </row>
    <row r="80" spans="2:7" ht="15">
      <c r="D80" s="1" t="s">
        <v>382</v>
      </c>
      <c r="E80" s="1"/>
      <c r="F80" s="1"/>
      <c r="G80" s="63">
        <f>SUMIF($E$13:$E$77,"NF",G$13:G$77)</f>
        <v>1849526</v>
      </c>
    </row>
    <row r="81" spans="4:7" ht="15.75" thickBot="1">
      <c r="D81" s="1" t="s">
        <v>380</v>
      </c>
      <c r="E81" s="2"/>
      <c r="F81" s="2"/>
      <c r="G81" s="63">
        <f>SUMIF($E$13:$E$77,"SFP",G$13:G$77)</f>
        <v>1831333</v>
      </c>
    </row>
    <row r="82" spans="4:7" ht="15.75" thickTop="1">
      <c r="D82" s="1" t="s">
        <v>383</v>
      </c>
      <c r="E82" s="2"/>
      <c r="F82" s="2"/>
      <c r="G82" s="62">
        <f>SUM(G80:G81)</f>
        <v>3680859</v>
      </c>
    </row>
    <row r="83" spans="4:7" ht="6" customHeight="1">
      <c r="D83" s="1"/>
      <c r="E83" s="2"/>
      <c r="F83" s="2"/>
      <c r="G83" s="54"/>
    </row>
    <row r="84" spans="4:7" ht="15">
      <c r="D84" s="64" t="s">
        <v>381</v>
      </c>
      <c r="E84" s="5"/>
      <c r="F84" s="5"/>
      <c r="G84" s="46">
        <v>-306805</v>
      </c>
    </row>
    <row r="85" spans="4:7" ht="15.75" thickBot="1">
      <c r="D85" s="64" t="s">
        <v>765</v>
      </c>
      <c r="E85" s="5"/>
      <c r="F85" s="5"/>
      <c r="G85" s="249">
        <v>-278611</v>
      </c>
    </row>
    <row r="86" spans="4:7" ht="6" customHeight="1">
      <c r="D86" s="5"/>
      <c r="E86" s="5"/>
      <c r="F86" s="5"/>
      <c r="G86" s="5"/>
    </row>
    <row r="87" spans="4:7" ht="15">
      <c r="D87" s="64" t="s">
        <v>768</v>
      </c>
      <c r="E87" s="5"/>
      <c r="F87" s="5"/>
      <c r="G87" s="46">
        <f>G82+G84+G85</f>
        <v>3095443</v>
      </c>
    </row>
    <row r="88" spans="4:7" ht="15">
      <c r="E88" s="2"/>
      <c r="F88" s="2"/>
      <c r="G88" s="2"/>
    </row>
    <row r="89" spans="4:7" ht="15">
      <c r="D89" s="64"/>
      <c r="E89" s="2"/>
      <c r="F89" s="2"/>
      <c r="G89" s="46"/>
    </row>
    <row r="90" spans="4:7" ht="15">
      <c r="E90" s="2"/>
      <c r="F90" s="2"/>
      <c r="G90" s="2"/>
    </row>
    <row r="91" spans="4:7" ht="15">
      <c r="E91" s="2"/>
      <c r="F91" s="2"/>
      <c r="G91" s="2"/>
    </row>
    <row r="92" spans="4:7" ht="15">
      <c r="E92" s="2"/>
      <c r="F92" s="2"/>
      <c r="G92" s="2"/>
    </row>
  </sheetData>
  <mergeCells count="6">
    <mergeCell ref="B10:B11"/>
    <mergeCell ref="G1:H1"/>
    <mergeCell ref="G3:H3"/>
    <mergeCell ref="A6:H6"/>
    <mergeCell ref="A7:H7"/>
    <mergeCell ref="A8:H8"/>
  </mergeCells>
  <printOptions horizontalCentered="1"/>
  <pageMargins left="0.45" right="0.45" top="0.75" bottom="0.5" header="0.3" footer="0.3"/>
  <pageSetup scale="6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Normal="100" workbookViewId="0">
      <selection activeCell="G63" sqref="G63"/>
    </sheetView>
  </sheetViews>
  <sheetFormatPr defaultRowHeight="12.75"/>
  <cols>
    <col min="1" max="1" width="5.7109375" style="65" customWidth="1"/>
    <col min="2" max="2" width="18.7109375" style="65" customWidth="1"/>
    <col min="3" max="3" width="9.140625" style="65"/>
    <col min="4" max="4" width="5.7109375" style="65" customWidth="1"/>
    <col min="5" max="5" width="11.42578125" style="65" customWidth="1"/>
    <col min="6" max="6" width="5.7109375" style="65" customWidth="1"/>
    <col min="7" max="7" width="15.85546875" style="65" bestFit="1" customWidth="1"/>
    <col min="8" max="8" width="5.7109375" style="65" customWidth="1"/>
    <col min="9" max="9" width="14.85546875" style="65" customWidth="1"/>
    <col min="10" max="10" width="6.5703125" style="65" customWidth="1"/>
    <col min="11" max="16384" width="9.140625" style="65"/>
  </cols>
  <sheetData>
    <row r="1" spans="1:10" ht="15.75">
      <c r="A1" s="66"/>
      <c r="B1" s="66"/>
      <c r="C1" s="66"/>
      <c r="D1" s="66"/>
      <c r="E1" s="66"/>
      <c r="F1" s="66"/>
      <c r="G1" s="66"/>
      <c r="H1" s="66"/>
      <c r="I1" s="277" t="s">
        <v>398</v>
      </c>
      <c r="J1" s="277"/>
    </row>
    <row r="2" spans="1:10" ht="15.75">
      <c r="A2" s="66"/>
      <c r="B2" s="66"/>
      <c r="C2" s="66"/>
      <c r="D2" s="66"/>
      <c r="E2" s="66"/>
      <c r="F2" s="66"/>
      <c r="G2" s="66"/>
      <c r="H2" s="66"/>
      <c r="I2" s="74" t="s">
        <v>69</v>
      </c>
      <c r="J2" s="74"/>
    </row>
    <row r="3" spans="1:10" ht="15">
      <c r="A3" s="66"/>
      <c r="B3" s="66"/>
      <c r="C3" s="66"/>
      <c r="D3" s="66"/>
      <c r="E3" s="66"/>
      <c r="F3" s="66"/>
      <c r="G3" s="66"/>
      <c r="H3" s="66"/>
      <c r="I3" s="279" t="str">
        <f>'PEF - 6  p1, FF1 Inputs '!K3</f>
        <v>Year Ending 12/31/2009</v>
      </c>
      <c r="J3" s="279"/>
    </row>
    <row r="4" spans="1:10" ht="15">
      <c r="A4" s="66"/>
      <c r="B4" s="66"/>
      <c r="C4" s="66"/>
      <c r="D4" s="66"/>
      <c r="E4" s="66"/>
      <c r="F4" s="66"/>
      <c r="G4" s="66"/>
      <c r="H4" s="66"/>
      <c r="I4" s="66"/>
      <c r="J4" s="66"/>
    </row>
    <row r="5" spans="1:10" ht="15">
      <c r="A5" s="280" t="s">
        <v>70</v>
      </c>
      <c r="B5" s="280"/>
      <c r="C5" s="280"/>
      <c r="D5" s="280"/>
      <c r="E5" s="280"/>
      <c r="F5" s="280"/>
      <c r="G5" s="280"/>
      <c r="H5" s="280"/>
      <c r="I5" s="280"/>
      <c r="J5" s="280"/>
    </row>
    <row r="6" spans="1:10" ht="15">
      <c r="A6" s="274" t="s">
        <v>746</v>
      </c>
      <c r="B6" s="274"/>
      <c r="C6" s="274"/>
      <c r="D6" s="274"/>
      <c r="E6" s="274"/>
      <c r="F6" s="274"/>
      <c r="G6" s="274"/>
      <c r="H6" s="274"/>
      <c r="I6" s="274"/>
      <c r="J6" s="274"/>
    </row>
    <row r="7" spans="1:10" ht="15">
      <c r="A7" s="66"/>
      <c r="B7" s="66"/>
      <c r="C7" s="66"/>
      <c r="D7" s="66"/>
      <c r="E7" s="66"/>
      <c r="F7" s="66"/>
      <c r="G7" s="66"/>
      <c r="H7" s="66"/>
      <c r="I7" s="66"/>
      <c r="J7" s="66"/>
    </row>
    <row r="8" spans="1:10" ht="15">
      <c r="A8" s="66"/>
      <c r="B8" s="76"/>
      <c r="C8" s="76"/>
      <c r="D8" s="76"/>
      <c r="E8" s="76"/>
      <c r="F8" s="76"/>
      <c r="G8" s="76"/>
      <c r="H8" s="76"/>
      <c r="I8" s="76"/>
      <c r="J8" s="76"/>
    </row>
    <row r="9" spans="1:10" ht="15">
      <c r="A9" s="66"/>
      <c r="B9" s="76"/>
      <c r="C9" s="76"/>
      <c r="D9" s="76"/>
      <c r="E9" s="148" t="s">
        <v>745</v>
      </c>
      <c r="F9" s="148"/>
      <c r="G9" s="148"/>
      <c r="H9" s="148"/>
      <c r="I9" s="76"/>
      <c r="J9" s="76"/>
    </row>
    <row r="10" spans="1:10" ht="15">
      <c r="A10" s="66"/>
      <c r="B10" s="79" t="s">
        <v>744</v>
      </c>
      <c r="C10" s="149" t="s">
        <v>743</v>
      </c>
      <c r="D10" s="76"/>
      <c r="E10" s="150" t="s">
        <v>742</v>
      </c>
      <c r="F10" s="78"/>
      <c r="G10" s="151" t="s">
        <v>741</v>
      </c>
      <c r="H10" s="151"/>
      <c r="I10" s="151" t="s">
        <v>740</v>
      </c>
      <c r="J10" s="66"/>
    </row>
    <row r="11" spans="1:10" ht="15">
      <c r="A11" s="66"/>
      <c r="B11" s="225" t="s">
        <v>404</v>
      </c>
      <c r="C11" s="225" t="s">
        <v>732</v>
      </c>
      <c r="D11" s="225"/>
      <c r="E11" s="225" t="s">
        <v>739</v>
      </c>
      <c r="F11" s="225"/>
      <c r="G11" s="243">
        <v>261250</v>
      </c>
      <c r="H11" s="243"/>
      <c r="I11" s="233">
        <v>1994</v>
      </c>
      <c r="J11" s="66"/>
    </row>
    <row r="12" spans="1:10" ht="15">
      <c r="A12" s="66"/>
      <c r="B12" s="225"/>
      <c r="C12" s="225"/>
      <c r="D12" s="225"/>
      <c r="E12" s="225"/>
      <c r="F12" s="225"/>
      <c r="G12" s="232">
        <f>1415+5599+19859</f>
        <v>26873</v>
      </c>
      <c r="H12" s="232"/>
      <c r="I12" s="233">
        <v>1994</v>
      </c>
      <c r="J12" s="66"/>
    </row>
    <row r="13" spans="1:10" ht="15">
      <c r="A13" s="66"/>
      <c r="B13" s="225"/>
      <c r="C13" s="225" t="s">
        <v>698</v>
      </c>
      <c r="D13" s="225"/>
      <c r="E13" s="225" t="s">
        <v>738</v>
      </c>
      <c r="F13" s="225"/>
      <c r="G13" s="232">
        <v>616305</v>
      </c>
      <c r="H13" s="232"/>
      <c r="I13" s="233">
        <v>1994</v>
      </c>
      <c r="J13" s="66"/>
    </row>
    <row r="14" spans="1:10" ht="15">
      <c r="A14" s="66"/>
      <c r="B14" s="225"/>
      <c r="C14" s="225"/>
      <c r="D14" s="225"/>
      <c r="E14" s="225"/>
      <c r="F14" s="225"/>
      <c r="G14" s="232">
        <f>61413+28216+1434</f>
        <v>91063</v>
      </c>
      <c r="H14" s="232"/>
      <c r="I14" s="233">
        <v>1994</v>
      </c>
      <c r="J14" s="66"/>
    </row>
    <row r="15" spans="1:10" ht="15">
      <c r="A15" s="66"/>
      <c r="B15" s="225"/>
      <c r="C15" s="225"/>
      <c r="D15" s="225"/>
      <c r="E15" s="225"/>
      <c r="F15" s="225"/>
      <c r="G15" s="236">
        <f>SUM(G11:G14)</f>
        <v>995491</v>
      </c>
      <c r="H15" s="237"/>
      <c r="I15" s="233"/>
      <c r="J15" s="66"/>
    </row>
    <row r="16" spans="1:10" ht="15">
      <c r="A16" s="66"/>
      <c r="B16" s="225"/>
      <c r="C16" s="225"/>
      <c r="D16" s="225"/>
      <c r="E16" s="225"/>
      <c r="F16" s="225"/>
      <c r="G16" s="232"/>
      <c r="H16" s="232"/>
      <c r="I16" s="233"/>
      <c r="J16" s="66"/>
    </row>
    <row r="17" spans="1:11" ht="15">
      <c r="A17" s="66"/>
      <c r="B17" s="225" t="s">
        <v>405</v>
      </c>
      <c r="C17" s="225" t="s">
        <v>732</v>
      </c>
      <c r="D17" s="225"/>
      <c r="E17" s="235" t="s">
        <v>694</v>
      </c>
      <c r="F17" s="235"/>
      <c r="G17" s="232">
        <v>624845</v>
      </c>
      <c r="H17" s="232"/>
      <c r="I17" s="233">
        <v>1980</v>
      </c>
      <c r="J17" s="66"/>
    </row>
    <row r="18" spans="1:11" ht="15">
      <c r="A18" s="66"/>
      <c r="B18" s="225"/>
      <c r="C18" s="225" t="s">
        <v>698</v>
      </c>
      <c r="D18" s="225"/>
      <c r="E18" s="235" t="s">
        <v>737</v>
      </c>
      <c r="F18" s="235"/>
      <c r="G18" s="232">
        <v>624845</v>
      </c>
      <c r="H18" s="232"/>
      <c r="I18" s="233">
        <v>1980</v>
      </c>
      <c r="J18" s="66"/>
    </row>
    <row r="19" spans="1:11" ht="15">
      <c r="A19" s="66"/>
      <c r="B19" s="225"/>
      <c r="C19" s="225"/>
      <c r="D19" s="225"/>
      <c r="E19" s="225"/>
      <c r="F19" s="225"/>
      <c r="G19" s="236">
        <f>SUM(G17:G18)</f>
        <v>1249690</v>
      </c>
      <c r="H19" s="237"/>
      <c r="I19" s="233"/>
      <c r="J19" s="66"/>
    </row>
    <row r="20" spans="1:11" ht="15">
      <c r="A20" s="66"/>
      <c r="B20" s="225"/>
      <c r="C20" s="225"/>
      <c r="D20" s="225"/>
      <c r="E20" s="225"/>
      <c r="F20" s="225"/>
      <c r="G20" s="232"/>
      <c r="H20" s="232"/>
      <c r="I20" s="233"/>
      <c r="J20" s="66"/>
    </row>
    <row r="21" spans="1:11" ht="15">
      <c r="A21" s="66"/>
      <c r="B21" s="225" t="s">
        <v>406</v>
      </c>
      <c r="C21" s="225" t="s">
        <v>829</v>
      </c>
      <c r="D21" s="225"/>
      <c r="E21" s="225" t="s">
        <v>687</v>
      </c>
      <c r="F21" s="225"/>
      <c r="G21" s="232">
        <v>7586332</v>
      </c>
      <c r="H21" s="232"/>
      <c r="I21" s="233">
        <v>2009</v>
      </c>
      <c r="J21" s="66"/>
    </row>
    <row r="22" spans="1:11" ht="15">
      <c r="A22" s="66"/>
      <c r="B22" s="225"/>
      <c r="C22" s="225" t="s">
        <v>829</v>
      </c>
      <c r="D22" s="225"/>
      <c r="E22" s="225" t="s">
        <v>686</v>
      </c>
      <c r="F22" s="225"/>
      <c r="G22" s="232">
        <v>2655216</v>
      </c>
      <c r="H22" s="232"/>
      <c r="I22" s="233">
        <v>2009</v>
      </c>
      <c r="J22" s="66"/>
    </row>
    <row r="23" spans="1:11" ht="15">
      <c r="A23" s="66"/>
      <c r="B23" s="225"/>
      <c r="C23" s="225" t="s">
        <v>829</v>
      </c>
      <c r="D23" s="225"/>
      <c r="E23" s="225" t="s">
        <v>685</v>
      </c>
      <c r="F23" s="225"/>
      <c r="G23" s="232">
        <v>2655216</v>
      </c>
      <c r="H23" s="232"/>
      <c r="I23" s="233">
        <v>2009</v>
      </c>
      <c r="J23" s="66"/>
    </row>
    <row r="24" spans="1:11" ht="15">
      <c r="A24" s="66"/>
      <c r="B24" s="225"/>
      <c r="C24" s="225" t="s">
        <v>829</v>
      </c>
      <c r="D24" s="225"/>
      <c r="E24" s="244" t="s">
        <v>830</v>
      </c>
      <c r="F24" s="235"/>
      <c r="G24" s="232">
        <v>2655216</v>
      </c>
      <c r="H24" s="232"/>
      <c r="I24" s="233">
        <v>2009</v>
      </c>
      <c r="J24" s="66"/>
    </row>
    <row r="25" spans="1:11" ht="15">
      <c r="A25" s="66"/>
      <c r="B25" s="225"/>
      <c r="C25" s="225" t="s">
        <v>829</v>
      </c>
      <c r="D25" s="225"/>
      <c r="E25" s="244" t="s">
        <v>831</v>
      </c>
      <c r="F25" s="235"/>
      <c r="G25" s="232">
        <v>2655219</v>
      </c>
      <c r="H25" s="232"/>
      <c r="I25" s="233">
        <v>2009</v>
      </c>
      <c r="J25" s="66"/>
    </row>
    <row r="26" spans="1:11" ht="15">
      <c r="A26" s="66"/>
      <c r="B26" s="225"/>
      <c r="C26" s="225"/>
      <c r="D26" s="225"/>
      <c r="E26" s="225"/>
      <c r="F26" s="225"/>
      <c r="G26" s="232"/>
      <c r="H26" s="232"/>
      <c r="I26" s="233"/>
      <c r="J26" s="66"/>
    </row>
    <row r="27" spans="1:11" ht="15">
      <c r="A27" s="66"/>
      <c r="B27" s="225"/>
      <c r="C27" s="225" t="s">
        <v>736</v>
      </c>
      <c r="D27" s="225"/>
      <c r="E27" s="235" t="s">
        <v>694</v>
      </c>
      <c r="F27" s="235"/>
      <c r="G27" s="232">
        <v>185875</v>
      </c>
      <c r="H27" s="232"/>
      <c r="I27" s="233">
        <v>1972</v>
      </c>
      <c r="J27" s="66"/>
    </row>
    <row r="28" spans="1:11" ht="15">
      <c r="A28" s="66"/>
      <c r="B28" s="225"/>
      <c r="C28" s="225" t="s">
        <v>732</v>
      </c>
      <c r="D28" s="225"/>
      <c r="E28" s="235" t="s">
        <v>697</v>
      </c>
      <c r="F28" s="235"/>
      <c r="G28" s="232">
        <v>185875</v>
      </c>
      <c r="H28" s="232"/>
      <c r="I28" s="233">
        <v>1972</v>
      </c>
      <c r="J28" s="66"/>
    </row>
    <row r="29" spans="1:11" ht="15">
      <c r="A29" s="66"/>
      <c r="B29" s="225"/>
      <c r="C29" s="225"/>
      <c r="D29" s="225"/>
      <c r="E29" s="225"/>
      <c r="F29" s="225"/>
      <c r="G29" s="236">
        <f>SUM(G21:G28)</f>
        <v>18578949</v>
      </c>
      <c r="H29" s="237"/>
      <c r="I29" s="233"/>
      <c r="J29" s="66"/>
    </row>
    <row r="30" spans="1:11" ht="15">
      <c r="A30" s="66"/>
      <c r="B30" s="225"/>
      <c r="C30" s="225"/>
      <c r="D30" s="225"/>
      <c r="E30" s="225"/>
      <c r="F30" s="225"/>
      <c r="G30" s="232"/>
      <c r="H30" s="232"/>
      <c r="I30" s="233"/>
      <c r="J30" s="66"/>
      <c r="K30" s="66"/>
    </row>
    <row r="31" spans="1:11" ht="15">
      <c r="A31" s="66"/>
      <c r="B31" s="225" t="s">
        <v>407</v>
      </c>
      <c r="C31" s="225" t="s">
        <v>692</v>
      </c>
      <c r="D31" s="225"/>
      <c r="E31" s="235" t="s">
        <v>694</v>
      </c>
      <c r="F31" s="235"/>
      <c r="G31" s="232">
        <v>159328</v>
      </c>
      <c r="H31" s="232"/>
      <c r="I31" s="233">
        <v>1969</v>
      </c>
      <c r="J31" s="66"/>
    </row>
    <row r="32" spans="1:11" ht="15">
      <c r="A32" s="66"/>
      <c r="B32" s="225"/>
      <c r="C32" s="225"/>
      <c r="D32" s="225"/>
      <c r="E32" s="225"/>
      <c r="F32" s="225"/>
      <c r="G32" s="232">
        <f>608+608+608+1954+1954+1953</f>
        <v>7685</v>
      </c>
      <c r="H32" s="232"/>
      <c r="I32" s="233">
        <v>1983</v>
      </c>
      <c r="J32" s="66"/>
    </row>
    <row r="33" spans="1:10" ht="15">
      <c r="A33" s="66"/>
      <c r="B33" s="225"/>
      <c r="C33" s="225" t="s">
        <v>699</v>
      </c>
      <c r="D33" s="225"/>
      <c r="E33" s="235" t="s">
        <v>697</v>
      </c>
      <c r="F33" s="235"/>
      <c r="G33" s="232">
        <v>186947</v>
      </c>
      <c r="H33" s="232"/>
      <c r="I33" s="233">
        <v>1973</v>
      </c>
      <c r="J33" s="66"/>
    </row>
    <row r="34" spans="1:10" ht="15">
      <c r="A34" s="66"/>
      <c r="B34" s="225"/>
      <c r="C34" s="225"/>
      <c r="D34" s="225"/>
      <c r="E34" s="225"/>
      <c r="F34" s="225"/>
      <c r="G34" s="232">
        <f>2596+7472</f>
        <v>10068</v>
      </c>
      <c r="H34" s="232"/>
      <c r="I34" s="233">
        <v>1984</v>
      </c>
      <c r="J34" s="66"/>
    </row>
    <row r="35" spans="1:10" ht="15">
      <c r="A35" s="66"/>
      <c r="B35" s="225"/>
      <c r="C35" s="225"/>
      <c r="D35" s="225"/>
      <c r="E35" s="225" t="s">
        <v>682</v>
      </c>
      <c r="F35" s="225"/>
      <c r="G35" s="232">
        <v>186947</v>
      </c>
      <c r="H35" s="232"/>
      <c r="I35" s="233">
        <v>1973</v>
      </c>
      <c r="J35" s="66"/>
    </row>
    <row r="36" spans="1:10" ht="15">
      <c r="A36" s="66"/>
      <c r="B36" s="225"/>
      <c r="C36" s="225"/>
      <c r="D36" s="225"/>
      <c r="E36" s="225"/>
      <c r="F36" s="225"/>
      <c r="G36" s="236">
        <f>SUM(G31:G35)</f>
        <v>550975</v>
      </c>
      <c r="H36" s="237"/>
      <c r="I36" s="233"/>
      <c r="J36" s="66"/>
    </row>
    <row r="37" spans="1:10" ht="15">
      <c r="A37" s="66"/>
      <c r="B37" s="225"/>
      <c r="C37" s="225"/>
      <c r="D37" s="225"/>
      <c r="E37" s="225"/>
      <c r="F37" s="225"/>
      <c r="G37" s="232"/>
      <c r="H37" s="232"/>
      <c r="I37" s="233"/>
      <c r="J37" s="66"/>
    </row>
    <row r="38" spans="1:10" ht="15">
      <c r="A38" s="66"/>
      <c r="B38" s="225" t="s">
        <v>408</v>
      </c>
      <c r="C38" s="225" t="s">
        <v>735</v>
      </c>
      <c r="D38" s="225"/>
      <c r="E38" s="235" t="s">
        <v>716</v>
      </c>
      <c r="F38" s="235"/>
      <c r="G38" s="232">
        <f>45746+45746+45746+45746</f>
        <v>182984</v>
      </c>
      <c r="H38" s="232"/>
      <c r="I38" s="233">
        <v>1953</v>
      </c>
      <c r="J38" s="66"/>
    </row>
    <row r="39" spans="1:10" ht="15">
      <c r="A39" s="66"/>
      <c r="B39" s="225"/>
      <c r="C39" s="225" t="s">
        <v>734</v>
      </c>
      <c r="D39" s="225"/>
      <c r="E39" s="235" t="s">
        <v>715</v>
      </c>
      <c r="F39" s="235"/>
      <c r="G39" s="232">
        <f>46543+46543+46543</f>
        <v>139629</v>
      </c>
      <c r="H39" s="232"/>
      <c r="I39" s="233">
        <v>1954</v>
      </c>
      <c r="J39" s="66"/>
    </row>
    <row r="40" spans="1:10" ht="15">
      <c r="A40" s="66"/>
      <c r="B40" s="225"/>
      <c r="C40" s="225" t="s">
        <v>733</v>
      </c>
      <c r="D40" s="225"/>
      <c r="E40" s="235" t="s">
        <v>720</v>
      </c>
      <c r="F40" s="235"/>
      <c r="G40" s="232">
        <v>225390</v>
      </c>
      <c r="H40" s="232"/>
      <c r="I40" s="233">
        <v>1956</v>
      </c>
      <c r="J40" s="66"/>
    </row>
    <row r="41" spans="1:10" ht="15">
      <c r="A41" s="66"/>
      <c r="B41" s="225"/>
      <c r="C41" s="225"/>
      <c r="D41" s="225"/>
      <c r="E41" s="225"/>
      <c r="F41" s="225"/>
      <c r="G41" s="236">
        <f>SUM(G38:G40)</f>
        <v>548003</v>
      </c>
      <c r="H41" s="237"/>
      <c r="I41" s="233"/>
      <c r="J41" s="66"/>
    </row>
    <row r="42" spans="1:10" ht="15">
      <c r="A42" s="66"/>
      <c r="B42" s="225"/>
      <c r="C42" s="225"/>
      <c r="D42" s="225"/>
      <c r="E42" s="225"/>
      <c r="F42" s="225"/>
      <c r="G42" s="232"/>
      <c r="H42" s="232"/>
      <c r="I42" s="233"/>
      <c r="J42" s="66"/>
    </row>
    <row r="43" spans="1:10" ht="15">
      <c r="A43" s="66"/>
      <c r="B43" s="225"/>
      <c r="C43" s="225"/>
      <c r="D43" s="225"/>
      <c r="E43" s="225"/>
      <c r="F43" s="225"/>
      <c r="G43" s="232"/>
      <c r="H43" s="232"/>
      <c r="I43" s="233"/>
      <c r="J43" s="66"/>
    </row>
    <row r="44" spans="1:10" ht="15">
      <c r="A44" s="66"/>
      <c r="B44" s="225" t="s">
        <v>409</v>
      </c>
      <c r="C44" s="225" t="s">
        <v>733</v>
      </c>
      <c r="D44" s="225"/>
      <c r="E44" s="225" t="s">
        <v>691</v>
      </c>
      <c r="F44" s="225"/>
      <c r="G44" s="232">
        <v>68993</v>
      </c>
      <c r="H44" s="232"/>
      <c r="I44" s="233">
        <v>1970</v>
      </c>
      <c r="J44" s="66"/>
    </row>
    <row r="45" spans="1:10" ht="15">
      <c r="A45" s="66"/>
      <c r="B45" s="225"/>
      <c r="C45" s="225"/>
      <c r="D45" s="225"/>
      <c r="E45" s="225"/>
      <c r="F45" s="225"/>
      <c r="G45" s="236">
        <f>SUM(G44:G44)</f>
        <v>68993</v>
      </c>
      <c r="H45" s="237"/>
      <c r="I45" s="233"/>
      <c r="J45" s="66"/>
    </row>
    <row r="46" spans="1:10" ht="15">
      <c r="A46" s="66"/>
      <c r="B46" s="225"/>
      <c r="C46" s="225"/>
      <c r="D46" s="225"/>
      <c r="E46" s="225"/>
      <c r="F46" s="225"/>
      <c r="G46" s="232"/>
      <c r="H46" s="232"/>
      <c r="I46" s="233"/>
      <c r="J46" s="66"/>
    </row>
    <row r="47" spans="1:10" ht="15">
      <c r="A47" s="66"/>
      <c r="B47" s="225" t="s">
        <v>410</v>
      </c>
      <c r="C47" s="225" t="s">
        <v>732</v>
      </c>
      <c r="D47" s="225"/>
      <c r="E47" s="235" t="s">
        <v>694</v>
      </c>
      <c r="F47" s="235"/>
      <c r="G47" s="232">
        <v>228101</v>
      </c>
      <c r="H47" s="232"/>
      <c r="I47" s="233">
        <v>1974</v>
      </c>
      <c r="J47" s="66"/>
    </row>
    <row r="48" spans="1:10" ht="15">
      <c r="A48" s="66"/>
      <c r="B48" s="225"/>
      <c r="C48" s="225"/>
      <c r="D48" s="225"/>
      <c r="E48" s="225"/>
      <c r="F48" s="225"/>
      <c r="G48" s="232">
        <v>15981</v>
      </c>
      <c r="H48" s="232"/>
      <c r="I48" s="233">
        <v>1986</v>
      </c>
      <c r="J48" s="66"/>
    </row>
    <row r="49" spans="1:10" ht="15">
      <c r="A49" s="66"/>
      <c r="B49" s="225"/>
      <c r="C49" s="225" t="s">
        <v>698</v>
      </c>
      <c r="D49" s="225"/>
      <c r="E49" s="235" t="s">
        <v>697</v>
      </c>
      <c r="F49" s="235"/>
      <c r="G49" s="232">
        <v>228101</v>
      </c>
      <c r="H49" s="232"/>
      <c r="I49" s="233">
        <v>1974</v>
      </c>
      <c r="J49" s="66"/>
    </row>
    <row r="50" spans="1:10" ht="15">
      <c r="A50" s="66"/>
      <c r="B50" s="225"/>
      <c r="C50" s="225" t="s">
        <v>731</v>
      </c>
      <c r="D50" s="225"/>
      <c r="E50" s="235" t="s">
        <v>730</v>
      </c>
      <c r="F50" s="235"/>
      <c r="G50" s="232">
        <v>228101</v>
      </c>
      <c r="H50" s="232"/>
      <c r="I50" s="233">
        <v>1974</v>
      </c>
      <c r="J50" s="66"/>
    </row>
    <row r="51" spans="1:10" ht="15">
      <c r="A51" s="66"/>
      <c r="B51" s="225"/>
      <c r="C51" s="225" t="s">
        <v>729</v>
      </c>
      <c r="D51" s="225"/>
      <c r="E51" s="235" t="s">
        <v>707</v>
      </c>
      <c r="F51" s="235"/>
      <c r="G51" s="232">
        <v>901511</v>
      </c>
      <c r="H51" s="232"/>
      <c r="I51" s="233">
        <v>1993</v>
      </c>
      <c r="J51" s="66"/>
    </row>
    <row r="52" spans="1:10" ht="15">
      <c r="A52" s="66"/>
      <c r="B52" s="225"/>
      <c r="C52" s="225" t="s">
        <v>728</v>
      </c>
      <c r="D52" s="225"/>
      <c r="E52" s="235" t="s">
        <v>705</v>
      </c>
      <c r="F52" s="235"/>
      <c r="G52" s="232">
        <v>901511</v>
      </c>
      <c r="H52" s="232"/>
      <c r="I52" s="233">
        <v>1993</v>
      </c>
      <c r="J52" s="66"/>
    </row>
    <row r="53" spans="1:10" ht="15">
      <c r="A53" s="66"/>
      <c r="B53" s="225"/>
      <c r="C53" s="225" t="s">
        <v>727</v>
      </c>
      <c r="D53" s="225"/>
      <c r="E53" s="235" t="s">
        <v>703</v>
      </c>
      <c r="F53" s="235"/>
      <c r="G53" s="232">
        <v>901511</v>
      </c>
      <c r="H53" s="232"/>
      <c r="I53" s="233">
        <v>1993</v>
      </c>
      <c r="J53" s="66"/>
    </row>
    <row r="54" spans="1:10" ht="15">
      <c r="A54" s="66"/>
      <c r="B54" s="225"/>
      <c r="C54" s="225" t="s">
        <v>726</v>
      </c>
      <c r="D54" s="225"/>
      <c r="E54" s="235" t="s">
        <v>701</v>
      </c>
      <c r="F54" s="235"/>
      <c r="G54" s="232">
        <v>901510</v>
      </c>
      <c r="H54" s="232"/>
      <c r="I54" s="233">
        <v>1993</v>
      </c>
      <c r="J54" s="66"/>
    </row>
    <row r="55" spans="1:10" ht="15">
      <c r="A55" s="66"/>
      <c r="B55" s="225"/>
      <c r="C55" s="225"/>
      <c r="D55" s="225"/>
      <c r="E55" s="244" t="s">
        <v>725</v>
      </c>
      <c r="F55" s="235"/>
      <c r="G55" s="232">
        <v>1802223</v>
      </c>
      <c r="H55" s="232"/>
      <c r="I55" s="233">
        <v>2000</v>
      </c>
      <c r="J55" s="66"/>
    </row>
    <row r="56" spans="1:10" ht="15">
      <c r="A56" s="66"/>
      <c r="B56" s="225"/>
      <c r="C56" s="225"/>
      <c r="D56" s="225"/>
      <c r="E56" s="225"/>
      <c r="F56" s="225"/>
      <c r="G56" s="236">
        <f>SUM(G47:G55)</f>
        <v>6108550</v>
      </c>
      <c r="H56" s="237"/>
      <c r="I56" s="233"/>
      <c r="J56" s="66"/>
    </row>
    <row r="57" spans="1:10" ht="15">
      <c r="A57" s="66"/>
      <c r="B57" s="225"/>
      <c r="C57" s="225"/>
      <c r="D57" s="225"/>
      <c r="E57" s="225"/>
      <c r="F57" s="225"/>
      <c r="G57" s="232"/>
      <c r="H57" s="232"/>
      <c r="I57" s="233"/>
      <c r="J57" s="66"/>
    </row>
    <row r="58" spans="1:10" ht="15">
      <c r="A58" s="66"/>
      <c r="B58" s="225" t="s">
        <v>411</v>
      </c>
      <c r="C58" s="225" t="s">
        <v>724</v>
      </c>
      <c r="D58" s="225"/>
      <c r="E58" s="235" t="s">
        <v>723</v>
      </c>
      <c r="F58" s="235"/>
      <c r="G58" s="232">
        <v>901156</v>
      </c>
      <c r="H58" s="232"/>
      <c r="I58" s="233">
        <v>1997</v>
      </c>
      <c r="J58" s="66"/>
    </row>
    <row r="59" spans="1:10" ht="15">
      <c r="A59" s="66"/>
      <c r="B59" s="225"/>
      <c r="C59" s="225"/>
      <c r="D59" s="225"/>
      <c r="E59" s="225"/>
      <c r="F59" s="225"/>
      <c r="G59" s="236">
        <f>SUM(G58:G58)</f>
        <v>901156</v>
      </c>
      <c r="H59" s="237"/>
      <c r="I59" s="233"/>
      <c r="J59" s="66"/>
    </row>
    <row r="60" spans="1:10" ht="15">
      <c r="A60" s="66"/>
      <c r="B60" s="245"/>
      <c r="C60" s="245"/>
      <c r="D60" s="245"/>
      <c r="E60" s="245"/>
      <c r="F60" s="245"/>
      <c r="G60" s="246"/>
      <c r="H60" s="246"/>
      <c r="I60" s="247"/>
      <c r="J60" s="66"/>
    </row>
    <row r="61" spans="1:10">
      <c r="B61" s="234"/>
      <c r="C61" s="234"/>
      <c r="D61" s="234"/>
      <c r="E61" s="234"/>
      <c r="F61" s="234"/>
      <c r="G61" s="234"/>
      <c r="H61" s="234"/>
      <c r="I61" s="234"/>
    </row>
    <row r="62" spans="1:10">
      <c r="B62" s="234"/>
      <c r="C62" s="234"/>
      <c r="D62" s="234"/>
      <c r="E62" s="234"/>
      <c r="F62" s="234"/>
      <c r="G62" s="234"/>
      <c r="H62" s="234"/>
      <c r="I62" s="234"/>
    </row>
    <row r="63" spans="1:10">
      <c r="B63" s="234"/>
      <c r="C63" s="234"/>
      <c r="D63" s="234"/>
      <c r="E63" s="234"/>
      <c r="F63" s="234"/>
      <c r="G63" s="234"/>
      <c r="H63" s="234"/>
      <c r="I63" s="234"/>
    </row>
    <row r="64" spans="1:10">
      <c r="B64" s="234"/>
      <c r="C64" s="234"/>
      <c r="D64" s="234"/>
      <c r="E64" s="234"/>
      <c r="F64" s="234"/>
      <c r="G64" s="234"/>
      <c r="H64" s="234"/>
      <c r="I64" s="234"/>
    </row>
    <row r="65" spans="2:9">
      <c r="B65" s="234"/>
      <c r="C65" s="234"/>
      <c r="D65" s="234"/>
      <c r="E65" s="234"/>
      <c r="F65" s="234"/>
      <c r="G65" s="234"/>
      <c r="H65" s="234"/>
      <c r="I65" s="234"/>
    </row>
    <row r="66" spans="2:9">
      <c r="B66" s="234"/>
      <c r="C66" s="234"/>
      <c r="D66" s="234"/>
      <c r="E66" s="234"/>
      <c r="F66" s="234"/>
      <c r="G66" s="234"/>
      <c r="H66" s="234"/>
      <c r="I66" s="234"/>
    </row>
  </sheetData>
  <mergeCells count="4">
    <mergeCell ref="I1:J1"/>
    <mergeCell ref="I3:J3"/>
    <mergeCell ref="A5:J5"/>
    <mergeCell ref="A6:J6"/>
  </mergeCells>
  <printOptions horizontalCentered="1"/>
  <pageMargins left="0.5" right="0.5" top="1" bottom="0.5" header="0.5" footer="0.5"/>
  <pageSetup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19</vt:i4>
      </vt:variant>
    </vt:vector>
  </HeadingPairs>
  <TitlesOfParts>
    <vt:vector size="39" baseType="lpstr">
      <vt:lpstr>PEF - 2 -Page 1 Summary</vt:lpstr>
      <vt:lpstr>PEF - 2 Page 2 Rate Base</vt:lpstr>
      <vt:lpstr>PEF - 2 - Page 3 Rev Reqt</vt:lpstr>
      <vt:lpstr>PEF - 2 - Page 4 Support</vt:lpstr>
      <vt:lpstr>PEF - 2 - Page 5 Storm, Notes</vt:lpstr>
      <vt:lpstr>PEF - 2 - Page 6, PBOPs</vt:lpstr>
      <vt:lpstr>PEF - 3, p1, 454 Rev Credits</vt:lpstr>
      <vt:lpstr>PEF - 3, p2, 456 Rev Credits</vt:lpstr>
      <vt:lpstr>PEF - 4, p1 Step Ups </vt:lpstr>
      <vt:lpstr>PEF - 4, p2 Step Ups </vt:lpstr>
      <vt:lpstr>PEF - 4,  p3 Order 2003 </vt:lpstr>
      <vt:lpstr>PEF - 5, p1 PY ADIT 190</vt:lpstr>
      <vt:lpstr>PEF - 5, p2 PY ADIT 28x</vt:lpstr>
      <vt:lpstr>PEF - 5, p3 CY ADIT 190</vt:lpstr>
      <vt:lpstr>PEF - 5, p4 CY ADIT 28x</vt:lpstr>
      <vt:lpstr>PEF - 5A</vt:lpstr>
      <vt:lpstr>PEF - 6  p1, FF1 Inputs </vt:lpstr>
      <vt:lpstr>PEF - 6 p2, Levelized Storm</vt:lpstr>
      <vt:lpstr>PEF - 6 p3, Prepay Accting</vt:lpstr>
      <vt:lpstr>Alloc_Table</vt:lpstr>
      <vt:lpstr>Alloc_Factors</vt:lpstr>
      <vt:lpstr>'PEF - 2 - Page 3 Rev Reqt'!Print_Area</vt:lpstr>
      <vt:lpstr>'PEF - 2 - Page 4 Support'!Print_Area</vt:lpstr>
      <vt:lpstr>'PEF - 2 - Page 5 Storm, Notes'!Print_Area</vt:lpstr>
      <vt:lpstr>'PEF - 2 - Page 6, PBOPs'!Print_Area</vt:lpstr>
      <vt:lpstr>'PEF - 2 -Page 1 Summary'!Print_Area</vt:lpstr>
      <vt:lpstr>'PEF - 2 Page 2 Rate Base'!Print_Area</vt:lpstr>
      <vt:lpstr>'PEF - 3, p1, 454 Rev Credits'!Print_Area</vt:lpstr>
      <vt:lpstr>'PEF - 3, p2, 456 Rev Credits'!Print_Area</vt:lpstr>
      <vt:lpstr>'PEF - 4,  p3 Order 2003 '!Print_Area</vt:lpstr>
      <vt:lpstr>'PEF - 4, p1 Step Ups '!Print_Area</vt:lpstr>
      <vt:lpstr>'PEF - 4, p2 Step Ups '!Print_Area</vt:lpstr>
      <vt:lpstr>'PEF - 5, p1 PY ADIT 190'!Print_Area</vt:lpstr>
      <vt:lpstr>'PEF - 5, p2 PY ADIT 28x'!Print_Area</vt:lpstr>
      <vt:lpstr>'PEF - 5, p3 CY ADIT 190'!Print_Area</vt:lpstr>
      <vt:lpstr>'PEF - 5, p4 CY ADIT 28x'!Print_Area</vt:lpstr>
      <vt:lpstr>'PEF - 5A'!Print_Area</vt:lpstr>
      <vt:lpstr>'PEF - 6  p1, FF1 Inputs '!Print_Area</vt:lpstr>
      <vt:lpstr>'PEF - 6 p2, Levelized Storm'!Print_Area</vt:lpstr>
    </vt:vector>
  </TitlesOfParts>
  <Company>Progress Energy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e25473</dc:creator>
  <cp:lastModifiedBy>Antonia A. Frost</cp:lastModifiedBy>
  <cp:lastPrinted>2009-09-23T16:18:35Z</cp:lastPrinted>
  <dcterms:created xsi:type="dcterms:W3CDTF">2009-04-09T18:34:10Z</dcterms:created>
  <dcterms:modified xsi:type="dcterms:W3CDTF">2010-05-17T16:41:44Z</dcterms:modified>
</cp:coreProperties>
</file>