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225" windowWidth="11115" windowHeight="7635" firstSheet="4" activeTab="4"/>
  </bookViews>
  <sheets>
    <sheet name="4th Change Summary" sheetId="20" state="hidden" r:id="rId1"/>
    <sheet name="3rd Change Summary" sheetId="18" state="hidden" r:id="rId2"/>
    <sheet name="2nd Change Summary" sheetId="16" state="hidden" r:id="rId3"/>
    <sheet name="Change Summary" sheetId="15" state="hidden" r:id="rId4"/>
    <sheet name="PEC - 2 -Page 1 Summary" sheetId="8" r:id="rId5"/>
    <sheet name="PEC - 2 Page 2 Rate Base" sheetId="4" r:id="rId6"/>
    <sheet name="PEC - 2 - Page 3 Rev Reqt" sheetId="5" r:id="rId7"/>
    <sheet name="PEC - 2 - Page 4 Support" sheetId="3" r:id="rId8"/>
    <sheet name="PEC - 2 - Page 5 GridSouth" sheetId="33" r:id="rId9"/>
    <sheet name="PEC - 3 p 1 Acct 454 Detail" sheetId="38" r:id="rId10"/>
    <sheet name="PEF - 3 - P 2 456.1 Rev Credits" sheetId="37" r:id="rId11"/>
    <sheet name="PEC - 3 p 3 Other 456 Detail" sheetId="40" r:id="rId12"/>
    <sheet name="PEC- 4 CWIP" sheetId="36" r:id="rId13"/>
    <sheet name="PEF - 6  - Form 1 Inputs" sheetId="1" state="hidden" r:id="rId14"/>
    <sheet name="PEC - 5 p 1 Anson" sheetId="30" r:id="rId15"/>
    <sheet name="PEC - 5 p 2 Richmond" sheetId="41" r:id="rId16"/>
    <sheet name="PEC - 5 p 3 Order 2003 " sheetId="26" r:id="rId17"/>
    <sheet name="PEC - 6  - p1 FF1 Inputs " sheetId="12" r:id="rId18"/>
    <sheet name="PEC - 6 -p2 AC190" sheetId="29" r:id="rId19"/>
    <sheet name="PEC - 6 - p3  AC282" sheetId="28" r:id="rId20"/>
    <sheet name="PEC - 6 - p4 AC283" sheetId="27" r:id="rId21"/>
    <sheet name="PEC - 6 - p5 AC228.4" sheetId="39" r:id="rId22"/>
    <sheet name="PEC - 6, p6 Prepay Accting" sheetId="42" r:id="rId23"/>
    <sheet name="GridSouth Recovery Example" sheetId="24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_123Graph_A" localSheetId="11" hidden="1">[1]Provision!#REF!</definedName>
    <definedName name="__123Graph_A" localSheetId="15" hidden="1">[1]Provision!#REF!</definedName>
    <definedName name="__123Graph_A" localSheetId="21" hidden="1">[1]Provision!#REF!</definedName>
    <definedName name="__123Graph_A" localSheetId="22" hidden="1">[1]Provision!#REF!</definedName>
    <definedName name="__123Graph_A" hidden="1">[1]Provision!#REF!</definedName>
    <definedName name="__123Graph_B" localSheetId="11" hidden="1">[1]Provision!#REF!</definedName>
    <definedName name="__123Graph_B" localSheetId="15" hidden="1">[1]Provision!#REF!</definedName>
    <definedName name="__123Graph_B" localSheetId="21" hidden="1">[1]Provision!#REF!</definedName>
    <definedName name="__123Graph_B" localSheetId="22" hidden="1">[1]Provision!#REF!</definedName>
    <definedName name="__123Graph_B" hidden="1">[1]Provision!#REF!</definedName>
    <definedName name="__123Graph_C" localSheetId="11" hidden="1">[1]Provision!#REF!</definedName>
    <definedName name="__123Graph_C" localSheetId="15" hidden="1">[1]Provision!#REF!</definedName>
    <definedName name="__123Graph_C" localSheetId="21" hidden="1">[1]Provision!#REF!</definedName>
    <definedName name="__123Graph_C" localSheetId="22" hidden="1">[1]Provision!#REF!</definedName>
    <definedName name="__123Graph_C" hidden="1">[1]Provision!#REF!</definedName>
    <definedName name="__123Graph_D" localSheetId="11" hidden="1">[1]Provision!#REF!</definedName>
    <definedName name="__123Graph_D" localSheetId="15" hidden="1">[1]Provision!#REF!</definedName>
    <definedName name="__123Graph_D" localSheetId="21" hidden="1">[1]Provision!#REF!</definedName>
    <definedName name="__123Graph_D" localSheetId="22" hidden="1">[1]Provision!#REF!</definedName>
    <definedName name="__123Graph_D" hidden="1">[1]Provision!#REF!</definedName>
    <definedName name="__123Graph_E" localSheetId="11" hidden="1">[1]Provision!#REF!</definedName>
    <definedName name="__123Graph_E" localSheetId="15" hidden="1">[1]Provision!#REF!</definedName>
    <definedName name="__123Graph_E" localSheetId="21" hidden="1">[1]Provision!#REF!</definedName>
    <definedName name="__123Graph_E" localSheetId="22" hidden="1">[1]Provision!#REF!</definedName>
    <definedName name="__123Graph_E" hidden="1">[1]Provision!#REF!</definedName>
    <definedName name="__123Graph_X" localSheetId="11" hidden="1">[1]Provision!#REF!</definedName>
    <definedName name="__123Graph_X" localSheetId="15" hidden="1">[1]Provision!#REF!</definedName>
    <definedName name="__123Graph_X" localSheetId="21" hidden="1">[1]Provision!#REF!</definedName>
    <definedName name="__123Graph_X" localSheetId="22" hidden="1">[1]Provision!#REF!</definedName>
    <definedName name="__123Graph_X" hidden="1">[1]Provision!#REF!</definedName>
    <definedName name="_Fill" hidden="1">#REF!</definedName>
    <definedName name="_fsd44" localSheetId="1" hidden="1">{#N/A,#N/A,FALSE,"Aging Summary";#N/A,#N/A,FALSE,"Ratio Analysis";#N/A,#N/A,FALSE,"Test 120 Day Accts";#N/A,#N/A,FALSE,"Tickmarks"}</definedName>
    <definedName name="_fsd44" localSheetId="0" hidden="1">{#N/A,#N/A,FALSE,"Aging Summary";#N/A,#N/A,FALSE,"Ratio Analysis";#N/A,#N/A,FALSE,"Test 120 Day Accts";#N/A,#N/A,FALSE,"Tickmarks"}</definedName>
    <definedName name="_fsd44" localSheetId="8" hidden="1">{#N/A,#N/A,FALSE,"Aging Summary";#N/A,#N/A,FALSE,"Ratio Analysis";#N/A,#N/A,FALSE,"Test 120 Day Accts";#N/A,#N/A,FALSE,"Tickmarks"}</definedName>
    <definedName name="_fsd44" localSheetId="9" hidden="1">{#N/A,#N/A,FALSE,"Aging Summary";#N/A,#N/A,FALSE,"Ratio Analysis";#N/A,#N/A,FALSE,"Test 120 Day Accts";#N/A,#N/A,FALSE,"Tickmarks"}</definedName>
    <definedName name="_fsd44" localSheetId="11" hidden="1">{#N/A,#N/A,FALSE,"Aging Summary";#N/A,#N/A,FALSE,"Ratio Analysis";#N/A,#N/A,FALSE,"Test 120 Day Accts";#N/A,#N/A,FALSE,"Tickmarks"}</definedName>
    <definedName name="_fsd44" localSheetId="14" hidden="1">{#N/A,#N/A,FALSE,"Aging Summary";#N/A,#N/A,FALSE,"Ratio Analysis";#N/A,#N/A,FALSE,"Test 120 Day Accts";#N/A,#N/A,FALSE,"Tickmarks"}</definedName>
    <definedName name="_fsd44" localSheetId="15" hidden="1">{#N/A,#N/A,FALSE,"Aging Summary";#N/A,#N/A,FALSE,"Ratio Analysis";#N/A,#N/A,FALSE,"Test 120 Day Accts";#N/A,#N/A,FALSE,"Tickmarks"}</definedName>
    <definedName name="_fsd44" localSheetId="16" hidden="1">{#N/A,#N/A,FALSE,"Aging Summary";#N/A,#N/A,FALSE,"Ratio Analysis";#N/A,#N/A,FALSE,"Test 120 Day Accts";#N/A,#N/A,FALSE,"Tickmarks"}</definedName>
    <definedName name="_fsd44" localSheetId="22" hidden="1">{#N/A,#N/A,FALSE,"Aging Summary";#N/A,#N/A,FALSE,"Ratio Analysis";#N/A,#N/A,FALSE,"Test 120 Day Accts";#N/A,#N/A,FALSE,"Tickmarks"}</definedName>
    <definedName name="_fsd44" localSheetId="12" hidden="1">{#N/A,#N/A,FALSE,"Aging Summary";#N/A,#N/A,FALSE,"Ratio Analysis";#N/A,#N/A,FALSE,"Test 120 Day Accts";#N/A,#N/A,FALSE,"Tickmarks"}</definedName>
    <definedName name="_fsd44" localSheetId="10" hidden="1">{#N/A,#N/A,FALSE,"Aging Summary";#N/A,#N/A,FALSE,"Ratio Analysis";#N/A,#N/A,FALSE,"Test 120 Day Accts";#N/A,#N/A,FALSE,"Tickmarks"}</definedName>
    <definedName name="_fsd44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le1_In1" localSheetId="22" hidden="1">#REF!</definedName>
    <definedName name="_Table1_In1" hidden="1">#REF!</definedName>
    <definedName name="_Table1_Out" localSheetId="22" hidden="1">#REF!</definedName>
    <definedName name="_Table1_Out" hidden="1">#REF!</definedName>
    <definedName name="_Table2_In1" localSheetId="22" hidden="1">#REF!</definedName>
    <definedName name="_Table2_In1" hidden="1">#REF!</definedName>
    <definedName name="_Table2_Out" localSheetId="22" hidden="1">#REF!</definedName>
    <definedName name="_Table2_Out" hidden="1">#REF!</definedName>
    <definedName name="Alloc_Table" localSheetId="9">'[2]PEC - 6 -p2 AC190'!$I$66:$J$73</definedName>
    <definedName name="Alloc_Table" localSheetId="11">'[2]PEC - 6 -p2 AC190'!$I$66:$J$73</definedName>
    <definedName name="Alloc_Table" localSheetId="22">'[3]PEF - 5 p3 2006 ADIT190'!$E$109:$F$115</definedName>
    <definedName name="Alloc_Table" localSheetId="12">'[2]PEC - 6 -p2 AC190'!$I$66:$J$73</definedName>
    <definedName name="Alloc_Table" localSheetId="10">'[2]PEC - 6 -p2 AC190'!$I$66:$J$73</definedName>
    <definedName name="Alloc_Table">'PEC - 6 -p2 AC190'!$E$57:$F$64</definedName>
    <definedName name="AS2DocOpenMode" hidden="1">"AS2DocumentBrowse"</definedName>
    <definedName name="FF1_Year">'PEC - 6  - p1 FF1 Inputs '!$K$3</definedName>
    <definedName name="frt" localSheetId="1" hidden="1">{#N/A,#N/A,FALSE,"Aging Summary";#N/A,#N/A,FALSE,"Ratio Analysis";#N/A,#N/A,FALSE,"Test 120 Day Accts";#N/A,#N/A,FALSE,"Tickmarks"}</definedName>
    <definedName name="frt" localSheetId="0" hidden="1">{#N/A,#N/A,FALSE,"Aging Summary";#N/A,#N/A,FALSE,"Ratio Analysis";#N/A,#N/A,FALSE,"Test 120 Day Accts";#N/A,#N/A,FALSE,"Tickmarks"}</definedName>
    <definedName name="frt" localSheetId="8" hidden="1">{#N/A,#N/A,FALSE,"Aging Summary";#N/A,#N/A,FALSE,"Ratio Analysis";#N/A,#N/A,FALSE,"Test 120 Day Accts";#N/A,#N/A,FALSE,"Tickmarks"}</definedName>
    <definedName name="frt" localSheetId="9" hidden="1">{#N/A,#N/A,FALSE,"Aging Summary";#N/A,#N/A,FALSE,"Ratio Analysis";#N/A,#N/A,FALSE,"Test 120 Day Accts";#N/A,#N/A,FALSE,"Tickmarks"}</definedName>
    <definedName name="frt" localSheetId="11" hidden="1">{#N/A,#N/A,FALSE,"Aging Summary";#N/A,#N/A,FALSE,"Ratio Analysis";#N/A,#N/A,FALSE,"Test 120 Day Accts";#N/A,#N/A,FALSE,"Tickmarks"}</definedName>
    <definedName name="frt" localSheetId="14" hidden="1">{#N/A,#N/A,FALSE,"Aging Summary";#N/A,#N/A,FALSE,"Ratio Analysis";#N/A,#N/A,FALSE,"Test 120 Day Accts";#N/A,#N/A,FALSE,"Tickmarks"}</definedName>
    <definedName name="frt" localSheetId="15" hidden="1">{#N/A,#N/A,FALSE,"Aging Summary";#N/A,#N/A,FALSE,"Ratio Analysis";#N/A,#N/A,FALSE,"Test 120 Day Accts";#N/A,#N/A,FALSE,"Tickmarks"}</definedName>
    <definedName name="frt" localSheetId="16" hidden="1">{#N/A,#N/A,FALSE,"Aging Summary";#N/A,#N/A,FALSE,"Ratio Analysis";#N/A,#N/A,FALSE,"Test 120 Day Accts";#N/A,#N/A,FALSE,"Tickmarks"}</definedName>
    <definedName name="frt" localSheetId="22" hidden="1">{#N/A,#N/A,FALSE,"Aging Summary";#N/A,#N/A,FALSE,"Ratio Analysis";#N/A,#N/A,FALSE,"Test 120 Day Accts";#N/A,#N/A,FALSE,"Tickmarks"}</definedName>
    <definedName name="frt" localSheetId="12" hidden="1">{#N/A,#N/A,FALSE,"Aging Summary";#N/A,#N/A,FALSE,"Ratio Analysis";#N/A,#N/A,FALSE,"Test 120 Day Accts";#N/A,#N/A,FALSE,"Tickmarks"}</definedName>
    <definedName name="frt" localSheetId="10" hidden="1">{#N/A,#N/A,FALSE,"Aging Summary";#N/A,#N/A,FALSE,"Ratio Analysis";#N/A,#N/A,FALSE,"Test 120 Day Accts";#N/A,#N/A,FALSE,"Tickmarks"}</definedName>
    <definedName name="frt" hidden="1">{#N/A,#N/A,FALSE,"Aging Summary";#N/A,#N/A,FALSE,"Ratio Analysis";#N/A,#N/A,FALSE,"Test 120 Day Accts";#N/A,#N/A,FALSE,"Tickmarks"}</definedName>
    <definedName name="fsd" localSheetId="1" hidden="1">{#N/A,#N/A,FALSE,"Aging Summary";#N/A,#N/A,FALSE,"Ratio Analysis";#N/A,#N/A,FALSE,"Test 120 Day Accts";#N/A,#N/A,FALSE,"Tickmarks"}</definedName>
    <definedName name="fsd" localSheetId="0" hidden="1">{#N/A,#N/A,FALSE,"Aging Summary";#N/A,#N/A,FALSE,"Ratio Analysis";#N/A,#N/A,FALSE,"Test 120 Day Accts";#N/A,#N/A,FALSE,"Tickmarks"}</definedName>
    <definedName name="fsd" localSheetId="8" hidden="1">{#N/A,#N/A,FALSE,"Aging Summary";#N/A,#N/A,FALSE,"Ratio Analysis";#N/A,#N/A,FALSE,"Test 120 Day Accts";#N/A,#N/A,FALSE,"Tickmarks"}</definedName>
    <definedName name="fsd" localSheetId="9" hidden="1">{#N/A,#N/A,FALSE,"Aging Summary";#N/A,#N/A,FALSE,"Ratio Analysis";#N/A,#N/A,FALSE,"Test 120 Day Accts";#N/A,#N/A,FALSE,"Tickmarks"}</definedName>
    <definedName name="fsd" localSheetId="11" hidden="1">{#N/A,#N/A,FALSE,"Aging Summary";#N/A,#N/A,FALSE,"Ratio Analysis";#N/A,#N/A,FALSE,"Test 120 Day Accts";#N/A,#N/A,FALSE,"Tickmarks"}</definedName>
    <definedName name="fsd" localSheetId="14" hidden="1">{#N/A,#N/A,FALSE,"Aging Summary";#N/A,#N/A,FALSE,"Ratio Analysis";#N/A,#N/A,FALSE,"Test 120 Day Accts";#N/A,#N/A,FALSE,"Tickmarks"}</definedName>
    <definedName name="fsd" localSheetId="15" hidden="1">{#N/A,#N/A,FALSE,"Aging Summary";#N/A,#N/A,FALSE,"Ratio Analysis";#N/A,#N/A,FALSE,"Test 120 Day Accts";#N/A,#N/A,FALSE,"Tickmarks"}</definedName>
    <definedName name="fsd" localSheetId="16" hidden="1">{#N/A,#N/A,FALSE,"Aging Summary";#N/A,#N/A,FALSE,"Ratio Analysis";#N/A,#N/A,FALSE,"Test 120 Day Accts";#N/A,#N/A,FALSE,"Tickmarks"}</definedName>
    <definedName name="fsd" localSheetId="22" hidden="1">{#N/A,#N/A,FALSE,"Aging Summary";#N/A,#N/A,FALSE,"Ratio Analysis";#N/A,#N/A,FALSE,"Test 120 Day Accts";#N/A,#N/A,FALSE,"Tickmarks"}</definedName>
    <definedName name="fsd" localSheetId="12" hidden="1">{#N/A,#N/A,FALSE,"Aging Summary";#N/A,#N/A,FALSE,"Ratio Analysis";#N/A,#N/A,FALSE,"Test 120 Day Accts";#N/A,#N/A,FALSE,"Tickmarks"}</definedName>
    <definedName name="fsd" localSheetId="10" hidden="1">{#N/A,#N/A,FALSE,"Aging Summary";#N/A,#N/A,FALSE,"Ratio Analysis";#N/A,#N/A,FALSE,"Test 120 Day Accts";#N/A,#N/A,FALSE,"Tickmarks"}</definedName>
    <definedName name="fsd" hidden="1">{#N/A,#N/A,FALSE,"Aging Summary";#N/A,#N/A,FALSE,"Ratio Analysis";#N/A,#N/A,FALSE,"Test 120 Day Accts";#N/A,#N/A,FALSE,"Tickmarks"}</definedName>
    <definedName name="kkk" localSheetId="1" hidden="1">{#N/A,#N/A,FALSE,"Aging Summary";#N/A,#N/A,FALSE,"Ratio Analysis";#N/A,#N/A,FALSE,"Test 120 Day Accts";#N/A,#N/A,FALSE,"Tickmarks"}</definedName>
    <definedName name="kkk" localSheetId="0" hidden="1">{#N/A,#N/A,FALSE,"Aging Summary";#N/A,#N/A,FALSE,"Ratio Analysis";#N/A,#N/A,FALSE,"Test 120 Day Accts";#N/A,#N/A,FALSE,"Tickmarks"}</definedName>
    <definedName name="kkk" localSheetId="8" hidden="1">{#N/A,#N/A,FALSE,"Aging Summary";#N/A,#N/A,FALSE,"Ratio Analysis";#N/A,#N/A,FALSE,"Test 120 Day Accts";#N/A,#N/A,FALSE,"Tickmarks"}</definedName>
    <definedName name="kkk" localSheetId="9" hidden="1">{#N/A,#N/A,FALSE,"Aging Summary";#N/A,#N/A,FALSE,"Ratio Analysis";#N/A,#N/A,FALSE,"Test 120 Day Accts";#N/A,#N/A,FALSE,"Tickmarks"}</definedName>
    <definedName name="kkk" localSheetId="11" hidden="1">{#N/A,#N/A,FALSE,"Aging Summary";#N/A,#N/A,FALSE,"Ratio Analysis";#N/A,#N/A,FALSE,"Test 120 Day Accts";#N/A,#N/A,FALSE,"Tickmarks"}</definedName>
    <definedName name="kkk" localSheetId="14" hidden="1">{#N/A,#N/A,FALSE,"Aging Summary";#N/A,#N/A,FALSE,"Ratio Analysis";#N/A,#N/A,FALSE,"Test 120 Day Accts";#N/A,#N/A,FALSE,"Tickmarks"}</definedName>
    <definedName name="kkk" localSheetId="15" hidden="1">{#N/A,#N/A,FALSE,"Aging Summary";#N/A,#N/A,FALSE,"Ratio Analysis";#N/A,#N/A,FALSE,"Test 120 Day Accts";#N/A,#N/A,FALSE,"Tickmarks"}</definedName>
    <definedName name="kkk" localSheetId="16" hidden="1">{#N/A,#N/A,FALSE,"Aging Summary";#N/A,#N/A,FALSE,"Ratio Analysis";#N/A,#N/A,FALSE,"Test 120 Day Accts";#N/A,#N/A,FALSE,"Tickmarks"}</definedName>
    <definedName name="kkk" localSheetId="22" hidden="1">{#N/A,#N/A,FALSE,"Aging Summary";#N/A,#N/A,FALSE,"Ratio Analysis";#N/A,#N/A,FALSE,"Test 120 Day Accts";#N/A,#N/A,FALSE,"Tickmarks"}</definedName>
    <definedName name="kkk" localSheetId="12" hidden="1">{#N/A,#N/A,FALSE,"Aging Summary";#N/A,#N/A,FALSE,"Ratio Analysis";#N/A,#N/A,FALSE,"Test 120 Day Accts";#N/A,#N/A,FALSE,"Tickmarks"}</definedName>
    <definedName name="kkk" localSheetId="10" hidden="1">{#N/A,#N/A,FALSE,"Aging Summary";#N/A,#N/A,FALSE,"Ratio Analysis";#N/A,#N/A,FALSE,"Test 120 Day Accts";#N/A,#N/A,FALSE,"Tickmarks"}</definedName>
    <definedName name="kkk" hidden="1">{#N/A,#N/A,FALSE,"Aging Summary";#N/A,#N/A,FALSE,"Ratio Analysis";#N/A,#N/A,FALSE,"Test 120 Day Accts";#N/A,#N/A,FALSE,"Tickmarks"}</definedName>
    <definedName name="lku" localSheetId="1" hidden="1">{#N/A,#N/A,FALSE,"Aging Summary";#N/A,#N/A,FALSE,"Ratio Analysis";#N/A,#N/A,FALSE,"Test 120 Day Accts";#N/A,#N/A,FALSE,"Tickmarks"}</definedName>
    <definedName name="lku" localSheetId="0" hidden="1">{#N/A,#N/A,FALSE,"Aging Summary";#N/A,#N/A,FALSE,"Ratio Analysis";#N/A,#N/A,FALSE,"Test 120 Day Accts";#N/A,#N/A,FALSE,"Tickmarks"}</definedName>
    <definedName name="lku" localSheetId="8" hidden="1">{#N/A,#N/A,FALSE,"Aging Summary";#N/A,#N/A,FALSE,"Ratio Analysis";#N/A,#N/A,FALSE,"Test 120 Day Accts";#N/A,#N/A,FALSE,"Tickmarks"}</definedName>
    <definedName name="lku" localSheetId="9" hidden="1">{#N/A,#N/A,FALSE,"Aging Summary";#N/A,#N/A,FALSE,"Ratio Analysis";#N/A,#N/A,FALSE,"Test 120 Day Accts";#N/A,#N/A,FALSE,"Tickmarks"}</definedName>
    <definedName name="lku" localSheetId="11" hidden="1">{#N/A,#N/A,FALSE,"Aging Summary";#N/A,#N/A,FALSE,"Ratio Analysis";#N/A,#N/A,FALSE,"Test 120 Day Accts";#N/A,#N/A,FALSE,"Tickmarks"}</definedName>
    <definedName name="lku" localSheetId="14" hidden="1">{#N/A,#N/A,FALSE,"Aging Summary";#N/A,#N/A,FALSE,"Ratio Analysis";#N/A,#N/A,FALSE,"Test 120 Day Accts";#N/A,#N/A,FALSE,"Tickmarks"}</definedName>
    <definedName name="lku" localSheetId="15" hidden="1">{#N/A,#N/A,FALSE,"Aging Summary";#N/A,#N/A,FALSE,"Ratio Analysis";#N/A,#N/A,FALSE,"Test 120 Day Accts";#N/A,#N/A,FALSE,"Tickmarks"}</definedName>
    <definedName name="lku" localSheetId="16" hidden="1">{#N/A,#N/A,FALSE,"Aging Summary";#N/A,#N/A,FALSE,"Ratio Analysis";#N/A,#N/A,FALSE,"Test 120 Day Accts";#N/A,#N/A,FALSE,"Tickmarks"}</definedName>
    <definedName name="lku" localSheetId="22" hidden="1">{#N/A,#N/A,FALSE,"Aging Summary";#N/A,#N/A,FALSE,"Ratio Analysis";#N/A,#N/A,FALSE,"Test 120 Day Accts";#N/A,#N/A,FALSE,"Tickmarks"}</definedName>
    <definedName name="lku" localSheetId="12" hidden="1">{#N/A,#N/A,FALSE,"Aging Summary";#N/A,#N/A,FALSE,"Ratio Analysis";#N/A,#N/A,FALSE,"Test 120 Day Accts";#N/A,#N/A,FALSE,"Tickmarks"}</definedName>
    <definedName name="lku" localSheetId="10" hidden="1">{#N/A,#N/A,FALSE,"Aging Summary";#N/A,#N/A,FALSE,"Ratio Analysis";#N/A,#N/A,FALSE,"Test 120 Day Accts";#N/A,#N/A,FALSE,"Tickmarks"}</definedName>
    <definedName name="lku" hidden="1">{#N/A,#N/A,FALSE,"Aging Summary";#N/A,#N/A,FALSE,"Ratio Analysis";#N/A,#N/A,FALSE,"Test 120 Day Accts";#N/A,#N/A,FALSE,"Tickmarks"}</definedName>
    <definedName name="lll" localSheetId="1" hidden="1">{#N/A,#N/A,FALSE,"Aging Summary";#N/A,#N/A,FALSE,"Ratio Analysis";#N/A,#N/A,FALSE,"Test 120 Day Accts";#N/A,#N/A,FALSE,"Tickmarks"}</definedName>
    <definedName name="lll" localSheetId="0" hidden="1">{#N/A,#N/A,FALSE,"Aging Summary";#N/A,#N/A,FALSE,"Ratio Analysis";#N/A,#N/A,FALSE,"Test 120 Day Accts";#N/A,#N/A,FALSE,"Tickmarks"}</definedName>
    <definedName name="lll" localSheetId="8" hidden="1">{#N/A,#N/A,FALSE,"Aging Summary";#N/A,#N/A,FALSE,"Ratio Analysis";#N/A,#N/A,FALSE,"Test 120 Day Accts";#N/A,#N/A,FALSE,"Tickmarks"}</definedName>
    <definedName name="lll" localSheetId="9" hidden="1">{#N/A,#N/A,FALSE,"Aging Summary";#N/A,#N/A,FALSE,"Ratio Analysis";#N/A,#N/A,FALSE,"Test 120 Day Accts";#N/A,#N/A,FALSE,"Tickmarks"}</definedName>
    <definedName name="lll" localSheetId="11" hidden="1">{#N/A,#N/A,FALSE,"Aging Summary";#N/A,#N/A,FALSE,"Ratio Analysis";#N/A,#N/A,FALSE,"Test 120 Day Accts";#N/A,#N/A,FALSE,"Tickmarks"}</definedName>
    <definedName name="lll" localSheetId="14" hidden="1">{#N/A,#N/A,FALSE,"Aging Summary";#N/A,#N/A,FALSE,"Ratio Analysis";#N/A,#N/A,FALSE,"Test 120 Day Accts";#N/A,#N/A,FALSE,"Tickmarks"}</definedName>
    <definedName name="lll" localSheetId="15" hidden="1">{#N/A,#N/A,FALSE,"Aging Summary";#N/A,#N/A,FALSE,"Ratio Analysis";#N/A,#N/A,FALSE,"Test 120 Day Accts";#N/A,#N/A,FALSE,"Tickmarks"}</definedName>
    <definedName name="lll" localSheetId="16" hidden="1">{#N/A,#N/A,FALSE,"Aging Summary";#N/A,#N/A,FALSE,"Ratio Analysis";#N/A,#N/A,FALSE,"Test 120 Day Accts";#N/A,#N/A,FALSE,"Tickmarks"}</definedName>
    <definedName name="lll" localSheetId="22" hidden="1">{#N/A,#N/A,FALSE,"Aging Summary";#N/A,#N/A,FALSE,"Ratio Analysis";#N/A,#N/A,FALSE,"Test 120 Day Accts";#N/A,#N/A,FALSE,"Tickmarks"}</definedName>
    <definedName name="lll" localSheetId="12" hidden="1">{#N/A,#N/A,FALSE,"Aging Summary";#N/A,#N/A,FALSE,"Ratio Analysis";#N/A,#N/A,FALSE,"Test 120 Day Accts";#N/A,#N/A,FALSE,"Tickmarks"}</definedName>
    <definedName name="lll" localSheetId="10" hidden="1">{#N/A,#N/A,FALSE,"Aging Summary";#N/A,#N/A,FALSE,"Ratio Analysis";#N/A,#N/A,FALSE,"Test 120 Day Accts";#N/A,#N/A,FALSE,"Tickmarks"}</definedName>
    <definedName name="lll" hidden="1">{#N/A,#N/A,FALSE,"Aging Summary";#N/A,#N/A,FALSE,"Ratio Analysis";#N/A,#N/A,FALSE,"Test 120 Day Accts";#N/A,#N/A,FALSE,"Tickmarks"}</definedName>
    <definedName name="oiu" localSheetId="1" hidden="1">{#N/A,#N/A,FALSE,"Aging Summary";#N/A,#N/A,FALSE,"Ratio Analysis";#N/A,#N/A,FALSE,"Test 120 Day Accts";#N/A,#N/A,FALSE,"Tickmarks"}</definedName>
    <definedName name="oiu" localSheetId="0" hidden="1">{#N/A,#N/A,FALSE,"Aging Summary";#N/A,#N/A,FALSE,"Ratio Analysis";#N/A,#N/A,FALSE,"Test 120 Day Accts";#N/A,#N/A,FALSE,"Tickmarks"}</definedName>
    <definedName name="oiu" localSheetId="8" hidden="1">{#N/A,#N/A,FALSE,"Aging Summary";#N/A,#N/A,FALSE,"Ratio Analysis";#N/A,#N/A,FALSE,"Test 120 Day Accts";#N/A,#N/A,FALSE,"Tickmarks"}</definedName>
    <definedName name="oiu" localSheetId="9" hidden="1">{#N/A,#N/A,FALSE,"Aging Summary";#N/A,#N/A,FALSE,"Ratio Analysis";#N/A,#N/A,FALSE,"Test 120 Day Accts";#N/A,#N/A,FALSE,"Tickmarks"}</definedName>
    <definedName name="oiu" localSheetId="11" hidden="1">{#N/A,#N/A,FALSE,"Aging Summary";#N/A,#N/A,FALSE,"Ratio Analysis";#N/A,#N/A,FALSE,"Test 120 Day Accts";#N/A,#N/A,FALSE,"Tickmarks"}</definedName>
    <definedName name="oiu" localSheetId="14" hidden="1">{#N/A,#N/A,FALSE,"Aging Summary";#N/A,#N/A,FALSE,"Ratio Analysis";#N/A,#N/A,FALSE,"Test 120 Day Accts";#N/A,#N/A,FALSE,"Tickmarks"}</definedName>
    <definedName name="oiu" localSheetId="15" hidden="1">{#N/A,#N/A,FALSE,"Aging Summary";#N/A,#N/A,FALSE,"Ratio Analysis";#N/A,#N/A,FALSE,"Test 120 Day Accts";#N/A,#N/A,FALSE,"Tickmarks"}</definedName>
    <definedName name="oiu" localSheetId="16" hidden="1">{#N/A,#N/A,FALSE,"Aging Summary";#N/A,#N/A,FALSE,"Ratio Analysis";#N/A,#N/A,FALSE,"Test 120 Day Accts";#N/A,#N/A,FALSE,"Tickmarks"}</definedName>
    <definedName name="oiu" localSheetId="22" hidden="1">{#N/A,#N/A,FALSE,"Aging Summary";#N/A,#N/A,FALSE,"Ratio Analysis";#N/A,#N/A,FALSE,"Test 120 Day Accts";#N/A,#N/A,FALSE,"Tickmarks"}</definedName>
    <definedName name="oiu" localSheetId="12" hidden="1">{#N/A,#N/A,FALSE,"Aging Summary";#N/A,#N/A,FALSE,"Ratio Analysis";#N/A,#N/A,FALSE,"Test 120 Day Accts";#N/A,#N/A,FALSE,"Tickmarks"}</definedName>
    <definedName name="oiu" localSheetId="10" hidden="1">{#N/A,#N/A,FALSE,"Aging Summary";#N/A,#N/A,FALSE,"Ratio Analysis";#N/A,#N/A,FALSE,"Test 120 Day Accts";#N/A,#N/A,FALSE,"Tickmarks"}</definedName>
    <definedName name="oiu" hidden="1">{#N/A,#N/A,FALSE,"Aging Summary";#N/A,#N/A,FALSE,"Ratio Analysis";#N/A,#N/A,FALSE,"Test 120 Day Accts";#N/A,#N/A,FALSE,"Tickmarks"}</definedName>
    <definedName name="op" localSheetId="1" hidden="1">{#N/A,#N/A,FALSE,"Aging Summary";#N/A,#N/A,FALSE,"Ratio Analysis";#N/A,#N/A,FALSE,"Test 120 Day Accts";#N/A,#N/A,FALSE,"Tickmarks"}</definedName>
    <definedName name="op" localSheetId="0" hidden="1">{#N/A,#N/A,FALSE,"Aging Summary";#N/A,#N/A,FALSE,"Ratio Analysis";#N/A,#N/A,FALSE,"Test 120 Day Accts";#N/A,#N/A,FALSE,"Tickmarks"}</definedName>
    <definedName name="op" localSheetId="8" hidden="1">{#N/A,#N/A,FALSE,"Aging Summary";#N/A,#N/A,FALSE,"Ratio Analysis";#N/A,#N/A,FALSE,"Test 120 Day Accts";#N/A,#N/A,FALSE,"Tickmarks"}</definedName>
    <definedName name="op" localSheetId="9" hidden="1">{#N/A,#N/A,FALSE,"Aging Summary";#N/A,#N/A,FALSE,"Ratio Analysis";#N/A,#N/A,FALSE,"Test 120 Day Accts";#N/A,#N/A,FALSE,"Tickmarks"}</definedName>
    <definedName name="op" localSheetId="11" hidden="1">{#N/A,#N/A,FALSE,"Aging Summary";#N/A,#N/A,FALSE,"Ratio Analysis";#N/A,#N/A,FALSE,"Test 120 Day Accts";#N/A,#N/A,FALSE,"Tickmarks"}</definedName>
    <definedName name="op" localSheetId="14" hidden="1">{#N/A,#N/A,FALSE,"Aging Summary";#N/A,#N/A,FALSE,"Ratio Analysis";#N/A,#N/A,FALSE,"Test 120 Day Accts";#N/A,#N/A,FALSE,"Tickmarks"}</definedName>
    <definedName name="op" localSheetId="15" hidden="1">{#N/A,#N/A,FALSE,"Aging Summary";#N/A,#N/A,FALSE,"Ratio Analysis";#N/A,#N/A,FALSE,"Test 120 Day Accts";#N/A,#N/A,FALSE,"Tickmarks"}</definedName>
    <definedName name="op" localSheetId="16" hidden="1">{#N/A,#N/A,FALSE,"Aging Summary";#N/A,#N/A,FALSE,"Ratio Analysis";#N/A,#N/A,FALSE,"Test 120 Day Accts";#N/A,#N/A,FALSE,"Tickmarks"}</definedName>
    <definedName name="op" localSheetId="22" hidden="1">{#N/A,#N/A,FALSE,"Aging Summary";#N/A,#N/A,FALSE,"Ratio Analysis";#N/A,#N/A,FALSE,"Test 120 Day Accts";#N/A,#N/A,FALSE,"Tickmarks"}</definedName>
    <definedName name="op" localSheetId="12" hidden="1">{#N/A,#N/A,FALSE,"Aging Summary";#N/A,#N/A,FALSE,"Ratio Analysis";#N/A,#N/A,FALSE,"Test 120 Day Accts";#N/A,#N/A,FALSE,"Tickmarks"}</definedName>
    <definedName name="op" localSheetId="10" hidden="1">{#N/A,#N/A,FALSE,"Aging Summary";#N/A,#N/A,FALSE,"Ratio Analysis";#N/A,#N/A,FALSE,"Test 120 Day Accts";#N/A,#N/A,FALSE,"Tickmarks"}</definedName>
    <definedName name="op" hidden="1">{#N/A,#N/A,FALSE,"Aging Summary";#N/A,#N/A,FALSE,"Ratio Analysis";#N/A,#N/A,FALSE,"Test 120 Day Accts";#N/A,#N/A,FALSE,"Tickmarks"}</definedName>
    <definedName name="p" localSheetId="1" hidden="1">{#N/A,#N/A,FALSE,"Aging Summary";#N/A,#N/A,FALSE,"Ratio Analysis";#N/A,#N/A,FALSE,"Test 120 Day Accts";#N/A,#N/A,FALSE,"Tickmarks"}</definedName>
    <definedName name="p" localSheetId="0" hidden="1">{#N/A,#N/A,FALSE,"Aging Summary";#N/A,#N/A,FALSE,"Ratio Analysis";#N/A,#N/A,FALSE,"Test 120 Day Accts";#N/A,#N/A,FALSE,"Tickmarks"}</definedName>
    <definedName name="p" localSheetId="8" hidden="1">{#N/A,#N/A,FALSE,"Aging Summary";#N/A,#N/A,FALSE,"Ratio Analysis";#N/A,#N/A,FALSE,"Test 120 Day Accts";#N/A,#N/A,FALSE,"Tickmarks"}</definedName>
    <definedName name="p" localSheetId="9" hidden="1">{#N/A,#N/A,FALSE,"Aging Summary";#N/A,#N/A,FALSE,"Ratio Analysis";#N/A,#N/A,FALSE,"Test 120 Day Accts";#N/A,#N/A,FALSE,"Tickmarks"}</definedName>
    <definedName name="p" localSheetId="11" hidden="1">{#N/A,#N/A,FALSE,"Aging Summary";#N/A,#N/A,FALSE,"Ratio Analysis";#N/A,#N/A,FALSE,"Test 120 Day Accts";#N/A,#N/A,FALSE,"Tickmarks"}</definedName>
    <definedName name="p" localSheetId="14" hidden="1">{#N/A,#N/A,FALSE,"Aging Summary";#N/A,#N/A,FALSE,"Ratio Analysis";#N/A,#N/A,FALSE,"Test 120 Day Accts";#N/A,#N/A,FALSE,"Tickmarks"}</definedName>
    <definedName name="p" localSheetId="15" hidden="1">{#N/A,#N/A,FALSE,"Aging Summary";#N/A,#N/A,FALSE,"Ratio Analysis";#N/A,#N/A,FALSE,"Test 120 Day Accts";#N/A,#N/A,FALSE,"Tickmarks"}</definedName>
    <definedName name="p" localSheetId="16" hidden="1">{#N/A,#N/A,FALSE,"Aging Summary";#N/A,#N/A,FALSE,"Ratio Analysis";#N/A,#N/A,FALSE,"Test 120 Day Accts";#N/A,#N/A,FALSE,"Tickmarks"}</definedName>
    <definedName name="p" localSheetId="22" hidden="1">{#N/A,#N/A,FALSE,"Aging Summary";#N/A,#N/A,FALSE,"Ratio Analysis";#N/A,#N/A,FALSE,"Test 120 Day Accts";#N/A,#N/A,FALSE,"Tickmarks"}</definedName>
    <definedName name="p" localSheetId="12" hidden="1">{#N/A,#N/A,FALSE,"Aging Summary";#N/A,#N/A,FALSE,"Ratio Analysis";#N/A,#N/A,FALSE,"Test 120 Day Accts";#N/A,#N/A,FALSE,"Tickmarks"}</definedName>
    <definedName name="p" localSheetId="10" hidden="1">{#N/A,#N/A,FALSE,"Aging Summary";#N/A,#N/A,FALSE,"Ratio Analysis";#N/A,#N/A,FALSE,"Test 120 Day Accts";#N/A,#N/A,FALSE,"Tickmarks"}</definedName>
    <definedName name="p" hidden="1">{#N/A,#N/A,FALSE,"Aging Summary";#N/A,#N/A,FALSE,"Ratio Analysis";#N/A,#N/A,FALSE,"Test 120 Day Accts";#N/A,#N/A,FALSE,"Tickmarks"}</definedName>
    <definedName name="paul" hidden="1">#REF!</definedName>
    <definedName name="pesc1" localSheetId="1" hidden="1">{#N/A,#N/A,FALSE,"Aging Summary";#N/A,#N/A,FALSE,"Ratio Analysis";#N/A,#N/A,FALSE,"Test 120 Day Accts";#N/A,#N/A,FALSE,"Tickmarks"}</definedName>
    <definedName name="pesc1" localSheetId="0" hidden="1">{#N/A,#N/A,FALSE,"Aging Summary";#N/A,#N/A,FALSE,"Ratio Analysis";#N/A,#N/A,FALSE,"Test 120 Day Accts";#N/A,#N/A,FALSE,"Tickmarks"}</definedName>
    <definedName name="pesc1" localSheetId="8" hidden="1">{#N/A,#N/A,FALSE,"Aging Summary";#N/A,#N/A,FALSE,"Ratio Analysis";#N/A,#N/A,FALSE,"Test 120 Day Accts";#N/A,#N/A,FALSE,"Tickmarks"}</definedName>
    <definedName name="pesc1" localSheetId="9" hidden="1">{#N/A,#N/A,FALSE,"Aging Summary";#N/A,#N/A,FALSE,"Ratio Analysis";#N/A,#N/A,FALSE,"Test 120 Day Accts";#N/A,#N/A,FALSE,"Tickmarks"}</definedName>
    <definedName name="pesc1" localSheetId="11" hidden="1">{#N/A,#N/A,FALSE,"Aging Summary";#N/A,#N/A,FALSE,"Ratio Analysis";#N/A,#N/A,FALSE,"Test 120 Day Accts";#N/A,#N/A,FALSE,"Tickmarks"}</definedName>
    <definedName name="pesc1" localSheetId="14" hidden="1">{#N/A,#N/A,FALSE,"Aging Summary";#N/A,#N/A,FALSE,"Ratio Analysis";#N/A,#N/A,FALSE,"Test 120 Day Accts";#N/A,#N/A,FALSE,"Tickmarks"}</definedName>
    <definedName name="pesc1" localSheetId="15" hidden="1">{#N/A,#N/A,FALSE,"Aging Summary";#N/A,#N/A,FALSE,"Ratio Analysis";#N/A,#N/A,FALSE,"Test 120 Day Accts";#N/A,#N/A,FALSE,"Tickmarks"}</definedName>
    <definedName name="pesc1" localSheetId="16" hidden="1">{#N/A,#N/A,FALSE,"Aging Summary";#N/A,#N/A,FALSE,"Ratio Analysis";#N/A,#N/A,FALSE,"Test 120 Day Accts";#N/A,#N/A,FALSE,"Tickmarks"}</definedName>
    <definedName name="pesc1" localSheetId="22" hidden="1">{#N/A,#N/A,FALSE,"Aging Summary";#N/A,#N/A,FALSE,"Ratio Analysis";#N/A,#N/A,FALSE,"Test 120 Day Accts";#N/A,#N/A,FALSE,"Tickmarks"}</definedName>
    <definedName name="pesc1" localSheetId="12" hidden="1">{#N/A,#N/A,FALSE,"Aging Summary";#N/A,#N/A,FALSE,"Ratio Analysis";#N/A,#N/A,FALSE,"Test 120 Day Accts";#N/A,#N/A,FALSE,"Tickmarks"}</definedName>
    <definedName name="pesc1" localSheetId="10" hidden="1">{#N/A,#N/A,FALSE,"Aging Summary";#N/A,#N/A,FALSE,"Ratio Analysis";#N/A,#N/A,FALSE,"Test 120 Day Accts";#N/A,#N/A,FALSE,"Tickmarks"}</definedName>
    <definedName name="pesc1" hidden="1">{#N/A,#N/A,FALSE,"Aging Summary";#N/A,#N/A,FALSE,"Ratio Analysis";#N/A,#N/A,FALSE,"Test 120 Day Accts";#N/A,#N/A,FALSE,"Tickmarks"}</definedName>
    <definedName name="ppp" localSheetId="1" hidden="1">{#N/A,#N/A,FALSE,"Aging Summary";#N/A,#N/A,FALSE,"Ratio Analysis";#N/A,#N/A,FALSE,"Test 120 Day Accts";#N/A,#N/A,FALSE,"Tickmarks"}</definedName>
    <definedName name="ppp" localSheetId="0" hidden="1">{#N/A,#N/A,FALSE,"Aging Summary";#N/A,#N/A,FALSE,"Ratio Analysis";#N/A,#N/A,FALSE,"Test 120 Day Accts";#N/A,#N/A,FALSE,"Tickmarks"}</definedName>
    <definedName name="ppp" localSheetId="8" hidden="1">{#N/A,#N/A,FALSE,"Aging Summary";#N/A,#N/A,FALSE,"Ratio Analysis";#N/A,#N/A,FALSE,"Test 120 Day Accts";#N/A,#N/A,FALSE,"Tickmarks"}</definedName>
    <definedName name="ppp" localSheetId="9" hidden="1">{#N/A,#N/A,FALSE,"Aging Summary";#N/A,#N/A,FALSE,"Ratio Analysis";#N/A,#N/A,FALSE,"Test 120 Day Accts";#N/A,#N/A,FALSE,"Tickmarks"}</definedName>
    <definedName name="ppp" localSheetId="11" hidden="1">{#N/A,#N/A,FALSE,"Aging Summary";#N/A,#N/A,FALSE,"Ratio Analysis";#N/A,#N/A,FALSE,"Test 120 Day Accts";#N/A,#N/A,FALSE,"Tickmarks"}</definedName>
    <definedName name="ppp" localSheetId="14" hidden="1">{#N/A,#N/A,FALSE,"Aging Summary";#N/A,#N/A,FALSE,"Ratio Analysis";#N/A,#N/A,FALSE,"Test 120 Day Accts";#N/A,#N/A,FALSE,"Tickmarks"}</definedName>
    <definedName name="ppp" localSheetId="15" hidden="1">{#N/A,#N/A,FALSE,"Aging Summary";#N/A,#N/A,FALSE,"Ratio Analysis";#N/A,#N/A,FALSE,"Test 120 Day Accts";#N/A,#N/A,FALSE,"Tickmarks"}</definedName>
    <definedName name="ppp" localSheetId="16" hidden="1">{#N/A,#N/A,FALSE,"Aging Summary";#N/A,#N/A,FALSE,"Ratio Analysis";#N/A,#N/A,FALSE,"Test 120 Day Accts";#N/A,#N/A,FALSE,"Tickmarks"}</definedName>
    <definedName name="ppp" localSheetId="22" hidden="1">{#N/A,#N/A,FALSE,"Aging Summary";#N/A,#N/A,FALSE,"Ratio Analysis";#N/A,#N/A,FALSE,"Test 120 Day Accts";#N/A,#N/A,FALSE,"Tickmarks"}</definedName>
    <definedName name="ppp" localSheetId="12" hidden="1">{#N/A,#N/A,FALSE,"Aging Summary";#N/A,#N/A,FALSE,"Ratio Analysis";#N/A,#N/A,FALSE,"Test 120 Day Accts";#N/A,#N/A,FALSE,"Tickmarks"}</definedName>
    <definedName name="ppp" localSheetId="10" hidden="1">{#N/A,#N/A,FALSE,"Aging Summary";#N/A,#N/A,FALSE,"Ratio Analysis";#N/A,#N/A,FALSE,"Test 120 Day Accts";#N/A,#N/A,FALSE,"Tickmarks"}</definedName>
    <definedName name="ppp" hidden="1">{#N/A,#N/A,FALSE,"Aging Summary";#N/A,#N/A,FALSE,"Ratio Analysis";#N/A,#N/A,FALSE,"Test 120 Day Accts";#N/A,#N/A,FALSE,"Tickmarks"}</definedName>
    <definedName name="_xlnm.Print_Area" localSheetId="2">'2nd Change Summary'!$A$1:$J$46</definedName>
    <definedName name="_xlnm.Print_Area" localSheetId="1">'3rd Change Summary'!$A$1:$J$53</definedName>
    <definedName name="_xlnm.Print_Area" localSheetId="0">'4th Change Summary'!$A$1:$J$42</definedName>
    <definedName name="_xlnm.Print_Area" localSheetId="3">'Change Summary'!$A$1:$J$33</definedName>
    <definedName name="_xlnm.Print_Area" localSheetId="6">'PEC - 2 - Page 3 Rev Reqt'!$A$1:$M$61</definedName>
    <definedName name="_xlnm.Print_Area" localSheetId="7">'PEC - 2 - Page 4 Support'!$A$1:$L$63</definedName>
    <definedName name="_xlnm.Print_Area" localSheetId="8">'PEC - 2 - Page 5 GridSouth'!$A$1:$L$69</definedName>
    <definedName name="_xlnm.Print_Area" localSheetId="4">'PEC - 2 -Page 1 Summary'!$A$1:$J$43</definedName>
    <definedName name="_xlnm.Print_Area" localSheetId="5">'PEC - 2 Page 2 Rate Base'!$A$1:$M$68</definedName>
    <definedName name="_xlnm.Print_Area" localSheetId="9">'PEC - 3 p 1 Acct 454 Detail'!$A$1:$I$28</definedName>
    <definedName name="_xlnm.Print_Area" localSheetId="11">'PEC - 3 p 3 Other 456 Detail'!$A$1:$J$34</definedName>
    <definedName name="_xlnm.Print_Area" localSheetId="14">'PEC - 5 p 1 Anson'!$A$1:$J$62</definedName>
    <definedName name="_xlnm.Print_Area" localSheetId="15">'PEC - 5 p 2 Richmond'!$A$1:$J$62</definedName>
    <definedName name="_xlnm.Print_Area" localSheetId="16">'PEC - 5 p 3 Order 2003 '!$A$1:$G$94</definedName>
    <definedName name="_xlnm.Print_Area" localSheetId="17">'PEC - 6  - p1 FF1 Inputs '!$A$1:$L$69</definedName>
    <definedName name="_xlnm.Print_Area" localSheetId="19">'PEC - 6 - p3  AC282'!$A$1:$I$38</definedName>
    <definedName name="_xlnm.Print_Area" localSheetId="20">'PEC - 6 - p4 AC283'!$A$1:$I$51</definedName>
    <definedName name="_xlnm.Print_Area" localSheetId="21">'PEC - 6 - p5 AC228.4'!$A$1:$I$23</definedName>
    <definedName name="_xlnm.Print_Area" localSheetId="18">'PEC - 6 -p2 AC190'!$A$1:$I$52</definedName>
    <definedName name="_xlnm.Print_Area" localSheetId="22">'PEC - 6, p6 Prepay Accting'!$A$1:$I$67</definedName>
    <definedName name="_xlnm.Print_Area" localSheetId="12">'PEC- 4 CWIP'!$A$1:$H$97</definedName>
    <definedName name="_xlnm.Print_Area" localSheetId="10">'PEF - 3 - P 2 456.1 Rev Credits'!$A$1:$J$66</definedName>
    <definedName name="_xlnm.Print_Area" localSheetId="13">'PEF - 6  - Form 1 Inputs'!$A$1:$G$64</definedName>
    <definedName name="_xlnm.Print_Titles" localSheetId="14">'PEC - 5 p 1 Anson'!$1:$14</definedName>
    <definedName name="_xlnm.Print_Titles" localSheetId="16">'PEC - 5 p 3 Order 2003 '!$1:$11</definedName>
    <definedName name="ret" localSheetId="1" hidden="1">{#N/A,#N/A,FALSE,"Aging Summary";#N/A,#N/A,FALSE,"Ratio Analysis";#N/A,#N/A,FALSE,"Test 120 Day Accts";#N/A,#N/A,FALSE,"Tickmarks"}</definedName>
    <definedName name="ret" localSheetId="0" hidden="1">{#N/A,#N/A,FALSE,"Aging Summary";#N/A,#N/A,FALSE,"Ratio Analysis";#N/A,#N/A,FALSE,"Test 120 Day Accts";#N/A,#N/A,FALSE,"Tickmarks"}</definedName>
    <definedName name="ret" localSheetId="8" hidden="1">{#N/A,#N/A,FALSE,"Aging Summary";#N/A,#N/A,FALSE,"Ratio Analysis";#N/A,#N/A,FALSE,"Test 120 Day Accts";#N/A,#N/A,FALSE,"Tickmarks"}</definedName>
    <definedName name="ret" localSheetId="9" hidden="1">{#N/A,#N/A,FALSE,"Aging Summary";#N/A,#N/A,FALSE,"Ratio Analysis";#N/A,#N/A,FALSE,"Test 120 Day Accts";#N/A,#N/A,FALSE,"Tickmarks"}</definedName>
    <definedName name="ret" localSheetId="11" hidden="1">{#N/A,#N/A,FALSE,"Aging Summary";#N/A,#N/A,FALSE,"Ratio Analysis";#N/A,#N/A,FALSE,"Test 120 Day Accts";#N/A,#N/A,FALSE,"Tickmarks"}</definedName>
    <definedName name="ret" localSheetId="14" hidden="1">{#N/A,#N/A,FALSE,"Aging Summary";#N/A,#N/A,FALSE,"Ratio Analysis";#N/A,#N/A,FALSE,"Test 120 Day Accts";#N/A,#N/A,FALSE,"Tickmarks"}</definedName>
    <definedName name="ret" localSheetId="15" hidden="1">{#N/A,#N/A,FALSE,"Aging Summary";#N/A,#N/A,FALSE,"Ratio Analysis";#N/A,#N/A,FALSE,"Test 120 Day Accts";#N/A,#N/A,FALSE,"Tickmarks"}</definedName>
    <definedName name="ret" localSheetId="16" hidden="1">{#N/A,#N/A,FALSE,"Aging Summary";#N/A,#N/A,FALSE,"Ratio Analysis";#N/A,#N/A,FALSE,"Test 120 Day Accts";#N/A,#N/A,FALSE,"Tickmarks"}</definedName>
    <definedName name="ret" localSheetId="22" hidden="1">{#N/A,#N/A,FALSE,"Aging Summary";#N/A,#N/A,FALSE,"Ratio Analysis";#N/A,#N/A,FALSE,"Test 120 Day Accts";#N/A,#N/A,FALSE,"Tickmarks"}</definedName>
    <definedName name="ret" localSheetId="12" hidden="1">{#N/A,#N/A,FALSE,"Aging Summary";#N/A,#N/A,FALSE,"Ratio Analysis";#N/A,#N/A,FALSE,"Test 120 Day Accts";#N/A,#N/A,FALSE,"Tickmarks"}</definedName>
    <definedName name="ret" localSheetId="10" hidden="1">{#N/A,#N/A,FALSE,"Aging Summary";#N/A,#N/A,FALSE,"Ratio Analysis";#N/A,#N/A,FALSE,"Test 120 Day Accts";#N/A,#N/A,FALSE,"Tickmarks"}</definedName>
    <definedName name="ret" hidden="1">{#N/A,#N/A,FALSE,"Aging Summary";#N/A,#N/A,FALSE,"Ratio Analysis";#N/A,#N/A,FALSE,"Test 120 Day Accts";#N/A,#N/A,FALSE,"Tickmarks"}</definedName>
    <definedName name="rt" localSheetId="1" hidden="1">{#N/A,#N/A,FALSE,"Aging Summary";#N/A,#N/A,FALSE,"Ratio Analysis";#N/A,#N/A,FALSE,"Test 120 Day Accts";#N/A,#N/A,FALSE,"Tickmarks"}</definedName>
    <definedName name="rt" localSheetId="0" hidden="1">{#N/A,#N/A,FALSE,"Aging Summary";#N/A,#N/A,FALSE,"Ratio Analysis";#N/A,#N/A,FALSE,"Test 120 Day Accts";#N/A,#N/A,FALSE,"Tickmarks"}</definedName>
    <definedName name="rt" localSheetId="8" hidden="1">{#N/A,#N/A,FALSE,"Aging Summary";#N/A,#N/A,FALSE,"Ratio Analysis";#N/A,#N/A,FALSE,"Test 120 Day Accts";#N/A,#N/A,FALSE,"Tickmarks"}</definedName>
    <definedName name="rt" localSheetId="9" hidden="1">{#N/A,#N/A,FALSE,"Aging Summary";#N/A,#N/A,FALSE,"Ratio Analysis";#N/A,#N/A,FALSE,"Test 120 Day Accts";#N/A,#N/A,FALSE,"Tickmarks"}</definedName>
    <definedName name="rt" localSheetId="11" hidden="1">{#N/A,#N/A,FALSE,"Aging Summary";#N/A,#N/A,FALSE,"Ratio Analysis";#N/A,#N/A,FALSE,"Test 120 Day Accts";#N/A,#N/A,FALSE,"Tickmarks"}</definedName>
    <definedName name="rt" localSheetId="14" hidden="1">{#N/A,#N/A,FALSE,"Aging Summary";#N/A,#N/A,FALSE,"Ratio Analysis";#N/A,#N/A,FALSE,"Test 120 Day Accts";#N/A,#N/A,FALSE,"Tickmarks"}</definedName>
    <definedName name="rt" localSheetId="15" hidden="1">{#N/A,#N/A,FALSE,"Aging Summary";#N/A,#N/A,FALSE,"Ratio Analysis";#N/A,#N/A,FALSE,"Test 120 Day Accts";#N/A,#N/A,FALSE,"Tickmarks"}</definedName>
    <definedName name="rt" localSheetId="16" hidden="1">{#N/A,#N/A,FALSE,"Aging Summary";#N/A,#N/A,FALSE,"Ratio Analysis";#N/A,#N/A,FALSE,"Test 120 Day Accts";#N/A,#N/A,FALSE,"Tickmarks"}</definedName>
    <definedName name="rt" localSheetId="22" hidden="1">{#N/A,#N/A,FALSE,"Aging Summary";#N/A,#N/A,FALSE,"Ratio Analysis";#N/A,#N/A,FALSE,"Test 120 Day Accts";#N/A,#N/A,FALSE,"Tickmarks"}</definedName>
    <definedName name="rt" localSheetId="12" hidden="1">{#N/A,#N/A,FALSE,"Aging Summary";#N/A,#N/A,FALSE,"Ratio Analysis";#N/A,#N/A,FALSE,"Test 120 Day Accts";#N/A,#N/A,FALSE,"Tickmarks"}</definedName>
    <definedName name="rt" localSheetId="10" hidden="1">{#N/A,#N/A,FALSE,"Aging Summary";#N/A,#N/A,FALSE,"Ratio Analysis";#N/A,#N/A,FALSE,"Test 120 Day Accts";#N/A,#N/A,FALSE,"Tickmarks"}</definedName>
    <definedName name="rt" hidden="1">{#N/A,#N/A,FALSE,"Aging Summary";#N/A,#N/A,FALSE,"Ratio Analysis";#N/A,#N/A,FALSE,"Test 120 Day Accts";#N/A,#N/A,FALSE,"Tickmarks"}</definedName>
    <definedName name="temp" localSheetId="8" hidden="1">{#N/A,#N/A,FALSE,"Aging Summary";#N/A,#N/A,FALSE,"Ratio Analysis";#N/A,#N/A,FALSE,"Test 120 Day Accts";#N/A,#N/A,FALSE,"Tickmarks"}</definedName>
    <definedName name="temp" localSheetId="9" hidden="1">{#N/A,#N/A,FALSE,"Aging Summary";#N/A,#N/A,FALSE,"Ratio Analysis";#N/A,#N/A,FALSE,"Test 120 Day Accts";#N/A,#N/A,FALSE,"Tickmarks"}</definedName>
    <definedName name="temp" localSheetId="11" hidden="1">{#N/A,#N/A,FALSE,"Aging Summary";#N/A,#N/A,FALSE,"Ratio Analysis";#N/A,#N/A,FALSE,"Test 120 Day Accts";#N/A,#N/A,FALSE,"Tickmarks"}</definedName>
    <definedName name="temp" localSheetId="14" hidden="1">{#N/A,#N/A,FALSE,"Aging Summary";#N/A,#N/A,FALSE,"Ratio Analysis";#N/A,#N/A,FALSE,"Test 120 Day Accts";#N/A,#N/A,FALSE,"Tickmarks"}</definedName>
    <definedName name="temp" localSheetId="15" hidden="1">{#N/A,#N/A,FALSE,"Aging Summary";#N/A,#N/A,FALSE,"Ratio Analysis";#N/A,#N/A,FALSE,"Test 120 Day Accts";#N/A,#N/A,FALSE,"Tickmarks"}</definedName>
    <definedName name="temp" localSheetId="16" hidden="1">{#N/A,#N/A,FALSE,"Aging Summary";#N/A,#N/A,FALSE,"Ratio Analysis";#N/A,#N/A,FALSE,"Test 120 Day Accts";#N/A,#N/A,FALSE,"Tickmarks"}</definedName>
    <definedName name="temp" localSheetId="22" hidden="1">{#N/A,#N/A,FALSE,"Aging Summary";#N/A,#N/A,FALSE,"Ratio Analysis";#N/A,#N/A,FALSE,"Test 120 Day Accts";#N/A,#N/A,FALSE,"Tickmarks"}</definedName>
    <definedName name="temp" localSheetId="12" hidden="1">{#N/A,#N/A,FALSE,"Aging Summary";#N/A,#N/A,FALSE,"Ratio Analysis";#N/A,#N/A,FALSE,"Test 120 Day Accts";#N/A,#N/A,FALSE,"Tickmarks"}</definedName>
    <definedName name="temp" localSheetId="10" hidden="1">{#N/A,#N/A,FALSE,"Aging Summary";#N/A,#N/A,FALSE,"Ratio Analysis";#N/A,#N/A,FALSE,"Test 120 Day Accts";#N/A,#N/A,FALSE,"Tickmarks"}</definedName>
    <definedName name="temp" hidden="1">{#N/A,#N/A,FALSE,"Aging Summary";#N/A,#N/A,FALSE,"Ratio Analysis";#N/A,#N/A,FALSE,"Test 120 Day Accts";#N/A,#N/A,FALSE,"Tickmarks"}</definedName>
    <definedName name="tre" localSheetId="1" hidden="1">{#N/A,#N/A,FALSE,"Aging Summary";#N/A,#N/A,FALSE,"Ratio Analysis";#N/A,#N/A,FALSE,"Test 120 Day Accts";#N/A,#N/A,FALSE,"Tickmarks"}</definedName>
    <definedName name="tre" localSheetId="0" hidden="1">{#N/A,#N/A,FALSE,"Aging Summary";#N/A,#N/A,FALSE,"Ratio Analysis";#N/A,#N/A,FALSE,"Test 120 Day Accts";#N/A,#N/A,FALSE,"Tickmarks"}</definedName>
    <definedName name="tre" localSheetId="8" hidden="1">{#N/A,#N/A,FALSE,"Aging Summary";#N/A,#N/A,FALSE,"Ratio Analysis";#N/A,#N/A,FALSE,"Test 120 Day Accts";#N/A,#N/A,FALSE,"Tickmarks"}</definedName>
    <definedName name="tre" localSheetId="9" hidden="1">{#N/A,#N/A,FALSE,"Aging Summary";#N/A,#N/A,FALSE,"Ratio Analysis";#N/A,#N/A,FALSE,"Test 120 Day Accts";#N/A,#N/A,FALSE,"Tickmarks"}</definedName>
    <definedName name="tre" localSheetId="11" hidden="1">{#N/A,#N/A,FALSE,"Aging Summary";#N/A,#N/A,FALSE,"Ratio Analysis";#N/A,#N/A,FALSE,"Test 120 Day Accts";#N/A,#N/A,FALSE,"Tickmarks"}</definedName>
    <definedName name="tre" localSheetId="14" hidden="1">{#N/A,#N/A,FALSE,"Aging Summary";#N/A,#N/A,FALSE,"Ratio Analysis";#N/A,#N/A,FALSE,"Test 120 Day Accts";#N/A,#N/A,FALSE,"Tickmarks"}</definedName>
    <definedName name="tre" localSheetId="15" hidden="1">{#N/A,#N/A,FALSE,"Aging Summary";#N/A,#N/A,FALSE,"Ratio Analysis";#N/A,#N/A,FALSE,"Test 120 Day Accts";#N/A,#N/A,FALSE,"Tickmarks"}</definedName>
    <definedName name="tre" localSheetId="16" hidden="1">{#N/A,#N/A,FALSE,"Aging Summary";#N/A,#N/A,FALSE,"Ratio Analysis";#N/A,#N/A,FALSE,"Test 120 Day Accts";#N/A,#N/A,FALSE,"Tickmarks"}</definedName>
    <definedName name="tre" localSheetId="22" hidden="1">{#N/A,#N/A,FALSE,"Aging Summary";#N/A,#N/A,FALSE,"Ratio Analysis";#N/A,#N/A,FALSE,"Test 120 Day Accts";#N/A,#N/A,FALSE,"Tickmarks"}</definedName>
    <definedName name="tre" localSheetId="12" hidden="1">{#N/A,#N/A,FALSE,"Aging Summary";#N/A,#N/A,FALSE,"Ratio Analysis";#N/A,#N/A,FALSE,"Test 120 Day Accts";#N/A,#N/A,FALSE,"Tickmarks"}</definedName>
    <definedName name="tre" localSheetId="10" hidden="1">{#N/A,#N/A,FALSE,"Aging Summary";#N/A,#N/A,FALSE,"Ratio Analysis";#N/A,#N/A,FALSE,"Test 120 Day Accts";#N/A,#N/A,FALSE,"Tickmarks"}</definedName>
    <definedName name="tre" hidden="1">{#N/A,#N/A,FALSE,"Aging Summary";#N/A,#N/A,FALSE,"Ratio Analysis";#N/A,#N/A,FALSE,"Test 120 Day Accts";#N/A,#N/A,FALSE,"Tickmarks"}</definedName>
    <definedName name="WACC">'[4]Port Value - Monthly'!$B$7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8" hidden="1">{#N/A,#N/A,FALSE,"Aging Summary";#N/A,#N/A,FALSE,"Ratio Analysis";#N/A,#N/A,FALSE,"Test 120 Day Accts";#N/A,#N/A,FALSE,"Tickmarks"}</definedName>
    <definedName name="wrn.Aging._.and._.Trend._.Analysis." localSheetId="9" hidden="1">{#N/A,#N/A,FALSE,"Aging Summary";#N/A,#N/A,FALSE,"Ratio Analysis";#N/A,#N/A,FALSE,"Test 120 Day Accts";#N/A,#N/A,FALSE,"Tickmarks"}</definedName>
    <definedName name="wrn.Aging._.and._.Trend._.Analysis." localSheetId="11" hidden="1">{#N/A,#N/A,FALSE,"Aging Summary";#N/A,#N/A,FALSE,"Ratio Analysis";#N/A,#N/A,FALSE,"Test 120 Day Accts";#N/A,#N/A,FALSE,"Tickmarks"}</definedName>
    <definedName name="wrn.Aging._.and._.Trend._.Analysis." localSheetId="14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22" hidden="1">{#N/A,#N/A,FALSE,"Aging Summary";#N/A,#N/A,FALSE,"Ratio Analysis";#N/A,#N/A,FALSE,"Test 120 Day Accts";#N/A,#N/A,FALSE,"Tickmarks"}</definedName>
    <definedName name="wrn.Aging._.and._.Trend._.Analysis." localSheetId="12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tyu" localSheetId="1" hidden="1">{#N/A,#N/A,FALSE,"Aging Summary";#N/A,#N/A,FALSE,"Ratio Analysis";#N/A,#N/A,FALSE,"Test 120 Day Accts";#N/A,#N/A,FALSE,"Tickmarks"}</definedName>
    <definedName name="wtyu" localSheetId="0" hidden="1">{#N/A,#N/A,FALSE,"Aging Summary";#N/A,#N/A,FALSE,"Ratio Analysis";#N/A,#N/A,FALSE,"Test 120 Day Accts";#N/A,#N/A,FALSE,"Tickmarks"}</definedName>
    <definedName name="wtyu" localSheetId="8" hidden="1">{#N/A,#N/A,FALSE,"Aging Summary";#N/A,#N/A,FALSE,"Ratio Analysis";#N/A,#N/A,FALSE,"Test 120 Day Accts";#N/A,#N/A,FALSE,"Tickmarks"}</definedName>
    <definedName name="wtyu" localSheetId="9" hidden="1">{#N/A,#N/A,FALSE,"Aging Summary";#N/A,#N/A,FALSE,"Ratio Analysis";#N/A,#N/A,FALSE,"Test 120 Day Accts";#N/A,#N/A,FALSE,"Tickmarks"}</definedName>
    <definedName name="wtyu" localSheetId="11" hidden="1">{#N/A,#N/A,FALSE,"Aging Summary";#N/A,#N/A,FALSE,"Ratio Analysis";#N/A,#N/A,FALSE,"Test 120 Day Accts";#N/A,#N/A,FALSE,"Tickmarks"}</definedName>
    <definedName name="wtyu" localSheetId="14" hidden="1">{#N/A,#N/A,FALSE,"Aging Summary";#N/A,#N/A,FALSE,"Ratio Analysis";#N/A,#N/A,FALSE,"Test 120 Day Accts";#N/A,#N/A,FALSE,"Tickmarks"}</definedName>
    <definedName name="wtyu" localSheetId="15" hidden="1">{#N/A,#N/A,FALSE,"Aging Summary";#N/A,#N/A,FALSE,"Ratio Analysis";#N/A,#N/A,FALSE,"Test 120 Day Accts";#N/A,#N/A,FALSE,"Tickmarks"}</definedName>
    <definedName name="wtyu" localSheetId="16" hidden="1">{#N/A,#N/A,FALSE,"Aging Summary";#N/A,#N/A,FALSE,"Ratio Analysis";#N/A,#N/A,FALSE,"Test 120 Day Accts";#N/A,#N/A,FALSE,"Tickmarks"}</definedName>
    <definedName name="wtyu" localSheetId="22" hidden="1">{#N/A,#N/A,FALSE,"Aging Summary";#N/A,#N/A,FALSE,"Ratio Analysis";#N/A,#N/A,FALSE,"Test 120 Day Accts";#N/A,#N/A,FALSE,"Tickmarks"}</definedName>
    <definedName name="wtyu" localSheetId="12" hidden="1">{#N/A,#N/A,FALSE,"Aging Summary";#N/A,#N/A,FALSE,"Ratio Analysis";#N/A,#N/A,FALSE,"Test 120 Day Accts";#N/A,#N/A,FALSE,"Tickmarks"}</definedName>
    <definedName name="wtyu" localSheetId="10" hidden="1">{#N/A,#N/A,FALSE,"Aging Summary";#N/A,#N/A,FALSE,"Ratio Analysis";#N/A,#N/A,FALSE,"Test 120 Day Accts";#N/A,#N/A,FALSE,"Tickmarks"}</definedName>
    <definedName name="wtyu" hidden="1">{#N/A,#N/A,FALSE,"Aging Summary";#N/A,#N/A,FALSE,"Ratio Analysis";#N/A,#N/A,FALSE,"Test 120 Day Accts";#N/A,#N/A,FALSE,"Tickmarks"}</definedName>
    <definedName name="XRefActiveRow" localSheetId="22" hidden="1">#REF!</definedName>
    <definedName name="XRefActiveRow" hidden="1">#REF!</definedName>
    <definedName name="XRefColumnsCount" hidden="1">3</definedName>
    <definedName name="XRefCopy1Row" localSheetId="22" hidden="1">#REF!</definedName>
    <definedName name="XRefCopy1Row" hidden="1">#REF!</definedName>
    <definedName name="XRefCopy2Row" localSheetId="22" hidden="1">#REF!</definedName>
    <definedName name="XRefCopy2Row" hidden="1">#REF!</definedName>
    <definedName name="XRefCopy3Row" localSheetId="22" hidden="1">#REF!</definedName>
    <definedName name="XRefCopy3Row" hidden="1">#REF!</definedName>
    <definedName name="XRefCopyRangeCount" hidden="1">3</definedName>
    <definedName name="XRefPaste1Row" localSheetId="22" hidden="1">#REF!</definedName>
    <definedName name="XRefPaste1Row" hidden="1">#REF!</definedName>
    <definedName name="XRefPaste2Row" localSheetId="22" hidden="1">#REF!</definedName>
    <definedName name="XRefPaste2Row" hidden="1">#REF!</definedName>
    <definedName name="XRefPasteRangeCount" hidden="1">2</definedName>
    <definedName name="y" localSheetId="1" hidden="1">{#N/A,#N/A,FALSE,"Aging Summary";#N/A,#N/A,FALSE,"Ratio Analysis";#N/A,#N/A,FALSE,"Test 120 Day Accts";#N/A,#N/A,FALSE,"Tickmarks"}</definedName>
    <definedName name="y" localSheetId="0" hidden="1">{#N/A,#N/A,FALSE,"Aging Summary";#N/A,#N/A,FALSE,"Ratio Analysis";#N/A,#N/A,FALSE,"Test 120 Day Accts";#N/A,#N/A,FALSE,"Tickmarks"}</definedName>
    <definedName name="y" localSheetId="8" hidden="1">{#N/A,#N/A,FALSE,"Aging Summary";#N/A,#N/A,FALSE,"Ratio Analysis";#N/A,#N/A,FALSE,"Test 120 Day Accts";#N/A,#N/A,FALSE,"Tickmarks"}</definedName>
    <definedName name="y" localSheetId="9" hidden="1">{#N/A,#N/A,FALSE,"Aging Summary";#N/A,#N/A,FALSE,"Ratio Analysis";#N/A,#N/A,FALSE,"Test 120 Day Accts";#N/A,#N/A,FALSE,"Tickmarks"}</definedName>
    <definedName name="y" localSheetId="11" hidden="1">{#N/A,#N/A,FALSE,"Aging Summary";#N/A,#N/A,FALSE,"Ratio Analysis";#N/A,#N/A,FALSE,"Test 120 Day Accts";#N/A,#N/A,FALSE,"Tickmarks"}</definedName>
    <definedName name="y" localSheetId="14" hidden="1">{#N/A,#N/A,FALSE,"Aging Summary";#N/A,#N/A,FALSE,"Ratio Analysis";#N/A,#N/A,FALSE,"Test 120 Day Accts";#N/A,#N/A,FALSE,"Tickmarks"}</definedName>
    <definedName name="y" localSheetId="15" hidden="1">{#N/A,#N/A,FALSE,"Aging Summary";#N/A,#N/A,FALSE,"Ratio Analysis";#N/A,#N/A,FALSE,"Test 120 Day Accts";#N/A,#N/A,FALSE,"Tickmarks"}</definedName>
    <definedName name="y" localSheetId="16" hidden="1">{#N/A,#N/A,FALSE,"Aging Summary";#N/A,#N/A,FALSE,"Ratio Analysis";#N/A,#N/A,FALSE,"Test 120 Day Accts";#N/A,#N/A,FALSE,"Tickmarks"}</definedName>
    <definedName name="y" localSheetId="22" hidden="1">{#N/A,#N/A,FALSE,"Aging Summary";#N/A,#N/A,FALSE,"Ratio Analysis";#N/A,#N/A,FALSE,"Test 120 Day Accts";#N/A,#N/A,FALSE,"Tickmarks"}</definedName>
    <definedName name="y" localSheetId="12" hidden="1">{#N/A,#N/A,FALSE,"Aging Summary";#N/A,#N/A,FALSE,"Ratio Analysis";#N/A,#N/A,FALSE,"Test 120 Day Accts";#N/A,#N/A,FALSE,"Tickmarks"}</definedName>
    <definedName name="y" localSheetId="10" hidden="1">{#N/A,#N/A,FALSE,"Aging Summary";#N/A,#N/A,FALSE,"Ratio Analysis";#N/A,#N/A,FALSE,"Test 120 Day Accts";#N/A,#N/A,FALSE,"Tickmarks"}</definedName>
    <definedName name="y" hidden="1">{#N/A,#N/A,FALSE,"Aging Summary";#N/A,#N/A,FALSE,"Ratio Analysis";#N/A,#N/A,FALSE,"Test 120 Day Accts";#N/A,#N/A,FALSE,"Tickmarks"}</definedName>
  </definedNames>
  <calcPr calcId="125725"/>
</workbook>
</file>

<file path=xl/calcChain.xml><?xml version="1.0" encoding="utf-8"?>
<calcChain xmlns="http://schemas.openxmlformats.org/spreadsheetml/2006/main">
  <c r="G97" i="36"/>
  <c r="F29" i="5" l="1"/>
  <c r="F23"/>
  <c r="F52" i="4"/>
  <c r="F20" i="41"/>
  <c r="I29"/>
  <c r="E20"/>
  <c r="I30" i="30"/>
  <c r="F21"/>
  <c r="E21"/>
  <c r="G18"/>
  <c r="H42" i="12"/>
  <c r="H41"/>
  <c r="K28" i="33" l="1"/>
  <c r="A55" i="37"/>
  <c r="A54"/>
  <c r="A39"/>
  <c r="A31"/>
  <c r="I55"/>
  <c r="I54"/>
  <c r="I39"/>
  <c r="I33"/>
  <c r="I28"/>
  <c r="A28"/>
  <c r="I15"/>
  <c r="D89" i="26" l="1"/>
  <c r="C32" i="40"/>
  <c r="C11" i="38"/>
  <c r="C18"/>
  <c r="F36" i="5"/>
  <c r="F37" i="27"/>
  <c r="H37" s="1"/>
  <c r="F34"/>
  <c r="H34" s="1"/>
  <c r="F20"/>
  <c r="H20" s="1"/>
  <c r="C38" i="28"/>
  <c r="F17"/>
  <c r="H17" s="1"/>
  <c r="C52" i="29"/>
  <c r="F50"/>
  <c r="H50" s="1"/>
  <c r="F22"/>
  <c r="H22" s="1"/>
  <c r="J68" i="12" l="1"/>
  <c r="J67"/>
  <c r="J66"/>
  <c r="J65"/>
  <c r="F16" i="33" s="1"/>
  <c r="J64" i="12"/>
  <c r="F15" i="33" s="1"/>
  <c r="J63" i="12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F64" i="4" s="1"/>
  <c r="J34" i="12"/>
  <c r="J33"/>
  <c r="J32"/>
  <c r="J31"/>
  <c r="J30"/>
  <c r="J29"/>
  <c r="J28"/>
  <c r="J27"/>
  <c r="J26"/>
  <c r="J25"/>
  <c r="J24"/>
  <c r="F18" i="4" s="1"/>
  <c r="J23" i="12"/>
  <c r="F26" i="4" s="1"/>
  <c r="J22" i="12"/>
  <c r="J21"/>
  <c r="I36" i="3" s="1"/>
  <c r="J20" i="12"/>
  <c r="J19"/>
  <c r="J18"/>
  <c r="J17"/>
  <c r="J16"/>
  <c r="J15"/>
  <c r="J14"/>
  <c r="J13"/>
  <c r="J12"/>
  <c r="J11"/>
  <c r="I14" i="3"/>
  <c r="F15" i="4" s="1"/>
  <c r="A56" l="1"/>
  <c r="A53"/>
  <c r="A41"/>
  <c r="F19" i="5" l="1"/>
  <c r="F54" l="1"/>
  <c r="F41" i="41" l="1"/>
  <c r="F43" s="1"/>
  <c r="E41"/>
  <c r="F53" i="4"/>
  <c r="F55" i="5"/>
  <c r="F55" i="12"/>
  <c r="F48" i="27"/>
  <c r="H48" s="1"/>
  <c r="F47"/>
  <c r="H47" s="1"/>
  <c r="F46"/>
  <c r="H46" s="1"/>
  <c r="F44"/>
  <c r="H44" s="1"/>
  <c r="F43"/>
  <c r="H43" s="1"/>
  <c r="F42"/>
  <c r="H42" s="1"/>
  <c r="F41"/>
  <c r="H41" s="1"/>
  <c r="F40"/>
  <c r="H40" s="1"/>
  <c r="F39"/>
  <c r="H39" s="1"/>
  <c r="F38"/>
  <c r="H38" s="1"/>
  <c r="F36"/>
  <c r="H36" s="1"/>
  <c r="F33"/>
  <c r="H33" s="1"/>
  <c r="F32"/>
  <c r="H32" s="1"/>
  <c r="I52" i="37" l="1"/>
  <c r="I51"/>
  <c r="I30"/>
  <c r="A53"/>
  <c r="A52"/>
  <c r="A51"/>
  <c r="A50"/>
  <c r="A49"/>
  <c r="A48"/>
  <c r="A47"/>
  <c r="A46"/>
  <c r="A45"/>
  <c r="A44"/>
  <c r="A43"/>
  <c r="A42"/>
  <c r="A41"/>
  <c r="A40"/>
  <c r="A38"/>
  <c r="A37"/>
  <c r="A36"/>
  <c r="A35"/>
  <c r="A34"/>
  <c r="A33"/>
  <c r="A32"/>
  <c r="A30"/>
  <c r="A29"/>
  <c r="A27"/>
  <c r="A26"/>
  <c r="A25"/>
  <c r="A24"/>
  <c r="A23"/>
  <c r="A22"/>
  <c r="A21"/>
  <c r="A20"/>
  <c r="A19"/>
  <c r="A18"/>
  <c r="A17"/>
  <c r="A16"/>
  <c r="A14"/>
  <c r="A13"/>
  <c r="I3"/>
  <c r="I53" i="3" l="1"/>
  <c r="C20" i="42"/>
  <c r="C26"/>
  <c r="C35" s="1"/>
  <c r="D27"/>
  <c r="C34"/>
  <c r="B43"/>
  <c r="G50" s="1"/>
  <c r="F50"/>
  <c r="B53"/>
  <c r="F60" i="41"/>
  <c r="G60" s="1"/>
  <c r="H60" s="1"/>
  <c r="F62" i="30"/>
  <c r="G62" s="1"/>
  <c r="H62" s="1"/>
  <c r="I3" i="41"/>
  <c r="H54" s="1"/>
  <c r="F42" i="30"/>
  <c r="E42"/>
  <c r="F44"/>
  <c r="D15" i="33"/>
  <c r="A31" i="5"/>
  <c r="G3" i="36"/>
  <c r="G10" s="1"/>
  <c r="I3" i="30"/>
  <c r="H55" s="1"/>
  <c r="C34" i="40"/>
  <c r="H29"/>
  <c r="H28"/>
  <c r="H27"/>
  <c r="H26"/>
  <c r="H24"/>
  <c r="H23"/>
  <c r="H22"/>
  <c r="H21"/>
  <c r="H20"/>
  <c r="H19"/>
  <c r="H18"/>
  <c r="H17"/>
  <c r="H15"/>
  <c r="H14"/>
  <c r="H13"/>
  <c r="H12"/>
  <c r="H11"/>
  <c r="I56" i="37"/>
  <c r="I53"/>
  <c r="I50"/>
  <c r="I49"/>
  <c r="I48"/>
  <c r="I47"/>
  <c r="I46"/>
  <c r="I45"/>
  <c r="I44"/>
  <c r="I43"/>
  <c r="I42"/>
  <c r="I41"/>
  <c r="I40"/>
  <c r="I38"/>
  <c r="I37"/>
  <c r="I36"/>
  <c r="I35"/>
  <c r="I34"/>
  <c r="I31"/>
  <c r="I32"/>
  <c r="I29"/>
  <c r="I27"/>
  <c r="I26"/>
  <c r="I25"/>
  <c r="I23"/>
  <c r="I22"/>
  <c r="I21"/>
  <c r="I20"/>
  <c r="I19"/>
  <c r="I18"/>
  <c r="I17"/>
  <c r="I16"/>
  <c r="I14"/>
  <c r="I13"/>
  <c r="H58"/>
  <c r="H3" i="40"/>
  <c r="A19" i="8"/>
  <c r="A21" s="1"/>
  <c r="A23" s="1"/>
  <c r="A25" s="1"/>
  <c r="I24" i="33"/>
  <c r="J3"/>
  <c r="C20" i="39"/>
  <c r="F18"/>
  <c r="H18" s="1"/>
  <c r="F15"/>
  <c r="H15" s="1"/>
  <c r="F14"/>
  <c r="H14" s="1"/>
  <c r="H3"/>
  <c r="F47" i="4"/>
  <c r="F46"/>
  <c r="F45"/>
  <c r="F44"/>
  <c r="F24" i="33"/>
  <c r="F36" i="12"/>
  <c r="D47" i="4" s="1"/>
  <c r="F19" i="12"/>
  <c r="D46" i="4" s="1"/>
  <c r="F18" i="12"/>
  <c r="D45" i="4" s="1"/>
  <c r="F17" i="12"/>
  <c r="D44" i="4" s="1"/>
  <c r="J3" i="3"/>
  <c r="J3" i="5"/>
  <c r="H3" i="38"/>
  <c r="C26"/>
  <c r="F25"/>
  <c r="H25"/>
  <c r="F24"/>
  <c r="H24"/>
  <c r="C21"/>
  <c r="F20"/>
  <c r="H20" s="1"/>
  <c r="H16"/>
  <c r="F11"/>
  <c r="H11" s="1"/>
  <c r="A56" i="37"/>
  <c r="I24"/>
  <c r="I60"/>
  <c r="E97" i="36"/>
  <c r="F3" i="26"/>
  <c r="F31" i="27"/>
  <c r="H31" s="1"/>
  <c r="H3"/>
  <c r="H3" i="28"/>
  <c r="F45" i="29"/>
  <c r="H45" s="1"/>
  <c r="H3"/>
  <c r="J3" i="4"/>
  <c r="H3" i="8"/>
  <c r="F27" i="5"/>
  <c r="F59" i="12"/>
  <c r="D27" i="5" s="1"/>
  <c r="F65" i="4"/>
  <c r="D30" i="8"/>
  <c r="K15" i="33"/>
  <c r="K16"/>
  <c r="F17"/>
  <c r="K17" s="1"/>
  <c r="F18"/>
  <c r="K18" s="1"/>
  <c r="F67" i="12"/>
  <c r="E18" i="33" s="1"/>
  <c r="D18"/>
  <c r="F66" i="12"/>
  <c r="E17" i="33" s="1"/>
  <c r="D17"/>
  <c r="F65" i="12"/>
  <c r="E16" i="33"/>
  <c r="D16"/>
  <c r="F64" i="12"/>
  <c r="E15" i="33" s="1"/>
  <c r="B16"/>
  <c r="B17" s="1"/>
  <c r="B18" s="1"/>
  <c r="B19" s="1"/>
  <c r="I16" i="3"/>
  <c r="C18"/>
  <c r="C20"/>
  <c r="F14" i="5"/>
  <c r="F15"/>
  <c r="F16"/>
  <c r="I28" i="3"/>
  <c r="I23"/>
  <c r="I24"/>
  <c r="F20" i="5"/>
  <c r="F26" s="1"/>
  <c r="F21"/>
  <c r="F24" s="1"/>
  <c r="F22"/>
  <c r="F23" i="4"/>
  <c r="F31" s="1"/>
  <c r="F17"/>
  <c r="F25"/>
  <c r="F33" s="1"/>
  <c r="F34"/>
  <c r="K14"/>
  <c r="K30"/>
  <c r="K16"/>
  <c r="K32"/>
  <c r="F14"/>
  <c r="F30" s="1"/>
  <c r="F22"/>
  <c r="F16"/>
  <c r="F24"/>
  <c r="K28" i="5"/>
  <c r="K27"/>
  <c r="F34"/>
  <c r="F37" s="1"/>
  <c r="F35"/>
  <c r="F40"/>
  <c r="F41"/>
  <c r="F14" i="29"/>
  <c r="H14" s="1"/>
  <c r="F17"/>
  <c r="H17" s="1"/>
  <c r="F25"/>
  <c r="H25" s="1"/>
  <c r="F35"/>
  <c r="H35" s="1"/>
  <c r="F36"/>
  <c r="H36" s="1"/>
  <c r="F41"/>
  <c r="H41" s="1"/>
  <c r="F43"/>
  <c r="H43" s="1"/>
  <c r="F46"/>
  <c r="H46" s="1"/>
  <c r="F12" i="28"/>
  <c r="H12" s="1"/>
  <c r="F13"/>
  <c r="H13" s="1"/>
  <c r="F15"/>
  <c r="H15" s="1"/>
  <c r="F18"/>
  <c r="H18" s="1"/>
  <c r="F21"/>
  <c r="H21" s="1"/>
  <c r="F23"/>
  <c r="H23" s="1"/>
  <c r="F27"/>
  <c r="H27" s="1"/>
  <c r="F30"/>
  <c r="H30" s="1"/>
  <c r="F31"/>
  <c r="H31" s="1"/>
  <c r="F15" i="27"/>
  <c r="H15" s="1"/>
  <c r="F16"/>
  <c r="H16" s="1"/>
  <c r="H26"/>
  <c r="F27"/>
  <c r="H27" s="1"/>
  <c r="F63" i="4"/>
  <c r="F50"/>
  <c r="K50" s="1"/>
  <c r="I42" i="3"/>
  <c r="I43"/>
  <c r="I46" s="1"/>
  <c r="I44"/>
  <c r="I48"/>
  <c r="I52" s="1"/>
  <c r="I51"/>
  <c r="I38"/>
  <c r="I40"/>
  <c r="F51" i="5"/>
  <c r="F58" s="1"/>
  <c r="A15"/>
  <c r="A16"/>
  <c r="A17" s="1"/>
  <c r="D20" i="3"/>
  <c r="A15" i="4"/>
  <c r="A16" s="1"/>
  <c r="A17" s="1"/>
  <c r="A18" s="1"/>
  <c r="A19" s="1"/>
  <c r="A22" s="1"/>
  <c r="A23" s="1"/>
  <c r="A24" s="1"/>
  <c r="A25" s="1"/>
  <c r="A26" s="1"/>
  <c r="A27" s="1"/>
  <c r="A30" s="1"/>
  <c r="A31" s="1"/>
  <c r="A32" s="1"/>
  <c r="A33" s="1"/>
  <c r="A34" s="1"/>
  <c r="A35" s="1"/>
  <c r="F14" i="12"/>
  <c r="G53" i="3" s="1"/>
  <c r="F13" i="12"/>
  <c r="G48" i="3" s="1"/>
  <c r="G52" s="1"/>
  <c r="F15" i="12"/>
  <c r="G51" i="3"/>
  <c r="F20" i="12"/>
  <c r="G44" i="3" s="1"/>
  <c r="F12" i="12"/>
  <c r="G43" i="3" s="1"/>
  <c r="F16" i="12"/>
  <c r="G42" i="3" s="1"/>
  <c r="E42"/>
  <c r="F38" i="4"/>
  <c r="F39"/>
  <c r="F40"/>
  <c r="F8" i="24"/>
  <c r="F10"/>
  <c r="F15" s="1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F51" i="12"/>
  <c r="D20" i="5" s="1"/>
  <c r="D26" s="1"/>
  <c r="C26"/>
  <c r="F53" i="12"/>
  <c r="D22" i="5" s="1"/>
  <c r="C51" i="27"/>
  <c r="F43" i="12"/>
  <c r="F60"/>
  <c r="G28" i="3"/>
  <c r="F61" i="12"/>
  <c r="G24" i="3" s="1"/>
  <c r="F62" i="12"/>
  <c r="G23" i="3" s="1"/>
  <c r="F48" i="12"/>
  <c r="D15" i="5" s="1"/>
  <c r="D23"/>
  <c r="F44" i="12"/>
  <c r="D55" i="5" s="1"/>
  <c r="F56" i="12"/>
  <c r="D36" i="5" s="1"/>
  <c r="F58" i="12"/>
  <c r="D35" i="5" s="1"/>
  <c r="F57" i="12"/>
  <c r="D34" i="5" s="1"/>
  <c r="F52" i="12"/>
  <c r="D21" i="5" s="1"/>
  <c r="F54" i="12"/>
  <c r="D19" i="5" s="1"/>
  <c r="F49" i="12"/>
  <c r="D16" i="5" s="1"/>
  <c r="F50" i="12"/>
  <c r="D14" i="5" s="1"/>
  <c r="C14"/>
  <c r="F22" i="12"/>
  <c r="G40" i="3" s="1"/>
  <c r="F21" i="12"/>
  <c r="G36" i="3" s="1"/>
  <c r="F35" i="12"/>
  <c r="D64" i="4" s="1"/>
  <c r="F34" i="12"/>
  <c r="D63" i="4" s="1"/>
  <c r="F47" i="12"/>
  <c r="D40" i="4" s="1"/>
  <c r="F46" i="12"/>
  <c r="D39" i="4"/>
  <c r="F45" i="12"/>
  <c r="F37"/>
  <c r="D38" i="4" s="1"/>
  <c r="F29" i="12"/>
  <c r="D50" i="4" s="1"/>
  <c r="F23" i="12"/>
  <c r="D26" i="4" s="1"/>
  <c r="F33" i="12"/>
  <c r="D25" i="4" s="1"/>
  <c r="F32" i="12"/>
  <c r="D24" i="4" s="1"/>
  <c r="F31" i="12"/>
  <c r="D23" i="4" s="1"/>
  <c r="F30" i="12"/>
  <c r="D22" i="4" s="1"/>
  <c r="F24" i="12"/>
  <c r="D18" i="4" s="1"/>
  <c r="F28" i="12"/>
  <c r="D17" i="4" s="1"/>
  <c r="F27" i="12"/>
  <c r="D16" i="4" s="1"/>
  <c r="F26" i="12"/>
  <c r="F25"/>
  <c r="D14" i="4" s="1"/>
  <c r="I29" i="20"/>
  <c r="I26"/>
  <c r="I10"/>
  <c r="J10" s="1"/>
  <c r="I16"/>
  <c r="I19"/>
  <c r="D17"/>
  <c r="F17"/>
  <c r="F14"/>
  <c r="E14"/>
  <c r="F12"/>
  <c r="E12"/>
  <c r="D12"/>
  <c r="F13"/>
  <c r="E13"/>
  <c r="D13"/>
  <c r="F11"/>
  <c r="E11"/>
  <c r="I10" i="18"/>
  <c r="J10"/>
  <c r="I14"/>
  <c r="J14"/>
  <c r="F23"/>
  <c r="E23"/>
  <c r="F22"/>
  <c r="E22"/>
  <c r="F21"/>
  <c r="E21"/>
  <c r="F20"/>
  <c r="E20"/>
  <c r="F19"/>
  <c r="E19"/>
  <c r="E24" i="3"/>
  <c r="E23"/>
  <c r="E28"/>
  <c r="F16" i="18"/>
  <c r="F12"/>
  <c r="I42" i="16"/>
  <c r="I38"/>
  <c r="I35"/>
  <c r="I17"/>
  <c r="I20"/>
  <c r="I23"/>
  <c r="J29" s="1"/>
  <c r="I26"/>
  <c r="I29"/>
  <c r="F32"/>
  <c r="J20"/>
  <c r="I30" i="15"/>
  <c r="I10"/>
  <c r="J30" s="1"/>
  <c r="I17"/>
  <c r="I21"/>
  <c r="I24"/>
  <c r="I27"/>
  <c r="F31"/>
  <c r="J17"/>
  <c r="G50" i="1"/>
  <c r="G43"/>
  <c r="C55" i="5"/>
  <c r="G23" i="1"/>
  <c r="F63" i="12"/>
  <c r="F11"/>
  <c r="F68"/>
  <c r="F38"/>
  <c r="F39"/>
  <c r="F40"/>
  <c r="F41"/>
  <c r="F42"/>
  <c r="F29" i="1"/>
  <c r="F30"/>
  <c r="F28"/>
  <c r="C21" i="5"/>
  <c r="F11" i="1"/>
  <c r="F23"/>
  <c r="F63"/>
  <c r="F62"/>
  <c r="F61"/>
  <c r="F60"/>
  <c r="F59"/>
  <c r="F58"/>
  <c r="G57"/>
  <c r="F57"/>
  <c r="F52"/>
  <c r="F56"/>
  <c r="F55"/>
  <c r="F54"/>
  <c r="F53"/>
  <c r="F36"/>
  <c r="F51"/>
  <c r="F50"/>
  <c r="F49"/>
  <c r="F48"/>
  <c r="F47"/>
  <c r="F46"/>
  <c r="F45"/>
  <c r="F44"/>
  <c r="F43"/>
  <c r="F18"/>
  <c r="F9"/>
  <c r="F8"/>
  <c r="F7"/>
  <c r="F42"/>
  <c r="F41"/>
  <c r="F40"/>
  <c r="F39"/>
  <c r="F38"/>
  <c r="F13"/>
  <c r="F15"/>
  <c r="F14"/>
  <c r="F12"/>
  <c r="F10"/>
  <c r="F25"/>
  <c r="F37"/>
  <c r="D65" i="4"/>
  <c r="F35" i="1"/>
  <c r="F34"/>
  <c r="F33"/>
  <c r="F32"/>
  <c r="F31"/>
  <c r="F27"/>
  <c r="F26"/>
  <c r="F24"/>
  <c r="F22"/>
  <c r="F21"/>
  <c r="F20"/>
  <c r="F19"/>
  <c r="F17"/>
  <c r="F16"/>
  <c r="C26" i="4"/>
  <c r="C25"/>
  <c r="C24"/>
  <c r="C22"/>
  <c r="K22"/>
  <c r="K24"/>
  <c r="C18"/>
  <c r="C17"/>
  <c r="C16"/>
  <c r="C15"/>
  <c r="C14"/>
  <c r="C20" i="5"/>
  <c r="C22"/>
  <c r="K19"/>
  <c r="F19" i="4"/>
  <c r="C23" i="3"/>
  <c r="J21" i="15"/>
  <c r="J23" i="16"/>
  <c r="J17"/>
  <c r="C24" i="3"/>
  <c r="C25" s="1"/>
  <c r="C26" s="1"/>
  <c r="C28" s="1"/>
  <c r="A34" i="5"/>
  <c r="A35"/>
  <c r="A36" s="1"/>
  <c r="A37" s="1"/>
  <c r="D62" i="4"/>
  <c r="G8" i="24"/>
  <c r="H8" s="1"/>
  <c r="H60" i="37"/>
  <c r="G60"/>
  <c r="G64" s="1"/>
  <c r="I17" i="8" s="1"/>
  <c r="K24" i="33"/>
  <c r="K35" s="1"/>
  <c r="F17" i="39"/>
  <c r="H17" s="1"/>
  <c r="F34" i="29"/>
  <c r="H34" s="1"/>
  <c r="J26" i="16"/>
  <c r="G58" i="37"/>
  <c r="F27" i="4" l="1"/>
  <c r="H34" i="30"/>
  <c r="H33"/>
  <c r="H32"/>
  <c r="H31"/>
  <c r="H35"/>
  <c r="F32" i="4"/>
  <c r="F35" s="1"/>
  <c r="F42" i="5"/>
  <c r="F17"/>
  <c r="G60" i="3"/>
  <c r="K52" i="4"/>
  <c r="E27" i="33"/>
  <c r="H40" i="41"/>
  <c r="H39"/>
  <c r="H38"/>
  <c r="H37"/>
  <c r="H36"/>
  <c r="H35"/>
  <c r="H34"/>
  <c r="H33"/>
  <c r="H32"/>
  <c r="H31"/>
  <c r="H30"/>
  <c r="I60"/>
  <c r="H29"/>
  <c r="I62" i="30"/>
  <c r="H41"/>
  <c r="H39"/>
  <c r="H37"/>
  <c r="H30"/>
  <c r="H40"/>
  <c r="H38"/>
  <c r="H36"/>
  <c r="F48" i="4"/>
  <c r="K19" i="33"/>
  <c r="F19"/>
  <c r="I26" i="3"/>
  <c r="I30" s="1"/>
  <c r="I58" i="37"/>
  <c r="C28" i="38"/>
  <c r="A38" i="4"/>
  <c r="A39" s="1"/>
  <c r="A40" s="1"/>
  <c r="A44" s="1"/>
  <c r="A45" s="1"/>
  <c r="A46" s="1"/>
  <c r="A47" s="1"/>
  <c r="A48" s="1"/>
  <c r="A50" s="1"/>
  <c r="A52" s="1"/>
  <c r="A57" s="1"/>
  <c r="A58" s="1"/>
  <c r="A59" s="1"/>
  <c r="A62" s="1"/>
  <c r="A63" s="1"/>
  <c r="A64" s="1"/>
  <c r="A65" s="1"/>
  <c r="A66" s="1"/>
  <c r="A68" s="1"/>
  <c r="B21" i="33"/>
  <c r="B24" s="1"/>
  <c r="B27" s="1"/>
  <c r="B28" s="1"/>
  <c r="B29" s="1"/>
  <c r="D27" i="8"/>
  <c r="A27"/>
  <c r="A29" s="1"/>
  <c r="B44" i="42"/>
  <c r="D33"/>
  <c r="B45" s="1"/>
  <c r="A40" i="5"/>
  <c r="A41" s="1"/>
  <c r="A42" s="1"/>
  <c r="A45" s="1"/>
  <c r="D30" i="3"/>
  <c r="C30"/>
  <c r="A19" i="5"/>
  <c r="A20" s="1"/>
  <c r="A21" s="1"/>
  <c r="A22" s="1"/>
  <c r="A23" s="1"/>
  <c r="A24" s="1"/>
  <c r="A26" s="1"/>
  <c r="A27" s="1"/>
  <c r="A28" s="1"/>
  <c r="B31"/>
  <c r="H30" i="42"/>
  <c r="G51"/>
  <c r="E26" i="3"/>
  <c r="J35" i="16"/>
  <c r="J38" s="1"/>
  <c r="J42" s="1"/>
  <c r="H28" i="38"/>
  <c r="I16" i="8" s="1"/>
  <c r="F41" i="4"/>
  <c r="B41" i="42"/>
  <c r="B48" s="1"/>
  <c r="B49" s="1"/>
  <c r="G37" i="30"/>
  <c r="G41"/>
  <c r="G36"/>
  <c r="K27" i="33"/>
  <c r="K29" s="1"/>
  <c r="J27" i="15"/>
  <c r="J10"/>
  <c r="J24"/>
  <c r="J16" i="20"/>
  <c r="J19" s="1"/>
  <c r="J26" s="1"/>
  <c r="J29" s="1"/>
  <c r="I54" i="3"/>
  <c r="I56" s="1"/>
  <c r="G59"/>
  <c r="F21" i="24"/>
  <c r="F20"/>
  <c r="F23" s="1"/>
  <c r="F25" s="1"/>
  <c r="G9" s="1"/>
  <c r="I8"/>
  <c r="I27" i="8"/>
  <c r="G10" i="24"/>
  <c r="G15" s="1"/>
  <c r="H41" i="41" l="1"/>
  <c r="H43" s="1"/>
  <c r="G35" i="30"/>
  <c r="G34"/>
  <c r="G33"/>
  <c r="G32"/>
  <c r="G31"/>
  <c r="I31" s="1"/>
  <c r="B68" i="4"/>
  <c r="F58"/>
  <c r="K58" s="1"/>
  <c r="K21" i="33"/>
  <c r="K31"/>
  <c r="I30" i="8" s="1"/>
  <c r="G29" i="41"/>
  <c r="G40"/>
  <c r="G39"/>
  <c r="G38"/>
  <c r="G37"/>
  <c r="G36"/>
  <c r="G35"/>
  <c r="G34"/>
  <c r="G33"/>
  <c r="G32"/>
  <c r="G31"/>
  <c r="G30"/>
  <c r="I30" s="1"/>
  <c r="E43"/>
  <c r="G40" i="30"/>
  <c r="G38"/>
  <c r="G39"/>
  <c r="G30"/>
  <c r="H42"/>
  <c r="H44"/>
  <c r="E44" s="1"/>
  <c r="I39" i="33"/>
  <c r="I38"/>
  <c r="K38" s="1"/>
  <c r="F59" i="3"/>
  <c r="I59" s="1"/>
  <c r="F60"/>
  <c r="I60" s="1"/>
  <c r="F61"/>
  <c r="I61" s="1"/>
  <c r="C32"/>
  <c r="C36" s="1"/>
  <c r="C37" s="1"/>
  <c r="C38" s="1"/>
  <c r="C40" s="1"/>
  <c r="C42" s="1"/>
  <c r="C43" s="1"/>
  <c r="C44" s="1"/>
  <c r="C45" s="1"/>
  <c r="C46" s="1"/>
  <c r="D32"/>
  <c r="D44" i="42"/>
  <c r="D46"/>
  <c r="B46"/>
  <c r="B51" s="1"/>
  <c r="D31" i="8"/>
  <c r="A30"/>
  <c r="A31" s="1"/>
  <c r="G52" i="42"/>
  <c r="I51"/>
  <c r="I31"/>
  <c r="H36"/>
  <c r="A49" i="5"/>
  <c r="A50" s="1"/>
  <c r="A51" s="1"/>
  <c r="A53" s="1"/>
  <c r="A54" s="1"/>
  <c r="D29" i="8"/>
  <c r="G21" i="24"/>
  <c r="G20"/>
  <c r="F22" i="28"/>
  <c r="H22" s="1"/>
  <c r="F14"/>
  <c r="H14" s="1"/>
  <c r="F32"/>
  <c r="H32" s="1"/>
  <c r="F26"/>
  <c r="H26" s="1"/>
  <c r="J8" i="24"/>
  <c r="I31" i="41" l="1"/>
  <c r="I32" s="1"/>
  <c r="I33" s="1"/>
  <c r="I34" s="1"/>
  <c r="I35" s="1"/>
  <c r="I36" s="1"/>
  <c r="I37" s="1"/>
  <c r="I38" s="1"/>
  <c r="I39" s="1"/>
  <c r="I40" s="1"/>
  <c r="H45" s="1"/>
  <c r="I32" i="30"/>
  <c r="I33" s="1"/>
  <c r="I34" s="1"/>
  <c r="I35" s="1"/>
  <c r="I36" s="1"/>
  <c r="I37" s="1"/>
  <c r="I38" s="1"/>
  <c r="I39" s="1"/>
  <c r="I40" s="1"/>
  <c r="I41" s="1"/>
  <c r="I17" i="3"/>
  <c r="I18" s="1"/>
  <c r="I20" s="1"/>
  <c r="G41" i="41"/>
  <c r="I21" i="8"/>
  <c r="K39" i="33"/>
  <c r="K53" i="4" s="1"/>
  <c r="I53"/>
  <c r="G42" i="30"/>
  <c r="A55" i="5"/>
  <c r="A57" s="1"/>
  <c r="A58" s="1"/>
  <c r="A59" s="1"/>
  <c r="H37" i="42"/>
  <c r="I38" s="1"/>
  <c r="I35"/>
  <c r="I62" i="3"/>
  <c r="F53" i="5" s="1"/>
  <c r="I52" i="42"/>
  <c r="G53"/>
  <c r="A33" i="8"/>
  <c r="D33"/>
  <c r="B52" i="42"/>
  <c r="B54" s="1"/>
  <c r="C48" i="3"/>
  <c r="C51" s="1"/>
  <c r="C52" s="1"/>
  <c r="C53" s="1"/>
  <c r="C54" s="1"/>
  <c r="C56" s="1"/>
  <c r="C59" s="1"/>
  <c r="C60" s="1"/>
  <c r="C61" s="1"/>
  <c r="C62" s="1"/>
  <c r="C45" i="5" s="1"/>
  <c r="E56" i="3"/>
  <c r="C57" i="5"/>
  <c r="F19" i="28"/>
  <c r="H19" s="1"/>
  <c r="F19" i="27"/>
  <c r="H19" s="1"/>
  <c r="F28"/>
  <c r="H28" s="1"/>
  <c r="F33" i="29"/>
  <c r="H33" s="1"/>
  <c r="F34" i="28"/>
  <c r="H34" s="1"/>
  <c r="F26" i="29"/>
  <c r="H26" s="1"/>
  <c r="F16"/>
  <c r="H16" s="1"/>
  <c r="F47"/>
  <c r="H47" s="1"/>
  <c r="F29" i="27"/>
  <c r="H29" s="1"/>
  <c r="F27" i="29"/>
  <c r="H27" s="1"/>
  <c r="F16" i="28"/>
  <c r="H16" s="1"/>
  <c r="F19" i="29"/>
  <c r="H19" s="1"/>
  <c r="F18" i="27"/>
  <c r="H18" s="1"/>
  <c r="F30"/>
  <c r="H30" s="1"/>
  <c r="G23" i="24"/>
  <c r="G25" s="1"/>
  <c r="H9" s="1"/>
  <c r="H10" s="1"/>
  <c r="H15" s="1"/>
  <c r="G45" i="41" l="1"/>
  <c r="I45" s="1"/>
  <c r="H46" i="30"/>
  <c r="F57" i="4" s="1"/>
  <c r="K57" s="1"/>
  <c r="G46" i="30"/>
  <c r="I63" i="4"/>
  <c r="K63" s="1"/>
  <c r="I17" i="5"/>
  <c r="K17" s="1"/>
  <c r="F63" i="29"/>
  <c r="I32" i="3"/>
  <c r="I40" i="5" s="1"/>
  <c r="K40" s="1"/>
  <c r="I34"/>
  <c r="K34" s="1"/>
  <c r="I15" i="4"/>
  <c r="K15" s="1"/>
  <c r="I23"/>
  <c r="K23" s="1"/>
  <c r="I17"/>
  <c r="I25"/>
  <c r="I36" i="5"/>
  <c r="K36" s="1"/>
  <c r="I44" i="4"/>
  <c r="I29" i="5"/>
  <c r="K29" s="1"/>
  <c r="F25" i="40"/>
  <c r="H25" s="1"/>
  <c r="I35" i="5"/>
  <c r="K35" s="1"/>
  <c r="K37" s="1"/>
  <c r="F16" i="40"/>
  <c r="H16" s="1"/>
  <c r="H32" s="1"/>
  <c r="I18" i="8" s="1"/>
  <c r="I19" s="1"/>
  <c r="D35"/>
  <c r="A35"/>
  <c r="A61" i="5"/>
  <c r="D13" i="8" s="1"/>
  <c r="B61" i="5"/>
  <c r="I53" i="42"/>
  <c r="D52"/>
  <c r="D54"/>
  <c r="G54"/>
  <c r="I46" i="30"/>
  <c r="F56" i="4" s="1"/>
  <c r="C58" i="5"/>
  <c r="H21" i="24"/>
  <c r="H20"/>
  <c r="H23" s="1"/>
  <c r="H25" s="1"/>
  <c r="I9" s="1"/>
  <c r="I10" s="1"/>
  <c r="I15" s="1"/>
  <c r="F59" i="29" l="1"/>
  <c r="F28" s="1"/>
  <c r="H28" s="1"/>
  <c r="I45" i="4"/>
  <c r="K45" s="1"/>
  <c r="I24" i="5"/>
  <c r="K24" s="1"/>
  <c r="I64" i="4"/>
  <c r="K64" s="1"/>
  <c r="F44" i="29"/>
  <c r="H44" s="1"/>
  <c r="F24"/>
  <c r="H24" s="1"/>
  <c r="F35" i="28"/>
  <c r="H35" s="1"/>
  <c r="F28"/>
  <c r="H28" s="1"/>
  <c r="K31" i="4"/>
  <c r="F22" i="27"/>
  <c r="H22" s="1"/>
  <c r="F39" i="29"/>
  <c r="H39" s="1"/>
  <c r="F33" i="28"/>
  <c r="H33" s="1"/>
  <c r="F49" i="29"/>
  <c r="H49" s="1"/>
  <c r="F29"/>
  <c r="H29" s="1"/>
  <c r="F48"/>
  <c r="H48" s="1"/>
  <c r="F16" i="39"/>
  <c r="H16" s="1"/>
  <c r="H20" s="1"/>
  <c r="K46" i="4" s="1"/>
  <c r="F20" i="29"/>
  <c r="H20" s="1"/>
  <c r="F35" i="27"/>
  <c r="H35" s="1"/>
  <c r="F25" i="28"/>
  <c r="H25" s="1"/>
  <c r="F24"/>
  <c r="H24" s="1"/>
  <c r="F17" i="27"/>
  <c r="H17" s="1"/>
  <c r="F37" i="29"/>
  <c r="H37" s="1"/>
  <c r="F38"/>
  <c r="H38" s="1"/>
  <c r="I47" i="4"/>
  <c r="K47" s="1"/>
  <c r="K44"/>
  <c r="K25"/>
  <c r="I26"/>
  <c r="K26" s="1"/>
  <c r="I18"/>
  <c r="K18" s="1"/>
  <c r="K17"/>
  <c r="K56"/>
  <c r="K59" s="1"/>
  <c r="I54" i="42"/>
  <c r="G55"/>
  <c r="I55" s="1"/>
  <c r="D38" i="8"/>
  <c r="D39"/>
  <c r="A38"/>
  <c r="I20" i="24"/>
  <c r="I21"/>
  <c r="K48" i="4" l="1"/>
  <c r="K33"/>
  <c r="K19"/>
  <c r="I19" s="1"/>
  <c r="K34"/>
  <c r="K27"/>
  <c r="G56" i="42"/>
  <c r="A39" i="8"/>
  <c r="D42"/>
  <c r="I56" i="42"/>
  <c r="I23" i="24"/>
  <c r="I25" s="1"/>
  <c r="J9" s="1"/>
  <c r="J10" s="1"/>
  <c r="J15" s="1"/>
  <c r="I65" i="4" l="1"/>
  <c r="K65" s="1"/>
  <c r="F58" i="29"/>
  <c r="I26" i="5"/>
  <c r="K26" s="1"/>
  <c r="K31" s="1"/>
  <c r="K62" i="4" s="1"/>
  <c r="K66" s="1"/>
  <c r="I41" i="5"/>
  <c r="K35" i="4"/>
  <c r="A42" i="8"/>
  <c r="A43" s="1"/>
  <c r="D43"/>
  <c r="G57" i="42"/>
  <c r="F15" i="29"/>
  <c r="H15" s="1"/>
  <c r="F23" i="27"/>
  <c r="H23" s="1"/>
  <c r="F40" i="29"/>
  <c r="H40" s="1"/>
  <c r="F21" i="27"/>
  <c r="H21" s="1"/>
  <c r="F24"/>
  <c r="H24" s="1"/>
  <c r="F25"/>
  <c r="H25" s="1"/>
  <c r="F23" i="29"/>
  <c r="H23" s="1"/>
  <c r="F42"/>
  <c r="H42" s="1"/>
  <c r="F20" i="28"/>
  <c r="H20" s="1"/>
  <c r="J21" i="24"/>
  <c r="J20"/>
  <c r="J23" s="1"/>
  <c r="J25" s="1"/>
  <c r="K41" i="5" l="1"/>
  <c r="K42" s="1"/>
  <c r="F24" i="16"/>
  <c r="I35" i="4"/>
  <c r="G58" i="42"/>
  <c r="I57"/>
  <c r="I58" i="5" l="1"/>
  <c r="K58" s="1"/>
  <c r="F60" i="29"/>
  <c r="I58" i="42"/>
  <c r="G59"/>
  <c r="I59"/>
  <c r="F45" i="27" l="1"/>
  <c r="H45" s="1"/>
  <c r="F30" i="29"/>
  <c r="H30" s="1"/>
  <c r="F14" i="27"/>
  <c r="H14" s="1"/>
  <c r="F49"/>
  <c r="H49" s="1"/>
  <c r="F21" i="29"/>
  <c r="H21" s="1"/>
  <c r="F29" i="28"/>
  <c r="H29" s="1"/>
  <c r="F32" i="29"/>
  <c r="H32" s="1"/>
  <c r="F31"/>
  <c r="H31" s="1"/>
  <c r="F18"/>
  <c r="H18" s="1"/>
  <c r="H52" s="1"/>
  <c r="G60" i="42"/>
  <c r="H38" i="28" l="1"/>
  <c r="K39" i="4" s="1"/>
  <c r="K38"/>
  <c r="H51" i="27"/>
  <c r="K40" i="4" s="1"/>
  <c r="G61" i="42"/>
  <c r="I60"/>
  <c r="K41" i="4" l="1"/>
  <c r="K68" s="1"/>
  <c r="K45" i="5" s="1"/>
  <c r="K57" s="1"/>
  <c r="K59" s="1"/>
  <c r="K61" s="1"/>
  <c r="I13" i="8" s="1"/>
  <c r="I25" s="1"/>
  <c r="I29" s="1"/>
  <c r="I31" s="1"/>
  <c r="I33" s="1"/>
  <c r="I35" s="1"/>
  <c r="I39" s="1"/>
  <c r="I43" s="1"/>
  <c r="I61" i="42"/>
  <c r="G62"/>
  <c r="I62"/>
  <c r="I38" i="8" l="1"/>
  <c r="I42" s="1"/>
  <c r="H18" i="18"/>
  <c r="G65" i="42"/>
  <c r="G63"/>
  <c r="I27" i="18" l="1"/>
  <c r="I18"/>
  <c r="J18" s="1"/>
  <c r="G66" i="42"/>
  <c r="G64"/>
  <c r="I64" s="1"/>
  <c r="I65" s="1"/>
  <c r="I44" s="1"/>
  <c r="H45" s="1"/>
  <c r="I63"/>
  <c r="I66" s="1"/>
  <c r="H42"/>
  <c r="I43" s="1"/>
  <c r="J27" i="18" l="1"/>
</calcChain>
</file>

<file path=xl/sharedStrings.xml><?xml version="1.0" encoding="utf-8"?>
<sst xmlns="http://schemas.openxmlformats.org/spreadsheetml/2006/main" count="1626" uniqueCount="956">
  <si>
    <t>Page 2 of 5</t>
  </si>
  <si>
    <t>Page 4 of 5</t>
  </si>
  <si>
    <t>Project</t>
  </si>
  <si>
    <t>Asheville Unit 4</t>
  </si>
  <si>
    <t>Richmond - Phase 1</t>
  </si>
  <si>
    <t>Richmond - Phase 2</t>
  </si>
  <si>
    <t xml:space="preserve">  Total Interconnection Facilities</t>
  </si>
  <si>
    <t>Brunswick #1 Uprate</t>
  </si>
  <si>
    <t>Brunswick #2 Uprate</t>
  </si>
  <si>
    <t>Interest</t>
  </si>
  <si>
    <t>Refunded</t>
  </si>
  <si>
    <t>Annual Funding Requirement</t>
  </si>
  <si>
    <t xml:space="preserve">GridSouth Wholesale Amortization </t>
  </si>
  <si>
    <t>GridSouth Wholesale Amortization</t>
  </si>
  <si>
    <t>Analysis of Company books.</t>
  </si>
  <si>
    <t>Taxes Other Than Income (Note E)</t>
  </si>
  <si>
    <t>NC/SC Composite</t>
  </si>
  <si>
    <t>Determined by annual apportionment factors provided by Tax Department</t>
  </si>
  <si>
    <t>Dist</t>
  </si>
  <si>
    <t>OATT - Wholesale GridSouth Amortization Example</t>
  </si>
  <si>
    <t>5 Year Levelized Amortization - Fixed  =</t>
  </si>
  <si>
    <t>Wholesale LTF Denominator</t>
  </si>
  <si>
    <t>Actual Recoveries:</t>
  </si>
  <si>
    <t xml:space="preserve">  Total GridSouth Collected</t>
  </si>
  <si>
    <t>NORTH CAROLINA</t>
  </si>
  <si>
    <t>FACILITY CHARGES</t>
  </si>
  <si>
    <t>RESIDENCES - COMPANY EMPLOYEES</t>
  </si>
  <si>
    <t>POLE RENTAL</t>
  </si>
  <si>
    <t>BUILDING &amp; LAND RENTAL</t>
  </si>
  <si>
    <t>O &amp; M MONTHLY CHARGE</t>
  </si>
  <si>
    <t>PT HOLDINGS IRU/REVENUE SHARING</t>
  </si>
  <si>
    <t>4543001 - NCEMC LEASED FACILITIES</t>
  </si>
  <si>
    <t>454300A - LEASED FACILITIES - PA3</t>
  </si>
  <si>
    <t>4543100 - TELEMETRY CHARGES - PA3</t>
  </si>
  <si>
    <t>4549000 - CO-GENERATION</t>
  </si>
  <si>
    <t>TOTAL NORTH CAROLINA</t>
  </si>
  <si>
    <t>SOUTH CAROLINA</t>
  </si>
  <si>
    <t>TOTAL SOUTH CAROLINA</t>
  </si>
  <si>
    <t>TOTAL</t>
  </si>
  <si>
    <t>Amount</t>
  </si>
  <si>
    <t>Page</t>
  </si>
  <si>
    <t>Row</t>
  </si>
  <si>
    <t>Column</t>
  </si>
  <si>
    <t>Description</t>
  </si>
  <si>
    <t>Reference</t>
  </si>
  <si>
    <t>Total Direct Payroll - O&amp;M Labor</t>
  </si>
  <si>
    <t>Transmission O&amp;M Labor</t>
  </si>
  <si>
    <t>(565) Transmission of Electricity by Others</t>
  </si>
  <si>
    <t xml:space="preserve">Total Admin &amp; General Expenses </t>
  </si>
  <si>
    <t>(928) Regulatory Commission Expenses</t>
  </si>
  <si>
    <t>(930.1) General Advertising Expenses</t>
  </si>
  <si>
    <t>Plant Held for Future Use (Trans. Only)</t>
  </si>
  <si>
    <t>c</t>
  </si>
  <si>
    <t>b</t>
  </si>
  <si>
    <t>g</t>
  </si>
  <si>
    <t>d</t>
  </si>
  <si>
    <t>Sum of Monthly Transmission Peaks</t>
  </si>
  <si>
    <t>230a</t>
  </si>
  <si>
    <t>e</t>
  </si>
  <si>
    <t>NF</t>
  </si>
  <si>
    <t>LFP</t>
  </si>
  <si>
    <t>Calpine Energy Services</t>
  </si>
  <si>
    <t>OS</t>
  </si>
  <si>
    <t>Morgan Stanley Capital Group</t>
  </si>
  <si>
    <t>FNO</t>
  </si>
  <si>
    <t>The Energy Authority</t>
  </si>
  <si>
    <t>ADIT - 190</t>
  </si>
  <si>
    <t>ADIT - 281 (Negative)</t>
  </si>
  <si>
    <t>ADIT - 282 (Negative)</t>
  </si>
  <si>
    <t>Line</t>
  </si>
  <si>
    <t>Total</t>
  </si>
  <si>
    <t>Allocator</t>
  </si>
  <si>
    <t>OATT Transmission</t>
  </si>
  <si>
    <t>RATE BASE:</t>
  </si>
  <si>
    <t>N/A</t>
  </si>
  <si>
    <t>GP =</t>
  </si>
  <si>
    <t>Total Gross Plant</t>
  </si>
  <si>
    <t>Total Accumulated Depr.</t>
  </si>
  <si>
    <t>Net Plant in Service</t>
  </si>
  <si>
    <t>Total Net Plant</t>
  </si>
  <si>
    <t>NP =</t>
  </si>
  <si>
    <t>Total Adjustments</t>
  </si>
  <si>
    <t>Accum Deferred ITC - 255 (Negative)</t>
  </si>
  <si>
    <t>h</t>
  </si>
  <si>
    <t>f</t>
  </si>
  <si>
    <t>Amortized ITC (Negative)</t>
  </si>
  <si>
    <t>k</t>
  </si>
  <si>
    <t>NP</t>
  </si>
  <si>
    <t>Plant Held for Future Use</t>
  </si>
  <si>
    <t>Working Capital:</t>
  </si>
  <si>
    <t>Prepayments</t>
  </si>
  <si>
    <t>GP</t>
  </si>
  <si>
    <t>Line 1 - Line 7</t>
  </si>
  <si>
    <t>Line 2 - Line 8</t>
  </si>
  <si>
    <t>Line 3 - Line 9</t>
  </si>
  <si>
    <t>Line 4 - Line 10</t>
  </si>
  <si>
    <t>Line 5 - Line 11</t>
  </si>
  <si>
    <t>Total Working Capital</t>
  </si>
  <si>
    <t>O&amp;M Expense</t>
  </si>
  <si>
    <t xml:space="preserve">  Less Account 565</t>
  </si>
  <si>
    <t xml:space="preserve">Net Transmission O&amp;M </t>
  </si>
  <si>
    <t>TOTAL Transmission Expenses</t>
  </si>
  <si>
    <t>TP</t>
  </si>
  <si>
    <t>(924) Property Insurance</t>
  </si>
  <si>
    <t>Net Labor Related A&amp;G</t>
  </si>
  <si>
    <t>Trans. Related Regulatory Expense</t>
  </si>
  <si>
    <t>D/A</t>
  </si>
  <si>
    <t>Trans. Related Advertising Exp.</t>
  </si>
  <si>
    <t>Depreciation Expense</t>
  </si>
  <si>
    <t>Transmission Depr. Expense</t>
  </si>
  <si>
    <t>General Depr. Expense</t>
  </si>
  <si>
    <t>Total Depreciation</t>
  </si>
  <si>
    <t>Property Related</t>
  </si>
  <si>
    <t>Total Other Taxes</t>
  </si>
  <si>
    <t>263.i</t>
  </si>
  <si>
    <t>Cash Working Capital (1/8 O&amp;M)</t>
  </si>
  <si>
    <t>M&amp;S - Transmission</t>
  </si>
  <si>
    <t>M&amp;S - Stores Expense</t>
  </si>
  <si>
    <t>Return:</t>
  </si>
  <si>
    <t>Less Gen. Step-up Transformers in 353</t>
  </si>
  <si>
    <t>Labor Allocation Factor</t>
  </si>
  <si>
    <t>Long Term Interest Expense</t>
  </si>
  <si>
    <t>62-67</t>
  </si>
  <si>
    <t>Preferred Dividends (positive)</t>
  </si>
  <si>
    <t>Long Term Debt</t>
  </si>
  <si>
    <t xml:space="preserve">  Less Loss on Reacquired Debt</t>
  </si>
  <si>
    <t xml:space="preserve">  Plus Gain on Reacquired Debt</t>
  </si>
  <si>
    <t xml:space="preserve">  Less Interest on Securitization Bonds</t>
  </si>
  <si>
    <t>Net Long Term Interest Expense</t>
  </si>
  <si>
    <t xml:space="preserve">  Less Securitization Bonds</t>
  </si>
  <si>
    <t>Net Long Term Debt</t>
  </si>
  <si>
    <t>Preferred Stock</t>
  </si>
  <si>
    <t xml:space="preserve">  Less Preferred Stock</t>
  </si>
  <si>
    <t xml:space="preserve">  Less Account 216.1</t>
  </si>
  <si>
    <t xml:space="preserve">  Proprietary Capital</t>
  </si>
  <si>
    <t>Common Stock Development:</t>
  </si>
  <si>
    <t xml:space="preserve">Common Stock </t>
  </si>
  <si>
    <t>Long term Debt</t>
  </si>
  <si>
    <t>Weight</t>
  </si>
  <si>
    <t>Cost</t>
  </si>
  <si>
    <t>Weighted Cost</t>
  </si>
  <si>
    <t>Common Equity</t>
  </si>
  <si>
    <t>Income Taxes:</t>
  </si>
  <si>
    <t>Federal</t>
  </si>
  <si>
    <t xml:space="preserve">   Composite  T = State + Federal * (1 - State)</t>
  </si>
  <si>
    <t>ITC Gross Up Factor = 1 / (1 -T)</t>
  </si>
  <si>
    <t>Total Income Taxes</t>
  </si>
  <si>
    <t>EXPENSES:</t>
  </si>
  <si>
    <t>Denominator for Wholesale Transmission:</t>
  </si>
  <si>
    <t>i</t>
  </si>
  <si>
    <t>Firm Network Service for Others</t>
  </si>
  <si>
    <t>Short-Term Firm P-t-P Reservations</t>
  </si>
  <si>
    <t>Long-Term Firm P-t-P Reservations</t>
  </si>
  <si>
    <t>Firm Network Service for Self</t>
  </si>
  <si>
    <t>Note A:</t>
  </si>
  <si>
    <t>Note B:</t>
  </si>
  <si>
    <t>Note C:</t>
  </si>
  <si>
    <t>Note D:</t>
  </si>
  <si>
    <t>Note E:</t>
  </si>
  <si>
    <t>Account 454 - Transmission</t>
  </si>
  <si>
    <t>Total Revenue Credits</t>
  </si>
  <si>
    <t>Total Transmission Firm Load</t>
  </si>
  <si>
    <t>On-Peak Days</t>
  </si>
  <si>
    <t>Off-Peak Days</t>
  </si>
  <si>
    <t>On-Peak Hours</t>
  </si>
  <si>
    <t>Off-Peak Hours</t>
  </si>
  <si>
    <t>Non-Firm Hourly P-t-P Rates ($/MWh):</t>
  </si>
  <si>
    <t>Revenue Credits:</t>
  </si>
  <si>
    <t>Annual Firm Trans $/MW-year</t>
  </si>
  <si>
    <t xml:space="preserve">Trans. Rev Req't Rate $/MW-Mon.     </t>
  </si>
  <si>
    <t>328, line1</t>
  </si>
  <si>
    <t>328, line3</t>
  </si>
  <si>
    <t>328.1,line11</t>
  </si>
  <si>
    <t>Form 1 Reference</t>
  </si>
  <si>
    <t>Payment by</t>
  </si>
  <si>
    <t>Classification</t>
  </si>
  <si>
    <t>Rate Schedule</t>
  </si>
  <si>
    <t>(Column (b))</t>
  </si>
  <si>
    <t>(Col (d))</t>
  </si>
  <si>
    <t>(Col (e))</t>
  </si>
  <si>
    <t xml:space="preserve">FERC Form 1 page 214 excluding non-transmission related items </t>
  </si>
  <si>
    <t xml:space="preserve">Labor Related </t>
  </si>
  <si>
    <t>related taxes include county and local property, highway use, and intangible taxes.</t>
  </si>
  <si>
    <t xml:space="preserve">of extraordinary property losses, associated principal and interest expense are excluded in capitalization and return basis.  </t>
  </si>
  <si>
    <t>PROGRESS ENERGY FLORIDA, INC.</t>
  </si>
  <si>
    <t>Summary of Rates</t>
  </si>
  <si>
    <t>OATT Transmission Non-Levelized Rate Formula Template Using Form-1 Data</t>
  </si>
  <si>
    <t>Development of Revenue Requirements</t>
  </si>
  <si>
    <t>Supporting Allocation Factor and Return Calculations</t>
  </si>
  <si>
    <t>Bayboro Pk</t>
  </si>
  <si>
    <t>Suwannee 230kv</t>
  </si>
  <si>
    <t>Bartow</t>
  </si>
  <si>
    <t>Higgins Pk</t>
  </si>
  <si>
    <t>Suwannee Plant</t>
  </si>
  <si>
    <t>Rio Pinar</t>
  </si>
  <si>
    <t>Intercession City</t>
  </si>
  <si>
    <t>P11 Seimens</t>
  </si>
  <si>
    <t>Crystal River</t>
  </si>
  <si>
    <t>Other Long-Term Firm Service</t>
  </si>
  <si>
    <t>Other Taxes - FICA</t>
  </si>
  <si>
    <t>Other Taxes - Federal Unemployment</t>
  </si>
  <si>
    <t>Other Taxes - State Unemployment</t>
  </si>
  <si>
    <t>Other Taxes - Intangibles</t>
  </si>
  <si>
    <t>Other Taxes - Highway Use</t>
  </si>
  <si>
    <t>Other Taxes - Property County &amp; Local</t>
  </si>
  <si>
    <t>A&amp;G Labor</t>
  </si>
  <si>
    <t>Intangible Plant</t>
  </si>
  <si>
    <t>Production Plant</t>
  </si>
  <si>
    <t>Transmission Plant</t>
  </si>
  <si>
    <t>Distribution Plant</t>
  </si>
  <si>
    <t>General Plant</t>
  </si>
  <si>
    <t>Intangible Amort. Reserve</t>
  </si>
  <si>
    <t>Production Depr. Reserve</t>
  </si>
  <si>
    <t>Transmission Depr. Reserve</t>
  </si>
  <si>
    <t>Distribution Depr. Reserve</t>
  </si>
  <si>
    <t>General Depr. Reserve</t>
  </si>
  <si>
    <r>
      <t xml:space="preserve">FORM -1 Inputs to Transmission Formula Rate Templates - </t>
    </r>
    <r>
      <rPr>
        <b/>
        <sz val="10"/>
        <color indexed="12"/>
        <rFont val="Arial"/>
        <family val="2"/>
      </rPr>
      <t>updated 2006 Values in BLUE</t>
    </r>
  </si>
  <si>
    <t>Value</t>
  </si>
  <si>
    <t>21-24</t>
  </si>
  <si>
    <t>Note H</t>
  </si>
  <si>
    <t>Note H:</t>
  </si>
  <si>
    <t>Intangible Amortization</t>
  </si>
  <si>
    <t>Excludes all income and gross receipts taxes.  Labor related other taxes include FICA and unemployment taxes.  Property</t>
  </si>
  <si>
    <t>Total Extraordniary Property Loss - Wholesale</t>
  </si>
  <si>
    <t>Extraordinary Property Losses - Balance</t>
  </si>
  <si>
    <t>Net Production Plant</t>
  </si>
  <si>
    <t>Net Transmission Plant</t>
  </si>
  <si>
    <t>Net Distribution Plant</t>
  </si>
  <si>
    <t>Net General Plant</t>
  </si>
  <si>
    <t>Net Intangible Plant</t>
  </si>
  <si>
    <t>ADIT - 283  Excluding FAS 109 (Neg.)</t>
  </si>
  <si>
    <t>OATT LABOR</t>
  </si>
  <si>
    <t>Note I</t>
  </si>
  <si>
    <t>Note I:</t>
  </si>
  <si>
    <t>Daily Firm/Non-Firm P-t-P Rates ($/MW):</t>
  </si>
  <si>
    <t>Weekly Firm/Non-Firm P-t-P Rate $/MW-Week</t>
  </si>
  <si>
    <t>Total Firm Monthly Trans. $/MW-Month</t>
  </si>
  <si>
    <t>Preferred Stock Issued</t>
  </si>
  <si>
    <t>Loss on Reacquired Debt</t>
  </si>
  <si>
    <t>Account 216.1</t>
  </si>
  <si>
    <t>Proprietary Capital</t>
  </si>
  <si>
    <t>Gain on Reacquired Debt</t>
  </si>
  <si>
    <t>Transmission Rate Formula Support - List of Inputs from FERC Form-1</t>
  </si>
  <si>
    <t>Prepayments (Note L)</t>
  </si>
  <si>
    <t>Rate Impact on Proposed Monthly Firm $/MW-Month (Page 2, Line 9)</t>
  </si>
  <si>
    <t>$/MW-Month</t>
  </si>
  <si>
    <t>Incremental Impact</t>
  </si>
  <si>
    <t>---</t>
  </si>
  <si>
    <t>Original Draft Exhibit - April 18, 2007</t>
  </si>
  <si>
    <t>(0)</t>
  </si>
  <si>
    <t>Issue</t>
  </si>
  <si>
    <t>(1)</t>
  </si>
  <si>
    <t>Update Misc. Inputs to Final Form-1 Values</t>
  </si>
  <si>
    <t>p 2, line 36</t>
  </si>
  <si>
    <t>p 3, line 4</t>
  </si>
  <si>
    <t>Total A&amp;G</t>
  </si>
  <si>
    <t>Labor Taxes</t>
  </si>
  <si>
    <t>Property Taxes</t>
  </si>
  <si>
    <t>p 3, line 18</t>
  </si>
  <si>
    <t>p 3, line 19</t>
  </si>
  <si>
    <t>p 4, line 25</t>
  </si>
  <si>
    <t>(2)</t>
  </si>
  <si>
    <t>CWIP+ Wgtd. Additions</t>
  </si>
  <si>
    <t>p 2, line 30</t>
  </si>
  <si>
    <t>p 4, line 34</t>
  </si>
  <si>
    <t>(3)</t>
  </si>
  <si>
    <t>ROE for Incentive Projects</t>
  </si>
  <si>
    <t>Remove prepaid pension expense from Account 165</t>
  </si>
  <si>
    <t>(4)</t>
  </si>
  <si>
    <t>Remove Industry Dues and R&amp;D from A&amp;G Expense</t>
  </si>
  <si>
    <t>Industry Dues</t>
  </si>
  <si>
    <t>p 3, line 7a</t>
  </si>
  <si>
    <t>(5)</t>
  </si>
  <si>
    <t>Allocation Factor</t>
  </si>
  <si>
    <t>p.1, line 2</t>
  </si>
  <si>
    <t>Directly Assign all Trans Related 454 as OATT Revenue Credit</t>
  </si>
  <si>
    <t>Cumulative Impact</t>
  </si>
  <si>
    <t>(6)</t>
  </si>
  <si>
    <t>Remove Asset Retirement Costs from General Plant in Service</t>
  </si>
  <si>
    <t>p. 2, line 4</t>
  </si>
  <si>
    <t>Forgo Incentives; Use 50% of 12/31/06 CWIP Balance Only</t>
  </si>
  <si>
    <t xml:space="preserve">    Description</t>
  </si>
  <si>
    <r>
      <t>Revisions to Draft Exhibit PEF - 2  per Settlement Discussions</t>
    </r>
    <r>
      <rPr>
        <sz val="10"/>
        <color indexed="12"/>
        <rFont val="Arial"/>
        <family val="2"/>
      </rPr>
      <t xml:space="preserve"> (as of 5/17/2007)</t>
    </r>
  </si>
  <si>
    <t>Settlement Proposal - May 17, 2007</t>
  </si>
  <si>
    <t>Placeholders - Network Upgrade Prepayments and Rev. Req'ts for Customer Network Facilities</t>
  </si>
  <si>
    <t>Outstanding Balance - Network Prepayments</t>
  </si>
  <si>
    <t xml:space="preserve">  Less Accum. Depr on Prepaid Facilities</t>
  </si>
  <si>
    <t>Net Prepayment Credits</t>
  </si>
  <si>
    <t>p 2, line 32A</t>
  </si>
  <si>
    <t>p 2, line 32B</t>
  </si>
  <si>
    <t>p 2, line 32C</t>
  </si>
  <si>
    <t>Revenue Req't - Cust. Owned Facilities</t>
  </si>
  <si>
    <t>p 1, line 4A</t>
  </si>
  <si>
    <t>Interest on Network Prepayments</t>
  </si>
  <si>
    <t>p 1, line 4B</t>
  </si>
  <si>
    <t>ROE @ 11.0%</t>
  </si>
  <si>
    <t>p 4, line 30</t>
  </si>
  <si>
    <t>Remove ECCR and Sebring Items from Intangible Amortization</t>
  </si>
  <si>
    <t>p 3, line 16</t>
  </si>
  <si>
    <t>Allocate Property Taxes by Gross Plant</t>
  </si>
  <si>
    <t>Credit for Storm Damage Adder in OATT</t>
  </si>
  <si>
    <t>p.3, line 9A</t>
  </si>
  <si>
    <t>Remove Account 561 from Transmission O&amp;M</t>
  </si>
  <si>
    <t>Less Interconnection Facilities (Order 2003)</t>
  </si>
  <si>
    <t>Add Back ECC (Line 3 + Line 4)</t>
  </si>
  <si>
    <t>Less Account 561</t>
  </si>
  <si>
    <t>p. 3, line 1A</t>
  </si>
  <si>
    <t>Allocation Factor - TExp</t>
  </si>
  <si>
    <t>p. 3, line 2</t>
  </si>
  <si>
    <t>p. 4, Line 6A</t>
  </si>
  <si>
    <t>p. 4, Line 6B</t>
  </si>
  <si>
    <t>TExp Allocation Factor (Line 6A / Line 1)</t>
  </si>
  <si>
    <t>(7)</t>
  </si>
  <si>
    <t>Interconnection Facilities (Order 2003)</t>
  </si>
  <si>
    <t xml:space="preserve">TBD </t>
  </si>
  <si>
    <t>Intercession City P12-P14 (Dec 2000)</t>
  </si>
  <si>
    <t>Hines 2 (Dec 2003)</t>
  </si>
  <si>
    <t>Hines 3 (Nov 2005)</t>
  </si>
  <si>
    <t xml:space="preserve">  - Estimated ~ $5MM  Total (Breaker and a half schemes)</t>
  </si>
  <si>
    <t>p. 4, Line 2A</t>
  </si>
  <si>
    <r>
      <t>2nd Revisions to Draft Exhibit PEF - 2  per Settlement Discussions</t>
    </r>
    <r>
      <rPr>
        <sz val="10"/>
        <color indexed="12"/>
        <rFont val="Arial"/>
        <family val="2"/>
      </rPr>
      <t xml:space="preserve"> (as of 5/22/2007)</t>
    </r>
  </si>
  <si>
    <t xml:space="preserve"> Interest On Income Tax Deficiency</t>
  </si>
  <si>
    <t>LABOR</t>
  </si>
  <si>
    <t>Derivative Liability - Current</t>
  </si>
  <si>
    <t>PROD</t>
  </si>
  <si>
    <t>DEF GPIF LIAB</t>
  </si>
  <si>
    <t>Other</t>
  </si>
  <si>
    <t>Reg Asset - Minimum Pension Liab</t>
  </si>
  <si>
    <t xml:space="preserve"> Prepaid Pension - per book</t>
  </si>
  <si>
    <t>Deferred Storm Costs</t>
  </si>
  <si>
    <t>p. 2, line 24</t>
  </si>
  <si>
    <t>Use Line Item Detail to Functionalize ADIT (New Exhibit PEF - 6A)</t>
  </si>
  <si>
    <t>(9)</t>
  </si>
  <si>
    <t>(8)</t>
  </si>
  <si>
    <t>Give Short-term Firm as Revenue Credit and Remove MW from System Load</t>
  </si>
  <si>
    <t>Divisor - Sum of Monthly MW Transmission System Peaks (Excludes STF)</t>
  </si>
  <si>
    <t>Account 456 - NF + STF</t>
  </si>
  <si>
    <t>p. 1, line 3</t>
  </si>
  <si>
    <t>Divisor… (excludes STF)</t>
  </si>
  <si>
    <t>p. 1, line 6</t>
  </si>
  <si>
    <t>Assure no double recovery of storm damage in Account 924</t>
  </si>
  <si>
    <t>Settlement Proposal - May 22, 2007</t>
  </si>
  <si>
    <t>Remove $6MM storm reserve from 924 allocate net expense by GP</t>
  </si>
  <si>
    <t>Less System storm reserve funding</t>
  </si>
  <si>
    <t>p 3, line 9A</t>
  </si>
  <si>
    <t>p 3, line 9B</t>
  </si>
  <si>
    <t>Net Allocated Propety Insurance</t>
  </si>
  <si>
    <t>Remove RCO Labor from A&amp;G Labor</t>
  </si>
  <si>
    <t>p 4, line 8A</t>
  </si>
  <si>
    <t>Adj. - RCO Labor in A&amp;G Labor</t>
  </si>
  <si>
    <t xml:space="preserve">Adjusted Labor w/o A&amp;G </t>
  </si>
  <si>
    <t>p 4, line 9</t>
  </si>
  <si>
    <t>Memo:</t>
  </si>
  <si>
    <t>Impact of Wholesale Specific Depreciation</t>
  </si>
  <si>
    <t>p. 2, Line 8</t>
  </si>
  <si>
    <t>Transmission Depr. Reserve (Whlse)</t>
  </si>
  <si>
    <t>Transmission Depr. Expense (Whlse)</t>
  </si>
  <si>
    <t>p. 3, Line 14</t>
  </si>
  <si>
    <r>
      <t>3rd Revisions to Draft Exhibit PEF - 2  per Settlement Discussions</t>
    </r>
    <r>
      <rPr>
        <sz val="10"/>
        <color indexed="12"/>
        <rFont val="Arial"/>
        <family val="2"/>
      </rPr>
      <t xml:space="preserve"> (as of 5/30/2007)</t>
    </r>
  </si>
  <si>
    <t>Changes in ADIT Detail Allocation Factors (Exhibit PEF - 6A)</t>
  </si>
  <si>
    <t>Impact of using Grandfathered Contract Demands but no STF Rev Credit</t>
  </si>
  <si>
    <t>Settlement Proposal - May 30, 2007</t>
  </si>
  <si>
    <t>Directly Assign 456 NF/STF Revenues Excluding Ancillaries</t>
  </si>
  <si>
    <t>p 1, line 3</t>
  </si>
  <si>
    <t>Use Contract Demand in Transmission Divisor</t>
  </si>
  <si>
    <t>Contract Demand Adjustment</t>
  </si>
  <si>
    <t>p 5, Line 15A</t>
  </si>
  <si>
    <t>p. 1 line 2</t>
  </si>
  <si>
    <t>ROE @ 10.8%</t>
  </si>
  <si>
    <t>p. 4 line 30</t>
  </si>
  <si>
    <r>
      <t>4th Revisions to Draft Exhibit PEF - 2  per Settlement Discussions</t>
    </r>
    <r>
      <rPr>
        <sz val="10"/>
        <color indexed="12"/>
        <rFont val="Arial"/>
        <family val="2"/>
      </rPr>
      <t xml:space="preserve"> </t>
    </r>
    <r>
      <rPr>
        <sz val="10"/>
        <color indexed="52"/>
        <rFont val="Arial"/>
        <family val="2"/>
      </rPr>
      <t>(as of 06/14/2007)</t>
    </r>
  </si>
  <si>
    <t xml:space="preserve">Final Detailed Analysis of Account 454 </t>
  </si>
  <si>
    <t xml:space="preserve">Final Interconnection Facilites Investment </t>
  </si>
  <si>
    <r>
      <t>Reg Asset - Minimum Pension Liab</t>
    </r>
    <r>
      <rPr>
        <b/>
        <sz val="10"/>
        <color indexed="10"/>
        <rFont val="Arial"/>
        <family val="2"/>
      </rPr>
      <t xml:space="preserve"> **NO CHANGE**</t>
    </r>
  </si>
  <si>
    <t xml:space="preserve"> </t>
  </si>
  <si>
    <t xml:space="preserve">Production Plant </t>
  </si>
  <si>
    <t>Inventory Reserve</t>
  </si>
  <si>
    <t>Adjustments to Rate Base - Deferred Taxes</t>
  </si>
  <si>
    <t>Total Deferred Tax Adjustments</t>
  </si>
  <si>
    <t>Acct 454 - Transmission Related</t>
  </si>
  <si>
    <t xml:space="preserve">Total Transmission Plant </t>
  </si>
  <si>
    <t>Excludes Asset Retirement Obligations from plant balances</t>
  </si>
  <si>
    <t>Gross Plant in Service (Note A):</t>
  </si>
  <si>
    <t>Accumulated Depreciation:</t>
  </si>
  <si>
    <t>Line No.</t>
  </si>
  <si>
    <t xml:space="preserve">  Total</t>
  </si>
  <si>
    <t>Adj. - Prior Year Over/(Under)</t>
  </si>
  <si>
    <t>Total LTF on OATT</t>
  </si>
  <si>
    <t>Effective $/MW-Month Storm Adder</t>
  </si>
  <si>
    <t>STF/ Non-Firm Service</t>
  </si>
  <si>
    <t>Note D</t>
  </si>
  <si>
    <t>Generation In-Service After March 15, 2000 per FERC Order 2003</t>
  </si>
  <si>
    <t>Balance</t>
  </si>
  <si>
    <t>Transmission Formula Rate Support</t>
  </si>
  <si>
    <t>Exhibit PEC - 6</t>
  </si>
  <si>
    <t>PROGRESS ENERGY CAROLINAS, INC.</t>
  </si>
  <si>
    <t>20-24</t>
  </si>
  <si>
    <t>Other Taxes - Real &amp; Personal Property</t>
  </si>
  <si>
    <t>Wholesale GridSouth Amortization and Explanatory Notes</t>
  </si>
  <si>
    <t>Exhibit PEC - 2</t>
  </si>
  <si>
    <t>Exhibit PEC - 3</t>
  </si>
  <si>
    <t>Transmission Rate Formula Support - Account 456.1 Revenue Credits</t>
  </si>
  <si>
    <t>Southeastern Power Administration (Kerr)</t>
  </si>
  <si>
    <t>RS127</t>
  </si>
  <si>
    <t>Southeastern Power Administration (Cumberland)</t>
  </si>
  <si>
    <t>RS126</t>
  </si>
  <si>
    <t>T3/</t>
  </si>
  <si>
    <t>Craven County Wood Energy</t>
  </si>
  <si>
    <t>Duke Energy Corporation</t>
  </si>
  <si>
    <t>Eagle Energy Partners</t>
  </si>
  <si>
    <t>Fayetteville Public Works Commission</t>
  </si>
  <si>
    <t>NC Eastern Municipal Power Agency</t>
  </si>
  <si>
    <t>328.1,line31</t>
  </si>
  <si>
    <t>328.2,line1</t>
  </si>
  <si>
    <t>328.2,line3</t>
  </si>
  <si>
    <t>328.2,line11</t>
  </si>
  <si>
    <t xml:space="preserve">ADIT - 190 </t>
  </si>
  <si>
    <t>ADIT - 283  Negative)</t>
  </si>
  <si>
    <t>Exhibit PEC - 5</t>
  </si>
  <si>
    <t>Dr(Cr)</t>
  </si>
  <si>
    <t>SC Deferred Fuel</t>
  </si>
  <si>
    <t>Wholesale Deferred Fuel</t>
  </si>
  <si>
    <t>NC Deferred Fuel</t>
  </si>
  <si>
    <t>Vacation Accrual</t>
  </si>
  <si>
    <t>Wages: Year End Accrual</t>
  </si>
  <si>
    <t>Fay/Muni OPEB</t>
  </si>
  <si>
    <t>EMC  OPEB</t>
  </si>
  <si>
    <t>Miscellaneous Investments</t>
  </si>
  <si>
    <t>Comprehensive Income</t>
  </si>
  <si>
    <t>WT2006</t>
  </si>
  <si>
    <t>Round Adjustment</t>
  </si>
  <si>
    <t>NC Direct Disallowance</t>
  </si>
  <si>
    <t xml:space="preserve">NC Indirect Disallowance </t>
  </si>
  <si>
    <t>SC Rate Difference</t>
  </si>
  <si>
    <t xml:space="preserve">SC Indirect Disallowance </t>
  </si>
  <si>
    <t xml:space="preserve">WH Indirect Disallowance </t>
  </si>
  <si>
    <t xml:space="preserve">WH Direct Disallowance </t>
  </si>
  <si>
    <t>PA Depr Diff Exc Harris</t>
  </si>
  <si>
    <t>PA Depr Diff Harris</t>
  </si>
  <si>
    <t>PA Direct Disallowanc Contra</t>
  </si>
  <si>
    <t>Nuclear Decommissioning</t>
  </si>
  <si>
    <t>Clean Smokestacks</t>
  </si>
  <si>
    <t xml:space="preserve">  Total GL 282</t>
  </si>
  <si>
    <t>OATT Amt</t>
  </si>
  <si>
    <t>Insurance Reserve</t>
  </si>
  <si>
    <t>Deferred Compensation</t>
  </si>
  <si>
    <t>Leslie/McInnes Coal Reserves</t>
  </si>
  <si>
    <t>Pension Expense</t>
  </si>
  <si>
    <t>Severance Pay</t>
  </si>
  <si>
    <t>OPEB Expense</t>
  </si>
  <si>
    <t>IRS Audit Interest Accrual</t>
  </si>
  <si>
    <t>FAS 112</t>
  </si>
  <si>
    <t>Uncollectible Accounts</t>
  </si>
  <si>
    <t>Operating Reserve (workers comp)</t>
  </si>
  <si>
    <t>Environmental Accrual</t>
  </si>
  <si>
    <t>Bond Premium Discount</t>
  </si>
  <si>
    <t>Allowances-Basis Diff System</t>
  </si>
  <si>
    <t>Compensation Plan</t>
  </si>
  <si>
    <t>ARO - 190</t>
  </si>
  <si>
    <t>Broad River Adjustment</t>
  </si>
  <si>
    <t>GL 190 - Electric</t>
  </si>
  <si>
    <t>Page 1 of 5</t>
  </si>
  <si>
    <t xml:space="preserve">Prepayments </t>
  </si>
  <si>
    <t>Page 3 of 5</t>
  </si>
  <si>
    <t>Page 5 of 5</t>
  </si>
  <si>
    <t>To the extent PEC is authorized by state utility commission(s) and issues bonds to securitize retail recovery</t>
  </si>
  <si>
    <t>Transmission Rate Formula Support</t>
  </si>
  <si>
    <t>Deferred Income Tax Balances - GL A/C 190</t>
  </si>
  <si>
    <t>Deferred Income Tax Balances - GL A/C 282</t>
  </si>
  <si>
    <t>Deferred Income Tax Balances - GL A/C 283</t>
  </si>
  <si>
    <t>Total GL 283</t>
  </si>
  <si>
    <t>Account 454 Reconciliation - Rents</t>
  </si>
  <si>
    <r>
      <t xml:space="preserve">Over/(Under) </t>
    </r>
    <r>
      <rPr>
        <b/>
        <sz val="8"/>
        <rFont val="Arial"/>
        <family val="2"/>
      </rPr>
      <t>[line 16 - line 3]</t>
    </r>
  </si>
  <si>
    <t>CSP N94</t>
  </si>
  <si>
    <t>Trans</t>
  </si>
  <si>
    <t>CSPS 94</t>
  </si>
  <si>
    <t>Return and Capitalization:</t>
  </si>
  <si>
    <t>Project No.</t>
  </si>
  <si>
    <t>NC94</t>
  </si>
  <si>
    <t>SC94</t>
  </si>
  <si>
    <t>Fixed</t>
  </si>
  <si>
    <t>PA Inv</t>
  </si>
  <si>
    <t xml:space="preserve">Trans Plant for OATT Rate </t>
  </si>
  <si>
    <t>Transmission Plant Included in OATT Rate:</t>
  </si>
  <si>
    <t>Payments</t>
  </si>
  <si>
    <t>Under(over) Collection Prior Year</t>
  </si>
  <si>
    <t xml:space="preserve">  Net GridSouth Wholesale Revenue Requirement</t>
  </si>
  <si>
    <t>Line 10 / Line 5</t>
  </si>
  <si>
    <t>The WT2006 allocation factor, based on the wholesale/system load relationship in the Form-1 for year ending 12/31/2006, will be a</t>
  </si>
  <si>
    <t>Gross PEC Revenue Requirement</t>
  </si>
  <si>
    <t>Exhibit PEC - 6, p 2</t>
  </si>
  <si>
    <t>Exhibit PEC - 6, p 3</t>
  </si>
  <si>
    <t>Exhibit PEC - 6, p 4</t>
  </si>
  <si>
    <t xml:space="preserve">Five-Year Amortization of G/S Wholesale Amount </t>
  </si>
  <si>
    <t>constant in determining the wholesale GridSouth allocation to be recovered in the first five years of formula rate operation.</t>
  </si>
  <si>
    <t>ADIT - 283 (Negative)</t>
  </si>
  <si>
    <t>Current</t>
  </si>
  <si>
    <t>Industry Dues, R&amp;D, C-V Nuc Pwr Assoc</t>
  </si>
  <si>
    <t xml:space="preserve"> Less Industry Dues,R&amp;D  and Nuc Assoc Exp</t>
  </si>
  <si>
    <t>Remaining Wholesale GridSouth Balance</t>
  </si>
  <si>
    <t>Remaining  Wholesale Deferred Debit</t>
  </si>
  <si>
    <t>Cumulative Whlse Funding - Prior years</t>
  </si>
  <si>
    <t>Line 7 - Line 12</t>
  </si>
  <si>
    <t xml:space="preserve">  Net Rate Base Adj.</t>
  </si>
  <si>
    <t>Accum Provision for P&amp;B 228.3 (Neg)</t>
  </si>
  <si>
    <t>FERC Order 641 Annual Charges</t>
  </si>
  <si>
    <t>Accrued Litigation</t>
  </si>
  <si>
    <t>Audit Reserve/FIN48</t>
  </si>
  <si>
    <t>FAS158 Pension - Reg Asset</t>
  </si>
  <si>
    <t>FAS158 OPEB - Reg Asset</t>
  </si>
  <si>
    <t>FAS158 SERP - Reg Asset</t>
  </si>
  <si>
    <t>12/31/06 CWIP</t>
  </si>
  <si>
    <t>Transmission</t>
  </si>
  <si>
    <t>Revenue</t>
  </si>
  <si>
    <t>SFP/NF</t>
  </si>
  <si>
    <t>DTE Energy Trading, Inc.</t>
  </si>
  <si>
    <t>Elizabethtown Power LLC</t>
  </si>
  <si>
    <t>328.1,line3</t>
  </si>
  <si>
    <t>Fortis Energy Marketing &amp; Trading</t>
  </si>
  <si>
    <t>Industrial Power Generating Company, LLC</t>
  </si>
  <si>
    <t>Lumberton Power Company, LLC</t>
  </si>
  <si>
    <t>NCEMC Point-to-Point transmission</t>
  </si>
  <si>
    <t>NCEMC Network Transmission</t>
  </si>
  <si>
    <t>NC Municipal Power Agency 1</t>
  </si>
  <si>
    <t xml:space="preserve">  Total Per Form-1</t>
  </si>
  <si>
    <t>S</t>
  </si>
  <si>
    <t>STF/NF Revenues</t>
  </si>
  <si>
    <t>Accum. Provision for Injuries &amp; Damages</t>
  </si>
  <si>
    <t>Accum. Provision for Pensions &amp; Benefits</t>
  </si>
  <si>
    <t>Accum. Misc Operating Provisions</t>
  </si>
  <si>
    <t>SFAS 158 Regulatory Assets</t>
  </si>
  <si>
    <t>Development of Rate Base</t>
  </si>
  <si>
    <t>GridSouth - Deferred Debit as of 12/31/06</t>
  </si>
  <si>
    <t>Wholesale Trans Allocation Factor</t>
  </si>
  <si>
    <t>SFAS 158 Regulatory Asset</t>
  </si>
  <si>
    <t>Accum. Misc Oper Prov. 228.4 (Neg)</t>
  </si>
  <si>
    <t>Exhibit PEC - 6, p 5</t>
  </si>
  <si>
    <t>Adjustments to Rate Base - Labor Related Net Deferred Credits:</t>
  </si>
  <si>
    <t>Note B</t>
  </si>
  <si>
    <t>Accumulated Misc. Operating Provision Balances - GL A/C 228.4</t>
  </si>
  <si>
    <t>Coal Mines</t>
  </si>
  <si>
    <t>Est. Excess PA Scrubber Charge</t>
  </si>
  <si>
    <t xml:space="preserve">Deferred Compensation </t>
  </si>
  <si>
    <t>Environmental</t>
  </si>
  <si>
    <t>RNP LLRW Disposal</t>
  </si>
  <si>
    <t>Total GL 228.4</t>
  </si>
  <si>
    <t>Transmission CWIP - Identified Projects (PEC - 4)</t>
  </si>
  <si>
    <t>SUMMARY CAP STRUCTURE</t>
  </si>
  <si>
    <t>Other Acct 456 - Allocable to Transmission</t>
  </si>
  <si>
    <t>Exhibit PEC - 3, p.1</t>
  </si>
  <si>
    <t>Exhibit PEC - 3, p. 2</t>
  </si>
  <si>
    <t>Exhibit PEC - 3, p. 3</t>
  </si>
  <si>
    <t xml:space="preserve">  Less Account 561.1-561.4</t>
  </si>
  <si>
    <t>84-88</t>
  </si>
  <si>
    <t>(561.1-561.4) Transmission Expense</t>
  </si>
  <si>
    <t>Page 1 of 3</t>
  </si>
  <si>
    <t>Page 2 of 3</t>
  </si>
  <si>
    <t>Page 3 of 3</t>
  </si>
  <si>
    <t>Account 456 Reconciliation - Other Revenue</t>
  </si>
  <si>
    <t>Ancillary/Other</t>
  </si>
  <si>
    <t>(Col (n))</t>
  </si>
  <si>
    <t>(Col (k))</t>
  </si>
  <si>
    <t>(Col (m))</t>
  </si>
  <si>
    <t xml:space="preserve">  Description</t>
  </si>
  <si>
    <t>BUILDING &amp; LAND LEASE</t>
  </si>
  <si>
    <t>POLE RENTALS</t>
  </si>
  <si>
    <t>SALES OF MATERIAL</t>
  </si>
  <si>
    <t>TIMBER SALES - Net</t>
  </si>
  <si>
    <t>PIEDMONT EMC SCHEDULING FEE</t>
  </si>
  <si>
    <t>BOD FEES - REIMBURSEMENT</t>
  </si>
  <si>
    <t>DEMAND PROFILE PLOTS</t>
  </si>
  <si>
    <t>GENERATION OPTIMIZATION - NET</t>
  </si>
  <si>
    <t>MAGNETIC TAPE PULSE DATA</t>
  </si>
  <si>
    <t xml:space="preserve">COGEN/SMALL PWR PROD </t>
  </si>
  <si>
    <t>UNBILLED REVENUES - NC RETAIL</t>
  </si>
  <si>
    <t>UNBILLED REVENUES - SC RETAIL</t>
  </si>
  <si>
    <t>NCEMPA ADMINISTRATIVE CHARGE</t>
  </si>
  <si>
    <t>NCEMPA - RETURN ON GENERAL PLANT</t>
  </si>
  <si>
    <t>NCEMPA DISPATCH FEE</t>
  </si>
  <si>
    <t>NCEMPA SITE REP</t>
  </si>
  <si>
    <t>OTHER ELEC REVENUE - BY-PRODUCTS</t>
  </si>
  <si>
    <t>NCEMC ADMINISTRATIVE CHARGE</t>
  </si>
  <si>
    <t xml:space="preserve">  Total Other Revenue</t>
  </si>
  <si>
    <t>Interest Disbursed w/ Network Prepay Refunds</t>
  </si>
  <si>
    <t>Exhibit PEC-5</t>
  </si>
  <si>
    <t>Revenue Req't - Customer Owned Facilites</t>
  </si>
  <si>
    <t>Exhibit PEC - 4</t>
  </si>
  <si>
    <t>Page 1 of 1</t>
  </si>
  <si>
    <t>Transmission Rate Formula Support - Year End CWIP for Identified Projects</t>
  </si>
  <si>
    <t xml:space="preserve">  Total All Identified Projects</t>
  </si>
  <si>
    <t>Accrued Interest Balance</t>
  </si>
  <si>
    <t>Reversal of Anson/Richmond AFUDC per Settlement</t>
  </si>
  <si>
    <t>Total Network Upgrade Prepayment Adjustments</t>
  </si>
  <si>
    <t>Transmission Rate Formula Support - Customer Prepayments for Network Upgrades Detail</t>
  </si>
  <si>
    <t>Allocation of Balance Refunds:</t>
  </si>
  <si>
    <t>Test Year Refund History:</t>
  </si>
  <si>
    <t>Cash</t>
  </si>
  <si>
    <t>Prepayment</t>
  </si>
  <si>
    <t>Accrued</t>
  </si>
  <si>
    <t>Ending</t>
  </si>
  <si>
    <t>Liability</t>
  </si>
  <si>
    <t>Month</t>
  </si>
  <si>
    <t>Service</t>
  </si>
  <si>
    <t>Allocation of Ending Balance:</t>
  </si>
  <si>
    <t>==&gt; Interest Disbursed:</t>
  </si>
  <si>
    <t>Liability Balance</t>
  </si>
  <si>
    <t>NCEMC Anson Co. Project - Closed to Plant in Service June 2007</t>
  </si>
  <si>
    <t>NCEMC Richmond Co. Project - Closed to Plant in Service December 2007</t>
  </si>
  <si>
    <t>Rate Base Adjustment -  Network Upgrade Prepayment Balances (PEC - 5):</t>
  </si>
  <si>
    <t>Note C</t>
  </si>
  <si>
    <t>Note E</t>
  </si>
  <si>
    <t xml:space="preserve">Allocation of Amount Refunded </t>
  </si>
  <si>
    <t>Allocation of Amount Refunded</t>
  </si>
  <si>
    <t xml:space="preserve">Conforming Adj. - 2007 PBOP Expense </t>
  </si>
  <si>
    <t>Note F:</t>
  </si>
  <si>
    <t>Note G:</t>
  </si>
  <si>
    <t>PEC - 5, p 3</t>
  </si>
  <si>
    <t>FERC A/C</t>
  </si>
  <si>
    <t>(4) = 12 / (3)</t>
  </si>
  <si>
    <t>(6)=[1-(5)]*</t>
  </si>
  <si>
    <t>Pct. of Project</t>
  </si>
  <si>
    <t>Depr. Rate</t>
  </si>
  <si>
    <t>Avg. Depr. Life</t>
  </si>
  <si>
    <t>(Months)</t>
  </si>
  <si>
    <t>% Depreciated</t>
  </si>
  <si>
    <t>Net AFUDC</t>
  </si>
  <si>
    <t>Reversal</t>
  </si>
  <si>
    <t>Accum Provision for I&amp;D 228.2 (Neg)</t>
  </si>
  <si>
    <t>Difference between Test Year PBOP Expense and 2007 Amount in Initial Formula Rate of $18,903,000</t>
  </si>
  <si>
    <r>
      <t xml:space="preserve">FORMULA INPUT </t>
    </r>
    <r>
      <rPr>
        <b/>
        <vertAlign val="subscript"/>
        <sz val="10"/>
        <rFont val="Arial"/>
        <family val="2"/>
      </rPr>
      <t>YR-5</t>
    </r>
  </si>
  <si>
    <r>
      <t xml:space="preserve">REFUND </t>
    </r>
    <r>
      <rPr>
        <vertAlign val="subscript"/>
        <sz val="10"/>
        <rFont val="Arial"/>
        <family val="2"/>
      </rPr>
      <t>YR-5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</si>
  <si>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YR-5</t>
    </r>
  </si>
  <si>
    <r>
      <t xml:space="preserve">INTEREST ACCRUED </t>
    </r>
    <r>
      <rPr>
        <vertAlign val="subscript"/>
        <sz val="10"/>
        <rFont val="Arial"/>
        <family val="2"/>
      </rPr>
      <t>YR-5</t>
    </r>
  </si>
  <si>
    <r>
      <t xml:space="preserve">FORMULA INPUT </t>
    </r>
    <r>
      <rPr>
        <b/>
        <vertAlign val="subscript"/>
        <sz val="10"/>
        <rFont val="Arial"/>
        <family val="2"/>
      </rPr>
      <t>YR-4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</si>
  <si>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YR-4</t>
    </r>
  </si>
  <si>
    <r>
      <t xml:space="preserve">INTEREST ACCRUED </t>
    </r>
    <r>
      <rPr>
        <vertAlign val="subscript"/>
        <sz val="10"/>
        <rFont val="Arial"/>
        <family val="2"/>
      </rPr>
      <t>YR-4</t>
    </r>
  </si>
  <si>
    <r>
      <t xml:space="preserve">FORMULA INPUT </t>
    </r>
    <r>
      <rPr>
        <b/>
        <vertAlign val="subscript"/>
        <sz val="10"/>
        <rFont val="Arial"/>
        <family val="2"/>
      </rPr>
      <t>YR-3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</si>
  <si>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YR-3</t>
    </r>
  </si>
  <si>
    <r>
      <t xml:space="preserve">INTEREST ACCRUED </t>
    </r>
    <r>
      <rPr>
        <vertAlign val="subscript"/>
        <sz val="10"/>
        <rFont val="Arial"/>
        <family val="2"/>
      </rPr>
      <t>YR-3</t>
    </r>
  </si>
  <si>
    <r>
      <t xml:space="preserve">FORMULA INPUT </t>
    </r>
    <r>
      <rPr>
        <b/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</si>
  <si>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</si>
  <si>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YR-2</t>
    </r>
  </si>
  <si>
    <r>
      <t xml:space="preserve">FORMULA INPUT </t>
    </r>
    <r>
      <rPr>
        <b/>
        <vertAlign val="subscript"/>
        <sz val="10"/>
        <rFont val="Arial"/>
        <family val="2"/>
      </rPr>
      <t>YR-1</t>
    </r>
  </si>
  <si>
    <r>
      <t xml:space="preserve">REFUND </t>
    </r>
    <r>
      <rPr>
        <vertAlign val="subscript"/>
        <sz val="10"/>
        <rFont val="Arial"/>
        <family val="2"/>
      </rPr>
      <t>YR-2</t>
    </r>
  </si>
  <si>
    <r>
      <t>REG. ASSET</t>
    </r>
    <r>
      <rPr>
        <sz val="8"/>
        <rFont val="Arial"/>
        <family val="2"/>
      </rPr>
      <t xml:space="preserve"> (INTEREST ACCRUED) </t>
    </r>
    <r>
      <rPr>
        <vertAlign val="subscript"/>
        <sz val="10"/>
        <rFont val="Arial"/>
        <family val="2"/>
      </rPr>
      <t>YR-1</t>
    </r>
  </si>
  <si>
    <r>
      <t xml:space="preserve">INTEREST EXPENSE </t>
    </r>
    <r>
      <rPr>
        <vertAlign val="subscript"/>
        <sz val="10"/>
        <rFont val="Arial"/>
        <family val="2"/>
      </rPr>
      <t>YR-2</t>
    </r>
  </si>
  <si>
    <r>
      <t xml:space="preserve">INTEREST ACCRUED </t>
    </r>
    <r>
      <rPr>
        <vertAlign val="subscript"/>
        <sz val="10"/>
        <rFont val="Arial"/>
        <family val="2"/>
      </rPr>
      <t>YR-1</t>
    </r>
  </si>
  <si>
    <t>BEGINNING BAL.</t>
  </si>
  <si>
    <t>IF NOT REFUNDED UNTIL YR 5, THAN:</t>
  </si>
  <si>
    <r>
      <t xml:space="preserve">FORMULA ACCUM. DEP </t>
    </r>
    <r>
      <rPr>
        <b/>
        <vertAlign val="subscript"/>
        <sz val="10"/>
        <rFont val="Arial"/>
        <family val="2"/>
      </rPr>
      <t>YR-2</t>
    </r>
  </si>
  <si>
    <r>
      <t xml:space="preserve">FORMULA INPUT - EPIS </t>
    </r>
    <r>
      <rPr>
        <b/>
        <vertAlign val="subscript"/>
        <sz val="10"/>
        <rFont val="Arial"/>
        <family val="2"/>
      </rPr>
      <t>YR-2</t>
    </r>
  </si>
  <si>
    <t>EXPENSE</t>
  </si>
  <si>
    <t>RATE BASE</t>
  </si>
  <si>
    <t>INTEREST ACCRUED DEFERRAL</t>
  </si>
  <si>
    <r>
      <t xml:space="preserve">REFUND </t>
    </r>
    <r>
      <rPr>
        <vertAlign val="subscript"/>
        <sz val="10"/>
        <rFont val="Arial"/>
        <family val="2"/>
      </rPr>
      <t>YR-1</t>
    </r>
  </si>
  <si>
    <r>
      <t xml:space="preserve">REG ASSET </t>
    </r>
    <r>
      <rPr>
        <sz val="8"/>
        <rFont val="Arial"/>
        <family val="2"/>
      </rPr>
      <t>(INTEREST ACCRUED)</t>
    </r>
  </si>
  <si>
    <r>
      <t xml:space="preserve">INTEREST EXPENSE </t>
    </r>
    <r>
      <rPr>
        <vertAlign val="subscript"/>
        <sz val="10"/>
        <rFont val="Arial"/>
        <family val="2"/>
      </rPr>
      <t>YR-1</t>
    </r>
  </si>
  <si>
    <t>CASH</t>
  </si>
  <si>
    <t>CUSTOMER ADVANCES</t>
  </si>
  <si>
    <t>CREDIT</t>
  </si>
  <si>
    <t>DEBIT</t>
  </si>
  <si>
    <t>FERC</t>
  </si>
  <si>
    <t>DESCRIPTION</t>
  </si>
  <si>
    <r>
      <t xml:space="preserve">FORMULA INPUT - EPIS </t>
    </r>
    <r>
      <rPr>
        <b/>
        <vertAlign val="subscript"/>
        <sz val="10"/>
        <rFont val="Arial"/>
        <family val="2"/>
      </rPr>
      <t>YR-1</t>
    </r>
  </si>
  <si>
    <t>YR-5 WITH REFUND:</t>
  </si>
  <si>
    <t>INTEREST ACCRUED</t>
  </si>
  <si>
    <t>INTEREST EXP</t>
  </si>
  <si>
    <t>YR-1 NO REFUND:</t>
  </si>
  <si>
    <t>1st REFUND:</t>
  </si>
  <si>
    <t>ELEC. PLNT IN-SVC</t>
  </si>
  <si>
    <t>YEAR OF IN-SERVICE:</t>
  </si>
  <si>
    <t>RECOVERY.</t>
  </si>
  <si>
    <t>CREATE A REGULATORY ASSET TO RECOGNIZE THE DEFERRED COST</t>
  </si>
  <si>
    <t>WILL BE RECOVERED UPON PAYMENT AND NOT AS ACCRUED.  THIS WILL</t>
  </si>
  <si>
    <t>RECOVERY OF INTEREST:  PER AGREEMENT WITH CUSTOMERS, INTEREST</t>
  </si>
  <si>
    <t>SCENARIO 2:</t>
  </si>
  <si>
    <t>SCENARIO 1:</t>
  </si>
  <si>
    <t>ANNUALLY</t>
  </si>
  <si>
    <t>REFUND OVER 5 -YRS</t>
  </si>
  <si>
    <t>ANNUAL FERC INTEREST RATE</t>
  </si>
  <si>
    <t>40-YRS</t>
  </si>
  <si>
    <t>DEPRECIABLE LIFE</t>
  </si>
  <si>
    <t>NETWORK UPGRADE COST</t>
  </si>
  <si>
    <t>EXAMPLE</t>
  </si>
  <si>
    <t>plant account.</t>
  </si>
  <si>
    <t>made the balance, if any, remaining in this account shall be credited to the respective</t>
  </si>
  <si>
    <t>which he is entitled, according to the agreement or rule under which the advance was</t>
  </si>
  <si>
    <t>refunded either wholly or in part. When a customer is refunded the entire amount to</t>
  </si>
  <si>
    <t>This account shall include advances by customers for construction which are to be</t>
  </si>
  <si>
    <t>252 Customer advances for construction.</t>
  </si>
  <si>
    <t>PREPAYMENTS FOR NETWORK UPGRADES - HYPOTHETICAL EXAMPLES</t>
  </si>
  <si>
    <t>PROGRESS ENERGY CAROLINAS</t>
  </si>
  <si>
    <t>Page 6 of 6</t>
  </si>
  <si>
    <t>Page 5 of 6</t>
  </si>
  <si>
    <t>Page 4 of 6</t>
  </si>
  <si>
    <t>Page 3 of 6</t>
  </si>
  <si>
    <t>Page 2 of 6</t>
  </si>
  <si>
    <t>Page 1 of 6</t>
  </si>
  <si>
    <t>328, line9</t>
  </si>
  <si>
    <t>American Electric Power Service Corp</t>
  </si>
  <si>
    <t>328, line15&amp;17</t>
  </si>
  <si>
    <t xml:space="preserve">Cargill </t>
  </si>
  <si>
    <t>Progress Energy Carolinas, Inc. (FPO)</t>
  </si>
  <si>
    <t>328, line22</t>
  </si>
  <si>
    <t>City of Camden</t>
  </si>
  <si>
    <t>Constellation Energy Commodiites Group</t>
  </si>
  <si>
    <t xml:space="preserve">French Broad EMC </t>
  </si>
  <si>
    <t>328.1,line13</t>
  </si>
  <si>
    <t>Merrill Lynch Commodities, Inc.</t>
  </si>
  <si>
    <t xml:space="preserve">Seneca Light &amp; Water </t>
  </si>
  <si>
    <t>328.2,line7</t>
  </si>
  <si>
    <t>Town of Sharpsburg, NC</t>
  </si>
  <si>
    <t>Town of Stantonsburg, NC</t>
  </si>
  <si>
    <t>328.2,line8</t>
  </si>
  <si>
    <t>328.2,line10</t>
  </si>
  <si>
    <t>Town of Black Creek, NC</t>
  </si>
  <si>
    <t>Town of Lucama, NC</t>
  </si>
  <si>
    <t>Town of Waynesville, NC</t>
  </si>
  <si>
    <t>Town of Winterville, NC</t>
  </si>
  <si>
    <t>STATE SALES TAX CREDIT</t>
  </si>
  <si>
    <t/>
  </si>
  <si>
    <t>Environmental Liabilty - Reg Asset - NC</t>
  </si>
  <si>
    <t>Storm Damage Deferral - NC</t>
  </si>
  <si>
    <t>Storm Damage Deferral - SC</t>
  </si>
  <si>
    <t>Reg Asset - PCF Deferral - SC</t>
  </si>
  <si>
    <t>Environmental Liabilty - Reg Asset - SC</t>
  </si>
  <si>
    <t>Renewable Energy Deferral - NC</t>
  </si>
  <si>
    <t>Reg Asset - Accrued Vacation</t>
  </si>
  <si>
    <t>Stock Overhead ADJ - PROD</t>
  </si>
  <si>
    <t>Reg Asset - Nuc Decom</t>
  </si>
  <si>
    <t>Reg Asset - Design Basis Brunswick</t>
  </si>
  <si>
    <t>Reg Asset - Design Basis Robinson</t>
  </si>
  <si>
    <t>DSM Cost - NC</t>
  </si>
  <si>
    <t>DSM Cost - SC</t>
  </si>
  <si>
    <t>Stock Overhead ADJ - UNFUNCT</t>
  </si>
  <si>
    <t>Grid South - NC</t>
  </si>
  <si>
    <t>Grid South - SC</t>
  </si>
  <si>
    <t>Grid South - WH</t>
  </si>
  <si>
    <t>Market to Market</t>
  </si>
  <si>
    <t>Reg Asset - ARO Asbestos</t>
  </si>
  <si>
    <t>Wholesale Dep Diff - Prod</t>
  </si>
  <si>
    <t>Wholesale Dep Diff - Trans</t>
  </si>
  <si>
    <t>Wholesale Dep Diff - Dist</t>
  </si>
  <si>
    <t>Wholesale Dep Diff - Gen</t>
  </si>
  <si>
    <t>AFUDC Equity - FAS109</t>
  </si>
  <si>
    <t>Unbilled Rev.</t>
  </si>
  <si>
    <t>Imputed Interest Income</t>
  </si>
  <si>
    <t>Renewable Energy Certifications</t>
  </si>
  <si>
    <t>Pension Restoration Exp.</t>
  </si>
  <si>
    <t>TMAS Production</t>
  </si>
  <si>
    <t>Mark to Market Accural</t>
  </si>
  <si>
    <t>Reg Liabilty - ARO Asbestos</t>
  </si>
  <si>
    <t>FAS 109 - ITC</t>
  </si>
  <si>
    <t>FAS 109 - Excess</t>
  </si>
  <si>
    <t xml:space="preserve">IRS Audit Reserve </t>
  </si>
  <si>
    <r>
      <t>Transmission Rate Formula Support - Interconnection Facilities</t>
    </r>
    <r>
      <rPr>
        <vertAlign val="superscript"/>
        <sz val="11"/>
        <rFont val="Calibri"/>
        <family val="2"/>
        <scheme val="minor"/>
      </rPr>
      <t xml:space="preserve"> [1]</t>
    </r>
  </si>
  <si>
    <t>11&amp;21</t>
  </si>
  <si>
    <t>13&amp;23</t>
  </si>
  <si>
    <t>14</t>
  </si>
  <si>
    <t>15</t>
  </si>
  <si>
    <t>1010950 - CONTRA EPIS</t>
  </si>
  <si>
    <t>1071140 - CONTRA CWIP</t>
  </si>
  <si>
    <t xml:space="preserve"> 1 / Line 6</t>
  </si>
  <si>
    <t xml:space="preserve">  Total System Long Term Firm Transmission Load</t>
  </si>
  <si>
    <t>The allocator "TP" is the percent of gross transmission plant that is OATT related, i.e., after removal of interconnections, generator</t>
  </si>
  <si>
    <t>Memo: OATT Contras from 50% in CWIP in Rate Base</t>
  </si>
  <si>
    <t xml:space="preserve"> reported value.</t>
  </si>
  <si>
    <t>3A</t>
  </si>
  <si>
    <t>p. 5, line 14</t>
  </si>
  <si>
    <r>
      <t xml:space="preserve">     Overall Return:  R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=</t>
    </r>
  </si>
  <si>
    <t>Note G</t>
  </si>
  <si>
    <t>Net Transmission Rate Revenue Credit</t>
  </si>
  <si>
    <t>OATT CWIP Contra</t>
  </si>
  <si>
    <t>p 5, line 15</t>
  </si>
  <si>
    <t>AFUDC Reversal Calculation:</t>
  </si>
  <si>
    <t>Balances as of Beginning of Year:</t>
  </si>
  <si>
    <t>Balance per prior year formula</t>
  </si>
  <si>
    <r>
      <t xml:space="preserve">Net Revenue Requirements </t>
    </r>
    <r>
      <rPr>
        <sz val="11"/>
        <rFont val="Calibri"/>
        <family val="2"/>
        <scheme val="minor"/>
      </rPr>
      <t>(Line 1 - Line 5 + Line 6 + Line 7)</t>
    </r>
  </si>
  <si>
    <t>Tax Rev.Req't Factor  = T / (1 -T) * (1 - Wtd.Debt.Cost/R)</t>
  </si>
  <si>
    <t>Less GridSouth Recovery in STF/NF Transmission</t>
  </si>
  <si>
    <r>
      <t xml:space="preserve">[1] </t>
    </r>
    <r>
      <rPr>
        <sz val="11"/>
        <rFont val="Calibri"/>
        <family val="2"/>
        <scheme val="minor"/>
      </rPr>
      <t>- Excludes Step-up Transformers accounted for on PEC-2, page 4, line 2</t>
    </r>
  </si>
  <si>
    <t>Market to Market - Reg Asset</t>
  </si>
  <si>
    <t>Acct 456.1 - NF+STF x/ Ancillaries, GridSouth</t>
  </si>
  <si>
    <t>Balance - Network Prepayments</t>
  </si>
  <si>
    <r>
      <t>step-up transformers  and OATT contras.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It also serves as the basis for deriving OATT-related transmission labor from the  Form-1</t>
    </r>
  </si>
  <si>
    <t>Note J:</t>
  </si>
  <si>
    <t>p. 4, line 1</t>
  </si>
  <si>
    <t>Note K</t>
  </si>
  <si>
    <t>Adjusted to exclude all charges to Account 427 not arising from liabilities included in Account 221 or Account 224.</t>
  </si>
  <si>
    <t>Note K:</t>
  </si>
  <si>
    <t xml:space="preserve">Form 1 value at 207.58.g adjusted by subtracting the per books wholesale credit for OATT Electric Plant in Service contra, i.e., value at </t>
  </si>
  <si>
    <t>page 5, line 14 above prior to gross-up for its subsequent use at page 4, line 3A.</t>
  </si>
  <si>
    <t>Long Term Interest Expense (Note J)</t>
  </si>
  <si>
    <t>Year Ending 12/31/2009</t>
  </si>
  <si>
    <t>FF1</t>
  </si>
  <si>
    <t>Adj</t>
  </si>
  <si>
    <t>Updates in Green</t>
  </si>
  <si>
    <t>Remove ARO</t>
  </si>
  <si>
    <t>Adj. Note</t>
  </si>
  <si>
    <t>Harris Lic. Renewal</t>
  </si>
  <si>
    <t>Corporate Life Insurance Reserve</t>
  </si>
  <si>
    <t>FAS 109 - Medicare Subsidy</t>
  </si>
  <si>
    <t>Earnings on Employee Benefit Trust</t>
  </si>
  <si>
    <t>Misc Prov/Round Adjustment</t>
  </si>
  <si>
    <t>Reg Liabilty - NDT Unrealized G/L</t>
  </si>
  <si>
    <t>Non Utility Property Dep.</t>
  </si>
  <si>
    <t>ARO Net Property</t>
  </si>
  <si>
    <t>Tax Depr Plant - Prod</t>
  </si>
  <si>
    <t>Tax Depr Plant - Trans</t>
  </si>
  <si>
    <t>Tax Depr Plant - Dist</t>
  </si>
  <si>
    <t>Tax Depr Plant - Gen</t>
  </si>
  <si>
    <t>Tax Depr Plant - Nuc Fuel</t>
  </si>
  <si>
    <t>Tax Depr Plant - Intangible</t>
  </si>
  <si>
    <t>Tax Depr Plant - Unfunct</t>
  </si>
  <si>
    <t>FAS 109  - AFUDC Equity - Reg Asset</t>
  </si>
  <si>
    <t>FAS158 Pension Restoration - Reg Asset</t>
  </si>
  <si>
    <t>Reg Asset - ARO Landfill</t>
  </si>
  <si>
    <t>Nuc Decom Unrealized Gains</t>
  </si>
  <si>
    <r>
      <t xml:space="preserve">(5) = </t>
    </r>
    <r>
      <rPr>
        <sz val="11"/>
        <color rgb="FF00B050"/>
        <rFont val="Calibri"/>
        <family val="2"/>
        <scheme val="minor"/>
      </rPr>
      <t>30.5</t>
    </r>
    <r>
      <rPr>
        <sz val="11"/>
        <rFont val="Calibri"/>
        <family val="2"/>
        <scheme val="minor"/>
      </rPr>
      <t xml:space="preserve"> / (4)</t>
    </r>
  </si>
  <si>
    <r>
      <t xml:space="preserve">(5) = </t>
    </r>
    <r>
      <rPr>
        <sz val="11"/>
        <color rgb="FF00B050"/>
        <rFont val="Calibri"/>
        <family val="2"/>
        <scheme val="minor"/>
      </rPr>
      <t>24.5</t>
    </r>
    <r>
      <rPr>
        <sz val="11"/>
        <rFont val="Calibri"/>
        <family val="2"/>
        <scheme val="minor"/>
      </rPr>
      <t xml:space="preserve"> / (4)</t>
    </r>
  </si>
  <si>
    <t>RENEWABLE ENERGY INTERCONNECT FEES</t>
  </si>
  <si>
    <t>Wayne County 1-4</t>
  </si>
  <si>
    <t>OLF</t>
  </si>
  <si>
    <t>328, line5</t>
  </si>
  <si>
    <t>South Carolina Public Service Authority</t>
  </si>
  <si>
    <t>RS104</t>
  </si>
  <si>
    <t>328, line11</t>
  </si>
  <si>
    <t>328, line13&amp;14</t>
  </si>
  <si>
    <t>328, line19</t>
  </si>
  <si>
    <t>328, line20</t>
  </si>
  <si>
    <t>328, line24</t>
  </si>
  <si>
    <t>328, line26</t>
  </si>
  <si>
    <t>SFP</t>
  </si>
  <si>
    <t>328, line28</t>
  </si>
  <si>
    <t>328, line29</t>
  </si>
  <si>
    <t>328,line31</t>
  </si>
  <si>
    <t>328,line33</t>
  </si>
  <si>
    <t>Endure Energy, LLC</t>
  </si>
  <si>
    <t>328.1,line1</t>
  </si>
  <si>
    <t>Florida Power Corporation Marketing</t>
  </si>
  <si>
    <t>328.1,line4</t>
  </si>
  <si>
    <t>328.1,line6</t>
  </si>
  <si>
    <t>Haywood Electric Membership Corporation</t>
  </si>
  <si>
    <t>328.1,line8</t>
  </si>
  <si>
    <t>328.1,line9</t>
  </si>
  <si>
    <t>Piedmont Electirc Membership Corporation</t>
  </si>
  <si>
    <t>328.1,line15</t>
  </si>
  <si>
    <t>328.1,line17</t>
  </si>
  <si>
    <t>328.1,line19</t>
  </si>
  <si>
    <t>328.1,line21</t>
  </si>
  <si>
    <t>328.1,line23</t>
  </si>
  <si>
    <t>328.1,line24</t>
  </si>
  <si>
    <t>328.1,line25</t>
  </si>
  <si>
    <t>328.1,line27</t>
  </si>
  <si>
    <t>Powerex Corporation</t>
  </si>
  <si>
    <t>SCE&amp;G Power Marketing</t>
  </si>
  <si>
    <t>328.1,line29</t>
  </si>
  <si>
    <t>328.1,line32&amp;33</t>
  </si>
  <si>
    <t>Tenaska Power Services Company</t>
  </si>
  <si>
    <t>328.2,line4</t>
  </si>
  <si>
    <t>328.2,line5</t>
  </si>
  <si>
    <t>328.2,line6</t>
  </si>
  <si>
    <t>Westar Energy Generation &amp; Marketiing</t>
  </si>
  <si>
    <t>Virginia Power</t>
  </si>
  <si>
    <t>Note:</t>
  </si>
  <si>
    <t>Transmission charges for delivery of 3rd party VACAR Emergency Interchange; included in STF/NF revenue credit.</t>
  </si>
  <si>
    <t>Plus Contra EPIS - OATT (Neg.)</t>
  </si>
  <si>
    <t>62-66</t>
  </si>
  <si>
    <t>1-3,12</t>
  </si>
  <si>
    <t>w/o Unbilled (ties to p 300. 21.b)</t>
  </si>
  <si>
    <t>M-CAPE FEAR-SILER CITY 230</t>
  </si>
  <si>
    <t>M-MT OLIVE SUB-CONST &amp; LOOP LN</t>
  </si>
  <si>
    <t>M-FLO-MARION 230KV LN-CONST</t>
  </si>
  <si>
    <t>M-GREEN-KINSTON DP-CONST</t>
  </si>
  <si>
    <t>M-HENDR-HENDR NORTH FEEDER</t>
  </si>
  <si>
    <t>M-ROCK'HAM W END 230-CONST</t>
  </si>
  <si>
    <t>M-WARRENTON 115KV S. TAP</t>
  </si>
  <si>
    <t>S-RICHMOND 500-INST REACTOR</t>
  </si>
  <si>
    <t>S-ASH'B-DPC PLST GDN-LINE</t>
  </si>
  <si>
    <t>D/I-ASHE'B DPC PLSNT GDN</t>
  </si>
  <si>
    <t>D/I-ASH'B 230 SUB-INCR CAP</t>
  </si>
  <si>
    <t>S-LIL'VIL ROCK'H LINE #3</t>
  </si>
  <si>
    <t>D/I-LILES'V ROCK'H- LINE #3</t>
  </si>
  <si>
    <t>D/I-ROCK'HM SUB-INST TERMINAL</t>
  </si>
  <si>
    <t>D/I-LILES'V SUB INST TERMINAL</t>
  </si>
  <si>
    <t>D/I-BNP INST 45 MVAR CAP BNK</t>
  </si>
  <si>
    <t>RICH'D-FT BRG LINE CONSTR</t>
  </si>
  <si>
    <t>AMBERLY TO GRN LVL SECTION</t>
  </si>
  <si>
    <t>HARRIS-RTP-GRN LVL-APEX US1</t>
  </si>
  <si>
    <t>HARRIS-RTP-APEX US1-HARRIS</t>
  </si>
  <si>
    <t>GREENV'L W 230 POD- CAP BNK</t>
  </si>
  <si>
    <t>RICH 230 LINE-TIE LN-ORANGE LN</t>
  </si>
  <si>
    <t>FT BRAGG L'STR-SUB EXPANSION</t>
  </si>
  <si>
    <t>A'VILE PL-ENKA 115W-CONV LINE</t>
  </si>
  <si>
    <t>A'VILE PL-ENKA 115W-INIT CONST</t>
  </si>
  <si>
    <t>A'VILLE SEP-TERMINATE ENKA LN</t>
  </si>
  <si>
    <t>ENKA 115 SS-TERM ASEP LINE</t>
  </si>
  <si>
    <t>FT BRAG 3RD BRIGADE 230 TAP</t>
  </si>
  <si>
    <t>RICHMOND 500-REPL BKRS-PART 3</t>
  </si>
  <si>
    <t>R'MOND 500-RETERM RICH R'HAM W</t>
  </si>
  <si>
    <t>RICH-R'HAM 230 W LINE-RELOC</t>
  </si>
  <si>
    <t>RICH 500-TERM FT. BR-W'RUFF LN</t>
  </si>
  <si>
    <t>WOODRUFF ST-LONG 230 LINE</t>
  </si>
  <si>
    <t>FOLKSTONE 230-INITIAL CONSTR</t>
  </si>
  <si>
    <t>CH-J'VILLE CITY 115-LOOP LINE</t>
  </si>
  <si>
    <t>RAEFORD 230KV-INST BREAKER</t>
  </si>
  <si>
    <t>CH 230-JAX CITY 115-RAISE LINE</t>
  </si>
  <si>
    <t>BISCOE-R'HAM-RELOC LINE SECT</t>
  </si>
  <si>
    <t>FAY-FT BR W'RUFF 230 LN-RELOC</t>
  </si>
  <si>
    <t>F'VILLE-R'HAM 230-RAISE STRS</t>
  </si>
  <si>
    <t>RAEFORD-R'MOND 230-RAISE STRS</t>
  </si>
  <si>
    <t>HAVELOCK 230-INST CAP BANK</t>
  </si>
  <si>
    <t>HAVELOCK 230-CONSTR BUS/LINE</t>
  </si>
  <si>
    <t>JVILLE 230-BKR &amp; HALF SCHEME</t>
  </si>
  <si>
    <t>JVILLE 230 SVC-INST ST VAR COM</t>
  </si>
  <si>
    <t>A'VILLE SEP-REPL BANK #2 CB</t>
  </si>
  <si>
    <t>A'VILLE SEP-REPL ENKA E CB #6</t>
  </si>
  <si>
    <t>JVILLE 230 SUB SVC 230-TIE LN</t>
  </si>
  <si>
    <t>GOLDS-LEE SUB S 115 LN-REBUILD</t>
  </si>
  <si>
    <t>LEE 230-REPL DISC SWS</t>
  </si>
  <si>
    <t>LEE SEP-REPL DISC SWITCHES</t>
  </si>
  <si>
    <t>LEE SEP-REBUILD E &amp; W BUSES</t>
  </si>
  <si>
    <t>LEE SEP-INST BKR FAILURE SCHM</t>
  </si>
  <si>
    <t>CLINTON 230 SUB-ADD BREAKER</t>
  </si>
  <si>
    <t>LEE SUB-MT OLIVE 230-LINE CON</t>
  </si>
  <si>
    <t>LEE 230 SUB-INST LINE BKRS</t>
  </si>
  <si>
    <t>CLINTON-ERWIN 230-RELOC LINE</t>
  </si>
  <si>
    <t>LEE SUB-WAL 230 115-REPL STR</t>
  </si>
  <si>
    <t>ERWIN 230-INST RELAY PANELS</t>
  </si>
  <si>
    <t>CLIN-MT OLIVE SUB 230-INST LN</t>
  </si>
  <si>
    <t>LEE-MT OLIVE LINE-PUR ROW</t>
  </si>
  <si>
    <t>CLIN-MT OLIVE 230 LN-PUR ROW</t>
  </si>
  <si>
    <t>MT. OLIVE 230-PUR LAND</t>
  </si>
  <si>
    <t>CAPE FEAR SEP-INST BREAKERS</t>
  </si>
  <si>
    <t>CF PL-SILER CITY 230-CON LINE</t>
  </si>
  <si>
    <t>SILER CITY 230-INST BREAKER</t>
  </si>
  <si>
    <t>CF PLT-WEST END-MODIFY XING</t>
  </si>
  <si>
    <t>CF-BISCOE 230 SUB 115 LN-MODIF</t>
  </si>
  <si>
    <t>LEE 230-EXPAND SWITCHYARDS</t>
  </si>
  <si>
    <t>FLOR-MARION 230 LN-CONSTR</t>
  </si>
  <si>
    <t>FLORENCE 230-INSTALL BREAKER</t>
  </si>
  <si>
    <t>MARION 230-INST BKRS &amp; SW</t>
  </si>
  <si>
    <t>MT. OLIVE 230 SUB-INIT CONSTR</t>
  </si>
  <si>
    <t>LEE PL-CLINTON 115-LOOP LINE</t>
  </si>
  <si>
    <t>SR EMC HARGR 115POD-INST CARR</t>
  </si>
  <si>
    <t>LEE SEP-CLINTON 115-RAISE LINE</t>
  </si>
  <si>
    <t>R'HAM-W END 230 E-CONSTR LINE</t>
  </si>
  <si>
    <t>WEST END 230-INSTALL BREAKERS</t>
  </si>
  <si>
    <t>ROCKINGHAM 230-INST BREAKER</t>
  </si>
  <si>
    <t>R'HAM-W END 230 E LINE-ACQ ROW</t>
  </si>
  <si>
    <t>WARRENTON 115 S TAP-CONSTRUCT</t>
  </si>
  <si>
    <t>GR'VILLE-KINSTON DP-CONST LINE</t>
  </si>
  <si>
    <t>AURORA-GR'VILLE 230-RELO LINE</t>
  </si>
  <si>
    <t>HNDRSON-HNDRSON N-CONSTR FDR</t>
  </si>
  <si>
    <r>
      <t>Wayne County Unit 5 (2009)</t>
    </r>
    <r>
      <rPr>
        <vertAlign val="superscript"/>
        <sz val="11"/>
        <rFont val="Calibri"/>
        <family val="2"/>
        <scheme val="minor"/>
      </rPr>
      <t xml:space="preserve"> [2]</t>
    </r>
  </si>
  <si>
    <r>
      <rPr>
        <vertAlign val="superscript"/>
        <sz val="11"/>
        <rFont val="Calibri"/>
        <family val="2"/>
        <scheme val="minor"/>
      </rPr>
      <t>[2]</t>
    </r>
    <r>
      <rPr>
        <sz val="11"/>
        <rFont val="Calibri"/>
        <family val="2"/>
        <scheme val="minor"/>
      </rPr>
      <t xml:space="preserve"> - Includes GSU in Interconnection Facilities (Property  not unitized at  12/31/2009)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</si>
</sst>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;\(0.00000\)"/>
    <numFmt numFmtId="165" formatCode="#,##0.00000_);\(#,##0.00000\)"/>
    <numFmt numFmtId="166" formatCode="#,##0.000_);\(#,##0.000\)"/>
    <numFmt numFmtId="167" formatCode="0.0%"/>
    <numFmt numFmtId="168" formatCode="[$-409]mmm\-yy;@"/>
    <numFmt numFmtId="169" formatCode="0%_);\(0%\)"/>
    <numFmt numFmtId="170" formatCode="_(&quot;$&quot;* #,##0_);_(&quot;$&quot;* \(#,##0\);_(&quot;$&quot;* &quot;-&quot;??_);_(@_)"/>
    <numFmt numFmtId="171" formatCode="_(* #,##0_);_(* \(#,##0\);_(* &quot;-&quot;??_);_(@_)"/>
    <numFmt numFmtId="172" formatCode="m/d/yyyy;@"/>
    <numFmt numFmtId="173" formatCode="#,##0.0_);[Red]\(#,##0.0\)"/>
  </numFmts>
  <fonts count="4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Tahoma"/>
      <family val="2"/>
    </font>
    <font>
      <sz val="8"/>
      <name val="Arial Narrow"/>
      <family val="2"/>
    </font>
    <font>
      <b/>
      <sz val="10"/>
      <color indexed="10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14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6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0"/>
      <name val="Arial"/>
      <family val="2"/>
    </font>
    <font>
      <sz val="11"/>
      <color rgb="FF00B05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gray0625"/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2" fillId="0" borderId="0" applyNumberFormat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0" fontId="13" fillId="2" borderId="0">
      <alignment horizontal="right"/>
    </xf>
    <xf numFmtId="14" fontId="2" fillId="3" borderId="1">
      <alignment horizontal="center" vertical="center" wrapText="1"/>
    </xf>
    <xf numFmtId="0" fontId="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1">
      <alignment horizontal="center"/>
    </xf>
    <xf numFmtId="3" fontId="16" fillId="0" borderId="0" applyFill="0" applyBorder="0" applyAlignment="0" applyProtection="0"/>
    <xf numFmtId="0" fontId="14" fillId="4" borderId="0" applyNumberFormat="0" applyFont="0" applyBorder="0" applyAlignment="0" applyProtection="0"/>
    <xf numFmtId="39" fontId="17" fillId="0" borderId="0"/>
    <xf numFmtId="0" fontId="1" fillId="0" borderId="0" applyNumberFormat="0" applyFill="0" applyBorder="0" applyAlignment="0" applyProtection="0"/>
    <xf numFmtId="0" fontId="18" fillId="0" borderId="0" applyFill="0" applyBorder="0" applyProtection="0">
      <alignment horizontal="left" vertical="top"/>
    </xf>
  </cellStyleXfs>
  <cellXfs count="304">
    <xf numFmtId="0" fontId="0" fillId="0" borderId="0" xfId="0"/>
    <xf numFmtId="37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37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quotePrefix="1" applyAlignment="1">
      <alignment horizontal="center"/>
    </xf>
    <xf numFmtId="165" fontId="0" fillId="0" borderId="0" xfId="0" applyNumberFormat="1"/>
    <xf numFmtId="0" fontId="0" fillId="5" borderId="0" xfId="0" applyFill="1"/>
    <xf numFmtId="0" fontId="7" fillId="0" borderId="0" xfId="0" applyFont="1" applyAlignment="1">
      <alignment horizontal="center"/>
    </xf>
    <xf numFmtId="37" fontId="7" fillId="0" borderId="0" xfId="0" applyNumberFormat="1" applyFont="1"/>
    <xf numFmtId="37" fontId="8" fillId="0" borderId="0" xfId="0" applyNumberFormat="1" applyFont="1"/>
    <xf numFmtId="0" fontId="9" fillId="0" borderId="0" xfId="0" applyFont="1"/>
    <xf numFmtId="0" fontId="0" fillId="0" borderId="0" xfId="0" applyFill="1"/>
    <xf numFmtId="37" fontId="7" fillId="6" borderId="0" xfId="0" applyNumberFormat="1" applyFont="1" applyFill="1"/>
    <xf numFmtId="2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7" fontId="0" fillId="0" borderId="0" xfId="9" applyNumberFormat="1" applyFont="1"/>
    <xf numFmtId="0" fontId="0" fillId="0" borderId="0" xfId="0" applyAlignment="1">
      <alignment horizontal="right"/>
    </xf>
    <xf numFmtId="0" fontId="3" fillId="0" borderId="0" xfId="0" applyFont="1" applyFill="1" applyAlignment="1">
      <alignment horizontal="left" vertical="center"/>
    </xf>
    <xf numFmtId="167" fontId="1" fillId="0" borderId="0" xfId="9" applyNumberFormat="1" applyFill="1"/>
    <xf numFmtId="37" fontId="0" fillId="0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2" fillId="5" borderId="0" xfId="0" applyFont="1" applyFill="1"/>
    <xf numFmtId="37" fontId="0" fillId="5" borderId="0" xfId="0" applyNumberFormat="1" applyFill="1"/>
    <xf numFmtId="167" fontId="0" fillId="0" borderId="0" xfId="9" applyNumberFormat="1" applyFont="1" applyFill="1"/>
    <xf numFmtId="0" fontId="21" fillId="0" borderId="0" xfId="0" applyFont="1"/>
    <xf numFmtId="0" fontId="2" fillId="0" borderId="3" xfId="0" applyFont="1" applyBorder="1" applyAlignment="1">
      <alignment horizontal="center"/>
    </xf>
    <xf numFmtId="0" fontId="2" fillId="6" borderId="0" xfId="0" applyFont="1" applyFill="1"/>
    <xf numFmtId="37" fontId="2" fillId="6" borderId="0" xfId="0" applyNumberFormat="1" applyFont="1" applyFill="1"/>
    <xf numFmtId="37" fontId="2" fillId="6" borderId="4" xfId="0" applyNumberFormat="1" applyFont="1" applyFill="1" applyBorder="1" applyAlignment="1">
      <alignment vertical="center"/>
    </xf>
    <xf numFmtId="170" fontId="1" fillId="0" borderId="0" xfId="4" applyNumberFormat="1"/>
    <xf numFmtId="170" fontId="2" fillId="6" borderId="0" xfId="4" applyNumberFormat="1" applyFont="1" applyFill="1"/>
    <xf numFmtId="37" fontId="11" fillId="6" borderId="0" xfId="0" applyNumberFormat="1" applyFont="1" applyFill="1"/>
    <xf numFmtId="37" fontId="11" fillId="6" borderId="5" xfId="0" applyNumberFormat="1" applyFont="1" applyFill="1" applyBorder="1"/>
    <xf numFmtId="170" fontId="1" fillId="0" borderId="0" xfId="4" applyNumberFormat="1" applyFont="1"/>
    <xf numFmtId="0" fontId="0" fillId="0" borderId="0" xfId="0" applyBorder="1"/>
    <xf numFmtId="0" fontId="3" fillId="0" borderId="0" xfId="0" applyFont="1"/>
    <xf numFmtId="0" fontId="3" fillId="0" borderId="0" xfId="8"/>
    <xf numFmtId="0" fontId="3" fillId="0" borderId="0" xfId="8" applyFont="1" applyFill="1" applyBorder="1" applyAlignment="1">
      <alignment horizontal="left" vertical="center"/>
    </xf>
    <xf numFmtId="38" fontId="3" fillId="0" borderId="0" xfId="8" applyNumberFormat="1" applyAlignment="1">
      <alignment horizontal="right"/>
    </xf>
    <xf numFmtId="37" fontId="3" fillId="0" borderId="0" xfId="8" applyNumberFormat="1"/>
    <xf numFmtId="39" fontId="0" fillId="0" borderId="0" xfId="0" applyNumberFormat="1"/>
    <xf numFmtId="0" fontId="3" fillId="0" borderId="0" xfId="8" applyBorder="1"/>
    <xf numFmtId="0" fontId="2" fillId="0" borderId="0" xfId="0" applyFont="1" applyBorder="1" applyAlignment="1">
      <alignment horizontal="center"/>
    </xf>
    <xf numFmtId="0" fontId="0" fillId="6" borderId="0" xfId="0" applyFill="1"/>
    <xf numFmtId="170" fontId="2" fillId="0" borderId="9" xfId="0" applyNumberFormat="1" applyFont="1" applyBorder="1"/>
    <xf numFmtId="170" fontId="0" fillId="0" borderId="0" xfId="0" applyNumberFormat="1"/>
    <xf numFmtId="170" fontId="22" fillId="0" borderId="0" xfId="5" applyNumberFormat="1"/>
    <xf numFmtId="0" fontId="0" fillId="0" borderId="1" xfId="0" applyBorder="1"/>
    <xf numFmtId="0" fontId="2" fillId="0" borderId="1" xfId="0" applyFont="1" applyBorder="1"/>
    <xf numFmtId="170" fontId="2" fillId="0" borderId="0" xfId="5" applyNumberFormat="1" applyFont="1"/>
    <xf numFmtId="170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0" fontId="0" fillId="0" borderId="0" xfId="0" applyNumberFormat="1" applyFill="1"/>
    <xf numFmtId="0" fontId="2" fillId="0" borderId="0" xfId="0" applyFont="1" applyBorder="1"/>
    <xf numFmtId="0" fontId="0" fillId="0" borderId="3" xfId="0" applyBorder="1" applyAlignment="1">
      <alignment horizontal="center"/>
    </xf>
    <xf numFmtId="0" fontId="24" fillId="0" borderId="0" xfId="0" applyFont="1" applyFill="1"/>
    <xf numFmtId="0" fontId="2" fillId="6" borderId="0" xfId="0" applyFont="1" applyFill="1" applyBorder="1"/>
    <xf numFmtId="9" fontId="22" fillId="0" borderId="0" xfId="11"/>
    <xf numFmtId="170" fontId="22" fillId="0" borderId="0" xfId="5" applyNumberFormat="1" applyFont="1" applyAlignment="1">
      <alignment horizontal="right"/>
    </xf>
    <xf numFmtId="0" fontId="0" fillId="0" borderId="0" xfId="0" applyNumberFormat="1"/>
    <xf numFmtId="0" fontId="28" fillId="0" borderId="0" xfId="8" applyFont="1"/>
    <xf numFmtId="37" fontId="28" fillId="0" borderId="0" xfId="8" applyNumberFormat="1" applyFont="1"/>
    <xf numFmtId="37" fontId="27" fillId="0" borderId="0" xfId="8" applyNumberFormat="1" applyFont="1" applyAlignment="1">
      <alignment horizontal="center"/>
    </xf>
    <xf numFmtId="37" fontId="27" fillId="0" borderId="0" xfId="8" applyNumberFormat="1" applyFont="1"/>
    <xf numFmtId="0" fontId="27" fillId="0" borderId="0" xfId="8" applyFont="1" applyAlignment="1">
      <alignment horizontal="center"/>
    </xf>
    <xf numFmtId="0" fontId="27" fillId="0" borderId="6" xfId="8" applyFont="1" applyBorder="1" applyAlignment="1" applyProtection="1">
      <alignment horizontal="center"/>
    </xf>
    <xf numFmtId="0" fontId="28" fillId="0" borderId="0" xfId="8" applyFont="1" applyProtection="1"/>
    <xf numFmtId="171" fontId="28" fillId="0" borderId="0" xfId="8" applyNumberFormat="1" applyFont="1"/>
    <xf numFmtId="0" fontId="28" fillId="0" borderId="0" xfId="8" applyFont="1" applyBorder="1" applyProtection="1"/>
    <xf numFmtId="0" fontId="30" fillId="0" borderId="0" xfId="8" applyFont="1" applyAlignment="1">
      <alignment horizontal="left"/>
    </xf>
    <xf numFmtId="0" fontId="28" fillId="0" borderId="0" xfId="8" applyFont="1" applyFill="1" applyProtection="1"/>
    <xf numFmtId="0" fontId="31" fillId="0" borderId="0" xfId="8" quotePrefix="1" applyFont="1" applyAlignment="1">
      <alignment horizontal="left"/>
    </xf>
    <xf numFmtId="0" fontId="32" fillId="0" borderId="0" xfId="8" applyFont="1" applyAlignment="1">
      <alignment horizontal="left"/>
    </xf>
    <xf numFmtId="0" fontId="33" fillId="0" borderId="0" xfId="8" applyFont="1"/>
    <xf numFmtId="39" fontId="28" fillId="0" borderId="7" xfId="8" applyNumberFormat="1" applyFont="1" applyBorder="1" applyProtection="1"/>
    <xf numFmtId="171" fontId="28" fillId="0" borderId="0" xfId="2" applyNumberFormat="1" applyFont="1"/>
    <xf numFmtId="39" fontId="27" fillId="0" borderId="6" xfId="8" applyNumberFormat="1" applyFont="1" applyBorder="1" applyAlignment="1" applyProtection="1">
      <alignment horizontal="center"/>
    </xf>
    <xf numFmtId="39" fontId="28" fillId="0" borderId="0" xfId="8" applyNumberFormat="1" applyFont="1" applyProtection="1"/>
    <xf numFmtId="0" fontId="27" fillId="0" borderId="0" xfId="8" applyFont="1"/>
    <xf numFmtId="39" fontId="27" fillId="0" borderId="8" xfId="8" applyNumberFormat="1" applyFont="1" applyBorder="1" applyProtection="1"/>
    <xf numFmtId="0" fontId="34" fillId="0" borderId="0" xfId="8" applyFont="1" applyAlignment="1">
      <alignment horizontal="left"/>
    </xf>
    <xf numFmtId="0" fontId="27" fillId="0" borderId="0" xfId="8" applyFont="1" applyAlignment="1">
      <alignment horizontal="center" vertical="center" wrapText="1"/>
    </xf>
    <xf numFmtId="0" fontId="28" fillId="0" borderId="0" xfId="8" applyFont="1" applyAlignment="1">
      <alignment horizontal="center"/>
    </xf>
    <xf numFmtId="38" fontId="28" fillId="0" borderId="0" xfId="8" applyNumberFormat="1" applyFont="1" applyAlignment="1">
      <alignment horizontal="right"/>
    </xf>
    <xf numFmtId="0" fontId="28" fillId="0" borderId="0" xfId="8" applyFont="1" applyFill="1"/>
    <xf numFmtId="0" fontId="28" fillId="0" borderId="0" xfId="8" applyFont="1" applyFill="1" applyAlignment="1">
      <alignment horizontal="center"/>
    </xf>
    <xf numFmtId="38" fontId="28" fillId="0" borderId="0" xfId="8" applyNumberFormat="1" applyFont="1" applyFill="1"/>
    <xf numFmtId="38" fontId="28" fillId="0" borderId="0" xfId="8" applyNumberFormat="1" applyFont="1"/>
    <xf numFmtId="0" fontId="26" fillId="0" borderId="0" xfId="8" applyFont="1"/>
    <xf numFmtId="0" fontId="27" fillId="0" borderId="0" xfId="8" applyFont="1" applyBorder="1" applyAlignment="1" applyProtection="1">
      <alignment horizontal="center"/>
    </xf>
    <xf numFmtId="37" fontId="28" fillId="0" borderId="0" xfId="2" applyNumberFormat="1" applyFont="1"/>
    <xf numFmtId="0" fontId="28" fillId="0" borderId="0" xfId="8" applyFont="1" applyFill="1" applyBorder="1" applyProtection="1"/>
    <xf numFmtId="39" fontId="28" fillId="0" borderId="0" xfId="8" applyNumberFormat="1" applyFont="1" applyBorder="1" applyProtection="1"/>
    <xf numFmtId="0" fontId="28" fillId="0" borderId="0" xfId="8" applyFont="1" applyBorder="1"/>
    <xf numFmtId="39" fontId="28" fillId="0" borderId="0" xfId="8" applyNumberFormat="1" applyFont="1" applyBorder="1" applyAlignment="1" applyProtection="1">
      <alignment horizontal="left"/>
    </xf>
    <xf numFmtId="0" fontId="28" fillId="0" borderId="0" xfId="8" quotePrefix="1" applyFont="1"/>
    <xf numFmtId="0" fontId="28" fillId="8" borderId="0" xfId="8" applyFont="1" applyFill="1" applyBorder="1" applyProtection="1"/>
    <xf numFmtId="0" fontId="28" fillId="0" borderId="0" xfId="0" applyFont="1"/>
    <xf numFmtId="37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2" fontId="28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37" fontId="28" fillId="0" borderId="0" xfId="0" applyNumberFormat="1" applyFont="1"/>
    <xf numFmtId="165" fontId="28" fillId="0" borderId="0" xfId="0" applyNumberFormat="1" applyFont="1"/>
    <xf numFmtId="37" fontId="33" fillId="0" borderId="0" xfId="0" applyNumberFormat="1" applyFont="1"/>
    <xf numFmtId="0" fontId="34" fillId="0" borderId="0" xfId="0" applyFont="1" applyAlignment="1">
      <alignment horizontal="left"/>
    </xf>
    <xf numFmtId="37" fontId="35" fillId="0" borderId="0" xfId="0" applyNumberFormat="1" applyFont="1"/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Fill="1"/>
    <xf numFmtId="14" fontId="28" fillId="0" borderId="0" xfId="0" applyNumberFormat="1" applyFont="1" applyAlignment="1">
      <alignment horizontal="center"/>
    </xf>
    <xf numFmtId="0" fontId="28" fillId="0" borderId="0" xfId="0" quotePrefix="1" applyFont="1"/>
    <xf numFmtId="0" fontId="27" fillId="0" borderId="0" xfId="0" applyFont="1"/>
    <xf numFmtId="0" fontId="27" fillId="0" borderId="0" xfId="0" applyFont="1" applyAlignment="1">
      <alignment horizontal="center" wrapText="1"/>
    </xf>
    <xf numFmtId="0" fontId="28" fillId="0" borderId="0" xfId="0" applyFont="1" applyFill="1" applyAlignment="1">
      <alignment horizontal="center"/>
    </xf>
    <xf numFmtId="37" fontId="28" fillId="0" borderId="0" xfId="0" applyNumberFormat="1" applyFont="1" applyFill="1"/>
    <xf numFmtId="44" fontId="28" fillId="0" borderId="0" xfId="0" applyNumberFormat="1" applyFont="1" applyFill="1" applyAlignment="1">
      <alignment horizontal="center"/>
    </xf>
    <xf numFmtId="0" fontId="28" fillId="0" borderId="0" xfId="0" quotePrefix="1" applyFont="1" applyFill="1" applyAlignment="1">
      <alignment horizontal="center"/>
    </xf>
    <xf numFmtId="37" fontId="36" fillId="0" borderId="0" xfId="0" applyNumberFormat="1" applyFont="1" applyFill="1"/>
    <xf numFmtId="16" fontId="28" fillId="0" borderId="0" xfId="0" quotePrefix="1" applyNumberFormat="1" applyFont="1" applyFill="1" applyAlignment="1">
      <alignment horizontal="center"/>
    </xf>
    <xf numFmtId="0" fontId="34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NumberFormat="1" applyFont="1"/>
    <xf numFmtId="0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/>
    <xf numFmtId="0" fontId="35" fillId="0" borderId="0" xfId="0" applyNumberFormat="1" applyFont="1" applyAlignment="1">
      <alignment horizontal="center"/>
    </xf>
    <xf numFmtId="14" fontId="35" fillId="0" borderId="0" xfId="0" applyNumberFormat="1" applyFont="1" applyBorder="1" applyAlignment="1">
      <alignment horizontal="center"/>
    </xf>
    <xf numFmtId="0" fontId="35" fillId="0" borderId="0" xfId="0" applyNumberFormat="1" applyFont="1" applyBorder="1" applyAlignment="1">
      <alignment horizontal="center"/>
    </xf>
    <xf numFmtId="5" fontId="28" fillId="0" borderId="0" xfId="0" applyNumberFormat="1" applyFont="1" applyBorder="1"/>
    <xf numFmtId="37" fontId="28" fillId="0" borderId="0" xfId="0" applyNumberFormat="1" applyFont="1" applyBorder="1"/>
    <xf numFmtId="37" fontId="38" fillId="0" borderId="0" xfId="0" applyNumberFormat="1" applyFont="1" applyBorder="1"/>
    <xf numFmtId="0" fontId="28" fillId="0" borderId="0" xfId="0" quotePrefix="1" applyNumberFormat="1" applyFont="1" applyBorder="1" applyAlignment="1">
      <alignment horizontal="left"/>
    </xf>
    <xf numFmtId="0" fontId="28" fillId="7" borderId="0" xfId="0" applyNumberFormat="1" applyFont="1" applyFill="1" applyBorder="1"/>
    <xf numFmtId="37" fontId="28" fillId="0" borderId="0" xfId="0" applyNumberFormat="1" applyFont="1" applyBorder="1" applyAlignment="1">
      <alignment horizontal="center"/>
    </xf>
    <xf numFmtId="0" fontId="28" fillId="0" borderId="0" xfId="0" applyFont="1" applyBorder="1"/>
    <xf numFmtId="0" fontId="37" fillId="0" borderId="0" xfId="0" applyFont="1"/>
    <xf numFmtId="0" fontId="29" fillId="0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 wrapText="1"/>
    </xf>
    <xf numFmtId="37" fontId="28" fillId="0" borderId="0" xfId="0" applyNumberFormat="1" applyFont="1" applyAlignment="1">
      <alignment horizontal="right"/>
    </xf>
    <xf numFmtId="164" fontId="28" fillId="0" borderId="0" xfId="0" applyNumberFormat="1" applyFont="1"/>
    <xf numFmtId="0" fontId="27" fillId="0" borderId="0" xfId="0" applyFont="1" applyFill="1"/>
    <xf numFmtId="164" fontId="28" fillId="0" borderId="0" xfId="0" applyNumberFormat="1" applyFont="1" applyFill="1"/>
    <xf numFmtId="37" fontId="28" fillId="0" borderId="2" xfId="0" applyNumberFormat="1" applyFont="1" applyFill="1" applyBorder="1"/>
    <xf numFmtId="37" fontId="28" fillId="0" borderId="0" xfId="0" applyNumberFormat="1" applyFont="1" applyFill="1" applyBorder="1"/>
    <xf numFmtId="165" fontId="27" fillId="0" borderId="0" xfId="0" applyNumberFormat="1" applyFont="1" applyFill="1"/>
    <xf numFmtId="37" fontId="27" fillId="0" borderId="0" xfId="0" applyNumberFormat="1" applyFont="1" applyFill="1"/>
    <xf numFmtId="0" fontId="28" fillId="0" borderId="0" xfId="0" quotePrefix="1" applyFont="1" applyAlignment="1">
      <alignment horizontal="center"/>
    </xf>
    <xf numFmtId="165" fontId="28" fillId="0" borderId="0" xfId="0" applyNumberFormat="1" applyFont="1" applyFill="1"/>
    <xf numFmtId="0" fontId="28" fillId="5" borderId="0" xfId="0" applyFont="1" applyFill="1"/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37" fontId="28" fillId="0" borderId="0" xfId="0" applyNumberFormat="1" applyFont="1" applyFill="1" applyAlignment="1">
      <alignment horizontal="right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10" fontId="28" fillId="0" borderId="0" xfId="0" applyNumberFormat="1" applyFont="1" applyFill="1"/>
    <xf numFmtId="10" fontId="27" fillId="0" borderId="0" xfId="0" applyNumberFormat="1" applyFont="1" applyFill="1"/>
    <xf numFmtId="10" fontId="27" fillId="0" borderId="2" xfId="0" applyNumberFormat="1" applyFont="1" applyFill="1" applyBorder="1"/>
    <xf numFmtId="0" fontId="28" fillId="0" borderId="0" xfId="0" applyFont="1" applyAlignment="1">
      <alignment horizontal="left"/>
    </xf>
    <xf numFmtId="0" fontId="28" fillId="0" borderId="0" xfId="8" applyNumberFormat="1" applyFont="1" applyFill="1" applyBorder="1" applyAlignment="1">
      <alignment horizontal="center" vertical="center"/>
    </xf>
    <xf numFmtId="0" fontId="29" fillId="0" borderId="0" xfId="8" applyFont="1" applyFill="1"/>
    <xf numFmtId="38" fontId="27" fillId="0" borderId="0" xfId="8" applyNumberFormat="1" applyFont="1"/>
    <xf numFmtId="37" fontId="28" fillId="0" borderId="0" xfId="8" applyNumberFormat="1" applyFont="1" applyFill="1"/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0" xfId="0" applyNumberFormat="1" applyFont="1" applyFill="1" applyAlignment="1">
      <alignment horizontal="center"/>
    </xf>
    <xf numFmtId="0" fontId="41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0" fontId="28" fillId="0" borderId="0" xfId="0" applyNumberFormat="1" applyFont="1" applyFill="1"/>
    <xf numFmtId="0" fontId="28" fillId="0" borderId="0" xfId="0" applyNumberFormat="1" applyFont="1" applyFill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1" fillId="0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left"/>
    </xf>
    <xf numFmtId="0" fontId="35" fillId="0" borderId="0" xfId="0" applyNumberFormat="1" applyFont="1" applyFill="1" applyAlignment="1">
      <alignment horizontal="center"/>
    </xf>
    <xf numFmtId="0" fontId="35" fillId="0" borderId="0" xfId="0" applyNumberFormat="1" applyFont="1" applyFill="1" applyBorder="1" applyAlignment="1">
      <alignment horizontal="left"/>
    </xf>
    <xf numFmtId="0" fontId="42" fillId="0" borderId="0" xfId="0" applyNumberFormat="1" applyFont="1" applyFill="1" applyBorder="1" applyAlignment="1">
      <alignment horizontal="left"/>
    </xf>
    <xf numFmtId="37" fontId="28" fillId="0" borderId="0" xfId="0" applyNumberFormat="1" applyFont="1" applyFill="1" applyBorder="1" applyAlignment="1">
      <alignment horizontal="center"/>
    </xf>
    <xf numFmtId="37" fontId="28" fillId="0" borderId="0" xfId="0" applyNumberFormat="1" applyFont="1" applyFill="1" applyBorder="1" applyAlignment="1">
      <alignment horizontal="left"/>
    </xf>
    <xf numFmtId="37" fontId="28" fillId="0" borderId="0" xfId="0" applyNumberFormat="1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37" fontId="3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10" fontId="28" fillId="0" borderId="0" xfId="9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8" fontId="28" fillId="0" borderId="0" xfId="0" applyNumberFormat="1" applyFont="1" applyAlignment="1">
      <alignment horizontal="center"/>
    </xf>
    <xf numFmtId="38" fontId="28" fillId="0" borderId="0" xfId="0" applyNumberFormat="1" applyFont="1"/>
    <xf numFmtId="38" fontId="35" fillId="0" borderId="0" xfId="0" applyNumberFormat="1" applyFont="1"/>
    <xf numFmtId="10" fontId="28" fillId="0" borderId="0" xfId="0" applyNumberFormat="1" applyFont="1" applyAlignment="1">
      <alignment horizontal="center"/>
    </xf>
    <xf numFmtId="10" fontId="35" fillId="0" borderId="0" xfId="0" applyNumberFormat="1" applyFont="1" applyAlignment="1">
      <alignment horizontal="center"/>
    </xf>
    <xf numFmtId="173" fontId="28" fillId="0" borderId="0" xfId="0" applyNumberFormat="1" applyFont="1" applyAlignment="1">
      <alignment horizontal="center"/>
    </xf>
    <xf numFmtId="38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37" fontId="28" fillId="0" borderId="0" xfId="0" applyNumberFormat="1" applyFont="1" applyFill="1" applyAlignment="1">
      <alignment vertical="center"/>
    </xf>
    <xf numFmtId="39" fontId="28" fillId="0" borderId="0" xfId="0" applyNumberFormat="1" applyFont="1" applyFill="1"/>
    <xf numFmtId="0" fontId="28" fillId="0" borderId="0" xfId="0" applyFont="1" applyFill="1" applyAlignment="1">
      <alignment horizontal="left" vertical="center"/>
    </xf>
    <xf numFmtId="39" fontId="28" fillId="0" borderId="0" xfId="0" applyNumberFormat="1" applyFont="1" applyFill="1" applyAlignment="1">
      <alignment vertical="center"/>
    </xf>
    <xf numFmtId="37" fontId="28" fillId="0" borderId="0" xfId="0" applyNumberFormat="1" applyFont="1" applyFill="1" applyAlignment="1">
      <alignment horizontal="center"/>
    </xf>
    <xf numFmtId="38" fontId="28" fillId="0" borderId="0" xfId="0" applyNumberFormat="1" applyFont="1" applyFill="1"/>
    <xf numFmtId="164" fontId="28" fillId="0" borderId="0" xfId="0" applyNumberFormat="1" applyFont="1" applyFill="1" applyAlignment="1">
      <alignment vertical="center"/>
    </xf>
    <xf numFmtId="0" fontId="41" fillId="0" borderId="0" xfId="0" applyFont="1" applyFill="1"/>
    <xf numFmtId="0" fontId="41" fillId="0" borderId="0" xfId="0" applyFont="1" applyFill="1" applyAlignment="1">
      <alignment horizontal="center" vertical="center"/>
    </xf>
    <xf numFmtId="37" fontId="27" fillId="0" borderId="2" xfId="0" applyNumberFormat="1" applyFont="1" applyFill="1" applyBorder="1"/>
    <xf numFmtId="0" fontId="28" fillId="0" borderId="0" xfId="0" applyFont="1" applyFill="1" applyAlignment="1">
      <alignment horizontal="left"/>
    </xf>
    <xf numFmtId="10" fontId="35" fillId="0" borderId="0" xfId="0" applyNumberFormat="1" applyFont="1" applyFill="1"/>
    <xf numFmtId="37" fontId="26" fillId="0" borderId="0" xfId="0" applyNumberFormat="1" applyFont="1"/>
    <xf numFmtId="165" fontId="26" fillId="0" borderId="0" xfId="0" applyNumberFormat="1" applyFont="1"/>
    <xf numFmtId="0" fontId="28" fillId="0" borderId="0" xfId="0" applyFont="1" applyFill="1" applyAlignment="1">
      <alignment horizontal="center"/>
    </xf>
    <xf numFmtId="38" fontId="3" fillId="0" borderId="0" xfId="8" applyNumberFormat="1"/>
    <xf numFmtId="166" fontId="28" fillId="0" borderId="0" xfId="0" applyNumberFormat="1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quotePrefix="1" applyFont="1" applyFill="1"/>
    <xf numFmtId="0" fontId="3" fillId="0" borderId="0" xfId="8" applyFill="1"/>
    <xf numFmtId="37" fontId="28" fillId="0" borderId="0" xfId="0" quotePrefix="1" applyNumberFormat="1" applyFont="1" applyFill="1"/>
    <xf numFmtId="0" fontId="1" fillId="0" borderId="0" xfId="0" quotePrefix="1" applyFont="1"/>
    <xf numFmtId="37" fontId="28" fillId="0" borderId="0" xfId="0" quotePrefix="1" applyNumberFormat="1" applyFont="1" applyFill="1" applyAlignment="1">
      <alignment vertical="center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8" applyFont="1" applyAlignment="1">
      <alignment horizontal="center"/>
    </xf>
    <xf numFmtId="0" fontId="44" fillId="0" borderId="0" xfId="0" applyFont="1"/>
    <xf numFmtId="0" fontId="1" fillId="0" borderId="0" xfId="0" applyFont="1"/>
    <xf numFmtId="0" fontId="45" fillId="0" borderId="0" xfId="0" applyFont="1"/>
    <xf numFmtId="37" fontId="45" fillId="0" borderId="0" xfId="0" applyNumberFormat="1" applyFont="1" applyFill="1"/>
    <xf numFmtId="37" fontId="45" fillId="0" borderId="0" xfId="0" applyNumberFormat="1" applyFont="1"/>
    <xf numFmtId="10" fontId="45" fillId="0" borderId="0" xfId="0" applyNumberFormat="1" applyFont="1" applyAlignment="1">
      <alignment horizontal="center"/>
    </xf>
    <xf numFmtId="171" fontId="45" fillId="0" borderId="0" xfId="2" applyNumberFormat="1" applyFont="1"/>
    <xf numFmtId="0" fontId="28" fillId="0" borderId="0" xfId="8" applyFont="1" applyFill="1" applyAlignment="1">
      <alignment horizontal="left"/>
    </xf>
    <xf numFmtId="0" fontId="28" fillId="0" borderId="0" xfId="8" applyFont="1" applyFill="1" applyBorder="1"/>
    <xf numFmtId="37" fontId="45" fillId="0" borderId="0" xfId="2" applyNumberFormat="1" applyFont="1"/>
    <xf numFmtId="37" fontId="45" fillId="8" borderId="0" xfId="2" applyNumberFormat="1" applyFont="1" applyFill="1"/>
    <xf numFmtId="37" fontId="45" fillId="0" borderId="0" xfId="8" applyNumberFormat="1" applyFont="1"/>
    <xf numFmtId="37" fontId="45" fillId="0" borderId="0" xfId="0" applyNumberFormat="1" applyFont="1" applyBorder="1" applyAlignment="1">
      <alignment horizontal="center"/>
    </xf>
    <xf numFmtId="0" fontId="28" fillId="8" borderId="0" xfId="8" applyFont="1" applyFill="1" applyAlignment="1">
      <alignment horizontal="center"/>
    </xf>
    <xf numFmtId="0" fontId="28" fillId="8" borderId="0" xfId="8" applyFont="1" applyFill="1"/>
    <xf numFmtId="38" fontId="28" fillId="8" borderId="0" xfId="8" applyNumberFormat="1" applyFont="1" applyFill="1" applyAlignment="1">
      <alignment horizontal="right"/>
    </xf>
    <xf numFmtId="38" fontId="45" fillId="0" borderId="0" xfId="8" applyNumberFormat="1" applyFont="1" applyAlignment="1">
      <alignment horizontal="right"/>
    </xf>
    <xf numFmtId="38" fontId="45" fillId="8" borderId="0" xfId="8" applyNumberFormat="1" applyFont="1" applyFill="1" applyAlignment="1">
      <alignment horizontal="right"/>
    </xf>
    <xf numFmtId="38" fontId="45" fillId="0" borderId="0" xfId="8" applyNumberFormat="1" applyFont="1" applyFill="1" applyAlignment="1">
      <alignment horizontal="right"/>
    </xf>
    <xf numFmtId="37" fontId="45" fillId="0" borderId="0" xfId="8" applyNumberFormat="1" applyFont="1" applyFill="1"/>
    <xf numFmtId="0" fontId="26" fillId="0" borderId="0" xfId="8" applyFont="1" applyAlignment="1">
      <alignment horizontal="center"/>
    </xf>
    <xf numFmtId="0" fontId="28" fillId="8" borderId="0" xfId="8" applyFont="1" applyFill="1" applyAlignment="1">
      <alignment horizontal="right"/>
    </xf>
    <xf numFmtId="0" fontId="26" fillId="0" borderId="0" xfId="8" applyFont="1" applyFill="1" applyAlignment="1">
      <alignment horizontal="center"/>
    </xf>
    <xf numFmtId="0" fontId="46" fillId="0" borderId="0" xfId="8" applyFont="1"/>
    <xf numFmtId="0" fontId="28" fillId="0" borderId="0" xfId="0" applyFont="1" applyFill="1" applyAlignment="1">
      <alignment horizontal="center"/>
    </xf>
    <xf numFmtId="37" fontId="28" fillId="0" borderId="0" xfId="0" applyNumberFormat="1" applyFont="1" applyAlignment="1">
      <alignment vertical="center"/>
    </xf>
    <xf numFmtId="0" fontId="26" fillId="0" borderId="0" xfId="0" applyFont="1"/>
    <xf numFmtId="0" fontId="26" fillId="0" borderId="0" xfId="0" applyFont="1" applyFill="1"/>
    <xf numFmtId="0" fontId="26" fillId="0" borderId="0" xfId="0" quotePrefix="1" applyFont="1" applyFill="1"/>
    <xf numFmtId="0" fontId="11" fillId="0" borderId="0" xfId="0" applyFont="1" applyAlignment="1">
      <alignment vertical="center"/>
    </xf>
    <xf numFmtId="0" fontId="34" fillId="0" borderId="0" xfId="0" applyFont="1" applyAlignment="1"/>
    <xf numFmtId="0" fontId="3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/>
    <xf numFmtId="0" fontId="34" fillId="0" borderId="0" xfId="0" applyFont="1" applyFill="1" applyAlignment="1"/>
    <xf numFmtId="0" fontId="34" fillId="0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8" applyFont="1" applyAlignment="1">
      <alignment horizontal="center"/>
    </xf>
    <xf numFmtId="2" fontId="27" fillId="0" borderId="0" xfId="8" applyNumberFormat="1" applyFont="1" applyAlignment="1">
      <alignment horizontal="center"/>
    </xf>
    <xf numFmtId="0" fontId="34" fillId="0" borderId="0" xfId="8" applyFont="1" applyAlignment="1">
      <alignment horizontal="left"/>
    </xf>
    <xf numFmtId="0" fontId="28" fillId="0" borderId="0" xfId="8" applyFont="1" applyFill="1" applyAlignment="1">
      <alignment horizontal="left"/>
    </xf>
    <xf numFmtId="0" fontId="27" fillId="0" borderId="0" xfId="8" applyFont="1" applyAlignment="1">
      <alignment horizontal="center"/>
    </xf>
    <xf numFmtId="0" fontId="27" fillId="0" borderId="0" xfId="8" applyFont="1" applyAlignment="1">
      <alignment horizontal="center" vertical="center" wrapText="1"/>
    </xf>
    <xf numFmtId="0" fontId="27" fillId="0" borderId="0" xfId="8" applyFont="1" applyAlignment="1">
      <alignment horizontal="center" vertical="center"/>
    </xf>
    <xf numFmtId="0" fontId="28" fillId="0" borderId="0" xfId="8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22">
    <cellStyle name="_x0013_" xfId="1"/>
    <cellStyle name="Comma 2" xfId="2"/>
    <cellStyle name="Comma(1)" xfId="3"/>
    <cellStyle name="Currency" xfId="4" builtinId="4"/>
    <cellStyle name="Currency 2" xfId="5"/>
    <cellStyle name="Detail" xfId="6"/>
    <cellStyle name="Heading" xfId="7"/>
    <cellStyle name="Normal" xfId="0" builtinId="0"/>
    <cellStyle name="Normal 2" xfId="8"/>
    <cellStyle name="Percent" xfId="9" builtinId="5"/>
    <cellStyle name="Percent (0)" xfId="10"/>
    <cellStyle name="Percent 2" xfId="11"/>
    <cellStyle name="Percent 3" xfId="12"/>
    <cellStyle name="PSChar" xfId="13"/>
    <cellStyle name="PSDate" xfId="14"/>
    <cellStyle name="PSDec" xfId="15"/>
    <cellStyle name="PSHeading" xfId="16"/>
    <cellStyle name="PSInt" xfId="17"/>
    <cellStyle name="PSSpacer" xfId="18"/>
    <cellStyle name="robyn" xfId="19"/>
    <cellStyle name="Style 1" xfId="20"/>
    <cellStyle name="Tickmark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24</xdr:row>
      <xdr:rowOff>104775</xdr:rowOff>
    </xdr:from>
    <xdr:to>
      <xdr:col>1</xdr:col>
      <xdr:colOff>295275</xdr:colOff>
      <xdr:row>24</xdr:row>
      <xdr:rowOff>104775</xdr:rowOff>
    </xdr:to>
    <xdr:sp macro="" textlink="">
      <xdr:nvSpPr>
        <xdr:cNvPr id="6765" name="Line 1"/>
        <xdr:cNvSpPr>
          <a:spLocks noChangeShapeType="1"/>
        </xdr:cNvSpPr>
      </xdr:nvSpPr>
      <xdr:spPr bwMode="auto">
        <a:xfrm flipH="1">
          <a:off x="361950" y="401002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361950</xdr:colOff>
      <xdr:row>8</xdr:row>
      <xdr:rowOff>123825</xdr:rowOff>
    </xdr:from>
    <xdr:to>
      <xdr:col>0</xdr:col>
      <xdr:colOff>371475</xdr:colOff>
      <xdr:row>24</xdr:row>
      <xdr:rowOff>104775</xdr:rowOff>
    </xdr:to>
    <xdr:sp macro="" textlink="">
      <xdr:nvSpPr>
        <xdr:cNvPr id="6766" name="Line 2"/>
        <xdr:cNvSpPr>
          <a:spLocks noChangeShapeType="1"/>
        </xdr:cNvSpPr>
      </xdr:nvSpPr>
      <xdr:spPr bwMode="auto">
        <a:xfrm flipV="1">
          <a:off x="361950" y="13335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9525</xdr:colOff>
      <xdr:row>8</xdr:row>
      <xdr:rowOff>123825</xdr:rowOff>
    </xdr:from>
    <xdr:to>
      <xdr:col>1</xdr:col>
      <xdr:colOff>257175</xdr:colOff>
      <xdr:row>8</xdr:row>
      <xdr:rowOff>123825</xdr:rowOff>
    </xdr:to>
    <xdr:sp macro="" textlink="">
      <xdr:nvSpPr>
        <xdr:cNvPr id="6767" name="Line 3"/>
        <xdr:cNvSpPr>
          <a:spLocks noChangeShapeType="1"/>
        </xdr:cNvSpPr>
      </xdr:nvSpPr>
      <xdr:spPr bwMode="auto">
        <a:xfrm>
          <a:off x="390525" y="13335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466725</xdr:colOff>
      <xdr:row>20</xdr:row>
      <xdr:rowOff>76200</xdr:rowOff>
    </xdr:from>
    <xdr:to>
      <xdr:col>11</xdr:col>
      <xdr:colOff>704850</xdr:colOff>
      <xdr:row>23</xdr:row>
      <xdr:rowOff>114300</xdr:rowOff>
    </xdr:to>
    <xdr:sp macro="" textlink="">
      <xdr:nvSpPr>
        <xdr:cNvPr id="6148" name="Rectangle 4"/>
        <xdr:cNvSpPr>
          <a:spLocks noChangeArrowheads="1"/>
        </xdr:cNvSpPr>
      </xdr:nvSpPr>
      <xdr:spPr bwMode="auto">
        <a:xfrm>
          <a:off x="7229475" y="3324225"/>
          <a:ext cx="1085850" cy="523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Refunded to LTF customers in 2012 true-up</a:t>
          </a:r>
        </a:p>
      </xdr:txBody>
    </xdr:sp>
    <xdr:clientData/>
  </xdr:twoCellAnchor>
  <xdr:twoCellAnchor>
    <xdr:from>
      <xdr:col>10</xdr:col>
      <xdr:colOff>47625</xdr:colOff>
      <xdr:row>23</xdr:row>
      <xdr:rowOff>104775</xdr:rowOff>
    </xdr:from>
    <xdr:to>
      <xdr:col>10</xdr:col>
      <xdr:colOff>457200</xdr:colOff>
      <xdr:row>24</xdr:row>
      <xdr:rowOff>47625</xdr:rowOff>
    </xdr:to>
    <xdr:sp macro="" textlink="">
      <xdr:nvSpPr>
        <xdr:cNvPr id="6769" name="Line 5"/>
        <xdr:cNvSpPr>
          <a:spLocks noChangeShapeType="1"/>
        </xdr:cNvSpPr>
      </xdr:nvSpPr>
      <xdr:spPr bwMode="auto">
        <a:xfrm flipH="1">
          <a:off x="6810375" y="3838575"/>
          <a:ext cx="409575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a168\complian\federal\fpc\acct\2000\00_pbc\pbcqtr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mharris.BRUDERGENTILE\Local%20Settings\Temporary%20Internet%20Files\OLK4\Draft%20Pistole%20Exhibits%20-%20PEC%20Settlement%20Proposal%20B-E%202007%20Start%2003-28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2007%20OATT%20FILING\Revised%20OATT%20Formula%20with%20JNL%20Storm%20Page%2010-26-07b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ov%20GFF%20Database%20(FL)\Database\Nov%20GFF%20FL%20Database%20-%20Version%203%20with%20smoothed%20reg%20capaci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R"/>
      <sheetName val="236 Reconciliation (2)"/>
      <sheetName val="236 Reconciliation"/>
      <sheetName val="Provision"/>
    </sheetNames>
    <sheetDataSet>
      <sheetData sheetId="0" refreshError="1"/>
      <sheetData sheetId="1" refreshError="1"/>
      <sheetData sheetId="2">
        <row r="68">
          <cell r="A68" t="str">
            <v>Florida Power Corporation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Change Summary"/>
      <sheetName val="3rd Change Summary"/>
      <sheetName val="2nd Change Summary"/>
      <sheetName val="Change Summary"/>
      <sheetName val="PEC - 2 -Page 1 Summary"/>
      <sheetName val="PEC - 2 Page 2 Rate Base"/>
      <sheetName val="PEC - 2 - Page 3 Rev Reqt"/>
      <sheetName val="PEC - 2 - Page 4 Support"/>
      <sheetName val="PEC - 2 - Page 5 GridSouth"/>
      <sheetName val="PEC - 3 p 1 Acct 454 Detail"/>
      <sheetName val="PEF - 3 - P 2 456 Rev Credits"/>
      <sheetName val="IN UI"/>
      <sheetName val="PEC - 4 - CWIP"/>
      <sheetName val="PEC - 4 - Page 2 (Not Needed)"/>
      <sheetName val="PEF - 6  - Form 1 Inputs"/>
      <sheetName val="PEC - 5 page 1 Cust Prepay"/>
      <sheetName val="PEC - 5 page 2 Order 2003 "/>
      <sheetName val="PEC - 6  - p1 FF1 Inputs "/>
      <sheetName val="PEC - 6 -p2 AC190"/>
      <sheetName val="PEC - 6 - p3  AC282"/>
      <sheetName val="PEC - 6 - p4 AC283"/>
      <sheetName val="GridSouth Recovery Examp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K3" t="str">
            <v>Year Ending 12/31/2007</v>
          </cell>
        </row>
      </sheetData>
      <sheetData sheetId="18">
        <row r="66">
          <cell r="I66" t="str">
            <v>Dist</v>
          </cell>
          <cell r="J66">
            <v>0</v>
          </cell>
        </row>
        <row r="67">
          <cell r="I67" t="str">
            <v>GP</v>
          </cell>
          <cell r="J67">
            <v>8.7102113226820196E-2</v>
          </cell>
        </row>
        <row r="68">
          <cell r="I68" t="str">
            <v>LABOR</v>
          </cell>
          <cell r="J68">
            <v>4.4864859619080065E-2</v>
          </cell>
        </row>
        <row r="69">
          <cell r="I69" t="str">
            <v>NP</v>
          </cell>
          <cell r="J69">
            <v>0.10564579138296168</v>
          </cell>
        </row>
        <row r="70">
          <cell r="I70" t="str">
            <v>Other</v>
          </cell>
          <cell r="J70">
            <v>0</v>
          </cell>
        </row>
        <row r="71">
          <cell r="I71" t="str">
            <v>PROD</v>
          </cell>
          <cell r="J71">
            <v>0</v>
          </cell>
        </row>
        <row r="72">
          <cell r="I72" t="str">
            <v>TP</v>
          </cell>
          <cell r="J72">
            <v>0.9337180122109956</v>
          </cell>
        </row>
        <row r="73">
          <cell r="I73" t="str">
            <v>WT2006</v>
          </cell>
          <cell r="J73" t="e">
            <v>#REF!</v>
          </cell>
        </row>
      </sheetData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F - 2 -Page 1 Summary"/>
      <sheetName val="PEF - 2 Page 2 Rate Base"/>
      <sheetName val="PEF - 2 - Page 3 Rev Reqt"/>
      <sheetName val="PEF - 2 - Page 4 Support"/>
      <sheetName val="PEF - 2 - Page 5 Storm, Notes"/>
      <sheetName val="PEF - 2 - Page 6, PBOPs"/>
      <sheetName val="PEF -3, p1, 454 Rev Credits"/>
      <sheetName val="PEF - 3,  p2, 456 Rev Credits"/>
      <sheetName val="PEF - 4 Step Ups page 1"/>
      <sheetName val="PEF - 4 Step Ups page 2"/>
      <sheetName val="PEF - 4,  p3 Order 2003 "/>
      <sheetName val="PEF -5 p1 2005 ADIT 190"/>
      <sheetName val="PEF -5 p2 2005 ADIT 28x"/>
      <sheetName val="PEF - 5 p3 2006 ADIT190"/>
      <sheetName val="PEF - 5 p4 2006 ADIT28x"/>
      <sheetName val="PEF - 6  p1, FF1 Inputs "/>
      <sheetName val="PEF - 6 p2, Levelized Storm"/>
      <sheetName val="PEF - 6 p3, Prepay Acc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9">
          <cell r="E109" t="str">
            <v>DIST</v>
          </cell>
          <cell r="F109">
            <v>0</v>
          </cell>
        </row>
        <row r="110">
          <cell r="E110" t="str">
            <v>GP</v>
          </cell>
          <cell r="F110">
            <v>0.12571443345879893</v>
          </cell>
        </row>
        <row r="111">
          <cell r="E111" t="str">
            <v>LABOR</v>
          </cell>
          <cell r="F111">
            <v>7.3874468540605712E-2</v>
          </cell>
        </row>
        <row r="112">
          <cell r="E112" t="str">
            <v>Other</v>
          </cell>
          <cell r="F112">
            <v>0</v>
          </cell>
        </row>
        <row r="113">
          <cell r="E113" t="str">
            <v>NP</v>
          </cell>
          <cell r="F113">
            <v>0.14969092364896761</v>
          </cell>
        </row>
        <row r="114">
          <cell r="E114" t="str">
            <v>PROD</v>
          </cell>
          <cell r="F114">
            <v>0</v>
          </cell>
        </row>
        <row r="115">
          <cell r="E115" t="str">
            <v>Retail</v>
          </cell>
          <cell r="F115">
            <v>0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sion Tracking"/>
      <sheetName val="Analysis - Value Summary"/>
      <sheetName val="Analysis - Sensitivities"/>
      <sheetName val="Analysis - Capacity $"/>
      <sheetName val="Analysis - Capacity $kwm"/>
      <sheetName val="Port Value - Cust Summ"/>
      <sheetName val="Port Value - Annual"/>
      <sheetName val="Port Value - Monthly"/>
      <sheetName val="Customer Info"/>
      <sheetName val="MW &amp; MWh"/>
      <sheetName val="Capacity ECC"/>
      <sheetName val="Fuel by LF"/>
      <sheetName val="VOM by LF"/>
      <sheetName val="Emissions by LF"/>
      <sheetName val="Credit"/>
      <sheetName val="FERC Cap. &amp; Energy"/>
      <sheetName val="Negotiated Capacity Revenue"/>
      <sheetName val="Negotiated Fuel Revenue"/>
      <sheetName val="Negotiated VOM Revenue"/>
      <sheetName val="Retail Capacity Impact"/>
      <sheetName val="Retail Energy Impact"/>
      <sheetName val="Fuel Revenue by Contract"/>
      <sheetName val="CR-1 tariff"/>
      <sheetName val="Docum - Interrelationships"/>
      <sheetName val="Docum - Named Ranges"/>
      <sheetName val="Docum - Gen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>
            <v>8.1563040000000003E-2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65"/>
  <sheetViews>
    <sheetView topLeftCell="A10" workbookViewId="0">
      <selection activeCell="H29" sqref="H29"/>
    </sheetView>
  </sheetViews>
  <sheetFormatPr defaultRowHeight="12.75"/>
  <cols>
    <col min="1" max="1" width="4.7109375" customWidth="1"/>
    <col min="3" max="3" width="3.7109375" customWidth="1"/>
    <col min="4" max="4" width="43.85546875" customWidth="1"/>
    <col min="5" max="5" width="12.7109375" customWidth="1"/>
    <col min="6" max="6" width="13.42578125" customWidth="1"/>
    <col min="7" max="7" width="5.7109375" customWidth="1"/>
    <col min="8" max="10" width="12.7109375" customWidth="1"/>
  </cols>
  <sheetData>
    <row r="1" spans="1:10">
      <c r="A1" s="4" t="s">
        <v>184</v>
      </c>
    </row>
    <row r="2" spans="1:10" ht="6" customHeight="1"/>
    <row r="3" spans="1:10">
      <c r="A3" t="s">
        <v>370</v>
      </c>
    </row>
    <row r="4" spans="1:10">
      <c r="A4" t="s">
        <v>244</v>
      </c>
    </row>
    <row r="6" spans="1:10" ht="27.95" customHeight="1">
      <c r="B6" s="18" t="s">
        <v>250</v>
      </c>
      <c r="C6" s="274" t="s">
        <v>281</v>
      </c>
      <c r="D6" s="274"/>
      <c r="E6" s="274"/>
      <c r="F6" s="274"/>
      <c r="H6" s="17" t="s">
        <v>245</v>
      </c>
      <c r="I6" s="17" t="s">
        <v>246</v>
      </c>
      <c r="J6" s="17" t="s">
        <v>276</v>
      </c>
    </row>
    <row r="8" spans="1:10">
      <c r="B8" s="8" t="s">
        <v>249</v>
      </c>
      <c r="C8" s="4" t="s">
        <v>361</v>
      </c>
      <c r="H8" s="1">
        <v>1382</v>
      </c>
      <c r="I8" s="8" t="s">
        <v>247</v>
      </c>
      <c r="J8" s="8" t="s">
        <v>247</v>
      </c>
    </row>
    <row r="9" spans="1:10">
      <c r="C9" s="4"/>
      <c r="H9" s="1"/>
    </row>
    <row r="10" spans="1:10">
      <c r="B10" s="8" t="s">
        <v>251</v>
      </c>
      <c r="C10" s="4" t="s">
        <v>359</v>
      </c>
      <c r="H10" s="1">
        <v>1381</v>
      </c>
      <c r="I10" s="1">
        <f>H10-H8</f>
        <v>-1</v>
      </c>
      <c r="J10" s="1">
        <f>I10</f>
        <v>-1</v>
      </c>
    </row>
    <row r="11" spans="1:10">
      <c r="C11" s="4"/>
      <c r="D11" t="s">
        <v>321</v>
      </c>
      <c r="E11" t="e">
        <f>#REF!</f>
        <v>#REF!</v>
      </c>
      <c r="F11" s="9" t="e">
        <f>#REF!</f>
        <v>#REF!</v>
      </c>
      <c r="H11" s="1"/>
    </row>
    <row r="12" spans="1:10">
      <c r="C12" s="4"/>
      <c r="D12" s="21" t="e">
        <f>#REF!</f>
        <v>#REF!</v>
      </c>
      <c r="E12" t="e">
        <f>#REF!</f>
        <v>#REF!</v>
      </c>
      <c r="F12" s="9" t="e">
        <f>#REF!</f>
        <v>#REF!</v>
      </c>
      <c r="H12" s="1"/>
    </row>
    <row r="13" spans="1:10">
      <c r="C13" s="4"/>
      <c r="D13" s="21" t="e">
        <f>#REF!</f>
        <v>#REF!</v>
      </c>
      <c r="E13" s="21" t="e">
        <f>#REF!</f>
        <v>#REF!</v>
      </c>
      <c r="F13" s="9" t="e">
        <f>#REF!</f>
        <v>#REF!</v>
      </c>
      <c r="H13" s="1"/>
    </row>
    <row r="14" spans="1:10">
      <c r="C14" s="4"/>
      <c r="D14" t="s">
        <v>373</v>
      </c>
      <c r="E14" t="e">
        <f>#REF!</f>
        <v>#REF!</v>
      </c>
      <c r="F14" s="9" t="e">
        <f>#REF!</f>
        <v>#REF!</v>
      </c>
      <c r="H14" s="1"/>
    </row>
    <row r="15" spans="1:10">
      <c r="C15" s="4"/>
      <c r="F15" s="9"/>
      <c r="H15" s="1"/>
    </row>
    <row r="16" spans="1:10">
      <c r="B16" s="8" t="s">
        <v>261</v>
      </c>
      <c r="C16" s="4" t="s">
        <v>362</v>
      </c>
      <c r="H16" s="1">
        <v>1383</v>
      </c>
      <c r="I16" s="1">
        <f>H16-H10</f>
        <v>2</v>
      </c>
      <c r="J16" s="1">
        <f>SUM(I$10:I16)</f>
        <v>1</v>
      </c>
    </row>
    <row r="17" spans="2:10">
      <c r="C17" s="4"/>
      <c r="D17" t="str">
        <f>'PEC - 2 -Page 1 Summary'!C17</f>
        <v>Acct 456.1 - NF+STF x/ Ancillaries, GridSouth</v>
      </c>
      <c r="E17" t="s">
        <v>363</v>
      </c>
      <c r="F17" s="1" t="e">
        <f>'PEC - 2 -Page 1 Summary'!#REF!</f>
        <v>#REF!</v>
      </c>
      <c r="H17" s="1"/>
    </row>
    <row r="18" spans="2:10">
      <c r="C18" s="4"/>
      <c r="F18" s="15"/>
      <c r="H18" s="1"/>
    </row>
    <row r="19" spans="2:10">
      <c r="B19" s="8" t="s">
        <v>265</v>
      </c>
      <c r="C19" s="4" t="s">
        <v>364</v>
      </c>
      <c r="F19" s="15"/>
      <c r="H19" s="1">
        <v>1380.5720709509021</v>
      </c>
      <c r="I19" s="1">
        <f>H19-H16</f>
        <v>-2.4279290490978838</v>
      </c>
      <c r="J19" s="1">
        <f>J16+I19</f>
        <v>-1.4279290490978838</v>
      </c>
    </row>
    <row r="20" spans="2:10">
      <c r="C20" s="4"/>
      <c r="D20" t="s">
        <v>365</v>
      </c>
      <c r="E20" t="s">
        <v>366</v>
      </c>
      <c r="F20" s="1">
        <v>183</v>
      </c>
      <c r="H20" s="1"/>
    </row>
    <row r="21" spans="2:10">
      <c r="C21" s="4"/>
      <c r="F21" s="15"/>
      <c r="H21" s="1"/>
    </row>
    <row r="22" spans="2:10">
      <c r="B22" s="8"/>
      <c r="C22" s="4"/>
      <c r="H22" s="1"/>
      <c r="I22" s="1"/>
      <c r="J22" s="1"/>
    </row>
    <row r="23" spans="2:10" ht="3" customHeight="1">
      <c r="B23" s="10"/>
      <c r="C23" s="26"/>
      <c r="D23" s="10"/>
      <c r="E23" s="10"/>
      <c r="F23" s="27"/>
      <c r="G23" s="10"/>
      <c r="H23" s="10"/>
      <c r="I23" s="10"/>
      <c r="J23" s="10"/>
    </row>
    <row r="24" spans="2:10">
      <c r="C24" s="4"/>
      <c r="H24" s="1"/>
    </row>
    <row r="25" spans="2:10">
      <c r="B25" s="8"/>
      <c r="C25" s="4" t="s">
        <v>371</v>
      </c>
      <c r="H25" s="1"/>
      <c r="I25" s="1"/>
      <c r="J25" s="1"/>
    </row>
    <row r="26" spans="2:10">
      <c r="C26" s="4"/>
      <c r="D26" t="s">
        <v>159</v>
      </c>
      <c r="E26" t="s">
        <v>367</v>
      </c>
      <c r="F26" s="1">
        <v>3337828.96</v>
      </c>
      <c r="H26" s="1">
        <v>1367</v>
      </c>
      <c r="I26" s="1">
        <f>H26-H19</f>
        <v>-13.572070950902116</v>
      </c>
      <c r="J26" s="1">
        <f>I26+J19</f>
        <v>-15</v>
      </c>
    </row>
    <row r="27" spans="2:10">
      <c r="C27" s="4"/>
      <c r="F27" s="24"/>
      <c r="H27" s="1"/>
    </row>
    <row r="28" spans="2:10">
      <c r="C28" s="4"/>
      <c r="F28" s="1"/>
      <c r="H28" s="1"/>
    </row>
    <row r="29" spans="2:10">
      <c r="C29" s="4" t="s">
        <v>368</v>
      </c>
      <c r="E29" t="s">
        <v>369</v>
      </c>
      <c r="F29" s="28">
        <v>0.108</v>
      </c>
      <c r="H29" s="1">
        <v>1357</v>
      </c>
      <c r="I29" s="1">
        <f>H29-H26</f>
        <v>-10</v>
      </c>
      <c r="J29" s="1">
        <f>I29+J26</f>
        <v>-25</v>
      </c>
    </row>
    <row r="30" spans="2:10">
      <c r="C30" s="4"/>
      <c r="H30" s="1"/>
    </row>
    <row r="31" spans="2:10">
      <c r="B31" s="8"/>
      <c r="C31" s="4"/>
      <c r="H31" s="1"/>
      <c r="I31" s="1"/>
      <c r="J31" s="1"/>
    </row>
    <row r="32" spans="2:10">
      <c r="C32" s="4" t="s">
        <v>372</v>
      </c>
      <c r="F32" s="1"/>
      <c r="H32" s="1"/>
    </row>
    <row r="33" spans="2:10">
      <c r="C33" s="4"/>
      <c r="H33" s="1"/>
    </row>
    <row r="34" spans="2:10">
      <c r="B34" s="8"/>
      <c r="C34" s="4"/>
      <c r="H34" s="1"/>
      <c r="I34" s="1"/>
      <c r="J34" s="1"/>
    </row>
    <row r="35" spans="2:10">
      <c r="C35" s="4"/>
      <c r="F35" s="1"/>
      <c r="H35" s="1"/>
    </row>
    <row r="36" spans="2:10">
      <c r="C36" s="4"/>
      <c r="F36" s="1"/>
      <c r="H36" s="1"/>
    </row>
    <row r="37" spans="2:10">
      <c r="C37" s="4"/>
      <c r="H37" s="1"/>
    </row>
    <row r="38" spans="2:10">
      <c r="B38" s="8"/>
      <c r="C38" s="4"/>
      <c r="H38" s="1"/>
      <c r="I38" s="1"/>
      <c r="J38" s="1"/>
    </row>
    <row r="39" spans="2:10">
      <c r="F39" s="20"/>
      <c r="H39" s="1"/>
    </row>
    <row r="40" spans="2:10">
      <c r="F40" s="20"/>
      <c r="H40" s="1"/>
    </row>
    <row r="41" spans="2:10">
      <c r="F41" s="20"/>
      <c r="H41" s="1"/>
    </row>
    <row r="42" spans="2:10">
      <c r="H42" s="1"/>
    </row>
    <row r="43" spans="2:10">
      <c r="H43" s="1"/>
    </row>
    <row r="44" spans="2:10">
      <c r="H44" s="1"/>
    </row>
    <row r="45" spans="2:10">
      <c r="H45" s="1"/>
    </row>
    <row r="46" spans="2:10">
      <c r="H46" s="1"/>
    </row>
    <row r="47" spans="2:10">
      <c r="H47" s="1"/>
    </row>
    <row r="48" spans="2:10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</sheetData>
  <mergeCells count="1">
    <mergeCell ref="C6:F6"/>
  </mergeCells>
  <phoneticPr fontId="10" type="noConversion"/>
  <pageMargins left="0.75" right="0.75" top="1" bottom="1" header="0.5" footer="0.5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29"/>
  <sheetViews>
    <sheetView workbookViewId="0">
      <selection activeCell="H18" sqref="H18"/>
    </sheetView>
  </sheetViews>
  <sheetFormatPr defaultRowHeight="12.75"/>
  <cols>
    <col min="1" max="1" width="5.7109375" style="41" customWidth="1"/>
    <col min="2" max="2" width="36.5703125" style="41" customWidth="1"/>
    <col min="3" max="3" width="13.5703125" style="41" bestFit="1" customWidth="1"/>
    <col min="4" max="4" width="5.7109375" style="41" customWidth="1"/>
    <col min="5" max="6" width="9.140625" style="41"/>
    <col min="7" max="7" width="5.7109375" style="41" customWidth="1"/>
    <col min="8" max="8" width="14.7109375" style="41" customWidth="1"/>
    <col min="9" max="9" width="6.140625" style="41" customWidth="1"/>
    <col min="10" max="16384" width="9.140625" style="41"/>
  </cols>
  <sheetData>
    <row r="1" spans="1:10" ht="15.75">
      <c r="A1" s="65"/>
      <c r="B1" s="65"/>
      <c r="C1" s="65"/>
      <c r="D1" s="65"/>
      <c r="E1" s="65"/>
      <c r="F1" s="65"/>
      <c r="G1" s="65"/>
      <c r="H1" s="291" t="s">
        <v>400</v>
      </c>
      <c r="I1" s="291"/>
      <c r="J1" s="65"/>
    </row>
    <row r="2" spans="1:10" ht="15.75">
      <c r="A2" s="65"/>
      <c r="B2" s="65"/>
      <c r="C2" s="65"/>
      <c r="D2" s="65"/>
      <c r="E2" s="65"/>
      <c r="F2" s="65"/>
      <c r="G2" s="65"/>
      <c r="H2" s="85" t="s">
        <v>555</v>
      </c>
      <c r="I2" s="85"/>
      <c r="J2" s="65"/>
    </row>
    <row r="3" spans="1:10" ht="15">
      <c r="A3" s="65"/>
      <c r="B3" s="65"/>
      <c r="C3" s="65"/>
      <c r="D3" s="65"/>
      <c r="E3" s="65"/>
      <c r="F3" s="65"/>
      <c r="G3" s="65"/>
      <c r="H3" s="292" t="str">
        <f>FF1_Year</f>
        <v>Year Ending 12/31/2009</v>
      </c>
      <c r="I3" s="292"/>
      <c r="J3" s="292"/>
    </row>
    <row r="4" spans="1:10" ht="1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0" ht="15">
      <c r="A5" s="293" t="s">
        <v>395</v>
      </c>
      <c r="B5" s="289"/>
      <c r="C5" s="289"/>
      <c r="D5" s="289"/>
      <c r="E5" s="289"/>
      <c r="F5" s="289"/>
      <c r="G5" s="289"/>
      <c r="H5" s="289"/>
      <c r="I5" s="289"/>
      <c r="J5" s="65"/>
    </row>
    <row r="6" spans="1:10" ht="15">
      <c r="A6" s="289" t="s">
        <v>393</v>
      </c>
      <c r="B6" s="289"/>
      <c r="C6" s="289"/>
      <c r="D6" s="289"/>
      <c r="E6" s="289"/>
      <c r="F6" s="289"/>
      <c r="G6" s="289"/>
      <c r="H6" s="289"/>
      <c r="I6" s="289"/>
      <c r="J6" s="65"/>
    </row>
    <row r="7" spans="1:10" ht="15">
      <c r="A7" s="289" t="s">
        <v>471</v>
      </c>
      <c r="B7" s="289"/>
      <c r="C7" s="289"/>
      <c r="D7" s="289"/>
      <c r="E7" s="289"/>
      <c r="F7" s="289"/>
      <c r="G7" s="289"/>
      <c r="H7" s="289"/>
      <c r="I7" s="289"/>
      <c r="J7" s="65"/>
    </row>
    <row r="8" spans="1:10" ht="15">
      <c r="A8" s="65"/>
      <c r="B8" s="65"/>
      <c r="C8" s="66"/>
      <c r="D8" s="66"/>
      <c r="E8" s="65"/>
      <c r="F8" s="65"/>
      <c r="G8" s="65"/>
      <c r="H8" s="65"/>
      <c r="I8" s="65"/>
      <c r="J8" s="65"/>
    </row>
    <row r="9" spans="1:10" ht="15">
      <c r="A9" s="65"/>
      <c r="B9" s="65"/>
      <c r="C9" s="67" t="s">
        <v>39</v>
      </c>
      <c r="D9" s="68"/>
      <c r="E9" s="290" t="s">
        <v>273</v>
      </c>
      <c r="F9" s="290"/>
      <c r="G9" s="65"/>
      <c r="H9" s="69" t="s">
        <v>443</v>
      </c>
      <c r="I9" s="65"/>
      <c r="J9" s="65"/>
    </row>
    <row r="10" spans="1:10" ht="15">
      <c r="A10" s="65"/>
      <c r="B10" s="70" t="s">
        <v>24</v>
      </c>
      <c r="C10" s="65"/>
      <c r="D10" s="65"/>
      <c r="E10" s="65"/>
      <c r="F10" s="65"/>
      <c r="G10" s="65"/>
      <c r="H10" s="65"/>
      <c r="I10" s="65"/>
      <c r="J10" s="65"/>
    </row>
    <row r="11" spans="1:10" ht="15">
      <c r="A11" s="65"/>
      <c r="B11" s="71" t="s">
        <v>25</v>
      </c>
      <c r="C11" s="251">
        <f>9737515.84-1912504.62</f>
        <v>7825011.2199999997</v>
      </c>
      <c r="D11" s="66"/>
      <c r="E11" s="65" t="s">
        <v>478</v>
      </c>
      <c r="F11" s="65">
        <f>6768707/20960036</f>
        <v>0.32293393961727929</v>
      </c>
      <c r="G11" s="65"/>
      <c r="H11" s="72">
        <f>F11*C11</f>
        <v>2526961.700824013</v>
      </c>
      <c r="I11" s="65"/>
      <c r="J11" s="65"/>
    </row>
    <row r="12" spans="1:10" ht="15">
      <c r="A12" s="65"/>
      <c r="B12" s="71" t="s">
        <v>26</v>
      </c>
      <c r="C12" s="251">
        <v>650</v>
      </c>
      <c r="D12" s="66"/>
      <c r="E12" s="65" t="s">
        <v>326</v>
      </c>
      <c r="F12" s="65"/>
      <c r="G12" s="65"/>
      <c r="H12" s="65"/>
      <c r="I12" s="65"/>
      <c r="J12" s="65"/>
    </row>
    <row r="13" spans="1:10" ht="15">
      <c r="A13" s="65"/>
      <c r="B13" s="71" t="s">
        <v>27</v>
      </c>
      <c r="C13" s="251">
        <v>12119101.289999999</v>
      </c>
      <c r="D13" s="66"/>
      <c r="E13" s="65" t="s">
        <v>18</v>
      </c>
      <c r="F13" s="65"/>
      <c r="G13" s="65"/>
      <c r="H13" s="65"/>
      <c r="I13" s="65"/>
      <c r="J13" s="65"/>
    </row>
    <row r="14" spans="1:10" ht="15">
      <c r="A14" s="65"/>
      <c r="B14" s="71" t="s">
        <v>28</v>
      </c>
      <c r="C14" s="251">
        <v>2912948.14</v>
      </c>
      <c r="D14" s="66"/>
      <c r="E14" s="65" t="s">
        <v>326</v>
      </c>
      <c r="F14" s="65"/>
      <c r="G14" s="65"/>
      <c r="H14" s="65"/>
      <c r="I14" s="65"/>
      <c r="J14" s="65"/>
    </row>
    <row r="15" spans="1:10" ht="15">
      <c r="A15" s="65"/>
      <c r="B15" s="71" t="s">
        <v>29</v>
      </c>
      <c r="C15" s="251">
        <v>600</v>
      </c>
      <c r="D15" s="66"/>
      <c r="E15" s="65" t="s">
        <v>326</v>
      </c>
      <c r="F15" s="65"/>
      <c r="G15" s="65"/>
      <c r="H15" s="65"/>
      <c r="I15" s="65"/>
      <c r="J15" s="65"/>
    </row>
    <row r="16" spans="1:10" ht="15">
      <c r="A16" s="65"/>
      <c r="B16" s="73" t="s">
        <v>30</v>
      </c>
      <c r="C16" s="251">
        <v>423922</v>
      </c>
      <c r="D16" s="65"/>
      <c r="E16" s="65" t="s">
        <v>474</v>
      </c>
      <c r="F16" s="65"/>
      <c r="G16" s="65"/>
      <c r="H16" s="66">
        <f>C16</f>
        <v>423922</v>
      </c>
      <c r="I16" s="65"/>
      <c r="J16" s="65"/>
    </row>
    <row r="17" spans="1:10" ht="15">
      <c r="A17" s="74"/>
      <c r="B17" s="75" t="s">
        <v>31</v>
      </c>
      <c r="C17" s="251">
        <v>2365049.4900000002</v>
      </c>
      <c r="D17" s="65"/>
      <c r="E17" s="65" t="s">
        <v>18</v>
      </c>
      <c r="F17" s="65"/>
      <c r="G17" s="65"/>
      <c r="H17" s="66">
        <v>0</v>
      </c>
      <c r="I17" s="65"/>
      <c r="J17" s="65"/>
    </row>
    <row r="18" spans="1:10" ht="15">
      <c r="A18" s="76"/>
      <c r="B18" s="75" t="s">
        <v>32</v>
      </c>
      <c r="C18" s="251">
        <f>-12418.2+1912504.62</f>
        <v>1900086.4200000002</v>
      </c>
      <c r="D18" s="65"/>
      <c r="E18" s="65" t="s">
        <v>481</v>
      </c>
      <c r="F18" s="174"/>
      <c r="G18" s="65"/>
      <c r="H18" s="66">
        <v>249812.06</v>
      </c>
      <c r="I18" s="65"/>
      <c r="J18" s="65"/>
    </row>
    <row r="19" spans="1:10" ht="15">
      <c r="A19" s="77"/>
      <c r="B19" s="75" t="s">
        <v>33</v>
      </c>
      <c r="C19" s="251">
        <v>132288</v>
      </c>
      <c r="D19" s="65"/>
      <c r="E19" s="65" t="s">
        <v>324</v>
      </c>
      <c r="F19" s="65"/>
      <c r="G19" s="65"/>
      <c r="H19" s="66"/>
      <c r="I19" s="65"/>
      <c r="J19" s="65"/>
    </row>
    <row r="20" spans="1:10" ht="15">
      <c r="A20" s="78"/>
      <c r="B20" s="71" t="s">
        <v>34</v>
      </c>
      <c r="C20" s="251">
        <v>3262426.16</v>
      </c>
      <c r="D20" s="65"/>
      <c r="E20" s="65" t="s">
        <v>473</v>
      </c>
      <c r="F20" s="65">
        <f>6091781/7243096</f>
        <v>0.84104656351372398</v>
      </c>
      <c r="G20" s="65"/>
      <c r="H20" s="66">
        <f>C20*F20</f>
        <v>2743852.3105852748</v>
      </c>
      <c r="I20" s="65"/>
      <c r="J20" s="65"/>
    </row>
    <row r="21" spans="1:10" ht="15.75" thickBot="1">
      <c r="A21" s="65"/>
      <c r="B21" s="79" t="s">
        <v>35</v>
      </c>
      <c r="C21" s="80">
        <f>SUM(C11:C20)</f>
        <v>30942082.720000003</v>
      </c>
      <c r="D21" s="65"/>
      <c r="E21" s="65"/>
      <c r="F21" s="65"/>
      <c r="G21" s="65"/>
      <c r="H21" s="66"/>
      <c r="I21" s="65"/>
      <c r="J21" s="65"/>
    </row>
    <row r="22" spans="1:10" ht="15.75" thickTop="1">
      <c r="A22" s="65"/>
      <c r="B22" s="65"/>
      <c r="C22" s="80"/>
      <c r="D22" s="65"/>
      <c r="E22" s="65"/>
      <c r="F22" s="65"/>
      <c r="G22" s="65"/>
      <c r="H22" s="66"/>
      <c r="I22" s="65"/>
      <c r="J22" s="65"/>
    </row>
    <row r="23" spans="1:10" ht="15">
      <c r="A23" s="65"/>
      <c r="B23" s="81" t="s">
        <v>36</v>
      </c>
      <c r="C23" s="80"/>
      <c r="D23" s="65"/>
      <c r="E23" s="65"/>
      <c r="F23" s="65"/>
      <c r="G23" s="65"/>
      <c r="H23" s="66"/>
      <c r="I23" s="65"/>
      <c r="J23" s="65"/>
    </row>
    <row r="24" spans="1:10" ht="15">
      <c r="A24" s="65"/>
      <c r="B24" s="71" t="s">
        <v>25</v>
      </c>
      <c r="C24" s="251">
        <v>3078132.56</v>
      </c>
      <c r="D24" s="65"/>
      <c r="E24" s="65" t="s">
        <v>479</v>
      </c>
      <c r="F24" s="65">
        <f>952099/2504287</f>
        <v>0.38018765421055972</v>
      </c>
      <c r="G24" s="65"/>
      <c r="H24" s="66">
        <f>C24*F24</f>
        <v>1170267.997335545</v>
      </c>
      <c r="I24" s="65"/>
      <c r="J24" s="65"/>
    </row>
    <row r="25" spans="1:10" ht="15">
      <c r="A25" s="78"/>
      <c r="B25" s="71" t="s">
        <v>34</v>
      </c>
      <c r="C25" s="251">
        <v>32219.040000000001</v>
      </c>
      <c r="D25" s="65"/>
      <c r="E25" s="65" t="s">
        <v>475</v>
      </c>
      <c r="F25" s="65">
        <f>26931/89055</f>
        <v>0.30240862388411655</v>
      </c>
      <c r="G25" s="65"/>
      <c r="H25" s="66">
        <f>C25*F25</f>
        <v>9743.3155492673068</v>
      </c>
      <c r="I25" s="65"/>
      <c r="J25" s="65"/>
    </row>
    <row r="26" spans="1:10" ht="15.75" thickBot="1">
      <c r="A26" s="65"/>
      <c r="B26" s="79" t="s">
        <v>37</v>
      </c>
      <c r="C26" s="80">
        <f>SUM(C24:C25)</f>
        <v>3110351.6</v>
      </c>
      <c r="D26" s="65"/>
      <c r="E26" s="65"/>
      <c r="F26" s="65"/>
      <c r="G26" s="65"/>
      <c r="H26" s="65"/>
      <c r="I26" s="65"/>
      <c r="J26" s="65"/>
    </row>
    <row r="27" spans="1:10" ht="15.75" thickTop="1">
      <c r="A27" s="65"/>
      <c r="B27" s="82"/>
      <c r="C27" s="80"/>
      <c r="D27" s="65"/>
      <c r="E27" s="65"/>
      <c r="F27" s="65"/>
      <c r="G27" s="65"/>
      <c r="H27" s="65"/>
      <c r="I27" s="65"/>
      <c r="J27" s="65"/>
    </row>
    <row r="28" spans="1:10" ht="15.75" thickBot="1">
      <c r="A28" s="83"/>
      <c r="B28" s="84" t="s">
        <v>38</v>
      </c>
      <c r="C28" s="80">
        <f>C21+C26</f>
        <v>34052434.32</v>
      </c>
      <c r="D28" s="65"/>
      <c r="E28" s="65"/>
      <c r="F28" s="65"/>
      <c r="G28" s="65"/>
      <c r="H28" s="80">
        <f>SUM(H11:H25)</f>
        <v>7124559.3842941001</v>
      </c>
      <c r="I28" s="65"/>
      <c r="J28" s="65"/>
    </row>
    <row r="29" spans="1:10" ht="15.75" thickTop="1">
      <c r="A29" s="65"/>
      <c r="B29" s="65"/>
      <c r="C29" s="80"/>
      <c r="D29" s="65"/>
      <c r="E29" s="65"/>
      <c r="F29" s="65"/>
      <c r="G29" s="65"/>
      <c r="H29" s="65"/>
      <c r="I29" s="65"/>
      <c r="J29" s="65"/>
    </row>
  </sheetData>
  <mergeCells count="6">
    <mergeCell ref="A7:I7"/>
    <mergeCell ref="E9:F9"/>
    <mergeCell ref="H1:I1"/>
    <mergeCell ref="H3:J3"/>
    <mergeCell ref="A5:I5"/>
    <mergeCell ref="A6:I6"/>
  </mergeCells>
  <phoneticPr fontId="25" type="noConversion"/>
  <printOptions horizontalCentered="1"/>
  <pageMargins left="0.5" right="0.5" top="1" bottom="1" header="0.5" footer="0.5"/>
  <pageSetup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71"/>
  <sheetViews>
    <sheetView workbookViewId="0">
      <selection activeCell="G62" sqref="G62"/>
    </sheetView>
  </sheetViews>
  <sheetFormatPr defaultRowHeight="12.75"/>
  <cols>
    <col min="1" max="1" width="5.7109375" style="41" customWidth="1"/>
    <col min="2" max="2" width="11" style="41" bestFit="1" customWidth="1"/>
    <col min="3" max="3" width="3.7109375" style="41" customWidth="1"/>
    <col min="4" max="4" width="43" style="41" bestFit="1" customWidth="1"/>
    <col min="5" max="5" width="13.140625" style="41" bestFit="1" customWidth="1"/>
    <col min="6" max="6" width="14.42578125" style="41" bestFit="1" customWidth="1"/>
    <col min="7" max="8" width="14.42578125" style="41" customWidth="1"/>
    <col min="9" max="9" width="15.140625" style="41" bestFit="1" customWidth="1"/>
    <col min="10" max="10" width="6.28515625" style="41" customWidth="1"/>
    <col min="11" max="16384" width="9.140625" style="41"/>
  </cols>
  <sheetData>
    <row r="1" spans="1:11" ht="15.75">
      <c r="A1" s="65"/>
      <c r="B1" s="65"/>
      <c r="C1" s="65"/>
      <c r="D1" s="65"/>
      <c r="E1" s="65"/>
      <c r="F1" s="65"/>
      <c r="G1" s="65"/>
      <c r="H1" s="65"/>
      <c r="I1" s="291" t="s">
        <v>400</v>
      </c>
      <c r="J1" s="291"/>
      <c r="K1" s="65"/>
    </row>
    <row r="2" spans="1:11" ht="15.75">
      <c r="A2" s="65"/>
      <c r="B2" s="65"/>
      <c r="C2" s="65"/>
      <c r="D2" s="65"/>
      <c r="E2" s="65"/>
      <c r="F2" s="65"/>
      <c r="G2" s="65"/>
      <c r="H2" s="65"/>
      <c r="I2" s="85" t="s">
        <v>556</v>
      </c>
      <c r="J2" s="85"/>
      <c r="K2" s="65"/>
    </row>
    <row r="3" spans="1:11" ht="15">
      <c r="A3" s="65"/>
      <c r="B3" s="65"/>
      <c r="C3" s="65"/>
      <c r="D3" s="65"/>
      <c r="E3" s="65"/>
      <c r="F3" s="65"/>
      <c r="G3" s="65"/>
      <c r="H3" s="65"/>
      <c r="I3" s="292" t="str">
        <f>FF1_Year</f>
        <v>Year Ending 12/31/2009</v>
      </c>
      <c r="J3" s="292"/>
      <c r="K3" s="252"/>
    </row>
    <row r="4" spans="1:11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15">
      <c r="A5" s="295" t="s">
        <v>395</v>
      </c>
      <c r="B5" s="295"/>
      <c r="C5" s="295"/>
      <c r="D5" s="295"/>
      <c r="E5" s="295"/>
      <c r="F5" s="295"/>
      <c r="G5" s="295"/>
      <c r="H5" s="295"/>
      <c r="I5" s="295"/>
      <c r="J5" s="295"/>
      <c r="K5" s="65"/>
    </row>
    <row r="6" spans="1:11" ht="15">
      <c r="A6" s="296" t="s">
        <v>401</v>
      </c>
      <c r="B6" s="296"/>
      <c r="C6" s="296"/>
      <c r="D6" s="296"/>
      <c r="E6" s="296"/>
      <c r="F6" s="296"/>
      <c r="G6" s="296"/>
      <c r="H6" s="296"/>
      <c r="I6" s="296"/>
      <c r="J6" s="296"/>
      <c r="K6" s="65"/>
    </row>
    <row r="7" spans="1:11" ht="1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1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5">
      <c r="A9" s="65"/>
      <c r="B9" s="65"/>
      <c r="C9" s="65"/>
      <c r="D9" s="65"/>
      <c r="E9" s="65"/>
      <c r="F9" s="65"/>
      <c r="G9" s="69" t="s">
        <v>512</v>
      </c>
      <c r="H9" s="69" t="s">
        <v>559</v>
      </c>
      <c r="I9" s="69" t="s">
        <v>70</v>
      </c>
      <c r="J9" s="65"/>
      <c r="K9" s="65"/>
    </row>
    <row r="10" spans="1:11" ht="12.75" customHeight="1">
      <c r="A10" s="65"/>
      <c r="B10" s="294" t="s">
        <v>173</v>
      </c>
      <c r="C10" s="86"/>
      <c r="D10" s="69" t="s">
        <v>174</v>
      </c>
      <c r="E10" s="69" t="s">
        <v>175</v>
      </c>
      <c r="F10" s="69" t="s">
        <v>176</v>
      </c>
      <c r="G10" s="69" t="s">
        <v>513</v>
      </c>
      <c r="H10" s="69" t="s">
        <v>513</v>
      </c>
      <c r="I10" s="69" t="s">
        <v>513</v>
      </c>
      <c r="J10" s="65"/>
      <c r="K10" s="65"/>
    </row>
    <row r="11" spans="1:11" ht="15">
      <c r="A11" s="65"/>
      <c r="B11" s="294"/>
      <c r="C11" s="86"/>
      <c r="D11" s="69" t="s">
        <v>177</v>
      </c>
      <c r="E11" s="69" t="s">
        <v>178</v>
      </c>
      <c r="F11" s="69" t="s">
        <v>179</v>
      </c>
      <c r="G11" s="69" t="s">
        <v>561</v>
      </c>
      <c r="H11" s="69" t="s">
        <v>562</v>
      </c>
      <c r="I11" s="69" t="s">
        <v>560</v>
      </c>
      <c r="J11" s="65"/>
      <c r="K11" s="65"/>
    </row>
    <row r="12" spans="1:11" ht="15">
      <c r="A12" s="65"/>
      <c r="B12" s="86"/>
      <c r="C12" s="86"/>
      <c r="D12" s="69"/>
      <c r="E12" s="69"/>
      <c r="F12" s="69"/>
      <c r="G12" s="69"/>
      <c r="H12" s="69"/>
      <c r="I12" s="69"/>
      <c r="J12" s="65"/>
      <c r="K12" s="65"/>
    </row>
    <row r="13" spans="1:11" ht="15">
      <c r="A13" s="265" t="str">
        <f t="shared" ref="A13:A56" si="0">IF(OR(LEFT(E13,1)="L",LEFT(E13,1)="F",LEFT(E13,1)="O"),"L","S")</f>
        <v>L</v>
      </c>
      <c r="B13" s="65" t="s">
        <v>170</v>
      </c>
      <c r="C13" s="65"/>
      <c r="D13" s="65" t="s">
        <v>402</v>
      </c>
      <c r="E13" s="244" t="s">
        <v>822</v>
      </c>
      <c r="F13" s="87" t="s">
        <v>403</v>
      </c>
      <c r="G13" s="261">
        <v>994857</v>
      </c>
      <c r="H13" s="261">
        <v>0</v>
      </c>
      <c r="I13" s="88">
        <f t="shared" ref="I13:I56" si="1">SUM(G13:H13)</f>
        <v>994857</v>
      </c>
      <c r="J13" s="65"/>
      <c r="K13" s="65"/>
    </row>
    <row r="14" spans="1:11" ht="15">
      <c r="A14" s="265" t="str">
        <f t="shared" si="0"/>
        <v>L</v>
      </c>
      <c r="B14" s="65" t="s">
        <v>171</v>
      </c>
      <c r="C14" s="65"/>
      <c r="D14" s="65" t="s">
        <v>404</v>
      </c>
      <c r="E14" s="244" t="s">
        <v>822</v>
      </c>
      <c r="F14" s="87" t="s">
        <v>405</v>
      </c>
      <c r="G14" s="261">
        <v>173818</v>
      </c>
      <c r="H14" s="261">
        <v>0</v>
      </c>
      <c r="I14" s="88">
        <f t="shared" si="1"/>
        <v>173818</v>
      </c>
      <c r="J14" s="65"/>
      <c r="K14" s="65"/>
    </row>
    <row r="15" spans="1:11" ht="15">
      <c r="A15" s="267" t="s">
        <v>525</v>
      </c>
      <c r="B15" s="259" t="s">
        <v>823</v>
      </c>
      <c r="C15" s="259"/>
      <c r="D15" s="259" t="s">
        <v>824</v>
      </c>
      <c r="E15" s="258" t="s">
        <v>822</v>
      </c>
      <c r="F15" s="258" t="s">
        <v>825</v>
      </c>
      <c r="G15" s="262">
        <v>1516</v>
      </c>
      <c r="H15" s="262">
        <v>0</v>
      </c>
      <c r="I15" s="260">
        <f t="shared" si="1"/>
        <v>1516</v>
      </c>
      <c r="J15" s="65"/>
      <c r="K15" s="65"/>
    </row>
    <row r="16" spans="1:11" ht="15">
      <c r="A16" s="265" t="str">
        <f t="shared" si="0"/>
        <v>S</v>
      </c>
      <c r="B16" s="65" t="s">
        <v>698</v>
      </c>
      <c r="C16" s="65"/>
      <c r="D16" s="65" t="s">
        <v>699</v>
      </c>
      <c r="E16" s="87" t="s">
        <v>59</v>
      </c>
      <c r="F16" s="87" t="s">
        <v>406</v>
      </c>
      <c r="G16" s="261">
        <v>11015</v>
      </c>
      <c r="H16" s="261">
        <v>1172</v>
      </c>
      <c r="I16" s="88">
        <f t="shared" si="1"/>
        <v>12187</v>
      </c>
      <c r="J16" s="65"/>
      <c r="K16" s="65"/>
    </row>
    <row r="17" spans="1:11" ht="15">
      <c r="A17" s="265" t="str">
        <f t="shared" si="0"/>
        <v>S</v>
      </c>
      <c r="B17" s="65" t="s">
        <v>826</v>
      </c>
      <c r="C17" s="65"/>
      <c r="D17" s="65" t="s">
        <v>61</v>
      </c>
      <c r="E17" s="244" t="s">
        <v>59</v>
      </c>
      <c r="F17" s="87" t="s">
        <v>406</v>
      </c>
      <c r="G17" s="261">
        <v>2832</v>
      </c>
      <c r="H17" s="261">
        <v>300</v>
      </c>
      <c r="I17" s="88">
        <f t="shared" si="1"/>
        <v>3132</v>
      </c>
      <c r="J17" s="65"/>
      <c r="K17" s="65"/>
    </row>
    <row r="18" spans="1:11" ht="15">
      <c r="A18" s="265" t="str">
        <f t="shared" si="0"/>
        <v>S</v>
      </c>
      <c r="B18" s="65" t="s">
        <v>827</v>
      </c>
      <c r="C18" s="65"/>
      <c r="D18" s="65" t="s">
        <v>701</v>
      </c>
      <c r="E18" s="87" t="s">
        <v>514</v>
      </c>
      <c r="F18" s="87" t="s">
        <v>406</v>
      </c>
      <c r="G18" s="261">
        <v>132001</v>
      </c>
      <c r="H18" s="261">
        <v>15217</v>
      </c>
      <c r="I18" s="88">
        <f t="shared" si="1"/>
        <v>147218</v>
      </c>
      <c r="J18" s="65"/>
      <c r="K18" s="65"/>
    </row>
    <row r="19" spans="1:11" ht="15">
      <c r="A19" s="265" t="str">
        <f t="shared" si="0"/>
        <v>S</v>
      </c>
      <c r="B19" s="65" t="s">
        <v>700</v>
      </c>
      <c r="C19" s="65"/>
      <c r="D19" s="65" t="s">
        <v>702</v>
      </c>
      <c r="E19" s="87" t="s">
        <v>514</v>
      </c>
      <c r="F19" s="87" t="s">
        <v>406</v>
      </c>
      <c r="G19" s="261">
        <v>5618638</v>
      </c>
      <c r="H19" s="261">
        <v>626190</v>
      </c>
      <c r="I19" s="88">
        <f t="shared" si="1"/>
        <v>6244828</v>
      </c>
      <c r="J19" s="65"/>
      <c r="K19" s="65"/>
    </row>
    <row r="20" spans="1:11" ht="15">
      <c r="A20" s="265" t="str">
        <f t="shared" si="0"/>
        <v>L</v>
      </c>
      <c r="B20" s="65" t="s">
        <v>828</v>
      </c>
      <c r="C20" s="65"/>
      <c r="D20" s="65" t="s">
        <v>704</v>
      </c>
      <c r="E20" s="87" t="s">
        <v>64</v>
      </c>
      <c r="F20" s="87" t="s">
        <v>406</v>
      </c>
      <c r="G20" s="261">
        <v>498849</v>
      </c>
      <c r="H20" s="261">
        <v>58350</v>
      </c>
      <c r="I20" s="88">
        <f t="shared" si="1"/>
        <v>557199</v>
      </c>
      <c r="J20" s="65"/>
      <c r="K20" s="65"/>
    </row>
    <row r="21" spans="1:11" ht="15">
      <c r="A21" s="265" t="str">
        <f t="shared" si="0"/>
        <v>S</v>
      </c>
      <c r="B21" s="65" t="s">
        <v>829</v>
      </c>
      <c r="C21" s="65"/>
      <c r="D21" s="65" t="s">
        <v>705</v>
      </c>
      <c r="E21" s="87" t="s">
        <v>59</v>
      </c>
      <c r="F21" s="87" t="s">
        <v>406</v>
      </c>
      <c r="G21" s="261">
        <v>2034</v>
      </c>
      <c r="H21" s="261">
        <v>251</v>
      </c>
      <c r="I21" s="88">
        <f t="shared" si="1"/>
        <v>2285</v>
      </c>
      <c r="J21" s="65"/>
      <c r="K21" s="65"/>
    </row>
    <row r="22" spans="1:11" ht="15">
      <c r="A22" s="265" t="str">
        <f t="shared" si="0"/>
        <v>L</v>
      </c>
      <c r="B22" s="65" t="s">
        <v>703</v>
      </c>
      <c r="C22" s="65"/>
      <c r="D22" s="65" t="s">
        <v>407</v>
      </c>
      <c r="E22" s="87" t="s">
        <v>62</v>
      </c>
      <c r="F22" s="87" t="s">
        <v>406</v>
      </c>
      <c r="G22" s="263">
        <v>0</v>
      </c>
      <c r="H22" s="263">
        <v>12900</v>
      </c>
      <c r="I22" s="88">
        <f t="shared" si="1"/>
        <v>12900</v>
      </c>
      <c r="J22" s="65"/>
      <c r="K22" s="65"/>
    </row>
    <row r="23" spans="1:11" ht="15">
      <c r="A23" s="265" t="str">
        <f t="shared" si="0"/>
        <v>L</v>
      </c>
      <c r="B23" s="65" t="s">
        <v>830</v>
      </c>
      <c r="C23" s="65"/>
      <c r="D23" s="65" t="s">
        <v>515</v>
      </c>
      <c r="E23" s="87" t="s">
        <v>60</v>
      </c>
      <c r="F23" s="87" t="s">
        <v>406</v>
      </c>
      <c r="G23" s="263">
        <v>625564</v>
      </c>
      <c r="H23" s="263">
        <v>71460</v>
      </c>
      <c r="I23" s="88">
        <f t="shared" si="1"/>
        <v>697024</v>
      </c>
      <c r="J23" s="65"/>
      <c r="K23" s="65"/>
    </row>
    <row r="24" spans="1:11" ht="15">
      <c r="A24" s="265" t="str">
        <f t="shared" si="0"/>
        <v>S</v>
      </c>
      <c r="B24" s="65" t="s">
        <v>831</v>
      </c>
      <c r="C24" s="65"/>
      <c r="D24" s="65" t="s">
        <v>515</v>
      </c>
      <c r="E24" s="244" t="s">
        <v>832</v>
      </c>
      <c r="F24" s="87" t="s">
        <v>406</v>
      </c>
      <c r="G24" s="263">
        <v>30207</v>
      </c>
      <c r="H24" s="263">
        <v>3761</v>
      </c>
      <c r="I24" s="88">
        <f t="shared" si="1"/>
        <v>33968</v>
      </c>
      <c r="J24" s="65"/>
      <c r="K24" s="65"/>
    </row>
    <row r="25" spans="1:11" ht="15">
      <c r="A25" s="265" t="str">
        <f t="shared" si="0"/>
        <v>S</v>
      </c>
      <c r="B25" s="65" t="s">
        <v>833</v>
      </c>
      <c r="C25" s="65"/>
      <c r="D25" s="65" t="s">
        <v>408</v>
      </c>
      <c r="E25" s="87" t="s">
        <v>59</v>
      </c>
      <c r="F25" s="87" t="s">
        <v>406</v>
      </c>
      <c r="G25" s="263">
        <v>19971</v>
      </c>
      <c r="H25" s="263">
        <v>2468</v>
      </c>
      <c r="I25" s="88">
        <f t="shared" si="1"/>
        <v>22439</v>
      </c>
      <c r="J25" s="65"/>
      <c r="K25" s="65"/>
    </row>
    <row r="26" spans="1:11" ht="15">
      <c r="A26" s="265" t="str">
        <f t="shared" si="0"/>
        <v>S</v>
      </c>
      <c r="B26" s="65" t="s">
        <v>834</v>
      </c>
      <c r="C26" s="65"/>
      <c r="D26" s="65" t="s">
        <v>409</v>
      </c>
      <c r="E26" s="87" t="s">
        <v>59</v>
      </c>
      <c r="F26" s="87" t="s">
        <v>406</v>
      </c>
      <c r="G26" s="263">
        <v>6957</v>
      </c>
      <c r="H26" s="263">
        <v>836</v>
      </c>
      <c r="I26" s="88">
        <f t="shared" si="1"/>
        <v>7793</v>
      </c>
      <c r="J26" s="65"/>
      <c r="K26" s="65"/>
    </row>
    <row r="27" spans="1:11" ht="15">
      <c r="A27" s="265" t="str">
        <f t="shared" si="0"/>
        <v>L</v>
      </c>
      <c r="B27" s="65" t="s">
        <v>835</v>
      </c>
      <c r="C27" s="65"/>
      <c r="D27" s="65" t="s">
        <v>516</v>
      </c>
      <c r="E27" s="87" t="s">
        <v>62</v>
      </c>
      <c r="F27" s="87" t="s">
        <v>406</v>
      </c>
      <c r="G27" s="263">
        <v>0</v>
      </c>
      <c r="H27" s="263">
        <v>7200</v>
      </c>
      <c r="I27" s="88">
        <f t="shared" si="1"/>
        <v>7200</v>
      </c>
      <c r="J27" s="65"/>
      <c r="K27" s="65"/>
    </row>
    <row r="28" spans="1:11" ht="15">
      <c r="A28" s="265" t="str">
        <f t="shared" si="0"/>
        <v>S</v>
      </c>
      <c r="B28" s="65" t="s">
        <v>836</v>
      </c>
      <c r="D28" s="65" t="s">
        <v>837</v>
      </c>
      <c r="E28" s="244" t="s">
        <v>59</v>
      </c>
      <c r="F28" s="244" t="s">
        <v>406</v>
      </c>
      <c r="G28" s="263">
        <v>6929</v>
      </c>
      <c r="H28" s="263">
        <v>743</v>
      </c>
      <c r="I28" s="88">
        <f t="shared" si="1"/>
        <v>7672</v>
      </c>
      <c r="J28" s="65"/>
      <c r="K28" s="65"/>
    </row>
    <row r="29" spans="1:11" ht="15">
      <c r="A29" s="265" t="str">
        <f t="shared" si="0"/>
        <v>L</v>
      </c>
      <c r="B29" s="65" t="s">
        <v>838</v>
      </c>
      <c r="C29" s="65"/>
      <c r="D29" s="65" t="s">
        <v>410</v>
      </c>
      <c r="E29" s="87" t="s">
        <v>64</v>
      </c>
      <c r="F29" s="87" t="s">
        <v>406</v>
      </c>
      <c r="G29" s="263">
        <v>4886098</v>
      </c>
      <c r="H29" s="263">
        <v>619136</v>
      </c>
      <c r="I29" s="88">
        <f t="shared" si="1"/>
        <v>5505234</v>
      </c>
      <c r="J29" s="65"/>
      <c r="K29" s="65"/>
    </row>
    <row r="30" spans="1:11" ht="15">
      <c r="A30" s="265" t="str">
        <f t="shared" si="0"/>
        <v>S</v>
      </c>
      <c r="B30" s="65" t="s">
        <v>517</v>
      </c>
      <c r="C30" s="65"/>
      <c r="D30" s="65" t="s">
        <v>518</v>
      </c>
      <c r="E30" s="244" t="s">
        <v>59</v>
      </c>
      <c r="F30" s="87" t="s">
        <v>406</v>
      </c>
      <c r="G30" s="263">
        <v>72790</v>
      </c>
      <c r="H30" s="263">
        <v>8461</v>
      </c>
      <c r="I30" s="88">
        <f t="shared" si="1"/>
        <v>81251</v>
      </c>
      <c r="J30" s="65"/>
      <c r="K30" s="65"/>
    </row>
    <row r="31" spans="1:11" ht="15">
      <c r="A31" s="265" t="str">
        <f t="shared" si="0"/>
        <v>L</v>
      </c>
      <c r="B31" s="65" t="s">
        <v>840</v>
      </c>
      <c r="C31" s="65"/>
      <c r="D31" s="65" t="s">
        <v>706</v>
      </c>
      <c r="E31" s="87" t="s">
        <v>64</v>
      </c>
      <c r="F31" s="87" t="s">
        <v>406</v>
      </c>
      <c r="G31" s="263">
        <v>946568</v>
      </c>
      <c r="H31" s="263">
        <v>281405</v>
      </c>
      <c r="I31" s="88">
        <f>SUM(G31:H31)</f>
        <v>1227973</v>
      </c>
      <c r="J31" s="65"/>
      <c r="K31" s="65"/>
    </row>
    <row r="32" spans="1:11" ht="15">
      <c r="A32" s="265" t="str">
        <f t="shared" si="0"/>
        <v>S</v>
      </c>
      <c r="B32" s="65" t="s">
        <v>841</v>
      </c>
      <c r="C32" s="65"/>
      <c r="D32" s="65" t="s">
        <v>839</v>
      </c>
      <c r="E32" s="87" t="s">
        <v>59</v>
      </c>
      <c r="F32" s="87" t="s">
        <v>406</v>
      </c>
      <c r="G32" s="263">
        <v>276</v>
      </c>
      <c r="H32" s="263">
        <v>34</v>
      </c>
      <c r="I32" s="88">
        <f t="shared" si="1"/>
        <v>310</v>
      </c>
      <c r="J32" s="65"/>
      <c r="K32" s="65"/>
    </row>
    <row r="33" spans="1:11" ht="15">
      <c r="A33" s="265" t="str">
        <f>IF(OR(LEFT(E31,1)="L",LEFT(E31,1)="F",LEFT(E31,1)="O"),"L","S")</f>
        <v>L</v>
      </c>
      <c r="B33" s="65" t="s">
        <v>843</v>
      </c>
      <c r="C33" s="65"/>
      <c r="D33" s="65" t="s">
        <v>842</v>
      </c>
      <c r="E33" s="244" t="s">
        <v>64</v>
      </c>
      <c r="F33" s="244" t="s">
        <v>406</v>
      </c>
      <c r="G33" s="263">
        <v>372143</v>
      </c>
      <c r="H33" s="263">
        <v>59739</v>
      </c>
      <c r="I33" s="88">
        <f>SUM(G33:H33)</f>
        <v>431882</v>
      </c>
      <c r="J33" s="65"/>
      <c r="K33" s="65"/>
    </row>
    <row r="34" spans="1:11" ht="15">
      <c r="A34" s="265" t="str">
        <f t="shared" si="0"/>
        <v>L</v>
      </c>
      <c r="B34" s="65" t="s">
        <v>844</v>
      </c>
      <c r="C34" s="65"/>
      <c r="D34" s="65" t="s">
        <v>519</v>
      </c>
      <c r="E34" s="87" t="s">
        <v>62</v>
      </c>
      <c r="F34" s="87" t="s">
        <v>406</v>
      </c>
      <c r="G34" s="263">
        <v>0</v>
      </c>
      <c r="H34" s="263">
        <v>2700</v>
      </c>
      <c r="I34" s="88">
        <f t="shared" si="1"/>
        <v>2700</v>
      </c>
      <c r="J34" s="65"/>
      <c r="K34" s="65"/>
    </row>
    <row r="35" spans="1:11" ht="15">
      <c r="A35" s="265" t="str">
        <f t="shared" si="0"/>
        <v>L</v>
      </c>
      <c r="B35" s="65" t="s">
        <v>172</v>
      </c>
      <c r="C35" s="65"/>
      <c r="D35" s="65" t="s">
        <v>520</v>
      </c>
      <c r="E35" s="87" t="s">
        <v>62</v>
      </c>
      <c r="F35" s="87" t="s">
        <v>406</v>
      </c>
      <c r="G35" s="263">
        <v>0</v>
      </c>
      <c r="H35" s="263">
        <v>7200</v>
      </c>
      <c r="I35" s="88">
        <f t="shared" si="1"/>
        <v>7200</v>
      </c>
      <c r="J35" s="65"/>
      <c r="K35" s="65"/>
    </row>
    <row r="36" spans="1:11" ht="15">
      <c r="A36" s="265" t="str">
        <f t="shared" si="0"/>
        <v>S</v>
      </c>
      <c r="B36" s="65" t="s">
        <v>707</v>
      </c>
      <c r="C36" s="65"/>
      <c r="D36" s="65" t="s">
        <v>708</v>
      </c>
      <c r="E36" s="87" t="s">
        <v>59</v>
      </c>
      <c r="F36" s="87" t="s">
        <v>406</v>
      </c>
      <c r="G36" s="263">
        <v>11760</v>
      </c>
      <c r="H36" s="263">
        <v>1380</v>
      </c>
      <c r="I36" s="88">
        <f t="shared" si="1"/>
        <v>13140</v>
      </c>
      <c r="J36" s="65"/>
      <c r="K36" s="65"/>
    </row>
    <row r="37" spans="1:11" ht="15">
      <c r="A37" s="265" t="str">
        <f t="shared" si="0"/>
        <v>S</v>
      </c>
      <c r="B37" s="65" t="s">
        <v>846</v>
      </c>
      <c r="C37" s="65"/>
      <c r="D37" s="65" t="s">
        <v>63</v>
      </c>
      <c r="E37" s="87" t="s">
        <v>59</v>
      </c>
      <c r="F37" s="87" t="s">
        <v>406</v>
      </c>
      <c r="G37" s="263">
        <v>3016</v>
      </c>
      <c r="H37" s="263">
        <v>385</v>
      </c>
      <c r="I37" s="88">
        <f t="shared" si="1"/>
        <v>3401</v>
      </c>
      <c r="J37" s="65"/>
      <c r="K37" s="65"/>
    </row>
    <row r="38" spans="1:11" ht="15">
      <c r="A38" s="265" t="str">
        <f t="shared" si="0"/>
        <v>L</v>
      </c>
      <c r="B38" s="65" t="s">
        <v>847</v>
      </c>
      <c r="C38" s="65"/>
      <c r="D38" s="65" t="s">
        <v>521</v>
      </c>
      <c r="E38" s="87" t="s">
        <v>60</v>
      </c>
      <c r="F38" s="87" t="s">
        <v>406</v>
      </c>
      <c r="G38" s="263">
        <v>2128696</v>
      </c>
      <c r="H38" s="263">
        <v>240576</v>
      </c>
      <c r="I38" s="88">
        <f t="shared" si="1"/>
        <v>2369272</v>
      </c>
      <c r="J38" s="65"/>
      <c r="K38" s="65"/>
    </row>
    <row r="39" spans="1:11" ht="15">
      <c r="A39" s="265" t="str">
        <f t="shared" si="0"/>
        <v>S</v>
      </c>
      <c r="B39" s="65" t="s">
        <v>848</v>
      </c>
      <c r="C39" s="65"/>
      <c r="D39" s="65" t="s">
        <v>521</v>
      </c>
      <c r="E39" s="244" t="s">
        <v>832</v>
      </c>
      <c r="F39" s="244" t="s">
        <v>406</v>
      </c>
      <c r="G39" s="263">
        <v>351018</v>
      </c>
      <c r="H39" s="263">
        <v>39012</v>
      </c>
      <c r="I39" s="88">
        <f t="shared" ref="I39" si="2">SUM(G39:H39)</f>
        <v>390030</v>
      </c>
      <c r="J39" s="65"/>
      <c r="K39" s="65"/>
    </row>
    <row r="40" spans="1:11" ht="15">
      <c r="A40" s="265" t="str">
        <f t="shared" si="0"/>
        <v>L</v>
      </c>
      <c r="B40" s="65" t="s">
        <v>849</v>
      </c>
      <c r="C40" s="65"/>
      <c r="D40" s="65" t="s">
        <v>522</v>
      </c>
      <c r="E40" s="87" t="s">
        <v>64</v>
      </c>
      <c r="F40" s="87" t="s">
        <v>406</v>
      </c>
      <c r="G40" s="263">
        <v>21986750</v>
      </c>
      <c r="H40" s="263">
        <v>2731322</v>
      </c>
      <c r="I40" s="88">
        <f t="shared" si="1"/>
        <v>24718072</v>
      </c>
      <c r="J40" s="65"/>
      <c r="K40" s="65"/>
    </row>
    <row r="41" spans="1:11" ht="15">
      <c r="A41" s="265" t="str">
        <f t="shared" si="0"/>
        <v>L</v>
      </c>
      <c r="B41" s="65" t="s">
        <v>850</v>
      </c>
      <c r="C41" s="65"/>
      <c r="D41" s="65" t="s">
        <v>411</v>
      </c>
      <c r="E41" s="87" t="s">
        <v>64</v>
      </c>
      <c r="F41" s="87" t="s">
        <v>406</v>
      </c>
      <c r="G41" s="263">
        <v>14771312</v>
      </c>
      <c r="H41" s="263">
        <v>887446</v>
      </c>
      <c r="I41" s="88">
        <f t="shared" si="1"/>
        <v>15658758</v>
      </c>
      <c r="J41" s="65"/>
      <c r="K41" s="65"/>
    </row>
    <row r="42" spans="1:11" ht="15">
      <c r="A42" s="265" t="str">
        <f t="shared" si="0"/>
        <v>S</v>
      </c>
      <c r="B42" s="65" t="s">
        <v>851</v>
      </c>
      <c r="C42" s="65"/>
      <c r="D42" s="65" t="s">
        <v>523</v>
      </c>
      <c r="E42" s="87" t="s">
        <v>59</v>
      </c>
      <c r="F42" s="87" t="s">
        <v>406</v>
      </c>
      <c r="G42" s="263">
        <v>1687</v>
      </c>
      <c r="H42" s="263">
        <v>197</v>
      </c>
      <c r="I42" s="88">
        <f t="shared" si="1"/>
        <v>1884</v>
      </c>
      <c r="J42" s="65"/>
      <c r="K42" s="65"/>
    </row>
    <row r="43" spans="1:11" ht="15">
      <c r="A43" s="265" t="str">
        <f t="shared" si="0"/>
        <v>L</v>
      </c>
      <c r="B43" s="65" t="s">
        <v>852</v>
      </c>
      <c r="C43" s="65"/>
      <c r="D43" s="65" t="s">
        <v>845</v>
      </c>
      <c r="E43" s="87" t="s">
        <v>64</v>
      </c>
      <c r="F43" s="87" t="s">
        <v>406</v>
      </c>
      <c r="G43" s="263">
        <v>292604</v>
      </c>
      <c r="H43" s="263">
        <v>64417</v>
      </c>
      <c r="I43" s="88">
        <f t="shared" si="1"/>
        <v>357021</v>
      </c>
      <c r="J43" s="65"/>
      <c r="K43" s="65"/>
    </row>
    <row r="44" spans="1:11" ht="15">
      <c r="A44" s="265" t="str">
        <f t="shared" si="0"/>
        <v>S</v>
      </c>
      <c r="B44" s="65" t="s">
        <v>853</v>
      </c>
      <c r="C44" s="65"/>
      <c r="D44" s="65" t="s">
        <v>854</v>
      </c>
      <c r="E44" s="87" t="s">
        <v>59</v>
      </c>
      <c r="F44" s="87" t="s">
        <v>406</v>
      </c>
      <c r="G44" s="263">
        <v>1161</v>
      </c>
      <c r="H44" s="263">
        <v>145</v>
      </c>
      <c r="I44" s="88">
        <f t="shared" si="1"/>
        <v>1306</v>
      </c>
      <c r="J44" s="65"/>
      <c r="K44" s="65"/>
    </row>
    <row r="45" spans="1:11" ht="15">
      <c r="A45" s="265" t="str">
        <f t="shared" si="0"/>
        <v>S</v>
      </c>
      <c r="B45" s="65" t="s">
        <v>856</v>
      </c>
      <c r="C45" s="65"/>
      <c r="D45" s="65" t="s">
        <v>855</v>
      </c>
      <c r="E45" s="87" t="s">
        <v>59</v>
      </c>
      <c r="F45" s="87" t="s">
        <v>406</v>
      </c>
      <c r="G45" s="263">
        <v>3578</v>
      </c>
      <c r="H45" s="263">
        <v>446</v>
      </c>
      <c r="I45" s="88">
        <f t="shared" si="1"/>
        <v>4024</v>
      </c>
      <c r="J45" s="65"/>
      <c r="K45" s="65"/>
    </row>
    <row r="46" spans="1:11" ht="15">
      <c r="A46" s="265" t="str">
        <f t="shared" si="0"/>
        <v>L</v>
      </c>
      <c r="B46" s="65" t="s">
        <v>412</v>
      </c>
      <c r="C46" s="65"/>
      <c r="D46" s="65" t="s">
        <v>709</v>
      </c>
      <c r="E46" s="87" t="s">
        <v>64</v>
      </c>
      <c r="F46" s="87" t="s">
        <v>406</v>
      </c>
      <c r="G46" s="263">
        <v>350957</v>
      </c>
      <c r="H46" s="263">
        <v>123923</v>
      </c>
      <c r="I46" s="88">
        <f t="shared" si="1"/>
        <v>474880</v>
      </c>
      <c r="J46" s="65"/>
      <c r="K46" s="65"/>
    </row>
    <row r="47" spans="1:11" ht="15">
      <c r="A47" s="265" t="str">
        <f t="shared" si="0"/>
        <v>S</v>
      </c>
      <c r="B47" s="65" t="s">
        <v>857</v>
      </c>
      <c r="C47" s="65"/>
      <c r="D47" s="65" t="s">
        <v>65</v>
      </c>
      <c r="E47" s="87" t="s">
        <v>514</v>
      </c>
      <c r="F47" s="87" t="s">
        <v>406</v>
      </c>
      <c r="G47" s="263">
        <v>247930</v>
      </c>
      <c r="H47" s="263">
        <v>28272</v>
      </c>
      <c r="I47" s="88">
        <f t="shared" si="1"/>
        <v>276202</v>
      </c>
      <c r="J47" s="65"/>
      <c r="K47" s="65"/>
    </row>
    <row r="48" spans="1:11" ht="15">
      <c r="A48" s="265" t="str">
        <f t="shared" si="0"/>
        <v>S</v>
      </c>
      <c r="B48" s="65" t="s">
        <v>413</v>
      </c>
      <c r="C48" s="65"/>
      <c r="D48" s="65" t="s">
        <v>858</v>
      </c>
      <c r="E48" s="87" t="s">
        <v>59</v>
      </c>
      <c r="F48" s="87" t="s">
        <v>406</v>
      </c>
      <c r="G48" s="263">
        <v>87</v>
      </c>
      <c r="H48" s="263">
        <v>11</v>
      </c>
      <c r="I48" s="88">
        <f t="shared" si="1"/>
        <v>98</v>
      </c>
      <c r="J48" s="65"/>
      <c r="K48" s="65"/>
    </row>
    <row r="49" spans="1:11" ht="15">
      <c r="A49" s="265" t="str">
        <f t="shared" si="0"/>
        <v>L</v>
      </c>
      <c r="B49" s="65" t="s">
        <v>414</v>
      </c>
      <c r="C49" s="65"/>
      <c r="D49" s="65" t="s">
        <v>711</v>
      </c>
      <c r="E49" s="87" t="s">
        <v>64</v>
      </c>
      <c r="F49" s="87" t="s">
        <v>406</v>
      </c>
      <c r="G49" s="263">
        <v>53286</v>
      </c>
      <c r="H49" s="263">
        <v>10846</v>
      </c>
      <c r="I49" s="88">
        <f t="shared" si="1"/>
        <v>64132</v>
      </c>
      <c r="J49" s="65"/>
      <c r="K49" s="65"/>
    </row>
    <row r="50" spans="1:11" ht="15">
      <c r="A50" s="265" t="str">
        <f t="shared" si="0"/>
        <v>L</v>
      </c>
      <c r="B50" s="65" t="s">
        <v>859</v>
      </c>
      <c r="C50" s="65"/>
      <c r="D50" s="89" t="s">
        <v>712</v>
      </c>
      <c r="E50" s="90" t="s">
        <v>64</v>
      </c>
      <c r="F50" s="87" t="s">
        <v>406</v>
      </c>
      <c r="G50" s="263">
        <v>54901</v>
      </c>
      <c r="H50" s="263">
        <v>10014</v>
      </c>
      <c r="I50" s="88">
        <f t="shared" si="1"/>
        <v>64915</v>
      </c>
      <c r="J50" s="65"/>
      <c r="K50" s="65"/>
    </row>
    <row r="51" spans="1:11" ht="15">
      <c r="A51" s="265" t="str">
        <f t="shared" si="0"/>
        <v>L</v>
      </c>
      <c r="B51" s="65" t="s">
        <v>860</v>
      </c>
      <c r="C51" s="65"/>
      <c r="D51" s="65" t="s">
        <v>715</v>
      </c>
      <c r="E51" s="87" t="s">
        <v>64</v>
      </c>
      <c r="F51" s="87" t="s">
        <v>406</v>
      </c>
      <c r="G51" s="263">
        <v>32143</v>
      </c>
      <c r="H51" s="263">
        <v>7573</v>
      </c>
      <c r="I51" s="88">
        <f t="shared" si="1"/>
        <v>39716</v>
      </c>
      <c r="J51" s="65"/>
      <c r="K51" s="65"/>
    </row>
    <row r="52" spans="1:11" ht="15">
      <c r="A52" s="265" t="str">
        <f t="shared" si="0"/>
        <v>L</v>
      </c>
      <c r="B52" s="65" t="s">
        <v>861</v>
      </c>
      <c r="C52" s="65"/>
      <c r="D52" s="89" t="s">
        <v>716</v>
      </c>
      <c r="E52" s="90" t="s">
        <v>64</v>
      </c>
      <c r="F52" s="87" t="s">
        <v>406</v>
      </c>
      <c r="G52" s="263">
        <v>53048</v>
      </c>
      <c r="H52" s="263">
        <v>9485</v>
      </c>
      <c r="I52" s="88">
        <f t="shared" si="1"/>
        <v>62533</v>
      </c>
      <c r="J52" s="65"/>
      <c r="K52" s="65"/>
    </row>
    <row r="53" spans="1:11" ht="15">
      <c r="A53" s="265" t="str">
        <f t="shared" si="0"/>
        <v>L</v>
      </c>
      <c r="B53" s="65" t="s">
        <v>710</v>
      </c>
      <c r="C53" s="65"/>
      <c r="D53" s="89" t="s">
        <v>717</v>
      </c>
      <c r="E53" s="87" t="s">
        <v>64</v>
      </c>
      <c r="F53" s="87" t="s">
        <v>406</v>
      </c>
      <c r="G53" s="263">
        <v>174715</v>
      </c>
      <c r="H53" s="263">
        <v>47740</v>
      </c>
      <c r="I53" s="88">
        <f t="shared" si="1"/>
        <v>222455</v>
      </c>
      <c r="J53" s="65"/>
      <c r="K53" s="65"/>
    </row>
    <row r="54" spans="1:11" ht="15">
      <c r="A54" s="265" t="str">
        <f t="shared" si="0"/>
        <v>S</v>
      </c>
      <c r="B54" s="65" t="s">
        <v>713</v>
      </c>
      <c r="C54" s="65"/>
      <c r="D54" s="65" t="s">
        <v>862</v>
      </c>
      <c r="E54" s="244" t="s">
        <v>59</v>
      </c>
      <c r="F54" s="244" t="s">
        <v>406</v>
      </c>
      <c r="G54" s="263">
        <v>1</v>
      </c>
      <c r="H54" s="263">
        <v>0</v>
      </c>
      <c r="I54" s="88">
        <f t="shared" ref="I54:I55" si="3">SUM(G54:H54)</f>
        <v>1</v>
      </c>
      <c r="J54" s="65"/>
      <c r="K54" s="65"/>
    </row>
    <row r="55" spans="1:11" ht="15">
      <c r="A55" s="265" t="str">
        <f t="shared" si="0"/>
        <v>L</v>
      </c>
      <c r="B55" s="65" t="s">
        <v>714</v>
      </c>
      <c r="C55" s="65"/>
      <c r="D55" s="65" t="s">
        <v>718</v>
      </c>
      <c r="E55" s="244" t="s">
        <v>64</v>
      </c>
      <c r="F55" s="244" t="s">
        <v>406</v>
      </c>
      <c r="G55" s="263">
        <v>131315</v>
      </c>
      <c r="H55" s="263">
        <v>13203</v>
      </c>
      <c r="I55" s="88">
        <f t="shared" si="3"/>
        <v>144518</v>
      </c>
      <c r="J55" s="65"/>
      <c r="K55" s="65"/>
    </row>
    <row r="56" spans="1:11" ht="15">
      <c r="A56" s="265" t="str">
        <f t="shared" si="0"/>
        <v>S</v>
      </c>
      <c r="B56" s="65" t="s">
        <v>415</v>
      </c>
      <c r="C56" s="65"/>
      <c r="D56" s="65" t="s">
        <v>863</v>
      </c>
      <c r="E56" s="244" t="s">
        <v>59</v>
      </c>
      <c r="F56" s="87" t="s">
        <v>406</v>
      </c>
      <c r="G56" s="263">
        <v>2346</v>
      </c>
      <c r="H56" s="263">
        <v>254</v>
      </c>
      <c r="I56" s="88">
        <f t="shared" si="1"/>
        <v>2600</v>
      </c>
      <c r="J56" s="65"/>
      <c r="K56" s="65"/>
    </row>
    <row r="57" spans="1:11" ht="12.75" customHeight="1">
      <c r="A57" s="93"/>
      <c r="B57" s="65"/>
      <c r="C57" s="65"/>
      <c r="D57" s="65"/>
      <c r="E57" s="65"/>
      <c r="F57" s="65"/>
      <c r="G57" s="89"/>
      <c r="H57" s="89"/>
      <c r="I57" s="65"/>
      <c r="J57" s="65"/>
      <c r="K57" s="65"/>
    </row>
    <row r="58" spans="1:11" ht="12.75" customHeight="1">
      <c r="A58" s="93"/>
      <c r="B58" s="65"/>
      <c r="C58" s="65"/>
      <c r="D58" s="65" t="s">
        <v>524</v>
      </c>
      <c r="E58" s="65"/>
      <c r="F58" s="65"/>
      <c r="G58" s="91">
        <f>SUM(G13:G56)</f>
        <v>55055374</v>
      </c>
      <c r="H58" s="91">
        <f>SUM(H13:H56)</f>
        <v>5996170</v>
      </c>
      <c r="I58" s="92">
        <f>SUM(I13:I56)</f>
        <v>61051544</v>
      </c>
      <c r="J58" s="65"/>
      <c r="K58" s="65"/>
    </row>
    <row r="59" spans="1:11" ht="12.75" customHeight="1">
      <c r="A59" s="93"/>
      <c r="B59" s="65"/>
      <c r="C59" s="65"/>
      <c r="D59" s="65"/>
      <c r="E59" s="65"/>
      <c r="F59" s="65"/>
      <c r="G59" s="89"/>
      <c r="H59" s="89"/>
      <c r="I59" s="65"/>
      <c r="J59" s="65"/>
      <c r="K59" s="65"/>
    </row>
    <row r="60" spans="1:11" ht="12.75" customHeight="1">
      <c r="A60" s="93" t="s">
        <v>525</v>
      </c>
      <c r="B60" s="65"/>
      <c r="C60" s="65"/>
      <c r="D60" s="65" t="s">
        <v>526</v>
      </c>
      <c r="E60" s="65"/>
      <c r="F60" s="65"/>
      <c r="G60" s="91">
        <f>SUMIF($A13:$A56,$A60,G13:G56)</f>
        <v>6527750</v>
      </c>
      <c r="H60" s="91">
        <f>SUMIF($A13:$A56,$A60,H13:H56)</f>
        <v>729535</v>
      </c>
      <c r="I60" s="92">
        <f>SUMIF($A13:$A56,$A60,I13:I56)</f>
        <v>7257285</v>
      </c>
      <c r="J60" s="65"/>
      <c r="K60" s="65"/>
    </row>
    <row r="61" spans="1:11">
      <c r="G61" s="43"/>
      <c r="H61" s="43"/>
      <c r="I61" s="43"/>
    </row>
    <row r="62" spans="1:11" ht="15">
      <c r="D62" s="89" t="s">
        <v>779</v>
      </c>
      <c r="E62" s="236"/>
      <c r="F62" s="236"/>
      <c r="G62" s="264">
        <v>-272448</v>
      </c>
      <c r="I62" s="43"/>
    </row>
    <row r="64" spans="1:11" ht="15">
      <c r="D64" s="65" t="s">
        <v>771</v>
      </c>
      <c r="G64" s="176">
        <f>G60+G62</f>
        <v>6255302</v>
      </c>
    </row>
    <row r="66" spans="2:8" ht="15">
      <c r="B66" s="266" t="s">
        <v>864</v>
      </c>
      <c r="C66" s="259" t="s">
        <v>865</v>
      </c>
      <c r="D66" s="259"/>
      <c r="E66" s="259"/>
      <c r="F66" s="259"/>
      <c r="G66" s="259"/>
      <c r="H66" s="259"/>
    </row>
    <row r="71" spans="2:8">
      <c r="G71" s="231"/>
    </row>
  </sheetData>
  <mergeCells count="5">
    <mergeCell ref="B10:B11"/>
    <mergeCell ref="I1:J1"/>
    <mergeCell ref="A5:J5"/>
    <mergeCell ref="A6:J6"/>
    <mergeCell ref="I3:J3"/>
  </mergeCells>
  <phoneticPr fontId="25" type="noConversion"/>
  <printOptions horizontalCentered="1"/>
  <pageMargins left="0.75" right="0.75" top="1" bottom="1" header="0.5" footer="0.5"/>
  <pageSetup scale="6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Q52"/>
  <sheetViews>
    <sheetView zoomScaleNormal="100" workbookViewId="0">
      <selection sqref="A1:J34"/>
    </sheetView>
  </sheetViews>
  <sheetFormatPr defaultRowHeight="12.75"/>
  <cols>
    <col min="1" max="1" width="5.7109375" style="41" customWidth="1"/>
    <col min="2" max="2" width="38.7109375" style="41" customWidth="1"/>
    <col min="3" max="3" width="13.5703125" style="41" bestFit="1" customWidth="1"/>
    <col min="4" max="4" width="5.7109375" style="41" customWidth="1"/>
    <col min="5" max="6" width="9.140625" style="41"/>
    <col min="7" max="7" width="5.7109375" style="41" customWidth="1"/>
    <col min="8" max="8" width="14.7109375" style="41" customWidth="1"/>
    <col min="9" max="9" width="5.7109375" style="41" customWidth="1"/>
    <col min="10" max="12" width="9.140625" style="41"/>
    <col min="13" max="13" width="10.85546875" style="41" bestFit="1" customWidth="1"/>
    <col min="14" max="14" width="9.140625" style="41"/>
    <col min="15" max="15" width="10.7109375" style="41" bestFit="1" customWidth="1"/>
    <col min="16" max="16384" width="9.140625" style="41"/>
  </cols>
  <sheetData>
    <row r="1" spans="1:17" ht="15.75">
      <c r="A1" s="65"/>
      <c r="B1" s="65"/>
      <c r="C1" s="65"/>
      <c r="D1" s="65"/>
      <c r="E1" s="65"/>
      <c r="F1" s="65"/>
      <c r="G1" s="65"/>
      <c r="H1" s="291" t="s">
        <v>400</v>
      </c>
      <c r="I1" s="291"/>
      <c r="J1" s="65"/>
    </row>
    <row r="2" spans="1:17" ht="15.75">
      <c r="A2" s="65"/>
      <c r="B2" s="65"/>
      <c r="C2" s="65"/>
      <c r="D2" s="65"/>
      <c r="E2" s="65"/>
      <c r="F2" s="65"/>
      <c r="G2" s="65"/>
      <c r="H2" s="85" t="s">
        <v>557</v>
      </c>
      <c r="I2" s="85"/>
      <c r="J2" s="65"/>
    </row>
    <row r="3" spans="1:17" ht="15">
      <c r="A3" s="65"/>
      <c r="B3" s="65"/>
      <c r="C3" s="65"/>
      <c r="D3" s="65"/>
      <c r="E3" s="65"/>
      <c r="F3" s="65"/>
      <c r="G3" s="65"/>
      <c r="H3" s="292" t="str">
        <f>FF1_Year</f>
        <v>Year Ending 12/31/2009</v>
      </c>
      <c r="I3" s="292"/>
      <c r="J3" s="292"/>
    </row>
    <row r="4" spans="1:17" ht="1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7" ht="15">
      <c r="A5" s="293" t="s">
        <v>395</v>
      </c>
      <c r="B5" s="289"/>
      <c r="C5" s="289"/>
      <c r="D5" s="289"/>
      <c r="E5" s="289"/>
      <c r="F5" s="289"/>
      <c r="G5" s="289"/>
      <c r="H5" s="289"/>
      <c r="I5" s="289"/>
      <c r="J5" s="65"/>
    </row>
    <row r="6" spans="1:17" ht="15">
      <c r="A6" s="289" t="s">
        <v>393</v>
      </c>
      <c r="B6" s="289"/>
      <c r="C6" s="289"/>
      <c r="D6" s="289"/>
      <c r="E6" s="289"/>
      <c r="F6" s="289"/>
      <c r="G6" s="289"/>
      <c r="H6" s="289"/>
      <c r="I6" s="289"/>
      <c r="J6" s="65"/>
    </row>
    <row r="7" spans="1:17" ht="15">
      <c r="A7" s="289" t="s">
        <v>558</v>
      </c>
      <c r="B7" s="289"/>
      <c r="C7" s="289"/>
      <c r="D7" s="289"/>
      <c r="E7" s="289"/>
      <c r="F7" s="289"/>
      <c r="G7" s="289"/>
      <c r="H7" s="289"/>
      <c r="I7" s="289"/>
      <c r="J7" s="65"/>
    </row>
    <row r="8" spans="1:17" ht="15">
      <c r="A8" s="65"/>
      <c r="B8" s="65"/>
      <c r="C8" s="66"/>
      <c r="D8" s="66"/>
      <c r="E8" s="65"/>
      <c r="F8" s="65"/>
      <c r="G8" s="65"/>
      <c r="H8" s="65"/>
      <c r="I8" s="65"/>
      <c r="J8" s="65"/>
    </row>
    <row r="9" spans="1:17" ht="15">
      <c r="A9" s="65"/>
      <c r="B9" s="83" t="s">
        <v>563</v>
      </c>
      <c r="C9" s="67" t="s">
        <v>39</v>
      </c>
      <c r="D9" s="68"/>
      <c r="E9" s="290" t="s">
        <v>273</v>
      </c>
      <c r="F9" s="290"/>
      <c r="G9" s="65"/>
      <c r="H9" s="69" t="s">
        <v>443</v>
      </c>
      <c r="I9" s="65"/>
      <c r="J9" s="65"/>
      <c r="L9" s="100"/>
      <c r="M9" s="95"/>
      <c r="N9" s="95"/>
      <c r="O9" s="95"/>
      <c r="Q9" s="95"/>
    </row>
    <row r="10" spans="1:17" ht="15">
      <c r="A10" s="65"/>
      <c r="B10" s="94"/>
      <c r="C10" s="65"/>
      <c r="D10" s="65"/>
      <c r="E10" s="65"/>
      <c r="F10" s="65"/>
      <c r="G10" s="65"/>
      <c r="H10" s="65"/>
      <c r="I10" s="65"/>
      <c r="J10" s="65"/>
      <c r="L10" s="100"/>
      <c r="M10" s="95"/>
      <c r="O10" s="95"/>
      <c r="Q10" s="95"/>
    </row>
    <row r="11" spans="1:17" ht="15">
      <c r="A11" s="65"/>
      <c r="B11" s="73" t="s">
        <v>564</v>
      </c>
      <c r="C11" s="254">
        <v>376983.55</v>
      </c>
      <c r="D11" s="66"/>
      <c r="E11" s="65" t="s">
        <v>326</v>
      </c>
      <c r="F11" s="65"/>
      <c r="G11" s="65"/>
      <c r="H11" s="95" t="str">
        <f>IF(ISNUMBER(F11),C11*F11,"")</f>
        <v/>
      </c>
      <c r="I11" s="65"/>
      <c r="J11" s="100"/>
      <c r="L11" s="100"/>
      <c r="M11" s="95"/>
      <c r="O11" s="95"/>
      <c r="Q11" s="95"/>
    </row>
    <row r="12" spans="1:17" ht="15">
      <c r="A12" s="65"/>
      <c r="B12" s="73" t="s">
        <v>565</v>
      </c>
      <c r="C12" s="254">
        <v>58647.6</v>
      </c>
      <c r="D12" s="66"/>
      <c r="E12" s="65" t="s">
        <v>18</v>
      </c>
      <c r="F12" s="65"/>
      <c r="G12" s="65"/>
      <c r="H12" s="95" t="str">
        <f t="shared" ref="H12:H29" si="0">IF(ISNUMBER(F12),C12*F12,"")</f>
        <v/>
      </c>
      <c r="I12" s="65"/>
      <c r="J12" s="100"/>
      <c r="L12" s="100"/>
      <c r="M12" s="95"/>
      <c r="O12" s="95"/>
      <c r="Q12" s="95"/>
    </row>
    <row r="13" spans="1:17" ht="15">
      <c r="A13" s="65"/>
      <c r="B13" s="73" t="s">
        <v>566</v>
      </c>
      <c r="C13" s="254">
        <v>0</v>
      </c>
      <c r="D13" s="66"/>
      <c r="E13" s="65" t="s">
        <v>326</v>
      </c>
      <c r="F13" s="65"/>
      <c r="G13" s="65"/>
      <c r="H13" s="95" t="str">
        <f t="shared" si="0"/>
        <v/>
      </c>
      <c r="I13" s="65"/>
      <c r="J13" s="100"/>
      <c r="L13" s="100"/>
      <c r="M13" s="95"/>
      <c r="O13" s="95"/>
      <c r="Q13" s="95"/>
    </row>
    <row r="14" spans="1:17" ht="15">
      <c r="A14" s="65"/>
      <c r="B14" s="73" t="s">
        <v>567</v>
      </c>
      <c r="C14" s="254">
        <v>961670.9800000001</v>
      </c>
      <c r="D14" s="66"/>
      <c r="E14" s="65" t="s">
        <v>326</v>
      </c>
      <c r="F14" s="65"/>
      <c r="G14" s="65"/>
      <c r="H14" s="95" t="str">
        <f t="shared" si="0"/>
        <v/>
      </c>
      <c r="I14" s="65"/>
      <c r="J14" s="100"/>
      <c r="L14" s="100"/>
      <c r="M14" s="95"/>
      <c r="O14" s="95"/>
      <c r="Q14" s="95"/>
    </row>
    <row r="15" spans="1:17" ht="15">
      <c r="A15" s="65"/>
      <c r="B15" s="73" t="s">
        <v>568</v>
      </c>
      <c r="C15" s="254">
        <v>74100</v>
      </c>
      <c r="D15" s="65"/>
      <c r="E15" s="65" t="s">
        <v>324</v>
      </c>
      <c r="F15" s="65"/>
      <c r="G15" s="65"/>
      <c r="H15" s="95" t="str">
        <f t="shared" si="0"/>
        <v/>
      </c>
      <c r="I15" s="65"/>
      <c r="J15" s="100"/>
      <c r="L15" s="100"/>
      <c r="M15" s="95"/>
      <c r="O15" s="95"/>
      <c r="Q15" s="95"/>
    </row>
    <row r="16" spans="1:17" ht="15">
      <c r="A16" s="76"/>
      <c r="B16" s="96" t="s">
        <v>569</v>
      </c>
      <c r="C16" s="254">
        <v>0</v>
      </c>
      <c r="D16" s="65"/>
      <c r="E16" s="65" t="s">
        <v>322</v>
      </c>
      <c r="F16" s="65">
        <f>'PEC - 2 - Page 4 Support'!I$32</f>
        <v>4.5100020896118378E-2</v>
      </c>
      <c r="G16" s="65"/>
      <c r="H16" s="95">
        <f t="shared" si="0"/>
        <v>0</v>
      </c>
      <c r="I16" s="65"/>
      <c r="J16" s="100"/>
      <c r="L16" s="100"/>
      <c r="M16" s="95"/>
      <c r="O16" s="95"/>
      <c r="Q16" s="95"/>
    </row>
    <row r="17" spans="1:17" ht="15">
      <c r="A17" s="77"/>
      <c r="B17" s="96" t="s">
        <v>570</v>
      </c>
      <c r="C17" s="254">
        <v>186834.24</v>
      </c>
      <c r="D17" s="65"/>
      <c r="E17" s="65" t="s">
        <v>326</v>
      </c>
      <c r="F17" s="65"/>
      <c r="G17" s="65"/>
      <c r="H17" s="95" t="str">
        <f t="shared" si="0"/>
        <v/>
      </c>
      <c r="I17" s="65"/>
      <c r="J17" s="100"/>
      <c r="L17" s="100"/>
      <c r="M17" s="95"/>
      <c r="O17" s="95"/>
      <c r="Q17" s="95"/>
    </row>
    <row r="18" spans="1:17" ht="15">
      <c r="A18" s="78"/>
      <c r="B18" s="73" t="s">
        <v>571</v>
      </c>
      <c r="C18" s="254">
        <v>391357.85</v>
      </c>
      <c r="D18" s="65"/>
      <c r="E18" s="65" t="s">
        <v>324</v>
      </c>
      <c r="F18" s="65"/>
      <c r="G18" s="65"/>
      <c r="H18" s="95" t="str">
        <f t="shared" si="0"/>
        <v/>
      </c>
      <c r="I18" s="65"/>
      <c r="J18" s="100"/>
      <c r="L18" s="100"/>
      <c r="M18" s="95"/>
      <c r="O18" s="95"/>
      <c r="Q18" s="95"/>
    </row>
    <row r="19" spans="1:17" ht="15">
      <c r="A19" s="65"/>
      <c r="B19" s="97" t="s">
        <v>572</v>
      </c>
      <c r="C19" s="254">
        <v>151.68</v>
      </c>
      <c r="D19" s="65"/>
      <c r="E19" s="65" t="s">
        <v>326</v>
      </c>
      <c r="F19" s="65"/>
      <c r="G19" s="65"/>
      <c r="H19" s="95" t="str">
        <f t="shared" si="0"/>
        <v/>
      </c>
      <c r="I19" s="65"/>
      <c r="J19" s="100"/>
      <c r="L19" s="100"/>
      <c r="M19" s="95"/>
      <c r="O19" s="95"/>
      <c r="Q19" s="95"/>
    </row>
    <row r="20" spans="1:17" ht="15">
      <c r="A20" s="65"/>
      <c r="B20" s="98" t="s">
        <v>573</v>
      </c>
      <c r="C20" s="254">
        <v>125780</v>
      </c>
      <c r="D20" s="65"/>
      <c r="E20" s="65" t="s">
        <v>326</v>
      </c>
      <c r="F20" s="65"/>
      <c r="G20" s="65"/>
      <c r="H20" s="95" t="str">
        <f t="shared" si="0"/>
        <v/>
      </c>
      <c r="I20" s="65"/>
      <c r="J20" s="100"/>
      <c r="L20" s="65"/>
      <c r="M20" s="95"/>
      <c r="O20" s="95"/>
      <c r="Q20" s="95"/>
    </row>
    <row r="21" spans="1:17" ht="15">
      <c r="A21" s="65"/>
      <c r="B21" s="99" t="s">
        <v>719</v>
      </c>
      <c r="C21" s="254">
        <v>3100</v>
      </c>
      <c r="D21" s="65"/>
      <c r="E21" s="65" t="s">
        <v>326</v>
      </c>
      <c r="F21" s="65"/>
      <c r="G21" s="65"/>
      <c r="H21" s="95" t="str">
        <f t="shared" si="0"/>
        <v/>
      </c>
      <c r="I21" s="65"/>
      <c r="J21" s="100"/>
      <c r="L21" s="100"/>
      <c r="M21" s="95"/>
      <c r="O21" s="95"/>
      <c r="Q21" s="95"/>
    </row>
    <row r="22" spans="1:17" ht="15">
      <c r="A22" s="65"/>
      <c r="B22" s="101" t="s">
        <v>574</v>
      </c>
      <c r="C22" s="255">
        <v>3950661.49</v>
      </c>
      <c r="D22" s="65"/>
      <c r="E22" s="65" t="s">
        <v>326</v>
      </c>
      <c r="F22" s="65"/>
      <c r="G22" s="65"/>
      <c r="H22" s="95" t="str">
        <f t="shared" si="0"/>
        <v/>
      </c>
      <c r="I22" s="65"/>
      <c r="J22" s="100"/>
      <c r="L22" s="100"/>
      <c r="M22" s="95"/>
      <c r="O22" s="95"/>
      <c r="Q22" s="95"/>
    </row>
    <row r="23" spans="1:17" ht="15">
      <c r="A23" s="78"/>
      <c r="B23" s="101" t="s">
        <v>575</v>
      </c>
      <c r="C23" s="255">
        <v>1255321.31</v>
      </c>
      <c r="D23" s="65"/>
      <c r="E23" s="65" t="s">
        <v>326</v>
      </c>
      <c r="F23" s="65"/>
      <c r="G23" s="65"/>
      <c r="H23" s="95" t="str">
        <f t="shared" si="0"/>
        <v/>
      </c>
      <c r="I23" s="65"/>
      <c r="J23" s="100"/>
      <c r="L23" s="65"/>
      <c r="M23" s="95"/>
      <c r="O23" s="95"/>
      <c r="Q23" s="95"/>
    </row>
    <row r="24" spans="1:17" ht="15">
      <c r="A24" s="65"/>
      <c r="B24" s="97" t="s">
        <v>576</v>
      </c>
      <c r="C24" s="254">
        <v>300000</v>
      </c>
      <c r="D24" s="65"/>
      <c r="E24" s="65" t="s">
        <v>326</v>
      </c>
      <c r="F24" s="65"/>
      <c r="G24" s="65"/>
      <c r="H24" s="95" t="str">
        <f t="shared" si="0"/>
        <v/>
      </c>
      <c r="I24" s="65"/>
      <c r="J24" s="100"/>
      <c r="L24" s="65"/>
      <c r="M24" s="95"/>
      <c r="O24" s="95"/>
      <c r="Q24" s="95"/>
    </row>
    <row r="25" spans="1:17" ht="15">
      <c r="A25" s="65"/>
      <c r="B25" s="97" t="s">
        <v>577</v>
      </c>
      <c r="C25" s="254">
        <v>2595158</v>
      </c>
      <c r="D25" s="65"/>
      <c r="E25" s="65" t="s">
        <v>322</v>
      </c>
      <c r="F25" s="65">
        <f>'PEC - 2 - Page 4 Support'!I$32</f>
        <v>4.5100020896118378E-2</v>
      </c>
      <c r="G25" s="65"/>
      <c r="H25" s="95">
        <f t="shared" si="0"/>
        <v>117041.68002872878</v>
      </c>
      <c r="I25" s="65"/>
      <c r="J25" s="100"/>
      <c r="L25" s="65"/>
      <c r="M25" s="95"/>
      <c r="O25" s="95"/>
      <c r="Q25" s="95"/>
    </row>
    <row r="26" spans="1:17" ht="15">
      <c r="A26" s="83"/>
      <c r="B26" s="97" t="s">
        <v>578</v>
      </c>
      <c r="C26" s="254">
        <v>22412.54</v>
      </c>
      <c r="D26" s="65"/>
      <c r="E26" s="65" t="s">
        <v>324</v>
      </c>
      <c r="F26" s="65"/>
      <c r="G26" s="65"/>
      <c r="H26" s="95" t="str">
        <f t="shared" si="0"/>
        <v/>
      </c>
      <c r="I26" s="65"/>
      <c r="J26" s="100"/>
      <c r="L26" s="65"/>
      <c r="M26" s="66"/>
      <c r="O26" s="95"/>
      <c r="Q26" s="95"/>
    </row>
    <row r="27" spans="1:17" ht="15">
      <c r="A27" s="65"/>
      <c r="B27" s="98" t="s">
        <v>579</v>
      </c>
      <c r="C27" s="254">
        <v>4908</v>
      </c>
      <c r="D27" s="65"/>
      <c r="E27" s="65" t="s">
        <v>324</v>
      </c>
      <c r="F27" s="65"/>
      <c r="G27" s="65"/>
      <c r="H27" s="95" t="str">
        <f t="shared" si="0"/>
        <v/>
      </c>
      <c r="I27" s="65"/>
      <c r="J27" s="100"/>
      <c r="L27" s="65"/>
      <c r="M27" s="95"/>
      <c r="O27" s="95"/>
      <c r="Q27" s="95"/>
    </row>
    <row r="28" spans="1:17" ht="15">
      <c r="A28" s="65"/>
      <c r="B28" s="98" t="s">
        <v>580</v>
      </c>
      <c r="C28" s="256">
        <v>-823168.65</v>
      </c>
      <c r="D28" s="65"/>
      <c r="E28" s="65" t="s">
        <v>324</v>
      </c>
      <c r="F28" s="65"/>
      <c r="G28" s="65"/>
      <c r="H28" s="66" t="str">
        <f t="shared" si="0"/>
        <v/>
      </c>
      <c r="I28" s="65"/>
      <c r="J28" s="65"/>
      <c r="L28" s="100"/>
      <c r="M28" s="95"/>
      <c r="O28" s="95"/>
      <c r="Q28" s="95"/>
    </row>
    <row r="29" spans="1:17" ht="15">
      <c r="A29" s="65"/>
      <c r="B29" s="98" t="s">
        <v>581</v>
      </c>
      <c r="C29" s="256">
        <v>250200</v>
      </c>
      <c r="D29" s="65"/>
      <c r="E29" s="65" t="s">
        <v>326</v>
      </c>
      <c r="F29" s="65"/>
      <c r="G29" s="65"/>
      <c r="H29" s="66" t="str">
        <f t="shared" si="0"/>
        <v/>
      </c>
      <c r="I29" s="65"/>
      <c r="J29" s="100"/>
      <c r="M29" s="95"/>
    </row>
    <row r="30" spans="1:17" ht="15">
      <c r="A30" s="65"/>
      <c r="B30" s="253" t="s">
        <v>820</v>
      </c>
      <c r="C30" s="256">
        <v>11550</v>
      </c>
      <c r="D30" s="65"/>
      <c r="E30" s="65" t="s">
        <v>18</v>
      </c>
      <c r="F30" s="65"/>
      <c r="G30" s="65"/>
      <c r="H30" s="66"/>
      <c r="I30" s="65"/>
      <c r="J30" s="100"/>
      <c r="M30" s="95"/>
    </row>
    <row r="31" spans="1:17" ht="15">
      <c r="A31" s="65"/>
      <c r="B31" s="98"/>
      <c r="C31" s="65"/>
      <c r="D31" s="65"/>
      <c r="E31" s="65"/>
      <c r="F31" s="65"/>
      <c r="G31" s="65"/>
      <c r="H31" s="65"/>
      <c r="I31" s="65"/>
      <c r="J31" s="65"/>
      <c r="M31" s="95"/>
      <c r="O31" s="44"/>
    </row>
    <row r="32" spans="1:17" ht="15">
      <c r="A32" s="65"/>
      <c r="B32" s="98" t="s">
        <v>582</v>
      </c>
      <c r="C32" s="66">
        <f>SUM(C11:C30)</f>
        <v>9745668.5899999999</v>
      </c>
      <c r="D32" s="65"/>
      <c r="E32" s="65"/>
      <c r="F32" s="65"/>
      <c r="G32" s="65"/>
      <c r="H32" s="66">
        <f>SUM(H11:H29)</f>
        <v>117041.68002872878</v>
      </c>
      <c r="I32" s="65"/>
      <c r="J32" s="65"/>
      <c r="M32" s="66"/>
    </row>
    <row r="33" spans="1:15" ht="15">
      <c r="A33" s="65"/>
      <c r="B33" s="98"/>
      <c r="C33" s="65"/>
      <c r="D33" s="65"/>
      <c r="E33" s="65"/>
      <c r="F33" s="65"/>
      <c r="G33" s="65"/>
      <c r="H33" s="65"/>
      <c r="I33" s="65"/>
      <c r="J33" s="65"/>
    </row>
    <row r="34" spans="1:15" ht="15">
      <c r="A34" s="65"/>
      <c r="B34" s="98" t="s">
        <v>869</v>
      </c>
      <c r="C34" s="66">
        <f>C32-C22-C23</f>
        <v>4539685.7899999991</v>
      </c>
      <c r="D34" s="65"/>
      <c r="E34" s="65"/>
      <c r="F34" s="65"/>
      <c r="G34" s="65"/>
      <c r="H34" s="65"/>
      <c r="I34" s="65"/>
      <c r="J34" s="65"/>
      <c r="M34" s="95"/>
      <c r="O34" s="44"/>
    </row>
    <row r="35" spans="1:15" ht="15">
      <c r="A35" s="65"/>
      <c r="B35" s="98"/>
      <c r="C35" s="66"/>
      <c r="D35" s="65"/>
      <c r="E35" s="65"/>
      <c r="F35" s="65"/>
      <c r="G35" s="65"/>
      <c r="H35" s="65"/>
      <c r="I35" s="65"/>
      <c r="J35" s="65"/>
    </row>
    <row r="36" spans="1:15">
      <c r="B36" s="46"/>
      <c r="M36" s="44"/>
    </row>
    <row r="37" spans="1:15">
      <c r="B37" s="46"/>
      <c r="M37" s="44"/>
      <c r="O37" s="44"/>
    </row>
    <row r="38" spans="1:15">
      <c r="B38" s="46"/>
    </row>
    <row r="39" spans="1:15" ht="15">
      <c r="C39" s="95"/>
    </row>
    <row r="40" spans="1:15" ht="15">
      <c r="C40" s="95"/>
    </row>
    <row r="41" spans="1:15" ht="15">
      <c r="C41" s="95"/>
    </row>
    <row r="42" spans="1:15" ht="15">
      <c r="C42" s="95"/>
    </row>
    <row r="43" spans="1:15" ht="15">
      <c r="C43" s="95"/>
    </row>
    <row r="44" spans="1:15" ht="15">
      <c r="C44" s="95"/>
    </row>
    <row r="45" spans="1:15" ht="15">
      <c r="C45" s="95"/>
    </row>
    <row r="46" spans="1:15" ht="15">
      <c r="C46" s="95"/>
    </row>
    <row r="47" spans="1:15" ht="15">
      <c r="C47" s="95"/>
    </row>
    <row r="48" spans="1:15" ht="15">
      <c r="C48" s="95"/>
    </row>
    <row r="49" spans="3:3" ht="15">
      <c r="C49" s="95"/>
    </row>
    <row r="50" spans="3:3" ht="15">
      <c r="C50" s="95"/>
    </row>
    <row r="51" spans="3:3" ht="15">
      <c r="C51" s="95"/>
    </row>
    <row r="52" spans="3:3" ht="15">
      <c r="C52" s="95"/>
    </row>
  </sheetData>
  <mergeCells count="6">
    <mergeCell ref="A7:I7"/>
    <mergeCell ref="E9:F9"/>
    <mergeCell ref="H1:I1"/>
    <mergeCell ref="H3:J3"/>
    <mergeCell ref="A5:I5"/>
    <mergeCell ref="A6:I6"/>
  </mergeCells>
  <phoneticPr fontId="25" type="noConversion"/>
  <printOptions horizontalCentered="1"/>
  <pageMargins left="0.5" right="0.5" top="1" bottom="1" header="0.5" footer="0.5"/>
  <pageSetup scale="8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03"/>
  <sheetViews>
    <sheetView topLeftCell="A35" workbookViewId="0">
      <selection activeCell="B59" sqref="B59"/>
    </sheetView>
  </sheetViews>
  <sheetFormatPr defaultRowHeight="12.75"/>
  <cols>
    <col min="1" max="1" width="5.7109375" style="41" customWidth="1"/>
    <col min="2" max="2" width="9.140625" style="41"/>
    <col min="3" max="3" width="5.7109375" style="41" customWidth="1"/>
    <col min="4" max="4" width="46.42578125" style="41" customWidth="1"/>
    <col min="5" max="5" width="11" style="41" hidden="1" customWidth="1"/>
    <col min="6" max="6" width="9.140625" style="41"/>
    <col min="7" max="7" width="14.28515625" style="41" customWidth="1"/>
    <col min="8" max="16384" width="9.140625" style="41"/>
  </cols>
  <sheetData>
    <row r="1" spans="1:9" ht="15.75">
      <c r="A1" s="65"/>
      <c r="B1" s="65"/>
      <c r="C1" s="65"/>
      <c r="D1" s="65"/>
      <c r="E1" s="65"/>
      <c r="F1" s="65"/>
      <c r="G1" s="276" t="s">
        <v>586</v>
      </c>
      <c r="H1" s="276"/>
    </row>
    <row r="2" spans="1:9" ht="15.75">
      <c r="A2" s="65"/>
      <c r="B2" s="65"/>
      <c r="C2" s="65"/>
      <c r="D2" s="65"/>
      <c r="E2" s="65"/>
      <c r="F2" s="65"/>
      <c r="G2" s="180" t="s">
        <v>587</v>
      </c>
      <c r="H2" s="180"/>
    </row>
    <row r="3" spans="1:9" ht="15">
      <c r="A3" s="65"/>
      <c r="B3" s="65"/>
      <c r="C3" s="65"/>
      <c r="D3" s="65"/>
      <c r="E3" s="65"/>
      <c r="F3" s="65"/>
      <c r="G3" s="288" t="str">
        <f>FF1_Year</f>
        <v>Year Ending 12/31/2009</v>
      </c>
      <c r="H3" s="288"/>
    </row>
    <row r="4" spans="1:9" ht="15">
      <c r="A4" s="65"/>
      <c r="B4" s="65"/>
      <c r="C4" s="65"/>
      <c r="D4" s="65"/>
      <c r="E4" s="65"/>
      <c r="F4" s="65"/>
      <c r="G4" s="172"/>
      <c r="H4" s="172"/>
    </row>
    <row r="5" spans="1:9" ht="15">
      <c r="A5" s="295" t="s">
        <v>395</v>
      </c>
      <c r="B5" s="287"/>
      <c r="C5" s="287"/>
      <c r="D5" s="287"/>
      <c r="E5" s="287"/>
      <c r="F5" s="287"/>
      <c r="G5" s="287"/>
      <c r="H5" s="287"/>
    </row>
    <row r="6" spans="1:9" ht="15">
      <c r="A6" s="296" t="s">
        <v>588</v>
      </c>
      <c r="B6" s="297"/>
      <c r="C6" s="297"/>
      <c r="D6" s="297"/>
      <c r="E6" s="297"/>
      <c r="F6" s="297"/>
      <c r="G6" s="297"/>
      <c r="H6" s="297"/>
    </row>
    <row r="7" spans="1:9" ht="15">
      <c r="A7" s="65"/>
      <c r="B7" s="65"/>
      <c r="C7" s="65"/>
      <c r="D7" s="65"/>
      <c r="E7" s="65"/>
      <c r="F7" s="65"/>
      <c r="G7" s="172"/>
      <c r="H7" s="172"/>
    </row>
    <row r="8" spans="1:9" ht="15">
      <c r="A8" s="65"/>
      <c r="B8" s="65"/>
      <c r="C8" s="65"/>
      <c r="D8" s="65"/>
      <c r="E8" s="65"/>
      <c r="F8" s="65"/>
      <c r="G8" s="65"/>
      <c r="H8" s="65"/>
    </row>
    <row r="9" spans="1:9" ht="15">
      <c r="A9" s="65"/>
      <c r="B9" s="65"/>
      <c r="C9" s="65"/>
      <c r="D9" s="65"/>
      <c r="E9" s="65"/>
      <c r="F9" s="65"/>
      <c r="G9" s="65"/>
      <c r="H9" s="65"/>
    </row>
    <row r="10" spans="1:9" ht="15">
      <c r="A10" s="65"/>
      <c r="B10" s="83" t="s">
        <v>477</v>
      </c>
      <c r="C10" s="83"/>
      <c r="D10" s="83" t="s">
        <v>563</v>
      </c>
      <c r="E10" s="83" t="s">
        <v>511</v>
      </c>
      <c r="F10" s="83"/>
      <c r="G10" s="83" t="str">
        <f>RIGHT(G3,10)&amp;" CWIP"</f>
        <v>12/31/2009 CWIP</v>
      </c>
      <c r="H10" s="65"/>
    </row>
    <row r="11" spans="1:9" ht="6" customHeight="1">
      <c r="A11" s="65"/>
      <c r="B11" s="65"/>
      <c r="C11" s="65"/>
      <c r="D11" s="65"/>
      <c r="E11" s="65"/>
      <c r="F11" s="65"/>
      <c r="G11" s="65"/>
      <c r="H11" s="65"/>
    </row>
    <row r="12" spans="1:9" ht="15">
      <c r="A12" s="65"/>
      <c r="B12" s="150">
        <v>10016806</v>
      </c>
      <c r="C12" s="173"/>
      <c r="D12" s="150" t="s">
        <v>870</v>
      </c>
      <c r="E12" s="92"/>
      <c r="F12" s="65"/>
      <c r="G12" s="270">
        <v>13972.04</v>
      </c>
      <c r="H12" s="89"/>
      <c r="I12" s="42"/>
    </row>
    <row r="13" spans="1:9" ht="15" customHeight="1">
      <c r="A13" s="65"/>
      <c r="B13" s="150">
        <v>20015829</v>
      </c>
      <c r="C13" s="65"/>
      <c r="D13" s="150" t="s">
        <v>871</v>
      </c>
      <c r="E13" s="65"/>
      <c r="F13" s="65"/>
      <c r="G13" s="270">
        <v>451.18</v>
      </c>
      <c r="H13" s="65"/>
    </row>
    <row r="14" spans="1:9" ht="15" customHeight="1">
      <c r="A14" s="65"/>
      <c r="B14" s="150">
        <v>20028085</v>
      </c>
      <c r="C14" s="65"/>
      <c r="D14" s="150" t="s">
        <v>872</v>
      </c>
      <c r="E14" s="65"/>
      <c r="F14" s="65"/>
      <c r="G14" s="270">
        <v>6630.76</v>
      </c>
      <c r="H14" s="65"/>
    </row>
    <row r="15" spans="1:9" ht="15" customHeight="1">
      <c r="A15" s="65"/>
      <c r="B15" s="150">
        <v>20028747</v>
      </c>
      <c r="C15" s="65"/>
      <c r="D15" s="150" t="s">
        <v>873</v>
      </c>
      <c r="E15" s="65"/>
      <c r="F15" s="65"/>
      <c r="G15" s="270">
        <v>8547.8799999999992</v>
      </c>
      <c r="H15" s="65"/>
    </row>
    <row r="16" spans="1:9" ht="15" customHeight="1">
      <c r="A16" s="65"/>
      <c r="B16" s="150">
        <v>20032066</v>
      </c>
      <c r="C16" s="65"/>
      <c r="D16" s="150" t="s">
        <v>874</v>
      </c>
      <c r="E16" s="65"/>
      <c r="F16" s="65"/>
      <c r="G16" s="270">
        <v>1026.26</v>
      </c>
      <c r="H16" s="65"/>
    </row>
    <row r="17" spans="1:8" ht="15" customHeight="1">
      <c r="A17" s="65"/>
      <c r="B17" s="150">
        <v>20043826</v>
      </c>
      <c r="C17" s="65"/>
      <c r="D17" s="150" t="s">
        <v>875</v>
      </c>
      <c r="E17" s="65"/>
      <c r="F17" s="65"/>
      <c r="G17" s="270">
        <v>232435.5</v>
      </c>
      <c r="H17" s="65"/>
    </row>
    <row r="18" spans="1:8" ht="15" customHeight="1">
      <c r="A18" s="65"/>
      <c r="B18" s="150">
        <v>20053683</v>
      </c>
      <c r="C18" s="65"/>
      <c r="D18" s="150" t="s">
        <v>876</v>
      </c>
      <c r="E18" s="65"/>
      <c r="F18" s="65"/>
      <c r="G18" s="270">
        <v>6332</v>
      </c>
      <c r="H18" s="65"/>
    </row>
    <row r="19" spans="1:8" ht="15" customHeight="1">
      <c r="A19" s="65"/>
      <c r="B19" s="150">
        <v>20059806</v>
      </c>
      <c r="C19" s="65"/>
      <c r="D19" s="150" t="s">
        <v>877</v>
      </c>
      <c r="E19" s="65"/>
      <c r="F19" s="65"/>
      <c r="G19" s="270">
        <v>17173.8</v>
      </c>
      <c r="H19" s="65"/>
    </row>
    <row r="20" spans="1:8" ht="15" customHeight="1">
      <c r="A20" s="65"/>
      <c r="B20" s="150">
        <v>20059809</v>
      </c>
      <c r="C20" s="65"/>
      <c r="D20" s="150" t="s">
        <v>878</v>
      </c>
      <c r="E20" s="65"/>
      <c r="F20" s="65"/>
      <c r="G20" s="270">
        <v>1626237.82</v>
      </c>
      <c r="H20" s="65"/>
    </row>
    <row r="21" spans="1:8" ht="15" customHeight="1">
      <c r="A21" s="65"/>
      <c r="B21" s="150">
        <v>20059810</v>
      </c>
      <c r="C21" s="65"/>
      <c r="D21" s="150" t="s">
        <v>879</v>
      </c>
      <c r="E21" s="65"/>
      <c r="F21" s="65"/>
      <c r="G21" s="270">
        <v>4490953.6900000004</v>
      </c>
      <c r="H21" s="65"/>
    </row>
    <row r="22" spans="1:8" ht="15" customHeight="1">
      <c r="A22" s="65"/>
      <c r="B22" s="150">
        <v>20059812</v>
      </c>
      <c r="C22" s="65"/>
      <c r="D22" s="150" t="s">
        <v>880</v>
      </c>
      <c r="E22" s="65"/>
      <c r="F22" s="65"/>
      <c r="G22" s="270">
        <v>646371.4</v>
      </c>
      <c r="H22" s="65"/>
    </row>
    <row r="23" spans="1:8" ht="15" customHeight="1">
      <c r="A23" s="65"/>
      <c r="B23" s="150">
        <v>20059831</v>
      </c>
      <c r="C23" s="65"/>
      <c r="D23" s="150" t="s">
        <v>881</v>
      </c>
      <c r="E23" s="65"/>
      <c r="F23" s="65"/>
      <c r="G23" s="270">
        <v>99765.48</v>
      </c>
      <c r="H23" s="65"/>
    </row>
    <row r="24" spans="1:8" ht="15" customHeight="1">
      <c r="A24" s="65"/>
      <c r="B24" s="150">
        <v>20059832</v>
      </c>
      <c r="C24" s="65"/>
      <c r="D24" s="150" t="s">
        <v>882</v>
      </c>
      <c r="E24" s="65"/>
      <c r="F24" s="65"/>
      <c r="G24" s="270">
        <v>1362985.85</v>
      </c>
      <c r="H24" s="65"/>
    </row>
    <row r="25" spans="1:8" ht="15" customHeight="1">
      <c r="A25" s="65"/>
      <c r="B25" s="150">
        <v>20059833</v>
      </c>
      <c r="C25" s="65"/>
      <c r="D25" s="150" t="s">
        <v>883</v>
      </c>
      <c r="E25" s="65"/>
      <c r="F25" s="65"/>
      <c r="G25" s="270">
        <v>3919.83</v>
      </c>
      <c r="H25" s="65"/>
    </row>
    <row r="26" spans="1:8" ht="15" customHeight="1">
      <c r="A26" s="65"/>
      <c r="B26" s="150">
        <v>20059834</v>
      </c>
      <c r="C26" s="65"/>
      <c r="D26" s="150" t="s">
        <v>884</v>
      </c>
      <c r="E26" s="65"/>
      <c r="F26" s="65"/>
      <c r="G26" s="270">
        <v>3575.2</v>
      </c>
      <c r="H26" s="65"/>
    </row>
    <row r="27" spans="1:8" ht="15" customHeight="1">
      <c r="A27" s="65"/>
      <c r="B27" s="150">
        <v>20061755</v>
      </c>
      <c r="C27" s="65"/>
      <c r="D27" s="150" t="s">
        <v>885</v>
      </c>
      <c r="E27" s="65"/>
      <c r="F27" s="65"/>
      <c r="G27" s="270">
        <v>3842698.91</v>
      </c>
      <c r="H27" s="65"/>
    </row>
    <row r="28" spans="1:8" ht="15" customHeight="1">
      <c r="A28" s="65"/>
      <c r="B28" s="150">
        <v>20062139</v>
      </c>
      <c r="C28" s="65"/>
      <c r="D28" s="150" t="s">
        <v>886</v>
      </c>
      <c r="E28" s="65"/>
      <c r="F28" s="65"/>
      <c r="G28" s="270">
        <v>33420148.030000001</v>
      </c>
      <c r="H28" s="65"/>
    </row>
    <row r="29" spans="1:8" ht="15" customHeight="1">
      <c r="A29" s="65"/>
      <c r="B29" s="150">
        <v>20062383</v>
      </c>
      <c r="C29" s="65"/>
      <c r="D29" s="150" t="s">
        <v>887</v>
      </c>
      <c r="E29" s="65"/>
      <c r="F29" s="65"/>
      <c r="G29" s="270">
        <v>4021888.05</v>
      </c>
      <c r="H29" s="65"/>
    </row>
    <row r="30" spans="1:8" ht="15" customHeight="1">
      <c r="A30" s="65"/>
      <c r="B30" s="150">
        <v>20062384</v>
      </c>
      <c r="C30" s="65"/>
      <c r="D30" s="150" t="s">
        <v>888</v>
      </c>
      <c r="E30" s="65"/>
      <c r="F30" s="65"/>
      <c r="G30" s="270">
        <v>3128900.44</v>
      </c>
      <c r="H30" s="65"/>
    </row>
    <row r="31" spans="1:8" ht="15" customHeight="1">
      <c r="A31" s="65"/>
      <c r="B31" s="150">
        <v>20062385</v>
      </c>
      <c r="C31" s="65"/>
      <c r="D31" s="150" t="s">
        <v>889</v>
      </c>
      <c r="E31" s="65"/>
      <c r="F31" s="65"/>
      <c r="G31" s="270">
        <v>1923365.95</v>
      </c>
      <c r="H31" s="65"/>
    </row>
    <row r="32" spans="1:8" ht="15" customHeight="1">
      <c r="A32" s="65"/>
      <c r="B32" s="150">
        <v>20062787</v>
      </c>
      <c r="C32" s="65"/>
      <c r="D32" s="150" t="s">
        <v>890</v>
      </c>
      <c r="E32" s="65"/>
      <c r="F32" s="65"/>
      <c r="G32" s="270">
        <v>12282.03</v>
      </c>
      <c r="H32" s="65"/>
    </row>
    <row r="33" spans="1:8" ht="15" customHeight="1">
      <c r="A33" s="65"/>
      <c r="B33" s="150">
        <v>20062963</v>
      </c>
      <c r="C33" s="65"/>
      <c r="D33" s="150" t="s">
        <v>891</v>
      </c>
      <c r="E33" s="65"/>
      <c r="F33" s="65"/>
      <c r="G33" s="270">
        <v>418408.7</v>
      </c>
      <c r="H33" s="65"/>
    </row>
    <row r="34" spans="1:8" ht="15" customHeight="1">
      <c r="A34" s="65"/>
      <c r="B34" s="150">
        <v>20067032</v>
      </c>
      <c r="C34" s="65"/>
      <c r="D34" s="150" t="s">
        <v>892</v>
      </c>
      <c r="E34" s="65"/>
      <c r="F34" s="65"/>
      <c r="G34" s="270">
        <v>638453.03</v>
      </c>
      <c r="H34" s="65"/>
    </row>
    <row r="35" spans="1:8" ht="15" customHeight="1">
      <c r="A35" s="65"/>
      <c r="B35" s="150">
        <v>20067144</v>
      </c>
      <c r="C35" s="65"/>
      <c r="D35" s="150" t="s">
        <v>893</v>
      </c>
      <c r="E35" s="65"/>
      <c r="F35" s="65"/>
      <c r="G35" s="270">
        <v>91585.81</v>
      </c>
      <c r="H35" s="65"/>
    </row>
    <row r="36" spans="1:8" ht="15" customHeight="1">
      <c r="A36" s="65"/>
      <c r="B36" s="150">
        <v>20067146</v>
      </c>
      <c r="C36" s="65"/>
      <c r="D36" s="150" t="s">
        <v>894</v>
      </c>
      <c r="E36" s="65"/>
      <c r="F36" s="65"/>
      <c r="G36" s="270">
        <v>3326391.23</v>
      </c>
      <c r="H36" s="65"/>
    </row>
    <row r="37" spans="1:8" ht="15" customHeight="1">
      <c r="A37" s="65"/>
      <c r="B37" s="150">
        <v>20067147</v>
      </c>
      <c r="C37" s="65"/>
      <c r="D37" s="150" t="s">
        <v>895</v>
      </c>
      <c r="E37" s="65"/>
      <c r="F37" s="65"/>
      <c r="G37" s="270">
        <v>394678.87</v>
      </c>
      <c r="H37" s="65"/>
    </row>
    <row r="38" spans="1:8" ht="15" customHeight="1">
      <c r="A38" s="65"/>
      <c r="B38" s="150">
        <v>20067149</v>
      </c>
      <c r="C38" s="65"/>
      <c r="D38" s="150" t="s">
        <v>896</v>
      </c>
      <c r="E38" s="65"/>
      <c r="F38" s="65"/>
      <c r="G38" s="270">
        <v>1379081.48</v>
      </c>
      <c r="H38" s="65"/>
    </row>
    <row r="39" spans="1:8" ht="15" customHeight="1">
      <c r="A39" s="65"/>
      <c r="B39" s="150">
        <v>20067339</v>
      </c>
      <c r="C39" s="65"/>
      <c r="D39" s="150" t="s">
        <v>897</v>
      </c>
      <c r="E39" s="65"/>
      <c r="F39" s="65"/>
      <c r="G39" s="270">
        <v>46868.25</v>
      </c>
      <c r="H39" s="65"/>
    </row>
    <row r="40" spans="1:8" ht="15" customHeight="1">
      <c r="A40" s="65"/>
      <c r="B40" s="150">
        <v>20068072</v>
      </c>
      <c r="C40" s="65"/>
      <c r="D40" s="150" t="s">
        <v>898</v>
      </c>
      <c r="E40" s="65"/>
      <c r="F40" s="65"/>
      <c r="G40" s="270">
        <v>55577.59</v>
      </c>
      <c r="H40" s="65"/>
    </row>
    <row r="41" spans="1:8" ht="15" customHeight="1">
      <c r="A41" s="65"/>
      <c r="B41" s="150">
        <v>20068073</v>
      </c>
      <c r="C41" s="65"/>
      <c r="D41" s="150" t="s">
        <v>899</v>
      </c>
      <c r="E41" s="65"/>
      <c r="F41" s="65"/>
      <c r="G41" s="270">
        <v>2134404.8199999998</v>
      </c>
      <c r="H41" s="65"/>
    </row>
    <row r="42" spans="1:8" ht="15" customHeight="1">
      <c r="A42" s="65"/>
      <c r="B42" s="150">
        <v>20068142</v>
      </c>
      <c r="C42" s="65"/>
      <c r="D42" s="150" t="s">
        <v>900</v>
      </c>
      <c r="E42" s="65"/>
      <c r="F42" s="65"/>
      <c r="G42" s="270">
        <v>50600.83</v>
      </c>
      <c r="H42" s="65"/>
    </row>
    <row r="43" spans="1:8" ht="15" customHeight="1">
      <c r="A43" s="65"/>
      <c r="B43" s="150">
        <v>20068143</v>
      </c>
      <c r="C43" s="65"/>
      <c r="D43" s="150" t="s">
        <v>901</v>
      </c>
      <c r="E43" s="65"/>
      <c r="F43" s="65"/>
      <c r="G43" s="270">
        <v>10817.57</v>
      </c>
      <c r="H43" s="65"/>
    </row>
    <row r="44" spans="1:8" ht="15" customHeight="1">
      <c r="A44" s="65"/>
      <c r="B44" s="150">
        <v>20068375</v>
      </c>
      <c r="C44" s="65"/>
      <c r="D44" s="150" t="s">
        <v>902</v>
      </c>
      <c r="E44" s="65"/>
      <c r="F44" s="65"/>
      <c r="G44" s="270">
        <v>9506389.1199999992</v>
      </c>
      <c r="H44" s="65"/>
    </row>
    <row r="45" spans="1:8" ht="15" customHeight="1">
      <c r="A45" s="65"/>
      <c r="B45" s="150">
        <v>20069598</v>
      </c>
      <c r="C45" s="65"/>
      <c r="D45" s="150" t="s">
        <v>903</v>
      </c>
      <c r="E45" s="65"/>
      <c r="F45" s="65"/>
      <c r="G45" s="270">
        <v>1585.74</v>
      </c>
      <c r="H45" s="65"/>
    </row>
    <row r="46" spans="1:8" ht="15" customHeight="1">
      <c r="A46" s="65"/>
      <c r="B46" s="150">
        <v>20069600</v>
      </c>
      <c r="C46" s="65"/>
      <c r="D46" s="150" t="s">
        <v>904</v>
      </c>
      <c r="E46" s="65"/>
      <c r="F46" s="65"/>
      <c r="G46" s="270">
        <v>125991.21</v>
      </c>
      <c r="H46" s="65"/>
    </row>
    <row r="47" spans="1:8" ht="15" customHeight="1">
      <c r="A47" s="65"/>
      <c r="B47" s="150">
        <v>20070133</v>
      </c>
      <c r="C47" s="65"/>
      <c r="D47" s="150" t="s">
        <v>905</v>
      </c>
      <c r="E47" s="65"/>
      <c r="F47" s="65"/>
      <c r="G47" s="270">
        <v>257955.39</v>
      </c>
      <c r="H47" s="65"/>
    </row>
    <row r="48" spans="1:8" ht="15" customHeight="1">
      <c r="A48" s="65"/>
      <c r="B48" s="150">
        <v>20070144</v>
      </c>
      <c r="C48" s="65"/>
      <c r="D48" s="150" t="s">
        <v>906</v>
      </c>
      <c r="E48" s="65"/>
      <c r="F48" s="65"/>
      <c r="G48" s="270">
        <v>80475.56</v>
      </c>
      <c r="H48" s="65"/>
    </row>
    <row r="49" spans="1:8" ht="15" customHeight="1">
      <c r="A49" s="65"/>
      <c r="B49" s="150">
        <v>20071215</v>
      </c>
      <c r="C49" s="65"/>
      <c r="D49" s="150" t="s">
        <v>907</v>
      </c>
      <c r="E49" s="65"/>
      <c r="F49" s="65"/>
      <c r="G49" s="270">
        <v>112089.9</v>
      </c>
      <c r="H49" s="65"/>
    </row>
    <row r="50" spans="1:8" ht="15" customHeight="1">
      <c r="A50" s="65"/>
      <c r="B50" s="150">
        <v>20071222</v>
      </c>
      <c r="C50" s="65"/>
      <c r="D50" s="150" t="s">
        <v>908</v>
      </c>
      <c r="E50" s="65"/>
      <c r="F50" s="65"/>
      <c r="G50" s="270">
        <v>24504.87</v>
      </c>
      <c r="H50" s="65"/>
    </row>
    <row r="51" spans="1:8" ht="15" customHeight="1">
      <c r="A51" s="65"/>
      <c r="B51" s="150">
        <v>20072612</v>
      </c>
      <c r="C51" s="65"/>
      <c r="D51" s="150" t="s">
        <v>909</v>
      </c>
      <c r="E51" s="65"/>
      <c r="F51" s="65"/>
      <c r="G51" s="270">
        <v>3072.17</v>
      </c>
      <c r="H51" s="65"/>
    </row>
    <row r="52" spans="1:8" ht="15" customHeight="1">
      <c r="A52" s="65"/>
      <c r="B52" s="150">
        <v>20072613</v>
      </c>
      <c r="C52" s="65"/>
      <c r="D52" s="150" t="s">
        <v>910</v>
      </c>
      <c r="E52" s="65"/>
      <c r="F52" s="65"/>
      <c r="G52" s="270">
        <v>2056.6</v>
      </c>
      <c r="H52" s="65"/>
    </row>
    <row r="53" spans="1:8" ht="15" customHeight="1">
      <c r="A53" s="65"/>
      <c r="B53" s="150">
        <v>20074040</v>
      </c>
      <c r="C53" s="65"/>
      <c r="D53" s="150" t="s">
        <v>911</v>
      </c>
      <c r="E53" s="65"/>
      <c r="F53" s="65"/>
      <c r="G53" s="270">
        <v>101244.91</v>
      </c>
      <c r="H53" s="65"/>
    </row>
    <row r="54" spans="1:8" ht="15" customHeight="1">
      <c r="A54" s="65"/>
      <c r="B54" s="150">
        <v>20074041</v>
      </c>
      <c r="C54" s="65"/>
      <c r="D54" s="150" t="s">
        <v>912</v>
      </c>
      <c r="E54" s="65"/>
      <c r="F54" s="65"/>
      <c r="G54" s="270">
        <v>19167.47</v>
      </c>
      <c r="H54" s="65"/>
    </row>
    <row r="55" spans="1:8" ht="15" customHeight="1">
      <c r="A55" s="65"/>
      <c r="B55" s="150">
        <v>20074275</v>
      </c>
      <c r="C55" s="65"/>
      <c r="D55" s="150" t="s">
        <v>913</v>
      </c>
      <c r="E55" s="65"/>
      <c r="F55" s="65"/>
      <c r="G55" s="270">
        <v>28612.41</v>
      </c>
      <c r="H55" s="65"/>
    </row>
    <row r="56" spans="1:8" ht="15" customHeight="1">
      <c r="A56" s="65"/>
      <c r="B56" s="150">
        <v>20074276</v>
      </c>
      <c r="C56" s="65"/>
      <c r="D56" s="150" t="s">
        <v>914</v>
      </c>
      <c r="E56" s="65"/>
      <c r="F56" s="65"/>
      <c r="G56" s="270">
        <v>193572.58</v>
      </c>
      <c r="H56" s="65"/>
    </row>
    <row r="57" spans="1:8" ht="15" customHeight="1">
      <c r="A57" s="65"/>
      <c r="B57" s="150">
        <v>20074406</v>
      </c>
      <c r="C57" s="65"/>
      <c r="D57" s="150" t="s">
        <v>915</v>
      </c>
      <c r="E57" s="65"/>
      <c r="F57" s="65"/>
      <c r="G57" s="270">
        <v>39.18</v>
      </c>
      <c r="H57" s="65"/>
    </row>
    <row r="58" spans="1:8" ht="15" customHeight="1">
      <c r="A58" s="65"/>
      <c r="B58" s="150">
        <v>20074409</v>
      </c>
      <c r="C58" s="65"/>
      <c r="D58" s="150" t="s">
        <v>916</v>
      </c>
      <c r="E58" s="65"/>
      <c r="F58" s="65"/>
      <c r="G58" s="270">
        <v>15704.66</v>
      </c>
      <c r="H58" s="65"/>
    </row>
    <row r="59" spans="1:8" ht="15" customHeight="1">
      <c r="A59" s="65"/>
      <c r="B59" s="150">
        <v>20074416</v>
      </c>
      <c r="C59" s="65"/>
      <c r="D59" s="150" t="s">
        <v>917</v>
      </c>
      <c r="E59" s="65"/>
      <c r="F59" s="65"/>
      <c r="G59" s="270">
        <v>2230.11</v>
      </c>
      <c r="H59" s="65"/>
    </row>
    <row r="60" spans="1:8" ht="15" customHeight="1">
      <c r="A60" s="65"/>
      <c r="B60" s="150">
        <v>20074799</v>
      </c>
      <c r="C60" s="65"/>
      <c r="D60" s="150" t="s">
        <v>918</v>
      </c>
      <c r="E60" s="65"/>
      <c r="F60" s="65"/>
      <c r="G60" s="270">
        <v>739.4</v>
      </c>
      <c r="H60" s="65"/>
    </row>
    <row r="61" spans="1:8" ht="15" customHeight="1">
      <c r="A61" s="65"/>
      <c r="B61" s="150">
        <v>20074801</v>
      </c>
      <c r="C61" s="65"/>
      <c r="D61" s="150" t="s">
        <v>919</v>
      </c>
      <c r="E61" s="65"/>
      <c r="F61" s="65"/>
      <c r="G61" s="270">
        <v>20257.509999999998</v>
      </c>
      <c r="H61" s="65"/>
    </row>
    <row r="62" spans="1:8" ht="15" customHeight="1">
      <c r="A62" s="65"/>
      <c r="B62" s="150">
        <v>20074802</v>
      </c>
      <c r="C62" s="65"/>
      <c r="D62" s="150" t="s">
        <v>920</v>
      </c>
      <c r="E62" s="65"/>
      <c r="F62" s="65"/>
      <c r="G62" s="270">
        <v>1096.0999999999999</v>
      </c>
      <c r="H62" s="65"/>
    </row>
    <row r="63" spans="1:8" ht="15" customHeight="1">
      <c r="A63" s="65"/>
      <c r="B63" s="150">
        <v>20074803</v>
      </c>
      <c r="C63" s="65"/>
      <c r="D63" s="150" t="s">
        <v>921</v>
      </c>
      <c r="E63" s="65"/>
      <c r="F63" s="65"/>
      <c r="G63" s="270">
        <v>1308.19</v>
      </c>
      <c r="H63" s="65"/>
    </row>
    <row r="64" spans="1:8" ht="15" customHeight="1">
      <c r="A64" s="65"/>
      <c r="B64" s="150">
        <v>20074804</v>
      </c>
      <c r="C64" s="65"/>
      <c r="D64" s="150" t="s">
        <v>922</v>
      </c>
      <c r="E64" s="65"/>
      <c r="F64" s="65"/>
      <c r="G64" s="270">
        <v>10097.219999999999</v>
      </c>
      <c r="H64" s="65"/>
    </row>
    <row r="65" spans="1:8" ht="15" customHeight="1">
      <c r="A65" s="65"/>
      <c r="B65" s="150">
        <v>20076683</v>
      </c>
      <c r="C65" s="65"/>
      <c r="D65" s="150" t="s">
        <v>923</v>
      </c>
      <c r="E65" s="65"/>
      <c r="F65" s="65"/>
      <c r="G65" s="270">
        <v>200570.36</v>
      </c>
      <c r="H65" s="65"/>
    </row>
    <row r="66" spans="1:8" ht="15" customHeight="1">
      <c r="A66" s="65"/>
      <c r="B66" s="150">
        <v>20076685</v>
      </c>
      <c r="C66" s="65"/>
      <c r="D66" s="150" t="s">
        <v>924</v>
      </c>
      <c r="E66" s="65"/>
      <c r="F66" s="65"/>
      <c r="G66" s="270">
        <v>5361646.82</v>
      </c>
      <c r="H66" s="65"/>
    </row>
    <row r="67" spans="1:8" ht="15" customHeight="1">
      <c r="A67" s="65"/>
      <c r="B67" s="150">
        <v>20076688</v>
      </c>
      <c r="C67" s="65"/>
      <c r="D67" s="150" t="s">
        <v>925</v>
      </c>
      <c r="E67" s="65"/>
      <c r="F67" s="65"/>
      <c r="G67" s="270">
        <v>78202.52</v>
      </c>
      <c r="H67" s="65"/>
    </row>
    <row r="68" spans="1:8" ht="15" customHeight="1">
      <c r="A68" s="65"/>
      <c r="B68" s="150">
        <v>20076692</v>
      </c>
      <c r="C68" s="65"/>
      <c r="D68" s="150" t="s">
        <v>926</v>
      </c>
      <c r="E68" s="65"/>
      <c r="F68" s="65"/>
      <c r="G68" s="270">
        <v>90039.34</v>
      </c>
      <c r="H68" s="65"/>
    </row>
    <row r="69" spans="1:8" ht="15" customHeight="1">
      <c r="A69" s="65"/>
      <c r="B69" s="150">
        <v>20076719</v>
      </c>
      <c r="C69" s="65"/>
      <c r="D69" s="150" t="s">
        <v>927</v>
      </c>
      <c r="E69" s="65"/>
      <c r="F69" s="65"/>
      <c r="G69" s="270">
        <v>109463.69</v>
      </c>
      <c r="H69" s="65"/>
    </row>
    <row r="70" spans="1:8" ht="15" customHeight="1">
      <c r="A70" s="65"/>
      <c r="B70" s="150">
        <v>20076721</v>
      </c>
      <c r="C70" s="65"/>
      <c r="D70" s="150" t="s">
        <v>928</v>
      </c>
      <c r="E70" s="65"/>
      <c r="F70" s="65"/>
      <c r="G70" s="270">
        <v>2287.52</v>
      </c>
      <c r="H70" s="65"/>
    </row>
    <row r="71" spans="1:8" ht="15" customHeight="1">
      <c r="A71" s="65"/>
      <c r="B71" s="150">
        <v>20076722</v>
      </c>
      <c r="C71" s="65"/>
      <c r="D71" s="150" t="s">
        <v>929</v>
      </c>
      <c r="E71" s="65"/>
      <c r="F71" s="65"/>
      <c r="G71" s="270">
        <v>2042471.39</v>
      </c>
      <c r="H71" s="65"/>
    </row>
    <row r="72" spans="1:8" ht="15" customHeight="1">
      <c r="A72" s="65"/>
      <c r="B72" s="150">
        <v>20076723</v>
      </c>
      <c r="C72" s="65"/>
      <c r="D72" s="150" t="s">
        <v>930</v>
      </c>
      <c r="E72" s="65"/>
      <c r="F72" s="65"/>
      <c r="G72" s="270">
        <v>2756946.27</v>
      </c>
      <c r="H72" s="65"/>
    </row>
    <row r="73" spans="1:8" ht="15" customHeight="1">
      <c r="A73" s="65"/>
      <c r="B73" s="150">
        <v>20076724</v>
      </c>
      <c r="C73" s="65"/>
      <c r="D73" s="150" t="s">
        <v>931</v>
      </c>
      <c r="E73" s="65"/>
      <c r="F73" s="65"/>
      <c r="G73" s="270">
        <v>2129910.75</v>
      </c>
      <c r="H73" s="65"/>
    </row>
    <row r="74" spans="1:8" ht="15" customHeight="1">
      <c r="A74" s="65"/>
      <c r="B74" s="150">
        <v>20076725</v>
      </c>
      <c r="C74" s="65"/>
      <c r="D74" s="150" t="s">
        <v>932</v>
      </c>
      <c r="E74" s="65"/>
      <c r="F74" s="65"/>
      <c r="G74" s="270">
        <v>205647.49</v>
      </c>
      <c r="H74" s="65"/>
    </row>
    <row r="75" spans="1:8" ht="15" customHeight="1">
      <c r="A75" s="65"/>
      <c r="B75" s="150">
        <v>20077280</v>
      </c>
      <c r="C75" s="65"/>
      <c r="D75" s="150" t="s">
        <v>933</v>
      </c>
      <c r="E75" s="65"/>
      <c r="F75" s="65"/>
      <c r="G75" s="270">
        <v>577415.24</v>
      </c>
      <c r="H75" s="65"/>
    </row>
    <row r="76" spans="1:8" ht="15" customHeight="1">
      <c r="A76" s="65"/>
      <c r="B76" s="150">
        <v>20077281</v>
      </c>
      <c r="C76" s="65"/>
      <c r="D76" s="150" t="s">
        <v>934</v>
      </c>
      <c r="E76" s="65"/>
      <c r="F76" s="65"/>
      <c r="G76" s="270">
        <v>3481066.55</v>
      </c>
      <c r="H76" s="65"/>
    </row>
    <row r="77" spans="1:8" ht="15" customHeight="1">
      <c r="A77" s="65"/>
      <c r="B77" s="150">
        <v>20077283</v>
      </c>
      <c r="C77" s="65"/>
      <c r="D77" s="150" t="s">
        <v>935</v>
      </c>
      <c r="E77" s="65"/>
      <c r="F77" s="65"/>
      <c r="G77" s="270">
        <v>1246.3399999999999</v>
      </c>
      <c r="H77" s="65"/>
    </row>
    <row r="78" spans="1:8" ht="15" customHeight="1">
      <c r="A78" s="65"/>
      <c r="B78" s="150">
        <v>20077285</v>
      </c>
      <c r="C78" s="65"/>
      <c r="D78" s="150" t="s">
        <v>936</v>
      </c>
      <c r="E78" s="65"/>
      <c r="F78" s="65"/>
      <c r="G78" s="270">
        <v>13453</v>
      </c>
      <c r="H78" s="65"/>
    </row>
    <row r="79" spans="1:8" ht="15" customHeight="1">
      <c r="A79" s="65"/>
      <c r="B79" s="150">
        <v>20077286</v>
      </c>
      <c r="C79" s="65"/>
      <c r="D79" s="150" t="s">
        <v>937</v>
      </c>
      <c r="E79" s="65"/>
      <c r="F79" s="65"/>
      <c r="G79" s="270">
        <v>-19555.25</v>
      </c>
      <c r="H79" s="65"/>
    </row>
    <row r="80" spans="1:8" ht="15" customHeight="1">
      <c r="A80" s="65"/>
      <c r="B80" s="150">
        <v>20077291</v>
      </c>
      <c r="C80" s="65"/>
      <c r="D80" s="150" t="s">
        <v>938</v>
      </c>
      <c r="E80" s="65"/>
      <c r="F80" s="65"/>
      <c r="G80" s="270">
        <v>41318.81</v>
      </c>
      <c r="H80" s="65"/>
    </row>
    <row r="81" spans="1:8" ht="15" customHeight="1">
      <c r="A81" s="65"/>
      <c r="B81" s="150">
        <v>20077325</v>
      </c>
      <c r="C81" s="65"/>
      <c r="D81" s="150" t="s">
        <v>939</v>
      </c>
      <c r="E81" s="65"/>
      <c r="F81" s="65"/>
      <c r="G81" s="270">
        <v>1496446.75</v>
      </c>
      <c r="H81" s="65"/>
    </row>
    <row r="82" spans="1:8" ht="15" customHeight="1">
      <c r="A82" s="65"/>
      <c r="B82" s="150">
        <v>20077326</v>
      </c>
      <c r="C82" s="65"/>
      <c r="D82" s="150" t="s">
        <v>940</v>
      </c>
      <c r="E82" s="65"/>
      <c r="F82" s="65"/>
      <c r="G82" s="270">
        <v>224926.28</v>
      </c>
      <c r="H82" s="65"/>
    </row>
    <row r="83" spans="1:8" ht="15" customHeight="1">
      <c r="A83" s="65"/>
      <c r="B83" s="150">
        <v>20077327</v>
      </c>
      <c r="C83" s="65"/>
      <c r="D83" s="150" t="s">
        <v>941</v>
      </c>
      <c r="E83" s="65"/>
      <c r="F83" s="65"/>
      <c r="G83" s="270">
        <v>4711.78</v>
      </c>
      <c r="H83" s="65"/>
    </row>
    <row r="84" spans="1:8" ht="15" customHeight="1">
      <c r="A84" s="65"/>
      <c r="B84" s="150">
        <v>20077348</v>
      </c>
      <c r="C84" s="65"/>
      <c r="D84" s="150" t="s">
        <v>942</v>
      </c>
      <c r="E84" s="65"/>
      <c r="F84" s="65"/>
      <c r="G84" s="270">
        <v>406772.13</v>
      </c>
      <c r="H84" s="65"/>
    </row>
    <row r="85" spans="1:8" ht="15" customHeight="1">
      <c r="A85" s="65"/>
      <c r="B85" s="150">
        <v>20077349</v>
      </c>
      <c r="C85" s="65"/>
      <c r="D85" s="150" t="s">
        <v>943</v>
      </c>
      <c r="E85" s="65"/>
      <c r="F85" s="65"/>
      <c r="G85" s="270">
        <v>33844.839999999997</v>
      </c>
      <c r="H85" s="65"/>
    </row>
    <row r="86" spans="1:8" ht="15" customHeight="1">
      <c r="A86" s="65"/>
      <c r="B86" s="150">
        <v>20077351</v>
      </c>
      <c r="C86" s="65"/>
      <c r="D86" s="150" t="s">
        <v>944</v>
      </c>
      <c r="E86" s="65"/>
      <c r="F86" s="65"/>
      <c r="G86" s="270">
        <v>2262.42</v>
      </c>
      <c r="H86" s="65"/>
    </row>
    <row r="87" spans="1:8" ht="15" customHeight="1">
      <c r="A87" s="65"/>
      <c r="B87" s="150">
        <v>20077378</v>
      </c>
      <c r="C87" s="65"/>
      <c r="D87" s="150" t="s">
        <v>945</v>
      </c>
      <c r="E87" s="65"/>
      <c r="F87" s="65"/>
      <c r="G87" s="270">
        <v>633.72</v>
      </c>
      <c r="H87" s="65"/>
    </row>
    <row r="88" spans="1:8" ht="15" customHeight="1">
      <c r="A88" s="65"/>
      <c r="B88" s="150">
        <v>20077426</v>
      </c>
      <c r="C88" s="65"/>
      <c r="D88" s="150" t="s">
        <v>946</v>
      </c>
      <c r="E88" s="65"/>
      <c r="F88" s="65"/>
      <c r="G88" s="270">
        <v>3110604.38</v>
      </c>
      <c r="H88" s="65"/>
    </row>
    <row r="89" spans="1:8" ht="15" customHeight="1">
      <c r="A89" s="65"/>
      <c r="B89" s="150">
        <v>20077427</v>
      </c>
      <c r="C89" s="65"/>
      <c r="D89" s="150" t="s">
        <v>947</v>
      </c>
      <c r="E89" s="65"/>
      <c r="F89" s="65"/>
      <c r="G89" s="270">
        <v>184994.57</v>
      </c>
      <c r="H89" s="65"/>
    </row>
    <row r="90" spans="1:8" ht="15" customHeight="1">
      <c r="A90" s="65"/>
      <c r="B90" s="150">
        <v>20077428</v>
      </c>
      <c r="C90" s="65"/>
      <c r="D90" s="150" t="s">
        <v>948</v>
      </c>
      <c r="E90" s="65"/>
      <c r="F90" s="65"/>
      <c r="G90" s="270">
        <v>206962.91</v>
      </c>
      <c r="H90" s="65"/>
    </row>
    <row r="91" spans="1:8" ht="15" customHeight="1">
      <c r="A91" s="65"/>
      <c r="B91" s="150">
        <v>20077430</v>
      </c>
      <c r="C91" s="65"/>
      <c r="D91" s="150" t="s">
        <v>949</v>
      </c>
      <c r="E91" s="65"/>
      <c r="F91" s="65"/>
      <c r="G91" s="270">
        <v>7663227.7800000003</v>
      </c>
      <c r="H91" s="65"/>
    </row>
    <row r="92" spans="1:8" ht="15" customHeight="1">
      <c r="A92" s="65"/>
      <c r="B92" s="150">
        <v>20077444</v>
      </c>
      <c r="C92" s="65"/>
      <c r="D92" s="150" t="s">
        <v>950</v>
      </c>
      <c r="E92" s="65"/>
      <c r="F92" s="65"/>
      <c r="G92" s="270">
        <v>576960.37</v>
      </c>
      <c r="H92" s="65"/>
    </row>
    <row r="93" spans="1:8" ht="15" customHeight="1">
      <c r="A93" s="65"/>
      <c r="B93" s="150">
        <v>20077525</v>
      </c>
      <c r="C93" s="65"/>
      <c r="D93" s="150" t="s">
        <v>951</v>
      </c>
      <c r="E93" s="65"/>
      <c r="F93" s="65"/>
      <c r="G93" s="270">
        <v>815158.8</v>
      </c>
      <c r="H93" s="65"/>
    </row>
    <row r="94" spans="1:8" ht="15" customHeight="1">
      <c r="A94" s="65"/>
      <c r="B94" s="150">
        <v>20077529</v>
      </c>
      <c r="C94" s="65"/>
      <c r="D94" s="150" t="s">
        <v>952</v>
      </c>
      <c r="E94" s="65"/>
      <c r="F94" s="65"/>
      <c r="G94" s="270">
        <v>-39809.160000000003</v>
      </c>
      <c r="H94" s="65"/>
    </row>
    <row r="95" spans="1:8" ht="15" customHeight="1">
      <c r="A95" s="65"/>
      <c r="B95" s="150">
        <v>20077538</v>
      </c>
      <c r="C95" s="65"/>
      <c r="D95" s="150" t="s">
        <v>953</v>
      </c>
      <c r="E95" s="65"/>
      <c r="F95" s="65"/>
      <c r="G95" s="270">
        <v>443757.12</v>
      </c>
      <c r="H95" s="65"/>
    </row>
    <row r="96" spans="1:8" ht="6" customHeight="1">
      <c r="A96" s="65"/>
      <c r="B96" s="65"/>
      <c r="C96" s="65"/>
      <c r="D96" s="65"/>
      <c r="E96" s="65"/>
      <c r="F96" s="65"/>
      <c r="G96" s="65"/>
      <c r="H96" s="65"/>
    </row>
    <row r="97" spans="1:9" ht="15">
      <c r="A97" s="65"/>
      <c r="B97" s="65"/>
      <c r="C97" s="65"/>
      <c r="D97" s="83" t="s">
        <v>589</v>
      </c>
      <c r="E97" s="92" t="e">
        <f>SUM(#REF!)</f>
        <v>#REF!</v>
      </c>
      <c r="F97" s="65"/>
      <c r="G97" s="221">
        <f>SUM(G12:G95)</f>
        <v>106128306.10999997</v>
      </c>
      <c r="H97" s="65"/>
      <c r="I97" s="268"/>
    </row>
    <row r="98" spans="1:9" ht="15">
      <c r="D98" s="65"/>
      <c r="E98" s="65"/>
      <c r="F98" s="65"/>
      <c r="G98" s="65"/>
    </row>
    <row r="99" spans="1:9" ht="15">
      <c r="D99" s="65"/>
      <c r="E99" s="65"/>
      <c r="F99" s="65"/>
      <c r="G99" s="66"/>
    </row>
    <row r="100" spans="1:9" ht="15">
      <c r="D100" s="65"/>
      <c r="E100" s="65"/>
      <c r="F100" s="65"/>
      <c r="G100" s="65"/>
    </row>
    <row r="101" spans="1:9" ht="15">
      <c r="D101" s="83"/>
      <c r="E101" s="83"/>
      <c r="F101" s="83"/>
      <c r="G101" s="175"/>
    </row>
    <row r="102" spans="1:9" ht="15">
      <c r="D102" s="65"/>
      <c r="E102" s="65"/>
      <c r="F102" s="65"/>
      <c r="G102" s="65"/>
    </row>
    <row r="103" spans="1:9" ht="15">
      <c r="D103" s="65"/>
      <c r="E103" s="65"/>
      <c r="F103" s="65"/>
      <c r="G103" s="65"/>
    </row>
  </sheetData>
  <sortState ref="A12:G68">
    <sortCondition ref="B12:B68"/>
  </sortState>
  <mergeCells count="4">
    <mergeCell ref="G1:H1"/>
    <mergeCell ref="G3:H3"/>
    <mergeCell ref="A5:H5"/>
    <mergeCell ref="A6:H6"/>
  </mergeCells>
  <phoneticPr fontId="25" type="noConversion"/>
  <printOptions horizontalCentered="1"/>
  <pageMargins left="0.75" right="0.75" top="0.75" bottom="0.5" header="0.5" footer="0.5"/>
  <pageSetup scale="4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64"/>
  <sheetViews>
    <sheetView workbookViewId="0">
      <pane ySplit="5" topLeftCell="A6" activePane="bottomLeft" state="frozen"/>
      <selection pane="bottomLeft" activeCell="D18" sqref="D18"/>
    </sheetView>
  </sheetViews>
  <sheetFormatPr defaultRowHeight="12.75"/>
  <cols>
    <col min="1" max="1" width="3.7109375" customWidth="1"/>
    <col min="5" max="5" width="37.42578125" bestFit="1" customWidth="1"/>
    <col min="6" max="6" width="11.7109375" customWidth="1"/>
    <col min="7" max="7" width="13.42578125" bestFit="1" customWidth="1"/>
  </cols>
  <sheetData>
    <row r="1" spans="1:7">
      <c r="A1" s="4" t="s">
        <v>216</v>
      </c>
      <c r="G1" s="1"/>
    </row>
    <row r="2" spans="1:7">
      <c r="G2" s="1"/>
    </row>
    <row r="3" spans="1:7">
      <c r="G3" s="1"/>
    </row>
    <row r="4" spans="1:7">
      <c r="G4" s="1"/>
    </row>
    <row r="5" spans="1:7">
      <c r="B5" s="2" t="s">
        <v>40</v>
      </c>
      <c r="C5" s="2" t="s">
        <v>41</v>
      </c>
      <c r="D5" s="2" t="s">
        <v>42</v>
      </c>
      <c r="E5" s="2" t="s">
        <v>43</v>
      </c>
      <c r="F5" t="s">
        <v>44</v>
      </c>
      <c r="G5" s="6" t="s">
        <v>217</v>
      </c>
    </row>
    <row r="6" spans="1:7">
      <c r="B6" s="2"/>
      <c r="C6" s="2"/>
      <c r="D6" s="2"/>
      <c r="G6" s="1"/>
    </row>
    <row r="7" spans="1:7">
      <c r="B7" s="2">
        <v>354</v>
      </c>
      <c r="C7" s="11">
        <v>28</v>
      </c>
      <c r="D7" s="2" t="s">
        <v>53</v>
      </c>
      <c r="E7" t="s">
        <v>45</v>
      </c>
      <c r="F7" s="2" t="str">
        <f>FIXED(B7,0)&amp;"."&amp;FIXED(C7,0)&amp;"."&amp;D7</f>
        <v>354.28.b</v>
      </c>
      <c r="G7" s="12">
        <v>230456577</v>
      </c>
    </row>
    <row r="8" spans="1:7">
      <c r="B8" s="2">
        <v>354</v>
      </c>
      <c r="C8" s="2">
        <v>27</v>
      </c>
      <c r="D8" s="2" t="s">
        <v>53</v>
      </c>
      <c r="E8" t="s">
        <v>205</v>
      </c>
      <c r="F8" s="2" t="str">
        <f t="shared" ref="F8:F27" si="0">FIXED(B8,0)&amp;"."&amp;FIXED(C8,0)&amp;"."&amp;D8</f>
        <v>354.27.b</v>
      </c>
      <c r="G8" s="12">
        <v>43445093</v>
      </c>
    </row>
    <row r="9" spans="1:7">
      <c r="B9" s="2">
        <v>354</v>
      </c>
      <c r="C9" s="2">
        <v>21</v>
      </c>
      <c r="D9" s="2" t="s">
        <v>53</v>
      </c>
      <c r="E9" t="s">
        <v>46</v>
      </c>
      <c r="F9" s="2" t="str">
        <f t="shared" si="0"/>
        <v>354.21.b</v>
      </c>
      <c r="G9" s="12">
        <v>15109169</v>
      </c>
    </row>
    <row r="10" spans="1:7">
      <c r="B10" s="2">
        <v>321</v>
      </c>
      <c r="C10" s="2">
        <v>112</v>
      </c>
      <c r="D10" s="2" t="s">
        <v>53</v>
      </c>
      <c r="E10" t="s">
        <v>101</v>
      </c>
      <c r="F10" s="2" t="str">
        <f t="shared" si="0"/>
        <v>321.112.b</v>
      </c>
      <c r="G10" s="12">
        <v>36375160</v>
      </c>
    </row>
    <row r="11" spans="1:7">
      <c r="B11" s="2">
        <v>321</v>
      </c>
      <c r="C11" s="2">
        <v>96</v>
      </c>
      <c r="D11" s="2" t="s">
        <v>53</v>
      </c>
      <c r="E11" t="s">
        <v>47</v>
      </c>
      <c r="F11" s="2" t="str">
        <f t="shared" si="0"/>
        <v>321.96.b</v>
      </c>
      <c r="G11" s="12">
        <v>0</v>
      </c>
    </row>
    <row r="12" spans="1:7">
      <c r="B12" s="2">
        <v>323</v>
      </c>
      <c r="C12" s="2">
        <v>197</v>
      </c>
      <c r="D12" s="2" t="s">
        <v>53</v>
      </c>
      <c r="E12" t="s">
        <v>48</v>
      </c>
      <c r="F12" s="2" t="str">
        <f t="shared" si="0"/>
        <v>323.197.b</v>
      </c>
      <c r="G12" s="16">
        <v>190260852</v>
      </c>
    </row>
    <row r="13" spans="1:7">
      <c r="B13" s="2">
        <v>323</v>
      </c>
      <c r="C13" s="2">
        <v>185</v>
      </c>
      <c r="D13" s="2" t="s">
        <v>53</v>
      </c>
      <c r="E13" t="s">
        <v>103</v>
      </c>
      <c r="F13" s="2" t="str">
        <f t="shared" si="0"/>
        <v>323.185.b</v>
      </c>
      <c r="G13" s="12">
        <v>10256730</v>
      </c>
    </row>
    <row r="14" spans="1:7">
      <c r="B14" s="2">
        <v>323</v>
      </c>
      <c r="C14" s="2">
        <v>189</v>
      </c>
      <c r="D14" s="2" t="s">
        <v>53</v>
      </c>
      <c r="E14" t="s">
        <v>49</v>
      </c>
      <c r="F14" s="2" t="str">
        <f t="shared" si="0"/>
        <v>323.189.b</v>
      </c>
      <c r="G14" s="12">
        <v>160314</v>
      </c>
    </row>
    <row r="15" spans="1:7">
      <c r="B15" s="2">
        <v>323</v>
      </c>
      <c r="C15" s="2">
        <v>191</v>
      </c>
      <c r="D15" s="2" t="s">
        <v>53</v>
      </c>
      <c r="E15" t="s">
        <v>50</v>
      </c>
      <c r="F15" s="2" t="str">
        <f t="shared" si="0"/>
        <v>323.191.b</v>
      </c>
      <c r="G15" s="12">
        <v>1402110</v>
      </c>
    </row>
    <row r="16" spans="1:7">
      <c r="B16" s="2">
        <v>205</v>
      </c>
      <c r="C16" s="2">
        <v>5</v>
      </c>
      <c r="D16" s="2" t="s">
        <v>54</v>
      </c>
      <c r="E16" t="s">
        <v>206</v>
      </c>
      <c r="F16" s="2" t="str">
        <f t="shared" si="0"/>
        <v>205.5.g</v>
      </c>
      <c r="G16" s="12">
        <v>130655825</v>
      </c>
    </row>
    <row r="17" spans="2:7">
      <c r="B17" s="2">
        <v>205</v>
      </c>
      <c r="C17" s="2">
        <v>46</v>
      </c>
      <c r="D17" s="2" t="s">
        <v>54</v>
      </c>
      <c r="E17" t="s">
        <v>207</v>
      </c>
      <c r="F17" s="2" t="str">
        <f t="shared" si="0"/>
        <v>205.46.g</v>
      </c>
      <c r="G17" s="12">
        <v>4078987843</v>
      </c>
    </row>
    <row r="18" spans="2:7">
      <c r="B18" s="2">
        <v>207</v>
      </c>
      <c r="C18" s="2">
        <v>58</v>
      </c>
      <c r="D18" s="2" t="s">
        <v>54</v>
      </c>
      <c r="E18" t="s">
        <v>208</v>
      </c>
      <c r="F18" s="2" t="str">
        <f t="shared" si="0"/>
        <v>207.58.g</v>
      </c>
      <c r="G18" s="12">
        <v>1202916473</v>
      </c>
    </row>
    <row r="19" spans="2:7">
      <c r="B19" s="2">
        <v>207</v>
      </c>
      <c r="C19" s="2">
        <v>75</v>
      </c>
      <c r="D19" s="2" t="s">
        <v>54</v>
      </c>
      <c r="E19" t="s">
        <v>209</v>
      </c>
      <c r="F19" s="2" t="str">
        <f t="shared" si="0"/>
        <v>207.75.g</v>
      </c>
      <c r="G19" s="12">
        <v>3366886498</v>
      </c>
    </row>
    <row r="20" spans="2:7">
      <c r="B20" s="2">
        <v>207</v>
      </c>
      <c r="C20" s="2">
        <v>99</v>
      </c>
      <c r="D20" s="2" t="s">
        <v>54</v>
      </c>
      <c r="E20" t="s">
        <v>210</v>
      </c>
      <c r="F20" s="2" t="str">
        <f t="shared" si="0"/>
        <v>207.99.g</v>
      </c>
      <c r="G20" s="12">
        <v>371589798</v>
      </c>
    </row>
    <row r="21" spans="2:7">
      <c r="B21" s="2">
        <v>214</v>
      </c>
      <c r="C21" s="2">
        <v>47</v>
      </c>
      <c r="D21" s="2" t="s">
        <v>55</v>
      </c>
      <c r="E21" t="s">
        <v>51</v>
      </c>
      <c r="F21" s="2" t="str">
        <f t="shared" si="0"/>
        <v>214.47.d</v>
      </c>
      <c r="G21" s="12">
        <v>7422207</v>
      </c>
    </row>
    <row r="22" spans="2:7">
      <c r="B22" s="2">
        <v>200</v>
      </c>
      <c r="C22" s="2">
        <v>21</v>
      </c>
      <c r="D22" s="3" t="s">
        <v>52</v>
      </c>
      <c r="E22" t="s">
        <v>211</v>
      </c>
      <c r="F22" s="2" t="str">
        <f t="shared" si="0"/>
        <v>200.21.c</v>
      </c>
      <c r="G22" s="12">
        <v>115684248</v>
      </c>
    </row>
    <row r="23" spans="2:7">
      <c r="B23" s="2">
        <v>219</v>
      </c>
      <c r="C23" s="2" t="s">
        <v>218</v>
      </c>
      <c r="D23" s="3" t="s">
        <v>52</v>
      </c>
      <c r="E23" t="s">
        <v>212</v>
      </c>
      <c r="F23" s="2" t="str">
        <f>B23&amp;"."&amp;C23&amp;"."&amp;D23</f>
        <v>219.21-24.c</v>
      </c>
      <c r="G23" s="12">
        <f>1420902979+573478074+493530955</f>
        <v>2487912008</v>
      </c>
    </row>
    <row r="24" spans="2:7">
      <c r="B24" s="2">
        <v>219</v>
      </c>
      <c r="C24" s="2">
        <v>25</v>
      </c>
      <c r="D24" s="3" t="s">
        <v>52</v>
      </c>
      <c r="E24" t="s">
        <v>213</v>
      </c>
      <c r="F24" s="2" t="str">
        <f t="shared" si="0"/>
        <v>219.25.c</v>
      </c>
      <c r="G24" s="12">
        <v>467447245</v>
      </c>
    </row>
    <row r="25" spans="2:7">
      <c r="B25" s="2">
        <v>219</v>
      </c>
      <c r="C25" s="2">
        <v>26</v>
      </c>
      <c r="D25" s="3" t="s">
        <v>52</v>
      </c>
      <c r="E25" t="s">
        <v>214</v>
      </c>
      <c r="F25" s="2" t="str">
        <f t="shared" si="0"/>
        <v>219.26.c</v>
      </c>
      <c r="G25" s="12">
        <v>1237741938</v>
      </c>
    </row>
    <row r="26" spans="2:7">
      <c r="B26" s="2">
        <v>219</v>
      </c>
      <c r="C26" s="2">
        <v>27</v>
      </c>
      <c r="D26" s="3" t="s">
        <v>52</v>
      </c>
      <c r="E26" t="s">
        <v>215</v>
      </c>
      <c r="F26" s="2" t="str">
        <f t="shared" si="0"/>
        <v>219.27.c</v>
      </c>
      <c r="G26" s="12">
        <v>93921679</v>
      </c>
    </row>
    <row r="27" spans="2:7">
      <c r="B27" s="2">
        <v>400</v>
      </c>
      <c r="C27" s="2">
        <v>17</v>
      </c>
      <c r="D27" s="3" t="s">
        <v>53</v>
      </c>
      <c r="E27" t="s">
        <v>56</v>
      </c>
      <c r="F27" s="2" t="str">
        <f t="shared" si="0"/>
        <v>400.17.b</v>
      </c>
      <c r="G27" s="12">
        <v>132753</v>
      </c>
    </row>
    <row r="28" spans="2:7">
      <c r="B28" s="2" t="s">
        <v>57</v>
      </c>
      <c r="C28" s="2">
        <v>5</v>
      </c>
      <c r="D28" s="2" t="s">
        <v>53</v>
      </c>
      <c r="E28" t="s">
        <v>223</v>
      </c>
      <c r="F28" s="2" t="str">
        <f>B28&amp;"."&amp;C28&amp;"."&amp;D28</f>
        <v>230a.5.b</v>
      </c>
      <c r="G28" s="12">
        <v>16963061</v>
      </c>
    </row>
    <row r="29" spans="2:7">
      <c r="B29" s="2" t="s">
        <v>57</v>
      </c>
      <c r="C29" s="2">
        <v>5</v>
      </c>
      <c r="D29" s="2" t="s">
        <v>58</v>
      </c>
      <c r="E29" t="s">
        <v>223</v>
      </c>
      <c r="F29" s="2" t="str">
        <f>B29&amp;"."&amp;C29&amp;"."&amp;D29</f>
        <v>230a.5.e</v>
      </c>
      <c r="G29" s="12">
        <v>436359</v>
      </c>
    </row>
    <row r="30" spans="2:7">
      <c r="B30" s="2" t="s">
        <v>57</v>
      </c>
      <c r="C30" s="2">
        <v>5</v>
      </c>
      <c r="D30" s="2" t="s">
        <v>84</v>
      </c>
      <c r="E30" t="s">
        <v>224</v>
      </c>
      <c r="F30" s="2" t="str">
        <f>B30&amp;"."&amp;C30&amp;"."&amp;D30</f>
        <v>230a.5.f</v>
      </c>
      <c r="G30" s="12">
        <v>16092702</v>
      </c>
    </row>
    <row r="31" spans="2:7">
      <c r="B31" s="2">
        <v>234</v>
      </c>
      <c r="C31" s="2">
        <v>8</v>
      </c>
      <c r="D31" s="2" t="s">
        <v>52</v>
      </c>
      <c r="E31" t="s">
        <v>66</v>
      </c>
      <c r="F31" s="2" t="str">
        <f t="shared" ref="F31:F42" si="1">FIXED(B31,0)&amp;"."&amp;FIXED(C31,0)&amp;"."&amp;D31</f>
        <v>234.8.c</v>
      </c>
      <c r="G31" s="12">
        <v>380246000</v>
      </c>
    </row>
    <row r="32" spans="2:7">
      <c r="B32" s="2">
        <v>273</v>
      </c>
      <c r="C32" s="2">
        <v>8</v>
      </c>
      <c r="D32" s="2" t="s">
        <v>86</v>
      </c>
      <c r="E32" t="s">
        <v>67</v>
      </c>
      <c r="F32" s="2" t="str">
        <f t="shared" si="1"/>
        <v>273.8.k</v>
      </c>
      <c r="G32" s="12">
        <v>-6186000</v>
      </c>
    </row>
    <row r="33" spans="2:7">
      <c r="B33" s="2">
        <v>275</v>
      </c>
      <c r="C33" s="2">
        <v>2</v>
      </c>
      <c r="D33" s="2" t="s">
        <v>86</v>
      </c>
      <c r="E33" t="s">
        <v>68</v>
      </c>
      <c r="F33" s="2" t="str">
        <f t="shared" si="1"/>
        <v>275.2.k</v>
      </c>
      <c r="G33" s="12">
        <v>-440451000</v>
      </c>
    </row>
    <row r="34" spans="2:7">
      <c r="B34" s="2">
        <v>277</v>
      </c>
      <c r="C34" s="2">
        <v>8</v>
      </c>
      <c r="D34" s="2" t="s">
        <v>86</v>
      </c>
      <c r="E34" t="s">
        <v>230</v>
      </c>
      <c r="F34" s="2" t="str">
        <f t="shared" si="1"/>
        <v>277.8.k</v>
      </c>
      <c r="G34" s="12">
        <v>-270902909</v>
      </c>
    </row>
    <row r="35" spans="2:7">
      <c r="B35" s="2">
        <v>267</v>
      </c>
      <c r="C35" s="2">
        <v>8</v>
      </c>
      <c r="D35" s="2" t="s">
        <v>83</v>
      </c>
      <c r="E35" t="s">
        <v>82</v>
      </c>
      <c r="F35" s="2" t="str">
        <f t="shared" si="1"/>
        <v>267.8.h</v>
      </c>
      <c r="G35" s="12">
        <v>-23386508</v>
      </c>
    </row>
    <row r="36" spans="2:7">
      <c r="B36" s="2">
        <v>266</v>
      </c>
      <c r="C36" s="2">
        <v>8</v>
      </c>
      <c r="D36" s="2" t="s">
        <v>84</v>
      </c>
      <c r="E36" t="s">
        <v>85</v>
      </c>
      <c r="F36" s="2" t="str">
        <f t="shared" si="1"/>
        <v>266.8.f</v>
      </c>
      <c r="G36" s="12">
        <v>-6410000</v>
      </c>
    </row>
    <row r="37" spans="2:7">
      <c r="B37" s="2">
        <v>111</v>
      </c>
      <c r="C37" s="2">
        <v>57</v>
      </c>
      <c r="D37" s="2" t="s">
        <v>52</v>
      </c>
      <c r="E37" t="s">
        <v>243</v>
      </c>
      <c r="F37" s="2" t="str">
        <f t="shared" si="1"/>
        <v>111.57.c</v>
      </c>
      <c r="G37" s="16">
        <v>128350988</v>
      </c>
    </row>
    <row r="38" spans="2:7">
      <c r="B38" s="2">
        <v>336</v>
      </c>
      <c r="C38" s="2">
        <v>7</v>
      </c>
      <c r="D38" s="2" t="s">
        <v>84</v>
      </c>
      <c r="E38" t="s">
        <v>109</v>
      </c>
      <c r="F38" s="2" t="str">
        <f t="shared" si="1"/>
        <v>336.7.f</v>
      </c>
      <c r="G38" s="12">
        <v>25788171</v>
      </c>
    </row>
    <row r="39" spans="2:7">
      <c r="B39" s="2">
        <v>336</v>
      </c>
      <c r="C39" s="2">
        <v>9</v>
      </c>
      <c r="D39" s="2" t="s">
        <v>84</v>
      </c>
      <c r="E39" t="s">
        <v>110</v>
      </c>
      <c r="F39" s="2" t="str">
        <f t="shared" si="1"/>
        <v>336.9.f</v>
      </c>
      <c r="G39" s="12">
        <v>13127229</v>
      </c>
    </row>
    <row r="40" spans="2:7">
      <c r="B40" s="2">
        <v>336</v>
      </c>
      <c r="C40" s="2">
        <v>1</v>
      </c>
      <c r="D40" s="2" t="s">
        <v>84</v>
      </c>
      <c r="E40" t="s">
        <v>221</v>
      </c>
      <c r="F40" s="2" t="str">
        <f t="shared" si="1"/>
        <v>336.1.f</v>
      </c>
      <c r="G40" s="12">
        <v>13829877</v>
      </c>
    </row>
    <row r="41" spans="2:7">
      <c r="B41" s="2">
        <v>227</v>
      </c>
      <c r="C41" s="2">
        <v>8</v>
      </c>
      <c r="D41" s="2" t="s">
        <v>52</v>
      </c>
      <c r="E41" t="s">
        <v>116</v>
      </c>
      <c r="F41" s="2" t="str">
        <f t="shared" si="1"/>
        <v>227.8.c</v>
      </c>
      <c r="G41" s="12">
        <v>1071828</v>
      </c>
    </row>
    <row r="42" spans="2:7">
      <c r="B42" s="2">
        <v>227</v>
      </c>
      <c r="C42" s="2">
        <v>15</v>
      </c>
      <c r="D42" s="2" t="s">
        <v>52</v>
      </c>
      <c r="E42" t="s">
        <v>117</v>
      </c>
      <c r="F42" s="2" t="str">
        <f t="shared" si="1"/>
        <v>227.15.c</v>
      </c>
      <c r="G42" s="12">
        <v>5825542</v>
      </c>
    </row>
    <row r="43" spans="2:7">
      <c r="B43" s="2">
        <v>117</v>
      </c>
      <c r="C43" s="2" t="s">
        <v>122</v>
      </c>
      <c r="D43" s="2" t="s">
        <v>52</v>
      </c>
      <c r="E43" t="s">
        <v>121</v>
      </c>
      <c r="F43" s="2" t="str">
        <f>FIXED(B43,0)&amp;"."&amp;C43&amp;"."&amp;D43</f>
        <v>117.62-67.c</v>
      </c>
      <c r="G43" s="12">
        <f>140476010+4239516+2167686+1483069</f>
        <v>148366281</v>
      </c>
    </row>
    <row r="44" spans="2:7">
      <c r="B44" s="2">
        <v>118</v>
      </c>
      <c r="C44" s="2">
        <v>29</v>
      </c>
      <c r="D44" s="2" t="s">
        <v>52</v>
      </c>
      <c r="E44" t="s">
        <v>123</v>
      </c>
      <c r="F44" s="2" t="str">
        <f>FIXED(B44,0)&amp;"."&amp;C44&amp;"."&amp;D44</f>
        <v>118.29.c</v>
      </c>
      <c r="G44" s="12">
        <v>1511860</v>
      </c>
    </row>
    <row r="45" spans="2:7">
      <c r="B45" s="2">
        <v>112</v>
      </c>
      <c r="C45" s="2">
        <v>24</v>
      </c>
      <c r="D45" s="2" t="s">
        <v>52</v>
      </c>
      <c r="E45" t="s">
        <v>124</v>
      </c>
      <c r="F45" s="2" t="str">
        <f t="shared" ref="F45:F63" si="2">B45&amp;"."&amp;C45&amp;"."&amp;D45</f>
        <v>112.24.c</v>
      </c>
      <c r="G45" s="12">
        <v>2556457093</v>
      </c>
    </row>
    <row r="46" spans="2:7">
      <c r="B46" s="2">
        <v>111</v>
      </c>
      <c r="C46" s="2">
        <v>81</v>
      </c>
      <c r="D46" s="2" t="s">
        <v>52</v>
      </c>
      <c r="E46" t="s">
        <v>125</v>
      </c>
      <c r="F46" s="2" t="str">
        <f t="shared" si="2"/>
        <v>111.81.c</v>
      </c>
      <c r="G46" s="12">
        <v>27021115</v>
      </c>
    </row>
    <row r="47" spans="2:7">
      <c r="B47" s="2">
        <v>113</v>
      </c>
      <c r="C47" s="2">
        <v>61</v>
      </c>
      <c r="D47" s="2" t="s">
        <v>52</v>
      </c>
      <c r="E47" t="s">
        <v>126</v>
      </c>
      <c r="F47" s="2" t="str">
        <f t="shared" si="2"/>
        <v>113.61.c</v>
      </c>
      <c r="G47" s="12">
        <v>0</v>
      </c>
    </row>
    <row r="48" spans="2:7">
      <c r="B48" s="2">
        <v>112</v>
      </c>
      <c r="C48" s="2">
        <v>3</v>
      </c>
      <c r="D48" s="2" t="s">
        <v>52</v>
      </c>
      <c r="E48" t="s">
        <v>131</v>
      </c>
      <c r="F48" s="2" t="str">
        <f t="shared" si="2"/>
        <v>112.3.c</v>
      </c>
      <c r="G48" s="12">
        <v>33496700</v>
      </c>
    </row>
    <row r="49" spans="2:7">
      <c r="B49" s="2">
        <v>112</v>
      </c>
      <c r="C49" s="2">
        <v>16</v>
      </c>
      <c r="D49" s="2" t="s">
        <v>52</v>
      </c>
      <c r="E49" t="s">
        <v>134</v>
      </c>
      <c r="F49" s="2" t="str">
        <f t="shared" si="2"/>
        <v>112.16.c</v>
      </c>
      <c r="G49" s="12">
        <v>2720777442</v>
      </c>
    </row>
    <row r="50" spans="2:7">
      <c r="B50" s="2">
        <v>112</v>
      </c>
      <c r="C50" s="2">
        <v>3</v>
      </c>
      <c r="D50" s="2" t="s">
        <v>52</v>
      </c>
      <c r="E50" t="s">
        <v>132</v>
      </c>
      <c r="F50" s="2" t="str">
        <f t="shared" si="2"/>
        <v>112.3.c</v>
      </c>
      <c r="G50" s="12">
        <f>G48</f>
        <v>33496700</v>
      </c>
    </row>
    <row r="51" spans="2:7">
      <c r="B51" s="2">
        <v>112</v>
      </c>
      <c r="C51" s="2">
        <v>12</v>
      </c>
      <c r="D51" s="2" t="s">
        <v>52</v>
      </c>
      <c r="E51" t="s">
        <v>133</v>
      </c>
      <c r="F51" s="2" t="str">
        <f t="shared" si="2"/>
        <v>112.12.c</v>
      </c>
      <c r="G51" s="16">
        <v>3524</v>
      </c>
    </row>
    <row r="52" spans="2:7">
      <c r="B52" s="2">
        <v>400</v>
      </c>
      <c r="C52" s="2">
        <v>17</v>
      </c>
      <c r="D52" s="2" t="s">
        <v>58</v>
      </c>
      <c r="E52" t="s">
        <v>153</v>
      </c>
      <c r="F52" s="2" t="str">
        <f t="shared" si="2"/>
        <v>400.17.e</v>
      </c>
      <c r="G52" s="12">
        <v>90979</v>
      </c>
    </row>
    <row r="53" spans="2:7">
      <c r="B53" s="2">
        <v>400</v>
      </c>
      <c r="C53" s="2">
        <v>17</v>
      </c>
      <c r="D53" s="2" t="s">
        <v>84</v>
      </c>
      <c r="E53" t="s">
        <v>150</v>
      </c>
      <c r="F53" s="2" t="str">
        <f t="shared" si="2"/>
        <v>400.17.f</v>
      </c>
      <c r="G53" s="12">
        <v>1228</v>
      </c>
    </row>
    <row r="54" spans="2:7">
      <c r="B54" s="2">
        <v>400</v>
      </c>
      <c r="C54" s="2">
        <v>17</v>
      </c>
      <c r="D54" s="2" t="s">
        <v>54</v>
      </c>
      <c r="E54" t="s">
        <v>152</v>
      </c>
      <c r="F54" s="2" t="str">
        <f t="shared" si="2"/>
        <v>400.17.g</v>
      </c>
      <c r="G54" s="12">
        <v>7083</v>
      </c>
    </row>
    <row r="55" spans="2:7">
      <c r="B55" s="2">
        <v>400</v>
      </c>
      <c r="C55" s="2">
        <v>17</v>
      </c>
      <c r="D55" s="2" t="s">
        <v>83</v>
      </c>
      <c r="E55" t="s">
        <v>198</v>
      </c>
      <c r="F55" s="2" t="str">
        <f t="shared" si="2"/>
        <v>400.17.h</v>
      </c>
      <c r="G55" s="12">
        <v>32863</v>
      </c>
    </row>
    <row r="56" spans="2:7">
      <c r="B56" s="2">
        <v>400</v>
      </c>
      <c r="C56" s="2">
        <v>17</v>
      </c>
      <c r="D56" s="2" t="s">
        <v>149</v>
      </c>
      <c r="E56" t="s">
        <v>151</v>
      </c>
      <c r="F56" s="2" t="str">
        <f t="shared" si="2"/>
        <v>400.17.i</v>
      </c>
      <c r="G56" s="12">
        <v>600</v>
      </c>
    </row>
    <row r="57" spans="2:7">
      <c r="B57" s="2">
        <v>400</v>
      </c>
      <c r="C57" s="2">
        <v>17</v>
      </c>
      <c r="D57" s="2" t="s">
        <v>53</v>
      </c>
      <c r="E57" t="s">
        <v>161</v>
      </c>
      <c r="F57" s="2" t="str">
        <f t="shared" si="2"/>
        <v>400.17.b</v>
      </c>
      <c r="G57" s="12">
        <f>SUM(G52:G56)</f>
        <v>132753</v>
      </c>
    </row>
    <row r="58" spans="2:7">
      <c r="B58" s="2">
        <v>263</v>
      </c>
      <c r="C58" s="2">
        <v>3</v>
      </c>
      <c r="D58" s="2" t="s">
        <v>149</v>
      </c>
      <c r="E58" t="s">
        <v>199</v>
      </c>
      <c r="F58" s="2" t="str">
        <f t="shared" si="2"/>
        <v>263.3.i</v>
      </c>
      <c r="G58" s="13">
        <v>18893455</v>
      </c>
    </row>
    <row r="59" spans="2:7">
      <c r="B59" s="2">
        <v>263</v>
      </c>
      <c r="C59" s="2">
        <v>4</v>
      </c>
      <c r="D59" s="2" t="s">
        <v>149</v>
      </c>
      <c r="E59" t="s">
        <v>200</v>
      </c>
      <c r="F59" s="2" t="str">
        <f t="shared" si="2"/>
        <v>263.4.i</v>
      </c>
      <c r="G59" s="13">
        <v>0</v>
      </c>
    </row>
    <row r="60" spans="2:7">
      <c r="B60" s="2">
        <v>263</v>
      </c>
      <c r="C60" s="2">
        <v>7</v>
      </c>
      <c r="D60" s="2" t="s">
        <v>149</v>
      </c>
      <c r="E60" t="s">
        <v>203</v>
      </c>
      <c r="F60" s="2" t="str">
        <f t="shared" si="2"/>
        <v>263.7.i</v>
      </c>
      <c r="G60" s="13">
        <v>36276</v>
      </c>
    </row>
    <row r="61" spans="2:7">
      <c r="B61" s="2">
        <v>263</v>
      </c>
      <c r="C61" s="2">
        <v>15</v>
      </c>
      <c r="D61" s="2" t="s">
        <v>149</v>
      </c>
      <c r="E61" t="s">
        <v>201</v>
      </c>
      <c r="F61" s="2" t="str">
        <f t="shared" si="2"/>
        <v>263.15.i</v>
      </c>
      <c r="G61" s="13">
        <v>0</v>
      </c>
    </row>
    <row r="62" spans="2:7">
      <c r="B62" s="2">
        <v>263</v>
      </c>
      <c r="C62" s="2">
        <v>16</v>
      </c>
      <c r="D62" s="2" t="s">
        <v>149</v>
      </c>
      <c r="E62" t="s">
        <v>202</v>
      </c>
      <c r="F62" s="2" t="str">
        <f t="shared" si="2"/>
        <v>263.16.i</v>
      </c>
      <c r="G62" s="13">
        <v>0</v>
      </c>
    </row>
    <row r="63" spans="2:7">
      <c r="B63" s="2">
        <v>263</v>
      </c>
      <c r="C63" s="2">
        <v>22</v>
      </c>
      <c r="D63" s="2" t="s">
        <v>149</v>
      </c>
      <c r="E63" t="s">
        <v>204</v>
      </c>
      <c r="F63" s="2" t="str">
        <f t="shared" si="2"/>
        <v>263.22.i</v>
      </c>
      <c r="G63" s="13">
        <v>88149084</v>
      </c>
    </row>
    <row r="64" spans="2:7">
      <c r="B64" s="2"/>
      <c r="D64" s="2"/>
      <c r="G64" s="13"/>
    </row>
  </sheetData>
  <phoneticPr fontId="0" type="noConversion"/>
  <printOptions horizontalCentered="1"/>
  <pageMargins left="0.75" right="0.75" top="1" bottom="1" header="0.5" footer="0.5"/>
  <pageSetup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62"/>
  <sheetViews>
    <sheetView topLeftCell="A30" workbookViewId="0">
      <selection activeCell="I38" sqref="I38"/>
    </sheetView>
  </sheetViews>
  <sheetFormatPr defaultRowHeight="12.75"/>
  <cols>
    <col min="1" max="2" width="5.7109375" customWidth="1"/>
    <col min="3" max="7" width="13.7109375" customWidth="1"/>
    <col min="8" max="8" width="14" customWidth="1"/>
    <col min="9" max="9" width="16.7109375" customWidth="1"/>
    <col min="10" max="10" width="5.7109375" customWidth="1"/>
    <col min="11" max="11" width="9.7109375" bestFit="1" customWidth="1"/>
  </cols>
  <sheetData>
    <row r="1" spans="1:10" ht="15.75">
      <c r="A1" s="102"/>
      <c r="B1" s="102"/>
      <c r="C1" s="102"/>
      <c r="D1" s="102"/>
      <c r="E1" s="102"/>
      <c r="F1" s="102"/>
      <c r="G1" s="102"/>
      <c r="H1" s="102"/>
      <c r="I1" s="276" t="s">
        <v>418</v>
      </c>
      <c r="J1" s="276"/>
    </row>
    <row r="2" spans="1:10" ht="15.75">
      <c r="A2" s="102"/>
      <c r="B2" s="102"/>
      <c r="C2" s="102"/>
      <c r="D2" s="102"/>
      <c r="E2" s="102"/>
      <c r="F2" s="102"/>
      <c r="G2" s="102"/>
      <c r="H2" s="102"/>
      <c r="I2" s="180" t="s">
        <v>555</v>
      </c>
      <c r="J2" s="180"/>
    </row>
    <row r="3" spans="1:10" ht="15">
      <c r="A3" s="102"/>
      <c r="B3" s="102"/>
      <c r="C3" s="102"/>
      <c r="D3" s="102"/>
      <c r="E3" s="102"/>
      <c r="F3" s="102"/>
      <c r="G3" s="102"/>
      <c r="H3" s="102"/>
      <c r="I3" s="288" t="str">
        <f>FF1_Year</f>
        <v>Year Ending 12/31/2009</v>
      </c>
      <c r="J3" s="288"/>
    </row>
    <row r="4" spans="1:10" ht="1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">
      <c r="A5" s="287" t="s">
        <v>395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5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>
      <c r="A7" s="297" t="s">
        <v>593</v>
      </c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5">
      <c r="A8" s="102"/>
      <c r="B8" s="130"/>
      <c r="C8" s="130"/>
      <c r="D8" s="130"/>
      <c r="E8" s="130"/>
      <c r="F8" s="130"/>
      <c r="G8" s="130"/>
      <c r="H8" s="130"/>
      <c r="I8" s="130"/>
      <c r="J8" s="130"/>
    </row>
    <row r="9" spans="1:10" ht="15">
      <c r="A9" s="102"/>
      <c r="B9" s="182"/>
      <c r="C9" s="182"/>
      <c r="D9" s="183"/>
      <c r="E9" s="184"/>
      <c r="F9" s="182"/>
      <c r="G9" s="182"/>
      <c r="H9" s="182"/>
      <c r="I9" s="182"/>
      <c r="J9" s="130"/>
    </row>
    <row r="10" spans="1:10" ht="15">
      <c r="A10" s="301" t="s">
        <v>606</v>
      </c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5">
      <c r="A11" s="185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5">
      <c r="A12" s="102"/>
      <c r="B12" s="186"/>
      <c r="C12" s="186"/>
      <c r="D12" s="183"/>
      <c r="E12" s="183"/>
      <c r="F12" s="187"/>
      <c r="G12" s="186"/>
      <c r="H12" s="186"/>
      <c r="I12" s="186"/>
      <c r="J12" s="130"/>
    </row>
    <row r="13" spans="1:10" ht="15">
      <c r="A13" s="102"/>
      <c r="B13" s="186"/>
      <c r="C13" s="188" t="s">
        <v>775</v>
      </c>
      <c r="D13" s="189"/>
      <c r="E13" s="189"/>
      <c r="F13" s="190"/>
      <c r="G13" s="190"/>
      <c r="H13" s="190"/>
      <c r="I13" s="190"/>
      <c r="J13" s="130"/>
    </row>
    <row r="14" spans="1:10" ht="15">
      <c r="A14" s="102"/>
      <c r="B14" s="191"/>
      <c r="C14" s="192"/>
      <c r="D14" s="193"/>
      <c r="E14" s="193"/>
      <c r="F14" s="192"/>
      <c r="G14" s="192"/>
      <c r="H14" s="192"/>
      <c r="I14" s="192"/>
      <c r="J14" s="102"/>
    </row>
    <row r="15" spans="1:10" ht="15">
      <c r="A15" s="102"/>
      <c r="B15" s="191"/>
      <c r="C15" s="192"/>
      <c r="D15" s="193"/>
      <c r="E15" s="194" t="s">
        <v>596</v>
      </c>
      <c r="F15" s="194" t="s">
        <v>598</v>
      </c>
      <c r="G15" s="194" t="s">
        <v>70</v>
      </c>
      <c r="H15" s="194"/>
      <c r="I15" s="190"/>
      <c r="J15" s="102"/>
    </row>
    <row r="16" spans="1:10" ht="15">
      <c r="A16" s="102"/>
      <c r="B16" s="186"/>
      <c r="C16" s="195"/>
      <c r="D16" s="195"/>
      <c r="E16" s="194" t="s">
        <v>484</v>
      </c>
      <c r="F16" s="194" t="s">
        <v>9</v>
      </c>
      <c r="G16" s="194" t="s">
        <v>600</v>
      </c>
      <c r="H16" s="194"/>
      <c r="I16" s="190"/>
      <c r="J16" s="102"/>
    </row>
    <row r="17" spans="1:11" ht="15">
      <c r="A17" s="102"/>
      <c r="B17" s="186"/>
      <c r="C17" s="195"/>
      <c r="D17" s="195"/>
      <c r="E17" s="195"/>
      <c r="F17" s="195"/>
      <c r="G17" s="195"/>
      <c r="H17" s="195"/>
      <c r="I17" s="195"/>
      <c r="J17" s="102"/>
    </row>
    <row r="18" spans="1:11" ht="15">
      <c r="A18" s="102"/>
      <c r="B18" s="186"/>
      <c r="C18" s="195" t="s">
        <v>776</v>
      </c>
      <c r="D18" s="195"/>
      <c r="E18" s="196">
        <v>2763463.4149013096</v>
      </c>
      <c r="F18" s="196">
        <v>217107.58509869035</v>
      </c>
      <c r="G18" s="196">
        <f>E18+F18</f>
        <v>2980571</v>
      </c>
      <c r="H18" s="102"/>
      <c r="I18" s="197"/>
      <c r="J18" s="102"/>
    </row>
    <row r="19" spans="1:11" ht="15">
      <c r="A19" s="102"/>
      <c r="B19" s="186"/>
      <c r="C19" s="195"/>
      <c r="D19" s="195"/>
      <c r="E19" s="198"/>
      <c r="F19" s="198"/>
      <c r="G19" s="198"/>
      <c r="H19" s="196"/>
      <c r="I19" s="196"/>
      <c r="J19" s="102"/>
    </row>
    <row r="20" spans="1:11" ht="15">
      <c r="A20" s="102"/>
      <c r="B20" s="154"/>
      <c r="C20" s="195"/>
      <c r="D20" s="195"/>
      <c r="E20" s="196"/>
      <c r="F20" s="196"/>
      <c r="G20" s="196"/>
      <c r="H20" s="196"/>
      <c r="I20" s="196"/>
      <c r="J20" s="102"/>
    </row>
    <row r="21" spans="1:11" ht="15">
      <c r="A21" s="102"/>
      <c r="B21" s="117"/>
      <c r="C21" s="199" t="s">
        <v>594</v>
      </c>
      <c r="D21" s="199"/>
      <c r="E21" s="200">
        <f>E18/G18</f>
        <v>0.92715906277733684</v>
      </c>
      <c r="F21" s="200">
        <f>F18/G18</f>
        <v>7.284093722266316E-2</v>
      </c>
      <c r="G21" s="201"/>
      <c r="H21" s="201"/>
      <c r="I21" s="201"/>
      <c r="J21" s="102"/>
    </row>
    <row r="22" spans="1:11" ht="15">
      <c r="A22" s="102"/>
      <c r="B22" s="117"/>
      <c r="C22" s="199"/>
      <c r="D22" s="199"/>
      <c r="E22" s="200"/>
      <c r="F22" s="200"/>
      <c r="G22" s="201"/>
      <c r="H22" s="201"/>
      <c r="I22" s="201"/>
      <c r="J22" s="102"/>
    </row>
    <row r="23" spans="1:11" ht="15">
      <c r="A23" s="102"/>
      <c r="B23" s="117"/>
      <c r="C23" s="199"/>
      <c r="D23" s="199"/>
      <c r="E23" s="201"/>
      <c r="F23" s="201"/>
      <c r="G23" s="201"/>
      <c r="H23" s="201"/>
      <c r="I23" s="201"/>
      <c r="J23" s="102"/>
    </row>
    <row r="24" spans="1:11" ht="15">
      <c r="A24" s="102"/>
      <c r="B24" s="102"/>
      <c r="C24" s="202" t="s">
        <v>595</v>
      </c>
      <c r="D24" s="199"/>
      <c r="E24" s="201"/>
      <c r="F24" s="201"/>
      <c r="G24" s="201"/>
      <c r="H24" s="201"/>
      <c r="I24" s="201"/>
      <c r="J24" s="102"/>
    </row>
    <row r="25" spans="1:11" ht="18" customHeight="1">
      <c r="A25" s="102"/>
      <c r="B25" s="143"/>
      <c r="C25" s="203"/>
      <c r="D25" s="204"/>
      <c r="E25" s="102"/>
      <c r="F25" s="298" t="s">
        <v>612</v>
      </c>
      <c r="G25" s="299"/>
      <c r="H25" s="300"/>
      <c r="I25" s="204"/>
      <c r="J25" s="179"/>
    </row>
    <row r="26" spans="1:11" ht="6" customHeight="1">
      <c r="A26" s="102"/>
      <c r="B26" s="143"/>
      <c r="C26" s="203"/>
      <c r="D26" s="102"/>
      <c r="E26" s="102"/>
      <c r="F26" s="205"/>
      <c r="G26" s="181"/>
      <c r="H26" s="181"/>
      <c r="I26" s="204"/>
      <c r="J26" s="179"/>
    </row>
    <row r="27" spans="1:11" ht="15">
      <c r="A27" s="102"/>
      <c r="B27" s="102"/>
      <c r="C27" s="203"/>
      <c r="D27" s="204" t="s">
        <v>602</v>
      </c>
      <c r="E27" s="204" t="s">
        <v>39</v>
      </c>
      <c r="F27" s="204" t="s">
        <v>496</v>
      </c>
      <c r="G27" s="204" t="s">
        <v>596</v>
      </c>
      <c r="H27" s="204" t="s">
        <v>598</v>
      </c>
      <c r="I27" s="204" t="s">
        <v>599</v>
      </c>
      <c r="J27" s="179"/>
    </row>
    <row r="28" spans="1:11" ht="15">
      <c r="A28" s="102"/>
      <c r="B28" s="102"/>
      <c r="C28" s="102"/>
      <c r="D28" s="204" t="s">
        <v>601</v>
      </c>
      <c r="E28" s="204" t="s">
        <v>10</v>
      </c>
      <c r="F28" s="179" t="s">
        <v>9</v>
      </c>
      <c r="G28" s="179" t="s">
        <v>597</v>
      </c>
      <c r="H28" s="179" t="s">
        <v>9</v>
      </c>
      <c r="I28" s="179" t="s">
        <v>605</v>
      </c>
      <c r="J28" s="179"/>
    </row>
    <row r="29" spans="1:11" ht="6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1" ht="15">
      <c r="A30" s="102"/>
      <c r="B30" s="102"/>
      <c r="C30" s="102"/>
      <c r="D30" s="206">
        <v>39814</v>
      </c>
      <c r="E30" s="207">
        <v>418944</v>
      </c>
      <c r="F30" s="207">
        <v>8722</v>
      </c>
      <c r="G30" s="207">
        <f>($E30-$F30)*E$21</f>
        <v>380341.04505064467</v>
      </c>
      <c r="H30" s="207">
        <f t="shared" ref="H30:H41" si="0">($E30-$F30)*F$21</f>
        <v>29880.954949355328</v>
      </c>
      <c r="I30" s="207">
        <f>G18-SUM(G30:H30)</f>
        <v>2570349</v>
      </c>
      <c r="J30" s="102"/>
      <c r="K30" s="1"/>
    </row>
    <row r="31" spans="1:11" ht="15">
      <c r="A31" s="102"/>
      <c r="B31" s="102"/>
      <c r="C31" s="102"/>
      <c r="D31" s="206">
        <v>39845</v>
      </c>
      <c r="E31" s="207">
        <v>340028</v>
      </c>
      <c r="F31" s="207">
        <v>8441</v>
      </c>
      <c r="G31" s="207">
        <f t="shared" ref="G31:G35" si="1">($E31-$F31)*E$21</f>
        <v>307433.8921491488</v>
      </c>
      <c r="H31" s="207">
        <f t="shared" ref="H31:H35" si="2">($E31-$F31)*F$21</f>
        <v>24153.107850851211</v>
      </c>
      <c r="I31" s="207">
        <f>I30-(G31+H31)</f>
        <v>2238762</v>
      </c>
      <c r="J31" s="102"/>
      <c r="K31" s="1"/>
    </row>
    <row r="32" spans="1:11" ht="15">
      <c r="A32" s="102"/>
      <c r="B32" s="102"/>
      <c r="C32" s="102"/>
      <c r="D32" s="206">
        <v>39873</v>
      </c>
      <c r="E32" s="207">
        <v>340028</v>
      </c>
      <c r="F32" s="207">
        <v>5316</v>
      </c>
      <c r="G32" s="207">
        <f t="shared" si="1"/>
        <v>310331.26422032795</v>
      </c>
      <c r="H32" s="207">
        <f t="shared" si="2"/>
        <v>24380.735779672032</v>
      </c>
      <c r="I32" s="207">
        <f t="shared" ref="I32:I41" si="3">I31-(G32+H32)</f>
        <v>1904050</v>
      </c>
      <c r="J32" s="102"/>
      <c r="K32" s="1"/>
    </row>
    <row r="33" spans="1:11" ht="15">
      <c r="A33" s="102"/>
      <c r="B33" s="102"/>
      <c r="C33" s="102"/>
      <c r="D33" s="206">
        <v>39904</v>
      </c>
      <c r="E33" s="207">
        <v>340028</v>
      </c>
      <c r="F33" s="207">
        <v>4520</v>
      </c>
      <c r="G33" s="207">
        <f t="shared" si="1"/>
        <v>311069.28283429873</v>
      </c>
      <c r="H33" s="207">
        <f t="shared" si="2"/>
        <v>24438.717165701273</v>
      </c>
      <c r="I33" s="207">
        <f t="shared" si="3"/>
        <v>1568542</v>
      </c>
      <c r="J33" s="102"/>
      <c r="K33" s="1"/>
    </row>
    <row r="34" spans="1:11" ht="15">
      <c r="A34" s="102"/>
      <c r="B34" s="102"/>
      <c r="C34" s="102"/>
      <c r="D34" s="206">
        <v>39934</v>
      </c>
      <c r="E34" s="207">
        <v>340028</v>
      </c>
      <c r="F34" s="207">
        <v>3412</v>
      </c>
      <c r="G34" s="207">
        <f t="shared" si="1"/>
        <v>312096.575075856</v>
      </c>
      <c r="H34" s="207">
        <f t="shared" si="2"/>
        <v>24519.424924143983</v>
      </c>
      <c r="I34" s="207">
        <f t="shared" si="3"/>
        <v>1231926</v>
      </c>
      <c r="J34" s="102"/>
      <c r="K34" s="1"/>
    </row>
    <row r="35" spans="1:11" ht="15">
      <c r="A35" s="102"/>
      <c r="B35" s="102"/>
      <c r="C35" s="102"/>
      <c r="D35" s="206">
        <v>39965</v>
      </c>
      <c r="E35" s="207">
        <v>400192</v>
      </c>
      <c r="F35" s="207">
        <v>2329</v>
      </c>
      <c r="G35" s="207">
        <f t="shared" si="1"/>
        <v>368882.28619377955</v>
      </c>
      <c r="H35" s="207">
        <f t="shared" si="2"/>
        <v>28980.713806220432</v>
      </c>
      <c r="I35" s="207">
        <f t="shared" si="3"/>
        <v>834063</v>
      </c>
      <c r="J35" s="102"/>
      <c r="K35" s="1"/>
    </row>
    <row r="36" spans="1:11" ht="15">
      <c r="A36" s="102"/>
      <c r="B36" s="102"/>
      <c r="C36" s="102"/>
      <c r="D36" s="206">
        <v>39995</v>
      </c>
      <c r="E36" s="207">
        <v>400192</v>
      </c>
      <c r="F36" s="207">
        <v>1280.6500000000001</v>
      </c>
      <c r="G36" s="207">
        <f t="shared" ref="G36:G41" si="4">($E36-$F36)*E$21</f>
        <v>369854.27339724218</v>
      </c>
      <c r="H36" s="207">
        <f t="shared" si="0"/>
        <v>29057.07660275781</v>
      </c>
      <c r="I36" s="207">
        <f t="shared" si="3"/>
        <v>435151.65</v>
      </c>
      <c r="J36" s="102"/>
      <c r="K36" s="1"/>
    </row>
    <row r="37" spans="1:11" ht="15">
      <c r="A37" s="102"/>
      <c r="B37" s="102"/>
      <c r="C37" s="102"/>
      <c r="D37" s="206">
        <v>40026</v>
      </c>
      <c r="E37" s="207">
        <v>400192</v>
      </c>
      <c r="F37" s="207">
        <v>84.65</v>
      </c>
      <c r="G37" s="207">
        <f t="shared" si="4"/>
        <v>370963.15563632385</v>
      </c>
      <c r="H37" s="207">
        <f t="shared" si="0"/>
        <v>29144.194363676117</v>
      </c>
      <c r="I37" s="207">
        <f t="shared" si="3"/>
        <v>35044.300000000047</v>
      </c>
      <c r="J37" s="102"/>
      <c r="K37" s="1"/>
    </row>
    <row r="38" spans="1:11" ht="15">
      <c r="A38" s="102"/>
      <c r="B38" s="102"/>
      <c r="C38" s="102"/>
      <c r="D38" s="206">
        <v>40057</v>
      </c>
      <c r="E38" s="207">
        <v>35044</v>
      </c>
      <c r="F38" s="207">
        <v>0</v>
      </c>
      <c r="G38" s="207">
        <f t="shared" si="4"/>
        <v>32491.362195968992</v>
      </c>
      <c r="H38" s="207">
        <f t="shared" si="0"/>
        <v>2552.6378040310078</v>
      </c>
      <c r="I38" s="207">
        <f t="shared" si="3"/>
        <v>0.30000000004656613</v>
      </c>
      <c r="J38" s="102"/>
      <c r="K38" s="1"/>
    </row>
    <row r="39" spans="1:11" ht="15">
      <c r="A39" s="102"/>
      <c r="B39" s="102"/>
      <c r="C39" s="102"/>
      <c r="D39" s="206">
        <v>40087</v>
      </c>
      <c r="E39" s="207">
        <v>0</v>
      </c>
      <c r="F39" s="207">
        <v>0</v>
      </c>
      <c r="G39" s="207">
        <f t="shared" si="4"/>
        <v>0</v>
      </c>
      <c r="H39" s="207">
        <f t="shared" si="0"/>
        <v>0</v>
      </c>
      <c r="I39" s="207">
        <f t="shared" si="3"/>
        <v>0.30000000004656613</v>
      </c>
      <c r="J39" s="102"/>
      <c r="K39" s="1"/>
    </row>
    <row r="40" spans="1:11" ht="15">
      <c r="A40" s="102"/>
      <c r="B40" s="102"/>
      <c r="C40" s="102"/>
      <c r="D40" s="206">
        <v>40118</v>
      </c>
      <c r="E40" s="207">
        <v>0</v>
      </c>
      <c r="F40" s="207">
        <v>0</v>
      </c>
      <c r="G40" s="207">
        <f t="shared" si="4"/>
        <v>0</v>
      </c>
      <c r="H40" s="207">
        <f t="shared" si="0"/>
        <v>0</v>
      </c>
      <c r="I40" s="207">
        <f t="shared" si="3"/>
        <v>0.30000000004656613</v>
      </c>
      <c r="J40" s="102"/>
      <c r="K40" s="1"/>
    </row>
    <row r="41" spans="1:11" ht="15">
      <c r="A41" s="102"/>
      <c r="B41" s="102"/>
      <c r="C41" s="102"/>
      <c r="D41" s="206">
        <v>40148</v>
      </c>
      <c r="E41" s="208">
        <v>0</v>
      </c>
      <c r="F41" s="208">
        <v>0</v>
      </c>
      <c r="G41" s="208">
        <f t="shared" si="4"/>
        <v>0</v>
      </c>
      <c r="H41" s="208">
        <f t="shared" si="0"/>
        <v>0</v>
      </c>
      <c r="I41" s="207">
        <f t="shared" si="3"/>
        <v>0.30000000004656613</v>
      </c>
      <c r="J41" s="102"/>
      <c r="K41" s="1"/>
    </row>
    <row r="42" spans="1:11" ht="15">
      <c r="A42" s="102"/>
      <c r="B42" s="102"/>
      <c r="C42" s="102"/>
      <c r="D42" s="102" t="s">
        <v>70</v>
      </c>
      <c r="E42" s="207">
        <f>SUM(E30:E41)</f>
        <v>3014676</v>
      </c>
      <c r="F42" s="207">
        <f>SUM(F30:F41)</f>
        <v>34105.300000000003</v>
      </c>
      <c r="G42" s="207">
        <f>SUM(G30:G41)</f>
        <v>2763463.1367535912</v>
      </c>
      <c r="H42" s="207">
        <f>SUM(H30:H41)</f>
        <v>217107.56324640921</v>
      </c>
      <c r="I42" s="207"/>
      <c r="J42" s="102"/>
    </row>
    <row r="43" spans="1:11" ht="15">
      <c r="A43" s="102"/>
      <c r="B43" s="102"/>
      <c r="C43" s="102"/>
      <c r="D43" s="102"/>
      <c r="E43" s="102"/>
      <c r="F43" s="102"/>
      <c r="G43" s="102"/>
      <c r="H43" s="102"/>
      <c r="I43" s="207"/>
      <c r="J43" s="102"/>
      <c r="K43" s="1"/>
    </row>
    <row r="44" spans="1:11" ht="15">
      <c r="A44" s="102"/>
      <c r="B44" s="102"/>
      <c r="C44" s="119" t="s">
        <v>604</v>
      </c>
      <c r="D44" s="102"/>
      <c r="E44" s="207">
        <f>F44+H44</f>
        <v>251212.86324640922</v>
      </c>
      <c r="F44" s="207">
        <f>SUM(F30:F41)</f>
        <v>34105.300000000003</v>
      </c>
      <c r="G44" s="102"/>
      <c r="H44" s="207">
        <f>SUM(H30:H41)</f>
        <v>217107.56324640921</v>
      </c>
      <c r="I44" s="102"/>
      <c r="J44" s="102"/>
    </row>
    <row r="45" spans="1:11" ht="15">
      <c r="A45" s="102"/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1" ht="15">
      <c r="A46" s="102"/>
      <c r="B46" s="102"/>
      <c r="C46" s="102" t="s">
        <v>603</v>
      </c>
      <c r="D46" s="102"/>
      <c r="E46" s="207"/>
      <c r="F46" s="207"/>
      <c r="G46" s="207">
        <f>E21*I41</f>
        <v>0.27814771887637524</v>
      </c>
      <c r="H46" s="207">
        <f>F21*I41</f>
        <v>2.185228117019087E-2</v>
      </c>
      <c r="I46" s="207">
        <f>SUM(G46:H46)</f>
        <v>0.30000000004656613</v>
      </c>
      <c r="J46" s="102"/>
    </row>
    <row r="47" spans="1:11" ht="15">
      <c r="A47" s="102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1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5">
      <c r="A49" s="102"/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ht="15">
      <c r="A50" s="102"/>
      <c r="B50" s="102"/>
      <c r="C50" s="120" t="s">
        <v>774</v>
      </c>
      <c r="D50" s="102"/>
      <c r="E50" s="102"/>
      <c r="F50" s="102"/>
      <c r="G50" s="102"/>
      <c r="H50" s="102"/>
      <c r="I50" s="102"/>
      <c r="J50" s="102"/>
    </row>
    <row r="51" spans="1:10" ht="15">
      <c r="A51" s="102"/>
      <c r="B51" s="119"/>
      <c r="C51" s="102"/>
      <c r="D51" s="179"/>
      <c r="E51" s="179"/>
      <c r="F51" s="179"/>
      <c r="G51" s="179"/>
      <c r="H51" s="179"/>
      <c r="I51" s="179" t="s">
        <v>619</v>
      </c>
      <c r="J51" s="102"/>
    </row>
    <row r="52" spans="1:10" ht="15">
      <c r="A52" s="102"/>
      <c r="B52" s="102"/>
      <c r="C52" s="102"/>
      <c r="D52" s="160" t="s">
        <v>251</v>
      </c>
      <c r="E52" s="160" t="s">
        <v>261</v>
      </c>
      <c r="F52" s="160" t="s">
        <v>265</v>
      </c>
      <c r="G52" s="179" t="s">
        <v>618</v>
      </c>
      <c r="H52" s="243" t="s">
        <v>818</v>
      </c>
      <c r="I52" s="103">
        <v>411779</v>
      </c>
      <c r="J52" s="102"/>
    </row>
    <row r="53" spans="1:10" ht="6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5">
      <c r="A54" s="102"/>
      <c r="B54" s="102"/>
      <c r="C54" s="102"/>
      <c r="D54" s="179"/>
      <c r="E54" s="179"/>
      <c r="F54" s="179"/>
      <c r="G54" s="179" t="s">
        <v>622</v>
      </c>
      <c r="H54" s="179" t="s">
        <v>624</v>
      </c>
      <c r="I54" s="179" t="s">
        <v>625</v>
      </c>
      <c r="J54" s="102"/>
    </row>
    <row r="55" spans="1:10" ht="15">
      <c r="A55" s="102"/>
      <c r="B55" s="102"/>
      <c r="C55" s="102"/>
      <c r="D55" s="179" t="s">
        <v>617</v>
      </c>
      <c r="E55" s="179" t="s">
        <v>620</v>
      </c>
      <c r="F55" s="179" t="s">
        <v>621</v>
      </c>
      <c r="G55" s="179" t="s">
        <v>623</v>
      </c>
      <c r="H55" s="118" t="str">
        <f>+RIGHT(I3,10)</f>
        <v>12/31/2009</v>
      </c>
      <c r="I55" s="179" t="s">
        <v>626</v>
      </c>
      <c r="J55" s="102"/>
    </row>
    <row r="56" spans="1:10" ht="6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</row>
    <row r="57" spans="1:10" ht="15">
      <c r="A57" s="102"/>
      <c r="B57" s="102"/>
      <c r="C57" s="102"/>
      <c r="D57" s="179">
        <v>352</v>
      </c>
      <c r="E57" s="209">
        <v>8.6945686159747071E-2</v>
      </c>
      <c r="F57" s="209">
        <v>1.72E-2</v>
      </c>
      <c r="G57" s="179"/>
      <c r="H57" s="179"/>
      <c r="I57" s="179"/>
      <c r="J57" s="102"/>
    </row>
    <row r="58" spans="1:10" ht="15">
      <c r="A58" s="102"/>
      <c r="B58" s="102"/>
      <c r="C58" s="102"/>
      <c r="D58" s="179">
        <v>353</v>
      </c>
      <c r="E58" s="209">
        <v>0.846804412406991</v>
      </c>
      <c r="F58" s="209">
        <v>1.7100000000000001E-2</v>
      </c>
      <c r="G58" s="179"/>
      <c r="H58" s="179"/>
      <c r="I58" s="179"/>
      <c r="J58" s="102"/>
    </row>
    <row r="59" spans="1:10" ht="15">
      <c r="A59" s="102"/>
      <c r="B59" s="102"/>
      <c r="C59" s="102"/>
      <c r="D59" s="179">
        <v>354</v>
      </c>
      <c r="E59" s="209">
        <v>2.8999344247510441E-3</v>
      </c>
      <c r="F59" s="209">
        <v>1.43E-2</v>
      </c>
      <c r="G59" s="179"/>
      <c r="H59" s="179"/>
      <c r="I59" s="179"/>
      <c r="J59" s="102"/>
    </row>
    <row r="60" spans="1:10" ht="15">
      <c r="A60" s="102"/>
      <c r="B60" s="102"/>
      <c r="C60" s="102"/>
      <c r="D60" s="179">
        <v>355</v>
      </c>
      <c r="E60" s="209">
        <v>2.6928672460158218E-2</v>
      </c>
      <c r="F60" s="209">
        <v>5.1299999999999998E-2</v>
      </c>
      <c r="G60" s="179"/>
      <c r="H60" s="179"/>
      <c r="I60" s="179"/>
      <c r="J60" s="102"/>
    </row>
    <row r="61" spans="1:10" ht="15">
      <c r="A61" s="102"/>
      <c r="B61" s="102"/>
      <c r="C61" s="102"/>
      <c r="D61" s="179">
        <v>356</v>
      </c>
      <c r="E61" s="209">
        <v>3.6421294548352773E-2</v>
      </c>
      <c r="F61" s="210">
        <v>3.3099999999999997E-2</v>
      </c>
      <c r="G61" s="179"/>
      <c r="H61" s="179"/>
      <c r="I61" s="179"/>
      <c r="J61" s="102"/>
    </row>
    <row r="62" spans="1:10" ht="15">
      <c r="A62" s="102"/>
      <c r="B62" s="102"/>
      <c r="C62" s="102"/>
      <c r="D62" s="179"/>
      <c r="E62" s="179"/>
      <c r="F62" s="209">
        <f>SUMPRODUCT(E57:E61,F57:F61)</f>
        <v>1.8604276063137727E-2</v>
      </c>
      <c r="G62" s="211">
        <f>12/F62</f>
        <v>645.01300449828545</v>
      </c>
      <c r="H62" s="250">
        <f>30.5/G62</f>
        <v>4.7285868327141725E-2</v>
      </c>
      <c r="I62" s="212">
        <f>(1-H62)*I52</f>
        <v>392307.67242611788</v>
      </c>
      <c r="J62" s="102"/>
    </row>
  </sheetData>
  <mergeCells count="6">
    <mergeCell ref="F25:H25"/>
    <mergeCell ref="A10:J10"/>
    <mergeCell ref="I1:J1"/>
    <mergeCell ref="I3:J3"/>
    <mergeCell ref="A5:J5"/>
    <mergeCell ref="A7:J7"/>
  </mergeCells>
  <phoneticPr fontId="0" type="noConversion"/>
  <printOptions horizontalCentered="1"/>
  <pageMargins left="0.5" right="0.5" top="0.75" bottom="0.5" header="0.5" footer="0.5"/>
  <pageSetup scale="6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opLeftCell="A14" workbookViewId="0">
      <selection activeCell="H29" sqref="H29"/>
    </sheetView>
  </sheetViews>
  <sheetFormatPr defaultRowHeight="12.75"/>
  <cols>
    <col min="1" max="2" width="5.7109375" customWidth="1"/>
    <col min="3" max="7" width="13.7109375" customWidth="1"/>
    <col min="8" max="8" width="14" customWidth="1"/>
    <col min="9" max="9" width="16.7109375" customWidth="1"/>
    <col min="10" max="10" width="5.7109375" customWidth="1"/>
    <col min="11" max="11" width="9.7109375" bestFit="1" customWidth="1"/>
  </cols>
  <sheetData>
    <row r="1" spans="1:10" ht="15.75">
      <c r="A1" s="102"/>
      <c r="B1" s="102"/>
      <c r="C1" s="102"/>
      <c r="D1" s="102"/>
      <c r="E1" s="102"/>
      <c r="F1" s="102"/>
      <c r="G1" s="102"/>
      <c r="H1" s="102"/>
      <c r="I1" s="276" t="s">
        <v>418</v>
      </c>
      <c r="J1" s="276"/>
    </row>
    <row r="2" spans="1:10" ht="15.75">
      <c r="A2" s="102"/>
      <c r="B2" s="102"/>
      <c r="C2" s="102"/>
      <c r="D2" s="102"/>
      <c r="E2" s="102"/>
      <c r="F2" s="102"/>
      <c r="G2" s="102"/>
      <c r="H2" s="102"/>
      <c r="I2" s="180" t="s">
        <v>556</v>
      </c>
      <c r="J2" s="180"/>
    </row>
    <row r="3" spans="1:10" ht="15">
      <c r="A3" s="102"/>
      <c r="B3" s="102"/>
      <c r="C3" s="102"/>
      <c r="D3" s="102"/>
      <c r="E3" s="102"/>
      <c r="F3" s="102"/>
      <c r="G3" s="102"/>
      <c r="H3" s="102"/>
      <c r="I3" s="288" t="str">
        <f>FF1_Year</f>
        <v>Year Ending 12/31/2009</v>
      </c>
      <c r="J3" s="288"/>
    </row>
    <row r="4" spans="1:10" ht="1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5">
      <c r="A5" s="287" t="s">
        <v>395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5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5">
      <c r="A7" s="297" t="s">
        <v>593</v>
      </c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5">
      <c r="A8" s="102"/>
      <c r="B8" s="130"/>
      <c r="C8" s="130"/>
      <c r="D8" s="130"/>
      <c r="E8" s="130"/>
      <c r="F8" s="130"/>
      <c r="G8" s="130"/>
      <c r="H8" s="130"/>
      <c r="I8" s="130"/>
      <c r="J8" s="130"/>
    </row>
    <row r="9" spans="1:10" ht="15">
      <c r="A9" s="102"/>
      <c r="B9" s="182"/>
      <c r="C9" s="182"/>
      <c r="D9" s="183"/>
      <c r="E9" s="184"/>
      <c r="F9" s="182"/>
      <c r="G9" s="182"/>
      <c r="H9" s="182"/>
      <c r="I9" s="182"/>
      <c r="J9" s="130"/>
    </row>
    <row r="10" spans="1:10" ht="15">
      <c r="A10" s="301" t="s">
        <v>607</v>
      </c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5">
      <c r="A11" s="185"/>
      <c r="B11" s="178"/>
      <c r="C11" s="178"/>
      <c r="D11" s="178"/>
      <c r="E11" s="178"/>
      <c r="F11" s="178"/>
      <c r="G11" s="178"/>
      <c r="H11" s="178"/>
      <c r="I11" s="178"/>
      <c r="J11" s="178"/>
    </row>
    <row r="12" spans="1:10" ht="15">
      <c r="A12" s="102"/>
      <c r="B12" s="186"/>
      <c r="C12" s="186"/>
      <c r="D12" s="183"/>
      <c r="E12" s="183"/>
      <c r="F12" s="187"/>
      <c r="G12" s="186"/>
      <c r="H12" s="186"/>
      <c r="I12" s="186"/>
      <c r="J12" s="130"/>
    </row>
    <row r="13" spans="1:10" ht="15">
      <c r="A13" s="102"/>
      <c r="B13" s="186"/>
      <c r="C13" s="188" t="s">
        <v>775</v>
      </c>
      <c r="D13" s="189"/>
      <c r="E13" s="189"/>
      <c r="F13" s="190"/>
      <c r="G13" s="190"/>
      <c r="H13" s="190"/>
      <c r="I13" s="190"/>
      <c r="J13" s="130"/>
    </row>
    <row r="14" spans="1:10" ht="15">
      <c r="A14" s="102"/>
      <c r="B14" s="191"/>
      <c r="C14" s="192"/>
      <c r="D14" s="193"/>
      <c r="E14" s="193"/>
      <c r="F14" s="192"/>
      <c r="G14" s="192"/>
      <c r="H14" s="192"/>
      <c r="I14" s="192"/>
      <c r="J14" s="102"/>
    </row>
    <row r="15" spans="1:10" ht="15">
      <c r="A15" s="102"/>
      <c r="B15" s="191"/>
      <c r="C15" s="192"/>
      <c r="D15" s="193"/>
      <c r="E15" s="194" t="s">
        <v>596</v>
      </c>
      <c r="F15" s="194" t="s">
        <v>598</v>
      </c>
      <c r="G15" s="194" t="s">
        <v>70</v>
      </c>
      <c r="H15" s="194"/>
      <c r="I15" s="190"/>
      <c r="J15" s="102"/>
    </row>
    <row r="16" spans="1:10" ht="15">
      <c r="A16" s="102"/>
      <c r="B16" s="186"/>
      <c r="C16" s="195"/>
      <c r="D16" s="195"/>
      <c r="E16" s="194" t="s">
        <v>484</v>
      </c>
      <c r="F16" s="194" t="s">
        <v>9</v>
      </c>
      <c r="G16" s="194" t="s">
        <v>600</v>
      </c>
      <c r="H16" s="194"/>
      <c r="I16" s="190"/>
      <c r="J16" s="102"/>
    </row>
    <row r="17" spans="1:11" ht="15">
      <c r="A17" s="102"/>
      <c r="B17" s="186"/>
      <c r="C17" s="195"/>
      <c r="D17" s="195"/>
      <c r="E17" s="195"/>
      <c r="F17" s="195"/>
      <c r="G17" s="195"/>
      <c r="H17" s="195"/>
      <c r="I17" s="195"/>
      <c r="J17" s="102"/>
    </row>
    <row r="18" spans="1:11" ht="15">
      <c r="A18" s="102"/>
      <c r="B18" s="186"/>
      <c r="C18" s="195" t="s">
        <v>776</v>
      </c>
      <c r="D18" s="195"/>
      <c r="E18" s="196">
        <v>10027848.387868179</v>
      </c>
      <c r="F18" s="196">
        <v>1024376.6121318208</v>
      </c>
      <c r="G18" s="196">
        <v>11052225</v>
      </c>
      <c r="H18" s="102"/>
      <c r="I18" s="197"/>
      <c r="J18" s="102"/>
    </row>
    <row r="19" spans="1:11" ht="15">
      <c r="A19" s="102"/>
      <c r="B19" s="154"/>
      <c r="C19" s="195"/>
      <c r="D19" s="195"/>
      <c r="E19" s="196"/>
      <c r="F19" s="196"/>
      <c r="G19" s="196"/>
      <c r="H19" s="196"/>
      <c r="I19" s="196"/>
      <c r="J19" s="102"/>
    </row>
    <row r="20" spans="1:11" ht="15">
      <c r="A20" s="102"/>
      <c r="B20" s="117"/>
      <c r="C20" s="199" t="s">
        <v>594</v>
      </c>
      <c r="D20" s="199"/>
      <c r="E20" s="200">
        <f>E18/G18</f>
        <v>0.90731489703369039</v>
      </c>
      <c r="F20" s="200">
        <f>F18/G18</f>
        <v>9.2685102966309565E-2</v>
      </c>
      <c r="G20" s="201"/>
      <c r="H20" s="201"/>
      <c r="I20" s="201"/>
      <c r="J20" s="102"/>
    </row>
    <row r="21" spans="1:11" ht="15">
      <c r="A21" s="102"/>
      <c r="B21" s="117"/>
      <c r="C21" s="199"/>
      <c r="D21" s="199"/>
      <c r="E21" s="200"/>
      <c r="F21" s="200"/>
      <c r="G21" s="201"/>
      <c r="H21" s="201"/>
      <c r="I21" s="201"/>
      <c r="J21" s="102"/>
    </row>
    <row r="22" spans="1:11" ht="15">
      <c r="A22" s="102"/>
      <c r="B22" s="117"/>
      <c r="C22" s="199"/>
      <c r="D22" s="199"/>
      <c r="E22" s="201"/>
      <c r="F22" s="201"/>
      <c r="G22" s="201"/>
      <c r="H22" s="201"/>
      <c r="I22" s="201"/>
      <c r="J22" s="102"/>
    </row>
    <row r="23" spans="1:11" ht="15">
      <c r="A23" s="102"/>
      <c r="B23" s="102"/>
      <c r="C23" s="202" t="s">
        <v>595</v>
      </c>
      <c r="D23" s="199"/>
      <c r="E23" s="201"/>
      <c r="F23" s="201"/>
      <c r="G23" s="201"/>
      <c r="H23" s="201"/>
      <c r="I23" s="201"/>
      <c r="J23" s="102"/>
    </row>
    <row r="24" spans="1:11" ht="18" customHeight="1">
      <c r="A24" s="102"/>
      <c r="B24" s="143"/>
      <c r="C24" s="203"/>
      <c r="D24" s="204"/>
      <c r="E24" s="102"/>
      <c r="F24" s="298" t="s">
        <v>611</v>
      </c>
      <c r="G24" s="299"/>
      <c r="H24" s="300"/>
      <c r="I24" s="204"/>
      <c r="J24" s="179"/>
    </row>
    <row r="25" spans="1:11" ht="6" customHeight="1">
      <c r="A25" s="102"/>
      <c r="B25" s="143"/>
      <c r="C25" s="203"/>
      <c r="D25" s="102"/>
      <c r="E25" s="102"/>
      <c r="F25" s="205"/>
      <c r="G25" s="181"/>
      <c r="H25" s="181"/>
      <c r="I25" s="204"/>
      <c r="J25" s="179"/>
    </row>
    <row r="26" spans="1:11" ht="15">
      <c r="A26" s="102"/>
      <c r="B26" s="102"/>
      <c r="C26" s="203"/>
      <c r="D26" s="204" t="s">
        <v>602</v>
      </c>
      <c r="E26" s="204" t="s">
        <v>39</v>
      </c>
      <c r="F26" s="204" t="s">
        <v>496</v>
      </c>
      <c r="G26" s="204" t="s">
        <v>596</v>
      </c>
      <c r="H26" s="204" t="s">
        <v>598</v>
      </c>
      <c r="I26" s="204" t="s">
        <v>599</v>
      </c>
      <c r="J26" s="179"/>
    </row>
    <row r="27" spans="1:11" ht="15">
      <c r="A27" s="102"/>
      <c r="B27" s="102"/>
      <c r="C27" s="102"/>
      <c r="D27" s="204" t="s">
        <v>601</v>
      </c>
      <c r="E27" s="204" t="s">
        <v>10</v>
      </c>
      <c r="F27" s="179" t="s">
        <v>9</v>
      </c>
      <c r="G27" s="179" t="s">
        <v>597</v>
      </c>
      <c r="H27" s="179" t="s">
        <v>9</v>
      </c>
      <c r="I27" s="179" t="s">
        <v>605</v>
      </c>
      <c r="J27" s="179"/>
    </row>
    <row r="28" spans="1:11" ht="6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1" ht="15">
      <c r="A29" s="102"/>
      <c r="B29" s="102"/>
      <c r="C29" s="102"/>
      <c r="D29" s="206">
        <v>39814</v>
      </c>
      <c r="E29" s="207">
        <v>349533</v>
      </c>
      <c r="F29" s="207">
        <v>36289</v>
      </c>
      <c r="G29" s="207">
        <f>($E29-$F29)*E$20</f>
        <v>284210.94760642131</v>
      </c>
      <c r="H29" s="207">
        <f>($E29-$F29)*F$20</f>
        <v>29033.052393578673</v>
      </c>
      <c r="I29" s="207">
        <f>G18+F29-E29</f>
        <v>10738981</v>
      </c>
      <c r="J29" s="102"/>
      <c r="K29" s="1"/>
    </row>
    <row r="30" spans="1:11" ht="15">
      <c r="A30" s="102"/>
      <c r="B30" s="102"/>
      <c r="C30" s="102"/>
      <c r="D30" s="206">
        <v>39845</v>
      </c>
      <c r="E30" s="207">
        <v>283692</v>
      </c>
      <c r="F30" s="207">
        <v>39468</v>
      </c>
      <c r="G30" s="207">
        <f t="shared" ref="G30:G40" si="0">($E30-$F30)*E$20</f>
        <v>221588.073413156</v>
      </c>
      <c r="H30" s="207">
        <f t="shared" ref="H30:H40" si="1">($E30-$F30)*F$20</f>
        <v>22635.926586843987</v>
      </c>
      <c r="I30" s="207">
        <f>I29-SUM(G30:H30)</f>
        <v>10494757</v>
      </c>
      <c r="J30" s="102"/>
      <c r="K30" s="1"/>
    </row>
    <row r="31" spans="1:11" ht="15">
      <c r="A31" s="102"/>
      <c r="B31" s="102"/>
      <c r="C31" s="102"/>
      <c r="D31" s="206">
        <v>39873</v>
      </c>
      <c r="E31" s="207">
        <v>283692</v>
      </c>
      <c r="F31" s="207">
        <v>28591</v>
      </c>
      <c r="G31" s="207">
        <f t="shared" si="0"/>
        <v>231456.93754819146</v>
      </c>
      <c r="H31" s="207">
        <f t="shared" si="1"/>
        <v>23644.062451808535</v>
      </c>
      <c r="I31" s="207">
        <f t="shared" ref="I31:I40" si="2">I30-SUM(G31:H31)</f>
        <v>10239656</v>
      </c>
      <c r="J31" s="102"/>
      <c r="K31" s="1"/>
    </row>
    <row r="32" spans="1:11" ht="15">
      <c r="A32" s="102"/>
      <c r="B32" s="102"/>
      <c r="C32" s="102"/>
      <c r="D32" s="206">
        <v>39904</v>
      </c>
      <c r="E32" s="207">
        <v>283692</v>
      </c>
      <c r="F32" s="207">
        <v>28789</v>
      </c>
      <c r="G32" s="207">
        <f t="shared" si="0"/>
        <v>231277.28919857877</v>
      </c>
      <c r="H32" s="207">
        <f t="shared" si="1"/>
        <v>23625.710801421206</v>
      </c>
      <c r="I32" s="207">
        <f t="shared" si="2"/>
        <v>9984753</v>
      </c>
      <c r="J32" s="102"/>
      <c r="K32" s="1"/>
    </row>
    <row r="33" spans="1:11" ht="15">
      <c r="A33" s="102"/>
      <c r="B33" s="102"/>
      <c r="C33" s="102"/>
      <c r="D33" s="206">
        <v>39934</v>
      </c>
      <c r="E33" s="207">
        <v>283692</v>
      </c>
      <c r="F33" s="207">
        <v>27002</v>
      </c>
      <c r="G33" s="207">
        <f t="shared" si="0"/>
        <v>232898.66091957799</v>
      </c>
      <c r="H33" s="207">
        <f t="shared" si="1"/>
        <v>23791.339080422003</v>
      </c>
      <c r="I33" s="207">
        <f t="shared" si="2"/>
        <v>9728063</v>
      </c>
      <c r="J33" s="102"/>
      <c r="K33" s="1"/>
    </row>
    <row r="34" spans="1:11" ht="15">
      <c r="A34" s="102"/>
      <c r="B34" s="102"/>
      <c r="C34" s="102"/>
      <c r="D34" s="206">
        <v>39965</v>
      </c>
      <c r="E34" s="207">
        <v>333888</v>
      </c>
      <c r="F34" s="207">
        <v>26304</v>
      </c>
      <c r="G34" s="207">
        <f t="shared" si="0"/>
        <v>279075.54528921063</v>
      </c>
      <c r="H34" s="207">
        <f t="shared" si="1"/>
        <v>28508.454710789363</v>
      </c>
      <c r="I34" s="207">
        <f t="shared" si="2"/>
        <v>9420479</v>
      </c>
      <c r="J34" s="102"/>
      <c r="K34" s="1"/>
    </row>
    <row r="35" spans="1:11" ht="15">
      <c r="A35" s="102"/>
      <c r="B35" s="102"/>
      <c r="C35" s="102"/>
      <c r="D35" s="206">
        <v>39995</v>
      </c>
      <c r="E35" s="207">
        <v>333888</v>
      </c>
      <c r="F35" s="207">
        <v>25429</v>
      </c>
      <c r="G35" s="207">
        <f t="shared" si="0"/>
        <v>279869.44582411513</v>
      </c>
      <c r="H35" s="207">
        <f t="shared" si="1"/>
        <v>28589.554175884881</v>
      </c>
      <c r="I35" s="207">
        <f t="shared" si="2"/>
        <v>9112020</v>
      </c>
      <c r="J35" s="102"/>
      <c r="K35" s="1"/>
    </row>
    <row r="36" spans="1:11" ht="15">
      <c r="A36" s="102"/>
      <c r="B36" s="102"/>
      <c r="C36" s="102"/>
      <c r="D36" s="206">
        <v>40026</v>
      </c>
      <c r="E36" s="207">
        <v>333888</v>
      </c>
      <c r="F36" s="207">
        <v>23561</v>
      </c>
      <c r="G36" s="207">
        <f t="shared" si="0"/>
        <v>281564.31005177402</v>
      </c>
      <c r="H36" s="207">
        <f t="shared" si="1"/>
        <v>28762.689948225947</v>
      </c>
      <c r="I36" s="207">
        <f t="shared" si="2"/>
        <v>8801693</v>
      </c>
      <c r="J36" s="102"/>
      <c r="K36" s="1"/>
    </row>
    <row r="37" spans="1:11" ht="15">
      <c r="A37" s="102"/>
      <c r="B37" s="102"/>
      <c r="C37" s="102"/>
      <c r="D37" s="206">
        <v>40057</v>
      </c>
      <c r="E37" s="207">
        <v>334734</v>
      </c>
      <c r="F37" s="207">
        <v>23707</v>
      </c>
      <c r="G37" s="207">
        <f t="shared" si="0"/>
        <v>282199.43047969765</v>
      </c>
      <c r="H37" s="207">
        <f t="shared" si="1"/>
        <v>28827.569520302364</v>
      </c>
      <c r="I37" s="207">
        <f t="shared" si="2"/>
        <v>8490666</v>
      </c>
      <c r="J37" s="102"/>
      <c r="K37" s="1"/>
    </row>
    <row r="38" spans="1:11" ht="15">
      <c r="A38" s="102"/>
      <c r="B38" s="102"/>
      <c r="C38" s="102"/>
      <c r="D38" s="206">
        <v>40087</v>
      </c>
      <c r="E38" s="207">
        <v>334734</v>
      </c>
      <c r="F38" s="207">
        <v>21987</v>
      </c>
      <c r="G38" s="207">
        <f t="shared" si="0"/>
        <v>283760.01210259559</v>
      </c>
      <c r="H38" s="207">
        <f t="shared" si="1"/>
        <v>28986.987897404419</v>
      </c>
      <c r="I38" s="207">
        <f t="shared" si="2"/>
        <v>8177919</v>
      </c>
      <c r="J38" s="102"/>
      <c r="K38" s="1"/>
    </row>
    <row r="39" spans="1:11" ht="15">
      <c r="A39" s="102"/>
      <c r="B39" s="102"/>
      <c r="C39" s="102"/>
      <c r="D39" s="206">
        <v>40118</v>
      </c>
      <c r="E39" s="207">
        <v>334734</v>
      </c>
      <c r="F39" s="207">
        <v>21833</v>
      </c>
      <c r="G39" s="207">
        <f t="shared" si="0"/>
        <v>283899.73859673878</v>
      </c>
      <c r="H39" s="207">
        <f t="shared" si="1"/>
        <v>29001.261403261229</v>
      </c>
      <c r="I39" s="207">
        <f t="shared" si="2"/>
        <v>7865018</v>
      </c>
      <c r="J39" s="102"/>
      <c r="K39" s="1"/>
    </row>
    <row r="40" spans="1:11" ht="15">
      <c r="A40" s="102"/>
      <c r="B40" s="102"/>
      <c r="C40" s="102"/>
      <c r="D40" s="206">
        <v>40148</v>
      </c>
      <c r="E40" s="208">
        <v>334734</v>
      </c>
      <c r="F40" s="208">
        <v>21175</v>
      </c>
      <c r="G40" s="208">
        <f t="shared" si="0"/>
        <v>284496.75179898692</v>
      </c>
      <c r="H40" s="208">
        <f t="shared" si="1"/>
        <v>29062.248201013062</v>
      </c>
      <c r="I40" s="207">
        <f t="shared" si="2"/>
        <v>7551459</v>
      </c>
      <c r="J40" s="102"/>
      <c r="K40" s="1"/>
    </row>
    <row r="41" spans="1:11" ht="15">
      <c r="A41" s="102"/>
      <c r="B41" s="102"/>
      <c r="C41" s="102"/>
      <c r="D41" s="102" t="s">
        <v>70</v>
      </c>
      <c r="E41" s="207">
        <f>SUM(E29:E40)</f>
        <v>3824901</v>
      </c>
      <c r="F41" s="207">
        <f>SUM(F29:F40)</f>
        <v>324135</v>
      </c>
      <c r="G41" s="207">
        <f>SUM(G29:G40)</f>
        <v>3176297.1428290447</v>
      </c>
      <c r="H41" s="207">
        <f>SUM(H29:H40)</f>
        <v>324468.85717095569</v>
      </c>
      <c r="I41" s="207"/>
      <c r="J41" s="102"/>
    </row>
    <row r="42" spans="1:11" ht="15">
      <c r="A42" s="102"/>
      <c r="B42" s="102"/>
      <c r="C42" s="102"/>
      <c r="D42" s="102"/>
      <c r="E42" s="102"/>
      <c r="F42" s="102"/>
      <c r="G42" s="102"/>
      <c r="H42" s="102"/>
      <c r="I42" s="207"/>
      <c r="J42" s="102"/>
      <c r="K42" s="1"/>
    </row>
    <row r="43" spans="1:11" ht="15">
      <c r="A43" s="102"/>
      <c r="B43" s="102"/>
      <c r="C43" s="119" t="s">
        <v>604</v>
      </c>
      <c r="D43" s="102"/>
      <c r="E43" s="207">
        <f>F43+H43</f>
        <v>648603.85717095574</v>
      </c>
      <c r="F43" s="207">
        <f>F41</f>
        <v>324135</v>
      </c>
      <c r="G43" s="102"/>
      <c r="H43" s="207">
        <f>H41</f>
        <v>324468.85717095569</v>
      </c>
      <c r="I43" s="102"/>
      <c r="J43" s="102"/>
    </row>
    <row r="44" spans="1:11" ht="15">
      <c r="A44" s="102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11" ht="15">
      <c r="A45" s="102"/>
      <c r="B45" s="102"/>
      <c r="C45" s="102" t="s">
        <v>603</v>
      </c>
      <c r="D45" s="102"/>
      <c r="E45" s="207"/>
      <c r="F45" s="207"/>
      <c r="G45" s="207">
        <f>E20*I40</f>
        <v>6851551.2450391343</v>
      </c>
      <c r="H45" s="207">
        <f>F20*I40</f>
        <v>699907.75496086502</v>
      </c>
      <c r="I45" s="207">
        <f>SUM(G45:H45)</f>
        <v>7551458.9999999991</v>
      </c>
      <c r="J45" s="102"/>
    </row>
    <row r="46" spans="1:11" ht="15">
      <c r="A46" s="102"/>
      <c r="B46" s="102"/>
      <c r="C46" s="102"/>
      <c r="D46" s="102"/>
      <c r="E46" s="102"/>
      <c r="F46" s="102"/>
      <c r="G46" s="102"/>
      <c r="H46" s="102"/>
      <c r="I46" s="102"/>
      <c r="J46" s="102"/>
    </row>
    <row r="47" spans="1:11" ht="15">
      <c r="A47" s="102"/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1" ht="15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  <row r="49" spans="1:10" ht="15">
      <c r="A49" s="102"/>
      <c r="B49" s="102"/>
      <c r="C49" s="120" t="s">
        <v>774</v>
      </c>
      <c r="D49" s="102"/>
      <c r="E49" s="102"/>
      <c r="F49" s="102"/>
      <c r="G49" s="102"/>
      <c r="H49" s="102"/>
      <c r="I49" s="102"/>
      <c r="J49" s="102"/>
    </row>
    <row r="50" spans="1:10" ht="15">
      <c r="A50" s="102"/>
      <c r="B50" s="102"/>
      <c r="C50" s="102"/>
      <c r="D50" s="179"/>
      <c r="E50" s="179"/>
      <c r="F50" s="179"/>
      <c r="G50" s="179"/>
      <c r="H50" s="179"/>
      <c r="I50" s="179" t="s">
        <v>619</v>
      </c>
      <c r="J50" s="102"/>
    </row>
    <row r="51" spans="1:10" ht="15">
      <c r="A51" s="102"/>
      <c r="B51" s="102"/>
      <c r="C51" s="102"/>
      <c r="D51" s="160" t="s">
        <v>251</v>
      </c>
      <c r="E51" s="160" t="s">
        <v>261</v>
      </c>
      <c r="F51" s="160" t="s">
        <v>265</v>
      </c>
      <c r="G51" s="179" t="s">
        <v>618</v>
      </c>
      <c r="H51" s="243" t="s">
        <v>819</v>
      </c>
      <c r="I51" s="103">
        <v>1081205</v>
      </c>
      <c r="J51" s="102"/>
    </row>
    <row r="52" spans="1:10" ht="6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ht="15">
      <c r="A53" s="102"/>
      <c r="B53" s="102"/>
      <c r="C53" s="102"/>
      <c r="D53" s="179"/>
      <c r="E53" s="179"/>
      <c r="F53" s="179"/>
      <c r="G53" s="179" t="s">
        <v>622</v>
      </c>
      <c r="H53" s="179" t="s">
        <v>624</v>
      </c>
      <c r="I53" s="179" t="s">
        <v>625</v>
      </c>
      <c r="J53" s="102"/>
    </row>
    <row r="54" spans="1:10" ht="15">
      <c r="A54" s="102"/>
      <c r="B54" s="102"/>
      <c r="C54" s="102"/>
      <c r="D54" s="179" t="s">
        <v>617</v>
      </c>
      <c r="E54" s="179" t="s">
        <v>620</v>
      </c>
      <c r="F54" s="179" t="s">
        <v>621</v>
      </c>
      <c r="G54" s="179" t="s">
        <v>623</v>
      </c>
      <c r="H54" s="118" t="str">
        <f>RIGHT(I3,10)</f>
        <v>12/31/2009</v>
      </c>
      <c r="I54" s="179" t="s">
        <v>626</v>
      </c>
      <c r="J54" s="102"/>
    </row>
    <row r="55" spans="1:10" ht="6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</row>
    <row r="56" spans="1:10" ht="15">
      <c r="A56" s="102"/>
      <c r="B56" s="102"/>
      <c r="C56" s="102"/>
      <c r="D56" s="179">
        <v>352</v>
      </c>
      <c r="E56" s="209">
        <v>5.2226157630735216E-2</v>
      </c>
      <c r="F56" s="209">
        <v>1.72E-2</v>
      </c>
      <c r="G56" s="179"/>
      <c r="H56" s="179"/>
      <c r="I56" s="179"/>
      <c r="J56" s="102"/>
    </row>
    <row r="57" spans="1:10" ht="15">
      <c r="A57" s="102"/>
      <c r="B57" s="102"/>
      <c r="C57" s="102"/>
      <c r="D57" s="179">
        <v>353</v>
      </c>
      <c r="E57" s="209">
        <v>0.37759996219195063</v>
      </c>
      <c r="F57" s="209">
        <v>1.7100000000000001E-2</v>
      </c>
      <c r="G57" s="179"/>
      <c r="H57" s="179"/>
      <c r="I57" s="179"/>
      <c r="J57" s="102"/>
    </row>
    <row r="58" spans="1:10" ht="15">
      <c r="A58" s="102"/>
      <c r="B58" s="102"/>
      <c r="C58" s="102"/>
      <c r="D58" s="179">
        <v>355</v>
      </c>
      <c r="E58" s="209">
        <v>0.18557461858815213</v>
      </c>
      <c r="F58" s="209">
        <v>5.1299999999999998E-2</v>
      </c>
      <c r="G58" s="179"/>
      <c r="H58" s="179"/>
      <c r="I58" s="179"/>
      <c r="J58" s="102"/>
    </row>
    <row r="59" spans="1:10" ht="15">
      <c r="A59" s="102"/>
      <c r="B59" s="102"/>
      <c r="C59" s="102"/>
      <c r="D59" s="179">
        <v>356</v>
      </c>
      <c r="E59" s="209">
        <v>0.38459926158916169</v>
      </c>
      <c r="F59" s="210">
        <v>3.3099999999999997E-2</v>
      </c>
      <c r="G59" s="179"/>
      <c r="H59" s="179"/>
      <c r="I59" s="179"/>
      <c r="J59" s="102"/>
    </row>
    <row r="60" spans="1:10" ht="15">
      <c r="A60" s="102"/>
      <c r="B60" s="102"/>
      <c r="C60" s="102"/>
      <c r="D60" s="179"/>
      <c r="E60" s="179"/>
      <c r="F60" s="209">
        <f>SUMPRODUCT(E56:E59,F56:F59)</f>
        <v>2.9605462756904458E-2</v>
      </c>
      <c r="G60" s="211">
        <f>12/F60</f>
        <v>405.3306005899675</v>
      </c>
      <c r="H60" s="250">
        <f>24.5/G60</f>
        <v>6.0444486462013274E-2</v>
      </c>
      <c r="I60" s="212">
        <f>(1-H60)*I51</f>
        <v>1015852.1190148389</v>
      </c>
      <c r="J60" s="102"/>
    </row>
    <row r="61" spans="1:10">
      <c r="B61" s="40"/>
    </row>
    <row r="62" spans="1:10">
      <c r="B62" s="40"/>
    </row>
  </sheetData>
  <mergeCells count="6">
    <mergeCell ref="A10:J10"/>
    <mergeCell ref="F24:H24"/>
    <mergeCell ref="I1:J1"/>
    <mergeCell ref="I3:J3"/>
    <mergeCell ref="A5:J5"/>
    <mergeCell ref="A7:J7"/>
  </mergeCells>
  <phoneticPr fontId="25" type="noConversion"/>
  <printOptions horizontalCentered="1"/>
  <pageMargins left="0.5" right="0.5" top="0.75" bottom="0.5" header="0.5" footer="0.5"/>
  <pageSetup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94"/>
  <sheetViews>
    <sheetView workbookViewId="0">
      <selection sqref="A1:G94"/>
    </sheetView>
  </sheetViews>
  <sheetFormatPr defaultRowHeight="12.75"/>
  <cols>
    <col min="1" max="1" width="5.7109375" customWidth="1"/>
    <col min="2" max="2" width="30.7109375" customWidth="1"/>
    <col min="3" max="3" width="5.7109375" customWidth="1"/>
    <col min="4" max="4" width="16.7109375" customWidth="1"/>
    <col min="5" max="5" width="4.7109375" customWidth="1"/>
    <col min="6" max="6" width="16.7109375" customWidth="1"/>
    <col min="7" max="7" width="5.7109375" customWidth="1"/>
  </cols>
  <sheetData>
    <row r="1" spans="1:7" ht="15.75">
      <c r="A1" s="102"/>
      <c r="B1" s="102"/>
      <c r="C1" s="102"/>
      <c r="D1" s="102"/>
      <c r="E1" s="102"/>
      <c r="F1" s="276" t="s">
        <v>418</v>
      </c>
      <c r="G1" s="276"/>
    </row>
    <row r="2" spans="1:7" ht="15.75">
      <c r="A2" s="102"/>
      <c r="B2" s="102"/>
      <c r="C2" s="102"/>
      <c r="D2" s="102"/>
      <c r="E2" s="102"/>
      <c r="F2" s="180" t="s">
        <v>557</v>
      </c>
      <c r="G2" s="180"/>
    </row>
    <row r="3" spans="1:7" ht="15">
      <c r="A3" s="102"/>
      <c r="B3" s="102"/>
      <c r="C3" s="102"/>
      <c r="D3" s="102"/>
      <c r="E3" s="102"/>
      <c r="F3" s="288" t="str">
        <f>FF1_Year</f>
        <v>Year Ending 12/31/2009</v>
      </c>
      <c r="G3" s="288"/>
    </row>
    <row r="4" spans="1:7" ht="15">
      <c r="A4" s="102"/>
      <c r="B4" s="102"/>
      <c r="C4" s="102"/>
      <c r="D4" s="102"/>
      <c r="E4" s="102"/>
      <c r="F4" s="102"/>
      <c r="G4" s="102"/>
    </row>
    <row r="5" spans="1:7" ht="15">
      <c r="A5" s="287" t="s">
        <v>395</v>
      </c>
      <c r="B5" s="287"/>
      <c r="C5" s="287"/>
      <c r="D5" s="287"/>
      <c r="E5" s="287"/>
      <c r="F5" s="287"/>
      <c r="G5" s="287"/>
    </row>
    <row r="6" spans="1:7" ht="15">
      <c r="A6" s="129"/>
      <c r="B6" s="129"/>
      <c r="C6" s="129"/>
      <c r="D6" s="129"/>
      <c r="E6" s="129"/>
      <c r="F6" s="129"/>
      <c r="G6" s="129"/>
    </row>
    <row r="7" spans="1:7" ht="17.25">
      <c r="A7" s="297" t="s">
        <v>755</v>
      </c>
      <c r="B7" s="297"/>
      <c r="C7" s="297"/>
      <c r="D7" s="297"/>
      <c r="E7" s="297"/>
      <c r="F7" s="297"/>
      <c r="G7" s="297"/>
    </row>
    <row r="8" spans="1:7" ht="15">
      <c r="A8" s="297" t="s">
        <v>391</v>
      </c>
      <c r="B8" s="297"/>
      <c r="C8" s="297"/>
      <c r="D8" s="297"/>
      <c r="E8" s="297"/>
      <c r="F8" s="297"/>
      <c r="G8" s="297"/>
    </row>
    <row r="9" spans="1:7" ht="15">
      <c r="A9" s="102"/>
      <c r="B9" s="130"/>
      <c r="C9" s="130"/>
      <c r="D9" s="130"/>
      <c r="E9" s="130"/>
      <c r="F9" s="130"/>
      <c r="G9" s="130"/>
    </row>
    <row r="10" spans="1:7" ht="15">
      <c r="A10" s="102"/>
      <c r="B10" s="130"/>
      <c r="C10" s="131"/>
      <c r="D10" s="131"/>
      <c r="E10" s="131"/>
      <c r="F10" s="132"/>
      <c r="G10" s="130"/>
    </row>
    <row r="11" spans="1:7" ht="15">
      <c r="A11" s="102"/>
      <c r="B11" s="133" t="s">
        <v>2</v>
      </c>
      <c r="C11" s="131"/>
      <c r="D11" s="134" t="s">
        <v>392</v>
      </c>
      <c r="E11" s="135"/>
      <c r="F11" s="135"/>
      <c r="G11" s="102"/>
    </row>
    <row r="12" spans="1:7" ht="15" hidden="1">
      <c r="A12" s="102"/>
      <c r="B12" s="130" t="s">
        <v>189</v>
      </c>
      <c r="C12" s="132"/>
      <c r="D12" s="136"/>
      <c r="E12" s="136"/>
      <c r="F12" s="131"/>
      <c r="G12" s="102"/>
    </row>
    <row r="13" spans="1:7" ht="15" hidden="1">
      <c r="A13" s="102"/>
      <c r="B13" s="130"/>
      <c r="C13" s="132"/>
      <c r="D13" s="137"/>
      <c r="E13" s="137"/>
      <c r="F13" s="131"/>
      <c r="G13" s="102"/>
    </row>
    <row r="14" spans="1:7" ht="15" hidden="1">
      <c r="A14" s="102"/>
      <c r="B14" s="130"/>
      <c r="C14" s="132"/>
      <c r="D14" s="137"/>
      <c r="E14" s="137"/>
      <c r="F14" s="131"/>
      <c r="G14" s="102"/>
    </row>
    <row r="15" spans="1:7" ht="15" hidden="1">
      <c r="A15" s="102"/>
      <c r="B15" s="130"/>
      <c r="C15" s="132"/>
      <c r="D15" s="137"/>
      <c r="E15" s="137"/>
      <c r="F15" s="131"/>
      <c r="G15" s="102"/>
    </row>
    <row r="16" spans="1:7" ht="15" hidden="1">
      <c r="A16" s="102"/>
      <c r="B16" s="130"/>
      <c r="C16" s="132"/>
      <c r="D16" s="138"/>
      <c r="E16" s="138"/>
      <c r="F16" s="131"/>
      <c r="G16" s="102"/>
    </row>
    <row r="17" spans="1:7" ht="15" hidden="1">
      <c r="A17" s="102"/>
      <c r="B17" s="130"/>
      <c r="C17" s="132"/>
      <c r="D17" s="137"/>
      <c r="E17" s="137"/>
      <c r="F17" s="131"/>
      <c r="G17" s="102"/>
    </row>
    <row r="18" spans="1:7" ht="15" hidden="1">
      <c r="A18" s="102"/>
      <c r="B18" s="130" t="s">
        <v>190</v>
      </c>
      <c r="C18" s="139"/>
      <c r="D18" s="137"/>
      <c r="E18" s="137"/>
      <c r="F18" s="131"/>
      <c r="G18" s="102"/>
    </row>
    <row r="19" spans="1:7" ht="15" hidden="1">
      <c r="A19" s="102"/>
      <c r="B19" s="130"/>
      <c r="C19" s="139"/>
      <c r="D19" s="137"/>
      <c r="E19" s="137"/>
      <c r="F19" s="131"/>
      <c r="G19" s="102"/>
    </row>
    <row r="20" spans="1:7" ht="15" hidden="1">
      <c r="A20" s="102"/>
      <c r="B20" s="130"/>
      <c r="C20" s="132"/>
      <c r="D20" s="138"/>
      <c r="E20" s="138"/>
      <c r="F20" s="131"/>
      <c r="G20" s="102"/>
    </row>
    <row r="21" spans="1:7" ht="15" hidden="1">
      <c r="A21" s="102"/>
      <c r="B21" s="130"/>
      <c r="C21" s="132"/>
      <c r="D21" s="137"/>
      <c r="E21" s="137"/>
      <c r="F21" s="131"/>
      <c r="G21" s="102"/>
    </row>
    <row r="22" spans="1:7" ht="15" hidden="1">
      <c r="A22" s="102"/>
      <c r="B22" s="130" t="s">
        <v>191</v>
      </c>
      <c r="C22" s="132"/>
      <c r="D22" s="137"/>
      <c r="E22" s="137"/>
      <c r="F22" s="131"/>
      <c r="G22" s="102"/>
    </row>
    <row r="23" spans="1:7" ht="15" hidden="1">
      <c r="A23" s="102"/>
      <c r="B23" s="130"/>
      <c r="C23" s="132"/>
      <c r="D23" s="137"/>
      <c r="E23" s="137"/>
      <c r="F23" s="131"/>
      <c r="G23" s="102"/>
    </row>
    <row r="24" spans="1:7" ht="15" hidden="1">
      <c r="A24" s="102"/>
      <c r="B24" s="130"/>
      <c r="C24" s="132"/>
      <c r="D24" s="137"/>
      <c r="E24" s="137"/>
      <c r="F24" s="131"/>
      <c r="G24" s="102"/>
    </row>
    <row r="25" spans="1:7" ht="15" hidden="1">
      <c r="A25" s="102"/>
      <c r="B25" s="130"/>
      <c r="C25" s="139"/>
      <c r="D25" s="137"/>
      <c r="E25" s="137"/>
      <c r="F25" s="131"/>
      <c r="G25" s="102"/>
    </row>
    <row r="26" spans="1:7" ht="15" hidden="1">
      <c r="A26" s="102"/>
      <c r="B26" s="130"/>
      <c r="C26" s="132"/>
      <c r="D26" s="137"/>
      <c r="E26" s="137"/>
      <c r="F26" s="131"/>
      <c r="G26" s="102"/>
    </row>
    <row r="27" spans="1:7" ht="15" hidden="1">
      <c r="A27" s="102"/>
      <c r="B27" s="130"/>
      <c r="C27" s="139"/>
      <c r="D27" s="137"/>
      <c r="E27" s="137"/>
      <c r="F27" s="131"/>
      <c r="G27" s="102"/>
    </row>
    <row r="28" spans="1:7" ht="15" hidden="1">
      <c r="A28" s="102"/>
      <c r="B28" s="130"/>
      <c r="C28" s="132"/>
      <c r="D28" s="137"/>
      <c r="E28" s="137"/>
      <c r="F28" s="131"/>
      <c r="G28" s="102"/>
    </row>
    <row r="29" spans="1:7" ht="15" hidden="1">
      <c r="A29" s="102"/>
      <c r="B29" s="130"/>
      <c r="C29" s="139"/>
      <c r="D29" s="137"/>
      <c r="E29" s="137"/>
      <c r="F29" s="131"/>
      <c r="G29" s="102"/>
    </row>
    <row r="30" spans="1:7" ht="15" hidden="1">
      <c r="A30" s="102"/>
      <c r="B30" s="130"/>
      <c r="C30" s="132"/>
      <c r="D30" s="137"/>
      <c r="E30" s="137"/>
      <c r="F30" s="131"/>
      <c r="G30" s="102"/>
    </row>
    <row r="31" spans="1:7" ht="15" hidden="1">
      <c r="A31" s="102"/>
      <c r="B31" s="130"/>
      <c r="C31" s="139"/>
      <c r="D31" s="137"/>
      <c r="E31" s="137"/>
      <c r="F31" s="131"/>
      <c r="G31" s="102"/>
    </row>
    <row r="32" spans="1:7" ht="15" hidden="1">
      <c r="A32" s="102"/>
      <c r="B32" s="130"/>
      <c r="C32" s="132"/>
      <c r="D32" s="137"/>
      <c r="E32" s="137"/>
      <c r="F32" s="131"/>
      <c r="G32" s="102"/>
    </row>
    <row r="33" spans="1:7" ht="15" hidden="1">
      <c r="A33" s="102"/>
      <c r="B33" s="130"/>
      <c r="C33" s="139"/>
      <c r="D33" s="137"/>
      <c r="E33" s="137"/>
      <c r="F33" s="131"/>
      <c r="G33" s="102"/>
    </row>
    <row r="34" spans="1:7" ht="15" hidden="1">
      <c r="A34" s="102"/>
      <c r="B34" s="130"/>
      <c r="C34" s="132"/>
      <c r="D34" s="137"/>
      <c r="E34" s="137"/>
      <c r="F34" s="131"/>
      <c r="G34" s="102"/>
    </row>
    <row r="35" spans="1:7" ht="15" hidden="1">
      <c r="A35" s="102"/>
      <c r="B35" s="130"/>
      <c r="C35" s="132"/>
      <c r="D35" s="137"/>
      <c r="E35" s="137"/>
      <c r="F35" s="131"/>
      <c r="G35" s="102"/>
    </row>
    <row r="36" spans="1:7" ht="15" hidden="1">
      <c r="A36" s="102"/>
      <c r="B36" s="130"/>
      <c r="C36" s="139"/>
      <c r="D36" s="137"/>
      <c r="E36" s="137"/>
      <c r="F36" s="131"/>
      <c r="G36" s="102"/>
    </row>
    <row r="37" spans="1:7" ht="15" hidden="1">
      <c r="A37" s="102"/>
      <c r="B37" s="130"/>
      <c r="C37" s="139"/>
      <c r="D37" s="137"/>
      <c r="E37" s="137"/>
      <c r="F37" s="131"/>
      <c r="G37" s="102"/>
    </row>
    <row r="38" spans="1:7" ht="15" hidden="1">
      <c r="A38" s="102"/>
      <c r="B38" s="130"/>
      <c r="C38" s="132"/>
      <c r="D38" s="138"/>
      <c r="E38" s="138"/>
      <c r="F38" s="131"/>
      <c r="G38" s="102"/>
    </row>
    <row r="39" spans="1:7" ht="15" hidden="1">
      <c r="A39" s="102"/>
      <c r="B39" s="130"/>
      <c r="C39" s="132"/>
      <c r="D39" s="137"/>
      <c r="E39" s="137"/>
      <c r="F39" s="131"/>
      <c r="G39" s="102"/>
    </row>
    <row r="40" spans="1:7" ht="15" hidden="1">
      <c r="A40" s="102"/>
      <c r="B40" s="130" t="s">
        <v>192</v>
      </c>
      <c r="C40" s="139"/>
      <c r="D40" s="137"/>
      <c r="E40" s="137"/>
      <c r="F40" s="131"/>
      <c r="G40" s="102"/>
    </row>
    <row r="41" spans="1:7" ht="15" hidden="1">
      <c r="A41" s="102"/>
      <c r="B41" s="130"/>
      <c r="C41" s="132"/>
      <c r="D41" s="137"/>
      <c r="E41" s="137"/>
      <c r="F41" s="131"/>
      <c r="G41" s="102"/>
    </row>
    <row r="42" spans="1:7" ht="15" hidden="1">
      <c r="A42" s="102"/>
      <c r="B42" s="130"/>
      <c r="C42" s="139"/>
      <c r="D42" s="137"/>
      <c r="E42" s="137"/>
      <c r="F42" s="131"/>
      <c r="G42" s="102"/>
    </row>
    <row r="43" spans="1:7" ht="15" hidden="1">
      <c r="A43" s="102"/>
      <c r="B43" s="130"/>
      <c r="C43" s="132"/>
      <c r="D43" s="137"/>
      <c r="E43" s="137"/>
      <c r="F43" s="131"/>
      <c r="G43" s="102"/>
    </row>
    <row r="44" spans="1:7" ht="15" hidden="1">
      <c r="A44" s="102"/>
      <c r="B44" s="130"/>
      <c r="C44" s="140"/>
      <c r="D44" s="137"/>
      <c r="E44" s="137"/>
      <c r="F44" s="131"/>
      <c r="G44" s="102"/>
    </row>
    <row r="45" spans="1:7" ht="15" hidden="1">
      <c r="A45" s="102"/>
      <c r="B45" s="130"/>
      <c r="C45" s="132"/>
      <c r="D45" s="138"/>
      <c r="E45" s="138"/>
      <c r="F45" s="131"/>
      <c r="G45" s="102"/>
    </row>
    <row r="46" spans="1:7" ht="15" hidden="1">
      <c r="A46" s="102"/>
      <c r="B46" s="130"/>
      <c r="C46" s="132"/>
      <c r="D46" s="137"/>
      <c r="E46" s="137"/>
      <c r="F46" s="131"/>
      <c r="G46" s="102"/>
    </row>
    <row r="47" spans="1:7" ht="15" hidden="1">
      <c r="A47" s="102"/>
      <c r="B47" s="130" t="s">
        <v>193</v>
      </c>
      <c r="C47" s="139"/>
      <c r="D47" s="137"/>
      <c r="E47" s="137"/>
      <c r="F47" s="131"/>
      <c r="G47" s="102"/>
    </row>
    <row r="48" spans="1:7" ht="15" hidden="1">
      <c r="A48" s="102"/>
      <c r="B48" s="130"/>
      <c r="C48" s="139"/>
      <c r="D48" s="137"/>
      <c r="E48" s="137"/>
      <c r="F48" s="131"/>
      <c r="G48" s="102"/>
    </row>
    <row r="49" spans="1:7" ht="15" hidden="1">
      <c r="A49" s="102"/>
      <c r="B49" s="130"/>
      <c r="C49" s="139"/>
      <c r="D49" s="137"/>
      <c r="E49" s="137"/>
      <c r="F49" s="131"/>
      <c r="G49" s="102"/>
    </row>
    <row r="50" spans="1:7" ht="15" hidden="1">
      <c r="A50" s="102"/>
      <c r="B50" s="130"/>
      <c r="C50" s="132"/>
      <c r="D50" s="138"/>
      <c r="E50" s="138"/>
      <c r="F50" s="131"/>
      <c r="G50" s="102"/>
    </row>
    <row r="51" spans="1:7" ht="15" hidden="1">
      <c r="A51" s="102"/>
      <c r="B51" s="130"/>
      <c r="C51" s="132"/>
      <c r="D51" s="137"/>
      <c r="E51" s="137"/>
      <c r="F51" s="131"/>
      <c r="G51" s="102"/>
    </row>
    <row r="52" spans="1:7" ht="15" hidden="1">
      <c r="A52" s="102"/>
      <c r="B52" s="130"/>
      <c r="C52" s="132"/>
      <c r="D52" s="137"/>
      <c r="E52" s="137"/>
      <c r="F52" s="131"/>
      <c r="G52" s="102"/>
    </row>
    <row r="53" spans="1:7" ht="15" hidden="1">
      <c r="A53" s="102"/>
      <c r="B53" s="130" t="s">
        <v>194</v>
      </c>
      <c r="C53" s="132"/>
      <c r="D53" s="137"/>
      <c r="E53" s="137"/>
      <c r="F53" s="131"/>
      <c r="G53" s="102"/>
    </row>
    <row r="54" spans="1:7" ht="15" hidden="1">
      <c r="A54" s="102"/>
      <c r="B54" s="130"/>
      <c r="C54" s="132"/>
      <c r="D54" s="138"/>
      <c r="E54" s="138"/>
      <c r="F54" s="131"/>
      <c r="G54" s="102"/>
    </row>
    <row r="55" spans="1:7" ht="15" hidden="1">
      <c r="A55" s="102"/>
      <c r="B55" s="130"/>
      <c r="C55" s="132"/>
      <c r="D55" s="137"/>
      <c r="E55" s="137"/>
      <c r="F55" s="131"/>
      <c r="G55" s="102"/>
    </row>
    <row r="56" spans="1:7" ht="15" hidden="1">
      <c r="A56" s="102"/>
      <c r="B56" s="130" t="s">
        <v>195</v>
      </c>
      <c r="C56" s="139"/>
      <c r="D56" s="137"/>
      <c r="E56" s="137"/>
      <c r="F56" s="131"/>
      <c r="G56" s="102"/>
    </row>
    <row r="57" spans="1:7" ht="15" hidden="1">
      <c r="A57" s="102"/>
      <c r="B57" s="130"/>
      <c r="C57" s="132"/>
      <c r="D57" s="137"/>
      <c r="E57" s="137"/>
      <c r="F57" s="131"/>
      <c r="G57" s="102"/>
    </row>
    <row r="58" spans="1:7" ht="15" hidden="1">
      <c r="A58" s="102"/>
      <c r="B58" s="130"/>
      <c r="C58" s="139"/>
      <c r="D58" s="137"/>
      <c r="E58" s="137"/>
      <c r="F58" s="131"/>
      <c r="G58" s="102"/>
    </row>
    <row r="59" spans="1:7" ht="15" hidden="1">
      <c r="A59" s="102"/>
      <c r="B59" s="130"/>
      <c r="C59" s="139"/>
      <c r="D59" s="137"/>
      <c r="E59" s="137"/>
      <c r="F59" s="131"/>
      <c r="G59" s="102"/>
    </row>
    <row r="60" spans="1:7" ht="15" hidden="1">
      <c r="A60" s="102"/>
      <c r="B60" s="130"/>
      <c r="C60" s="139"/>
      <c r="D60" s="137"/>
      <c r="E60" s="137"/>
      <c r="F60" s="131"/>
      <c r="G60" s="102"/>
    </row>
    <row r="61" spans="1:7" ht="15" hidden="1">
      <c r="A61" s="102"/>
      <c r="B61" s="130"/>
      <c r="C61" s="139"/>
      <c r="D61" s="137"/>
      <c r="E61" s="137"/>
      <c r="F61" s="131"/>
      <c r="G61" s="102"/>
    </row>
    <row r="62" spans="1:7" ht="15" hidden="1">
      <c r="A62" s="102"/>
      <c r="B62" s="130"/>
      <c r="C62" s="139"/>
      <c r="D62" s="137"/>
      <c r="E62" s="137"/>
      <c r="F62" s="131"/>
      <c r="G62" s="102"/>
    </row>
    <row r="63" spans="1:7" ht="15" hidden="1">
      <c r="A63" s="102"/>
      <c r="B63" s="130"/>
      <c r="C63" s="139"/>
      <c r="D63" s="137"/>
      <c r="E63" s="137"/>
      <c r="F63" s="131"/>
      <c r="G63" s="102"/>
    </row>
    <row r="64" spans="1:7" ht="15" hidden="1">
      <c r="A64" s="102"/>
      <c r="B64" s="130"/>
      <c r="C64" s="139"/>
      <c r="D64" s="137"/>
      <c r="E64" s="137"/>
      <c r="F64" s="131"/>
      <c r="G64" s="102"/>
    </row>
    <row r="65" spans="1:7" ht="15" hidden="1">
      <c r="A65" s="102"/>
      <c r="B65" s="130"/>
      <c r="C65" s="132"/>
      <c r="D65" s="138"/>
      <c r="E65" s="138"/>
      <c r="F65" s="131"/>
      <c r="G65" s="102"/>
    </row>
    <row r="66" spans="1:7" ht="15" hidden="1">
      <c r="A66" s="102"/>
      <c r="B66" s="130"/>
      <c r="C66" s="132"/>
      <c r="D66" s="137"/>
      <c r="E66" s="137"/>
      <c r="F66" s="131"/>
      <c r="G66" s="102"/>
    </row>
    <row r="67" spans="1:7" ht="15" hidden="1">
      <c r="A67" s="102"/>
      <c r="B67" s="130" t="s">
        <v>196</v>
      </c>
      <c r="C67" s="139"/>
      <c r="D67" s="137"/>
      <c r="E67" s="137"/>
      <c r="F67" s="131"/>
      <c r="G67" s="102"/>
    </row>
    <row r="68" spans="1:7" ht="15" hidden="1">
      <c r="A68" s="102"/>
      <c r="B68" s="130"/>
      <c r="C68" s="132"/>
      <c r="D68" s="138"/>
      <c r="E68" s="138"/>
      <c r="F68" s="131"/>
      <c r="G68" s="102"/>
    </row>
    <row r="69" spans="1:7" ht="15" hidden="1">
      <c r="A69" s="102"/>
      <c r="B69" s="130"/>
      <c r="C69" s="132"/>
      <c r="D69" s="137"/>
      <c r="E69" s="137"/>
      <c r="F69" s="131"/>
      <c r="G69" s="102"/>
    </row>
    <row r="70" spans="1:7" ht="15" hidden="1">
      <c r="A70" s="102"/>
      <c r="B70" s="130" t="s">
        <v>197</v>
      </c>
      <c r="C70" s="132"/>
      <c r="D70" s="137"/>
      <c r="E70" s="137"/>
      <c r="F70" s="131"/>
      <c r="G70" s="102"/>
    </row>
    <row r="71" spans="1:7" ht="15" hidden="1">
      <c r="A71" s="102"/>
      <c r="B71" s="130"/>
      <c r="C71" s="132"/>
      <c r="D71" s="137"/>
      <c r="E71" s="137"/>
      <c r="F71" s="131"/>
      <c r="G71" s="102"/>
    </row>
    <row r="72" spans="1:7" ht="15" hidden="1">
      <c r="A72" s="102"/>
      <c r="B72" s="130"/>
      <c r="C72" s="132"/>
      <c r="D72" s="137"/>
      <c r="E72" s="137"/>
      <c r="F72" s="131"/>
      <c r="G72" s="102"/>
    </row>
    <row r="73" spans="1:7" ht="15" hidden="1">
      <c r="A73" s="102"/>
      <c r="B73" s="130"/>
      <c r="C73" s="132"/>
      <c r="D73" s="137"/>
      <c r="E73" s="137"/>
      <c r="F73" s="131"/>
      <c r="G73" s="102"/>
    </row>
    <row r="74" spans="1:7" ht="15">
      <c r="A74" s="102"/>
      <c r="B74" s="130"/>
      <c r="C74" s="139"/>
      <c r="D74" s="137"/>
      <c r="E74" s="137"/>
      <c r="F74" s="131"/>
      <c r="G74" s="102"/>
    </row>
    <row r="75" spans="1:7" ht="15">
      <c r="A75" s="102"/>
      <c r="B75" s="130" t="s">
        <v>821</v>
      </c>
      <c r="C75" s="139"/>
      <c r="D75" s="141">
        <v>1185910.5603735982</v>
      </c>
      <c r="E75" s="137"/>
      <c r="F75" s="141"/>
      <c r="G75" s="102"/>
    </row>
    <row r="76" spans="1:7" ht="15">
      <c r="A76" s="102"/>
      <c r="B76" s="130"/>
      <c r="C76" s="139"/>
      <c r="D76" s="137"/>
      <c r="E76" s="137"/>
      <c r="F76" s="137"/>
      <c r="G76" s="102"/>
    </row>
    <row r="77" spans="1:7" ht="15">
      <c r="A77" s="102"/>
      <c r="B77" s="130" t="s">
        <v>3</v>
      </c>
      <c r="C77" s="139"/>
      <c r="D77" s="141">
        <v>134659.0587262318</v>
      </c>
      <c r="E77" s="137"/>
      <c r="F77" s="141"/>
      <c r="G77" s="102"/>
    </row>
    <row r="78" spans="1:7" ht="15">
      <c r="A78" s="102"/>
      <c r="B78" s="130"/>
      <c r="C78" s="139"/>
      <c r="D78" s="137"/>
      <c r="E78" s="137"/>
      <c r="F78" s="137"/>
      <c r="G78" s="102"/>
    </row>
    <row r="79" spans="1:7" ht="15">
      <c r="A79" s="102"/>
      <c r="B79" s="130" t="s">
        <v>4</v>
      </c>
      <c r="C79" s="132"/>
      <c r="D79" s="141">
        <v>539659.5866387065</v>
      </c>
      <c r="E79" s="137"/>
      <c r="F79" s="141"/>
      <c r="G79" s="102"/>
    </row>
    <row r="80" spans="1:7" ht="15">
      <c r="A80" s="102"/>
      <c r="B80" s="130"/>
      <c r="C80" s="132"/>
      <c r="D80" s="137"/>
      <c r="E80" s="137"/>
      <c r="F80" s="131"/>
      <c r="G80" s="102"/>
    </row>
    <row r="81" spans="1:7" ht="15">
      <c r="A81" s="102"/>
      <c r="B81" s="130" t="s">
        <v>5</v>
      </c>
      <c r="C81" s="132"/>
      <c r="D81" s="141">
        <v>1805628.6271388151</v>
      </c>
      <c r="E81" s="137"/>
      <c r="F81" s="141"/>
      <c r="G81" s="102"/>
    </row>
    <row r="82" spans="1:7" ht="15">
      <c r="A82" s="102"/>
      <c r="B82" s="130"/>
      <c r="C82" s="132"/>
      <c r="D82" s="137"/>
      <c r="E82" s="137"/>
      <c r="F82" s="131"/>
      <c r="G82" s="102"/>
    </row>
    <row r="83" spans="1:7" ht="15">
      <c r="A83" s="102"/>
      <c r="B83" s="130" t="s">
        <v>7</v>
      </c>
      <c r="C83" s="132"/>
      <c r="D83" s="141">
        <v>398309</v>
      </c>
      <c r="E83" s="137"/>
      <c r="F83" s="141"/>
      <c r="G83" s="102"/>
    </row>
    <row r="84" spans="1:7" ht="15">
      <c r="A84" s="102"/>
      <c r="B84" s="130"/>
      <c r="C84" s="132"/>
      <c r="D84" s="137"/>
      <c r="E84" s="137"/>
      <c r="F84" s="131"/>
      <c r="G84" s="102"/>
    </row>
    <row r="85" spans="1:7" ht="15">
      <c r="A85" s="102"/>
      <c r="B85" s="130" t="s">
        <v>8</v>
      </c>
      <c r="C85" s="132"/>
      <c r="D85" s="141">
        <v>320595.15999999997</v>
      </c>
      <c r="E85" s="137"/>
      <c r="F85" s="141"/>
      <c r="G85" s="102"/>
    </row>
    <row r="86" spans="1:7" ht="15">
      <c r="A86" s="102"/>
      <c r="B86" s="130"/>
      <c r="C86" s="132"/>
      <c r="D86" s="137"/>
      <c r="E86" s="137"/>
      <c r="F86" s="131"/>
      <c r="G86" s="102"/>
    </row>
    <row r="87" spans="1:7" ht="17.25">
      <c r="A87" s="102"/>
      <c r="B87" s="130" t="s">
        <v>954</v>
      </c>
      <c r="C87" s="132"/>
      <c r="D87" s="257">
        <v>1444448</v>
      </c>
      <c r="E87" s="137"/>
      <c r="F87" s="131"/>
      <c r="G87" s="102"/>
    </row>
    <row r="88" spans="1:7" ht="15">
      <c r="A88" s="102"/>
      <c r="B88" s="130"/>
      <c r="C88" s="132"/>
      <c r="D88" s="137"/>
      <c r="E88" s="137"/>
      <c r="F88" s="131"/>
      <c r="G88" s="102"/>
    </row>
    <row r="89" spans="1:7" ht="15">
      <c r="A89" s="102"/>
      <c r="B89" s="120" t="s">
        <v>6</v>
      </c>
      <c r="C89" s="142"/>
      <c r="D89" s="141">
        <f>SUM(D75:D87)</f>
        <v>5829209.9928773521</v>
      </c>
      <c r="E89" s="141"/>
      <c r="F89" s="141"/>
      <c r="G89" s="102"/>
    </row>
    <row r="90" spans="1:7" ht="15">
      <c r="A90" s="102"/>
      <c r="B90" s="102"/>
      <c r="C90" s="142"/>
      <c r="D90" s="142"/>
      <c r="E90" s="142"/>
      <c r="F90" s="142"/>
      <c r="G90" s="102"/>
    </row>
    <row r="91" spans="1:7" ht="15">
      <c r="A91" s="102"/>
      <c r="B91" s="102"/>
      <c r="C91" s="142"/>
      <c r="D91" s="142"/>
      <c r="E91" s="142"/>
      <c r="F91" s="142"/>
      <c r="G91" s="102"/>
    </row>
    <row r="92" spans="1:7" ht="15">
      <c r="A92" s="102"/>
      <c r="B92" s="102"/>
      <c r="C92" s="142"/>
      <c r="D92" s="142"/>
      <c r="E92" s="142"/>
      <c r="F92" s="142"/>
      <c r="G92" s="102"/>
    </row>
    <row r="93" spans="1:7" ht="17.25">
      <c r="A93" s="102"/>
      <c r="B93" s="143" t="s">
        <v>780</v>
      </c>
      <c r="C93" s="142"/>
      <c r="D93" s="142"/>
      <c r="E93" s="142"/>
      <c r="F93" s="142"/>
      <c r="G93" s="102"/>
    </row>
    <row r="94" spans="1:7" ht="17.25">
      <c r="B94" s="102" t="s">
        <v>955</v>
      </c>
      <c r="C94" s="39"/>
      <c r="D94" s="39"/>
      <c r="E94" s="39"/>
      <c r="F94" s="39"/>
    </row>
  </sheetData>
  <mergeCells count="5">
    <mergeCell ref="A8:G8"/>
    <mergeCell ref="F1:G1"/>
    <mergeCell ref="F3:G3"/>
    <mergeCell ref="A5:G5"/>
    <mergeCell ref="A7:G7"/>
  </mergeCells>
  <phoneticPr fontId="0" type="noConversion"/>
  <printOptions horizontalCentered="1"/>
  <pageMargins left="0.5" right="0.5" top="0.75" bottom="0.5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69"/>
  <sheetViews>
    <sheetView workbookViewId="0">
      <pane ySplit="9" topLeftCell="A55" activePane="bottomLeft" state="frozen"/>
      <selection pane="bottomLeft" activeCell="A8" sqref="A8"/>
    </sheetView>
  </sheetViews>
  <sheetFormatPr defaultRowHeight="12.75"/>
  <cols>
    <col min="5" max="5" width="37.42578125" bestFit="1" customWidth="1"/>
    <col min="6" max="6" width="11.7109375" customWidth="1"/>
    <col min="7" max="7" width="3.7109375" customWidth="1"/>
    <col min="8" max="8" width="14.28515625" hidden="1" customWidth="1"/>
    <col min="9" max="9" width="11.5703125" hidden="1" customWidth="1"/>
    <col min="10" max="10" width="14" customWidth="1"/>
    <col min="11" max="11" width="5.7109375" customWidth="1"/>
    <col min="12" max="12" width="15.5703125" customWidth="1"/>
    <col min="15" max="15" width="13.5703125" bestFit="1" customWidth="1"/>
    <col min="16" max="16" width="12.5703125" bestFit="1" customWidth="1"/>
  </cols>
  <sheetData>
    <row r="1" spans="1:12" ht="15.75">
      <c r="A1" s="247" t="s">
        <v>796</v>
      </c>
      <c r="B1" s="102"/>
      <c r="C1" s="102"/>
      <c r="D1" s="102"/>
      <c r="E1" s="102"/>
      <c r="F1" s="102"/>
      <c r="G1" s="102"/>
      <c r="H1" s="102"/>
      <c r="I1" s="102"/>
      <c r="J1" s="102"/>
      <c r="K1" s="128" t="s">
        <v>394</v>
      </c>
      <c r="L1" s="102"/>
    </row>
    <row r="2" spans="1:12" ht="15.7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28" t="s">
        <v>697</v>
      </c>
      <c r="L2" s="102"/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288" t="s">
        <v>793</v>
      </c>
      <c r="L3" s="288"/>
    </row>
    <row r="4" spans="1:12" ht="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">
      <c r="A5" s="287" t="s">
        <v>395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15">
      <c r="A6" s="297" t="s">
        <v>242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</row>
    <row r="7" spans="1:12" ht="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1:12" ht="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15">
      <c r="A9" s="102"/>
      <c r="B9" s="116" t="s">
        <v>40</v>
      </c>
      <c r="C9" s="116" t="s">
        <v>41</v>
      </c>
      <c r="D9" s="116" t="s">
        <v>42</v>
      </c>
      <c r="E9" s="116" t="s">
        <v>43</v>
      </c>
      <c r="F9" s="116" t="s">
        <v>44</v>
      </c>
      <c r="G9" s="121"/>
      <c r="H9" s="121" t="s">
        <v>794</v>
      </c>
      <c r="I9" s="121" t="s">
        <v>795</v>
      </c>
      <c r="J9" s="121" t="s">
        <v>217</v>
      </c>
      <c r="K9" s="102"/>
      <c r="L9" s="271" t="s">
        <v>798</v>
      </c>
    </row>
    <row r="10" spans="1:12" ht="6" customHeight="1">
      <c r="A10" s="102"/>
      <c r="B10" s="115"/>
      <c r="C10" s="115"/>
      <c r="D10" s="115"/>
      <c r="E10" s="102"/>
      <c r="F10" s="102"/>
      <c r="G10" s="102"/>
      <c r="H10" s="102"/>
      <c r="I10" s="102"/>
      <c r="J10" s="102"/>
      <c r="K10" s="102"/>
      <c r="L10" s="271"/>
    </row>
    <row r="11" spans="1:12" ht="15">
      <c r="A11" s="102"/>
      <c r="B11" s="122">
        <v>111</v>
      </c>
      <c r="C11" s="122">
        <v>57</v>
      </c>
      <c r="D11" s="122" t="s">
        <v>52</v>
      </c>
      <c r="E11" s="117" t="s">
        <v>90</v>
      </c>
      <c r="F11" s="122" t="str">
        <f>FIXED(B11,0)&amp;"."&amp;FIXED(C11,0)&amp;"."&amp;D11</f>
        <v>111.57.c</v>
      </c>
      <c r="G11" s="123"/>
      <c r="H11" s="248">
        <v>2247063</v>
      </c>
      <c r="I11" s="123"/>
      <c r="J11" s="123">
        <f>H11+I11</f>
        <v>2247063</v>
      </c>
      <c r="K11" s="102"/>
      <c r="L11" s="272"/>
    </row>
    <row r="12" spans="1:12" ht="15">
      <c r="A12" s="102"/>
      <c r="B12" s="122">
        <v>111</v>
      </c>
      <c r="C12" s="122">
        <v>81</v>
      </c>
      <c r="D12" s="122" t="s">
        <v>52</v>
      </c>
      <c r="E12" s="117" t="s">
        <v>238</v>
      </c>
      <c r="F12" s="122" t="str">
        <f t="shared" ref="F12:F20" si="0">B12&amp;"."&amp;C12&amp;"."&amp;D12</f>
        <v>111.81.c</v>
      </c>
      <c r="G12" s="123"/>
      <c r="H12" s="248">
        <v>14714555</v>
      </c>
      <c r="I12" s="123"/>
      <c r="J12" s="123">
        <f t="shared" ref="J12:J68" si="1">H12+I12</f>
        <v>14714555</v>
      </c>
      <c r="K12" s="102"/>
      <c r="L12" s="272"/>
    </row>
    <row r="13" spans="1:12" ht="15">
      <c r="A13" s="102"/>
      <c r="B13" s="122">
        <v>112</v>
      </c>
      <c r="C13" s="122">
        <v>3</v>
      </c>
      <c r="D13" s="122" t="s">
        <v>52</v>
      </c>
      <c r="E13" s="117" t="s">
        <v>237</v>
      </c>
      <c r="F13" s="122" t="str">
        <f t="shared" si="0"/>
        <v>112.3.c</v>
      </c>
      <c r="G13" s="123"/>
      <c r="H13" s="248">
        <v>59333982</v>
      </c>
      <c r="I13" s="123"/>
      <c r="J13" s="123">
        <f t="shared" si="1"/>
        <v>59333982</v>
      </c>
      <c r="K13" s="102"/>
      <c r="L13" s="272"/>
    </row>
    <row r="14" spans="1:12" ht="15">
      <c r="A14" s="102"/>
      <c r="B14" s="122">
        <v>112</v>
      </c>
      <c r="C14" s="122">
        <v>12</v>
      </c>
      <c r="D14" s="122" t="s">
        <v>52</v>
      </c>
      <c r="E14" s="117" t="s">
        <v>239</v>
      </c>
      <c r="F14" s="122" t="str">
        <f t="shared" si="0"/>
        <v>112.12.c</v>
      </c>
      <c r="G14" s="123"/>
      <c r="H14" s="248">
        <v>-280027223</v>
      </c>
      <c r="I14" s="123"/>
      <c r="J14" s="123">
        <f t="shared" si="1"/>
        <v>-280027223</v>
      </c>
      <c r="K14" s="102"/>
      <c r="L14" s="272"/>
    </row>
    <row r="15" spans="1:12" ht="15">
      <c r="A15" s="102"/>
      <c r="B15" s="122">
        <v>112</v>
      </c>
      <c r="C15" s="122">
        <v>16</v>
      </c>
      <c r="D15" s="122" t="s">
        <v>52</v>
      </c>
      <c r="E15" s="117" t="s">
        <v>240</v>
      </c>
      <c r="F15" s="122" t="str">
        <f t="shared" si="0"/>
        <v>112.16.c</v>
      </c>
      <c r="G15" s="123"/>
      <c r="H15" s="248">
        <v>4728467967</v>
      </c>
      <c r="I15" s="123"/>
      <c r="J15" s="123">
        <f t="shared" si="1"/>
        <v>4728467967</v>
      </c>
      <c r="K15" s="102"/>
      <c r="L15" s="272"/>
    </row>
    <row r="16" spans="1:12" ht="15">
      <c r="A16" s="102"/>
      <c r="B16" s="122">
        <v>112</v>
      </c>
      <c r="C16" s="122">
        <v>24</v>
      </c>
      <c r="D16" s="122" t="s">
        <v>52</v>
      </c>
      <c r="E16" s="117" t="s">
        <v>124</v>
      </c>
      <c r="F16" s="122" t="str">
        <f t="shared" si="0"/>
        <v>112.24.c</v>
      </c>
      <c r="G16" s="123"/>
      <c r="H16" s="248">
        <v>3687318619</v>
      </c>
      <c r="I16" s="123"/>
      <c r="J16" s="123">
        <f t="shared" si="1"/>
        <v>3687318619</v>
      </c>
      <c r="K16" s="102"/>
      <c r="L16" s="272"/>
    </row>
    <row r="17" spans="1:14" ht="15">
      <c r="A17" s="102"/>
      <c r="B17" s="122">
        <v>112</v>
      </c>
      <c r="C17" s="122">
        <v>28</v>
      </c>
      <c r="D17" s="122" t="s">
        <v>52</v>
      </c>
      <c r="E17" s="117" t="s">
        <v>527</v>
      </c>
      <c r="F17" s="122" t="str">
        <f t="shared" si="0"/>
        <v>112.28.c</v>
      </c>
      <c r="G17" s="123"/>
      <c r="H17" s="248">
        <v>4057872</v>
      </c>
      <c r="I17" s="123"/>
      <c r="J17" s="123">
        <f t="shared" si="1"/>
        <v>4057872</v>
      </c>
      <c r="K17" s="102"/>
      <c r="L17" s="272"/>
    </row>
    <row r="18" spans="1:14" ht="15">
      <c r="A18" s="102"/>
      <c r="B18" s="122">
        <v>112</v>
      </c>
      <c r="C18" s="122">
        <v>29</v>
      </c>
      <c r="D18" s="122" t="s">
        <v>52</v>
      </c>
      <c r="E18" s="117" t="s">
        <v>528</v>
      </c>
      <c r="F18" s="122" t="str">
        <f t="shared" si="0"/>
        <v>112.29.c</v>
      </c>
      <c r="G18" s="123"/>
      <c r="H18" s="248">
        <v>674692754</v>
      </c>
      <c r="I18" s="123"/>
      <c r="J18" s="123">
        <f t="shared" si="1"/>
        <v>674692754</v>
      </c>
      <c r="K18" s="102"/>
      <c r="L18" s="272"/>
    </row>
    <row r="19" spans="1:14" ht="15">
      <c r="A19" s="102"/>
      <c r="B19" s="122">
        <v>112</v>
      </c>
      <c r="C19" s="122">
        <v>30</v>
      </c>
      <c r="D19" s="122" t="s">
        <v>52</v>
      </c>
      <c r="E19" s="117" t="s">
        <v>529</v>
      </c>
      <c r="F19" s="122" t="str">
        <f t="shared" si="0"/>
        <v>112.30.c</v>
      </c>
      <c r="G19" s="123"/>
      <c r="H19" s="248">
        <v>34721243</v>
      </c>
      <c r="I19" s="123"/>
      <c r="J19" s="123">
        <f t="shared" si="1"/>
        <v>34721243</v>
      </c>
      <c r="K19" s="102"/>
      <c r="L19" s="272"/>
    </row>
    <row r="20" spans="1:14" ht="15">
      <c r="A20" s="102"/>
      <c r="B20" s="122">
        <v>113</v>
      </c>
      <c r="C20" s="122">
        <v>61</v>
      </c>
      <c r="D20" s="122" t="s">
        <v>52</v>
      </c>
      <c r="E20" s="117" t="s">
        <v>241</v>
      </c>
      <c r="F20" s="122" t="str">
        <f t="shared" si="0"/>
        <v>113.61.c</v>
      </c>
      <c r="G20" s="123"/>
      <c r="H20" s="248">
        <v>0</v>
      </c>
      <c r="I20" s="123"/>
      <c r="J20" s="123">
        <f t="shared" si="1"/>
        <v>0</v>
      </c>
      <c r="K20" s="102"/>
      <c r="L20" s="272"/>
    </row>
    <row r="21" spans="1:14" ht="15">
      <c r="A21" s="102"/>
      <c r="B21" s="122">
        <v>117</v>
      </c>
      <c r="C21" s="269" t="s">
        <v>867</v>
      </c>
      <c r="D21" s="122" t="s">
        <v>52</v>
      </c>
      <c r="E21" s="117" t="s">
        <v>121</v>
      </c>
      <c r="F21" s="122" t="str">
        <f>FIXED(B21,0)&amp;"."&amp;C21&amp;"."&amp;D21</f>
        <v>117.62-66.c</v>
      </c>
      <c r="G21" s="123"/>
      <c r="H21" s="248">
        <v>196842702</v>
      </c>
      <c r="I21" s="248"/>
      <c r="J21" s="123">
        <f t="shared" si="1"/>
        <v>196842702</v>
      </c>
      <c r="K21" s="102"/>
      <c r="L21" s="272"/>
      <c r="M21" s="15"/>
      <c r="N21" s="15"/>
    </row>
    <row r="22" spans="1:14" ht="15">
      <c r="A22" s="102"/>
      <c r="B22" s="122">
        <v>118</v>
      </c>
      <c r="C22" s="122">
        <v>29</v>
      </c>
      <c r="D22" s="122" t="s">
        <v>52</v>
      </c>
      <c r="E22" s="117" t="s">
        <v>123</v>
      </c>
      <c r="F22" s="122" t="str">
        <f>FIXED(B22,0)&amp;"."&amp;C22&amp;"."&amp;D22</f>
        <v>118.29.c</v>
      </c>
      <c r="G22" s="123"/>
      <c r="H22" s="248">
        <v>2964169</v>
      </c>
      <c r="I22" s="123"/>
      <c r="J22" s="123">
        <f t="shared" si="1"/>
        <v>2964169</v>
      </c>
      <c r="K22" s="102"/>
      <c r="L22" s="273" t="s">
        <v>720</v>
      </c>
    </row>
    <row r="23" spans="1:14" ht="15">
      <c r="A23" s="102"/>
      <c r="B23" s="122">
        <v>200</v>
      </c>
      <c r="C23" s="122">
        <v>21</v>
      </c>
      <c r="D23" s="122" t="s">
        <v>52</v>
      </c>
      <c r="E23" s="117" t="s">
        <v>211</v>
      </c>
      <c r="F23" s="122" t="str">
        <f t="shared" ref="F23:F33" si="2">FIXED(B23,0)&amp;"."&amp;FIXED(C23,0)&amp;"."&amp;D23</f>
        <v>200.21.c</v>
      </c>
      <c r="G23" s="123"/>
      <c r="H23" s="248">
        <v>167164637</v>
      </c>
      <c r="I23" s="248">
        <v>-325210</v>
      </c>
      <c r="J23" s="123">
        <f t="shared" si="1"/>
        <v>166839427</v>
      </c>
      <c r="K23" s="102"/>
      <c r="L23" s="272" t="s">
        <v>799</v>
      </c>
    </row>
    <row r="24" spans="1:14" ht="15">
      <c r="A24" s="102"/>
      <c r="B24" s="122">
        <v>205</v>
      </c>
      <c r="C24" s="122">
        <v>5</v>
      </c>
      <c r="D24" s="122" t="s">
        <v>54</v>
      </c>
      <c r="E24" s="117" t="s">
        <v>206</v>
      </c>
      <c r="F24" s="122" t="str">
        <f t="shared" si="2"/>
        <v>205.5.g</v>
      </c>
      <c r="G24" s="123"/>
      <c r="H24" s="248">
        <v>213499139</v>
      </c>
      <c r="I24" s="248">
        <v>-11864395</v>
      </c>
      <c r="J24" s="123">
        <f t="shared" si="1"/>
        <v>201634744</v>
      </c>
      <c r="K24" s="102"/>
      <c r="L24" s="272" t="s">
        <v>799</v>
      </c>
    </row>
    <row r="25" spans="1:14" ht="15">
      <c r="A25" s="102"/>
      <c r="B25" s="122">
        <v>205</v>
      </c>
      <c r="C25" s="122">
        <v>46</v>
      </c>
      <c r="D25" s="122" t="s">
        <v>54</v>
      </c>
      <c r="E25" s="117" t="s">
        <v>375</v>
      </c>
      <c r="F25" s="122" t="str">
        <f t="shared" si="2"/>
        <v>205.46.g</v>
      </c>
      <c r="G25" s="123"/>
      <c r="H25" s="248">
        <v>9544822138</v>
      </c>
      <c r="I25" s="248">
        <v>-6234459</v>
      </c>
      <c r="J25" s="123">
        <f t="shared" si="1"/>
        <v>9538587679</v>
      </c>
      <c r="K25" s="102"/>
      <c r="L25" s="272" t="s">
        <v>797</v>
      </c>
    </row>
    <row r="26" spans="1:14" ht="15">
      <c r="A26" s="102"/>
      <c r="B26" s="122">
        <v>207</v>
      </c>
      <c r="C26" s="122">
        <v>58</v>
      </c>
      <c r="D26" s="122" t="s">
        <v>54</v>
      </c>
      <c r="E26" s="117" t="s">
        <v>208</v>
      </c>
      <c r="F26" s="122" t="str">
        <f t="shared" si="2"/>
        <v>207.58.g</v>
      </c>
      <c r="G26" s="123"/>
      <c r="H26" s="248">
        <v>1534095864</v>
      </c>
      <c r="I26" s="123"/>
      <c r="J26" s="123">
        <f t="shared" si="1"/>
        <v>1534095864</v>
      </c>
      <c r="K26" s="102"/>
      <c r="L26" s="272"/>
    </row>
    <row r="27" spans="1:14" ht="15">
      <c r="A27" s="102"/>
      <c r="B27" s="122">
        <v>207</v>
      </c>
      <c r="C27" s="122">
        <v>75</v>
      </c>
      <c r="D27" s="122" t="s">
        <v>54</v>
      </c>
      <c r="E27" s="117" t="s">
        <v>209</v>
      </c>
      <c r="F27" s="122" t="str">
        <f t="shared" si="2"/>
        <v>207.75.g</v>
      </c>
      <c r="G27" s="123"/>
      <c r="H27" s="248">
        <v>4491522891</v>
      </c>
      <c r="I27" s="123"/>
      <c r="J27" s="123">
        <f t="shared" si="1"/>
        <v>4491522891</v>
      </c>
      <c r="K27" s="102"/>
      <c r="L27" s="272"/>
    </row>
    <row r="28" spans="1:14" ht="15">
      <c r="A28" s="102"/>
      <c r="B28" s="122">
        <v>207</v>
      </c>
      <c r="C28" s="122">
        <v>99</v>
      </c>
      <c r="D28" s="122" t="s">
        <v>54</v>
      </c>
      <c r="E28" s="117" t="s">
        <v>210</v>
      </c>
      <c r="F28" s="122" t="str">
        <f t="shared" si="2"/>
        <v>207.99.g</v>
      </c>
      <c r="G28" s="123"/>
      <c r="H28" s="248">
        <v>498741217</v>
      </c>
      <c r="I28" s="248">
        <v>-2717588</v>
      </c>
      <c r="J28" s="123">
        <f t="shared" si="1"/>
        <v>496023629</v>
      </c>
      <c r="K28" s="102"/>
      <c r="L28" s="272" t="s">
        <v>797</v>
      </c>
    </row>
    <row r="29" spans="1:14" ht="15">
      <c r="A29" s="102"/>
      <c r="B29" s="122">
        <v>214</v>
      </c>
      <c r="C29" s="122">
        <v>47</v>
      </c>
      <c r="D29" s="122" t="s">
        <v>55</v>
      </c>
      <c r="E29" s="117" t="s">
        <v>51</v>
      </c>
      <c r="F29" s="122" t="str">
        <f t="shared" si="2"/>
        <v>214.47.d</v>
      </c>
      <c r="G29" s="123"/>
      <c r="H29" s="248">
        <v>8586517</v>
      </c>
      <c r="I29" s="123"/>
      <c r="J29" s="123">
        <f t="shared" si="1"/>
        <v>8586517</v>
      </c>
      <c r="K29" s="102"/>
      <c r="L29" s="272"/>
    </row>
    <row r="30" spans="1:14" ht="15">
      <c r="A30" s="102"/>
      <c r="B30" s="122">
        <v>219</v>
      </c>
      <c r="C30" s="122" t="s">
        <v>396</v>
      </c>
      <c r="D30" s="124" t="s">
        <v>52</v>
      </c>
      <c r="E30" s="117" t="s">
        <v>212</v>
      </c>
      <c r="F30" s="122" t="str">
        <f>B30&amp;"."&amp;C30&amp;"."&amp;D30</f>
        <v>219.20-24.c</v>
      </c>
      <c r="G30" s="123"/>
      <c r="H30" s="248">
        <v>5654912039</v>
      </c>
      <c r="I30" s="123"/>
      <c r="J30" s="123">
        <f t="shared" si="1"/>
        <v>5654912039</v>
      </c>
      <c r="K30" s="102"/>
      <c r="L30" s="272"/>
    </row>
    <row r="31" spans="1:14" ht="15">
      <c r="A31" s="102"/>
      <c r="B31" s="122">
        <v>219</v>
      </c>
      <c r="C31" s="122">
        <v>25</v>
      </c>
      <c r="D31" s="124" t="s">
        <v>52</v>
      </c>
      <c r="E31" s="117" t="s">
        <v>213</v>
      </c>
      <c r="F31" s="122" t="str">
        <f t="shared" si="2"/>
        <v>219.25.c</v>
      </c>
      <c r="G31" s="123"/>
      <c r="H31" s="248">
        <v>623423899</v>
      </c>
      <c r="I31" s="123"/>
      <c r="J31" s="123">
        <f t="shared" si="1"/>
        <v>623423899</v>
      </c>
      <c r="K31" s="102"/>
      <c r="L31" s="272"/>
    </row>
    <row r="32" spans="1:14" ht="15">
      <c r="A32" s="102"/>
      <c r="B32" s="122">
        <v>219</v>
      </c>
      <c r="C32" s="122">
        <v>26</v>
      </c>
      <c r="D32" s="124" t="s">
        <v>52</v>
      </c>
      <c r="E32" s="117" t="s">
        <v>214</v>
      </c>
      <c r="F32" s="122" t="str">
        <f t="shared" si="2"/>
        <v>219.26.c</v>
      </c>
      <c r="G32" s="123"/>
      <c r="H32" s="248">
        <v>1991235844</v>
      </c>
      <c r="I32" s="123"/>
      <c r="J32" s="123">
        <f t="shared" si="1"/>
        <v>1991235844</v>
      </c>
      <c r="K32" s="102"/>
      <c r="L32" s="272"/>
    </row>
    <row r="33" spans="1:16" ht="15">
      <c r="A33" s="102"/>
      <c r="B33" s="122">
        <v>219</v>
      </c>
      <c r="C33" s="122">
        <v>27</v>
      </c>
      <c r="D33" s="124" t="s">
        <v>52</v>
      </c>
      <c r="E33" s="117" t="s">
        <v>215</v>
      </c>
      <c r="F33" s="122" t="str">
        <f t="shared" si="2"/>
        <v>219.27.c</v>
      </c>
      <c r="G33" s="123"/>
      <c r="H33" s="248">
        <v>177782341</v>
      </c>
      <c r="I33" s="123"/>
      <c r="J33" s="123">
        <f t="shared" si="1"/>
        <v>177782341</v>
      </c>
      <c r="K33" s="102"/>
      <c r="L33" s="272"/>
    </row>
    <row r="34" spans="1:16" ht="15">
      <c r="A34" s="102"/>
      <c r="B34" s="122">
        <v>227</v>
      </c>
      <c r="C34" s="122">
        <v>8</v>
      </c>
      <c r="D34" s="122" t="s">
        <v>52</v>
      </c>
      <c r="E34" s="117" t="s">
        <v>116</v>
      </c>
      <c r="F34" s="122" t="str">
        <f>FIXED(B34,0)&amp;"."&amp;FIXED(C34,0)&amp;"."&amp;D34</f>
        <v>227.8.c</v>
      </c>
      <c r="G34" s="123"/>
      <c r="H34" s="248">
        <v>6114802</v>
      </c>
      <c r="I34" s="123"/>
      <c r="J34" s="123">
        <f t="shared" si="1"/>
        <v>6114802</v>
      </c>
      <c r="K34" s="102"/>
      <c r="L34" s="272"/>
    </row>
    <row r="35" spans="1:16" ht="15">
      <c r="A35" s="102"/>
      <c r="B35" s="122">
        <v>227</v>
      </c>
      <c r="C35" s="144">
        <v>16</v>
      </c>
      <c r="D35" s="122" t="s">
        <v>52</v>
      </c>
      <c r="E35" s="117" t="s">
        <v>117</v>
      </c>
      <c r="F35" s="122" t="str">
        <f>FIXED(B35,0)&amp;"."&amp;FIXED(C35,0)&amp;"."&amp;D35</f>
        <v>227.16.c</v>
      </c>
      <c r="G35" s="123"/>
      <c r="H35" s="248">
        <v>20614419</v>
      </c>
      <c r="I35" s="123"/>
      <c r="J35" s="123">
        <f t="shared" si="1"/>
        <v>20614419</v>
      </c>
      <c r="K35" s="102"/>
      <c r="L35" s="272"/>
    </row>
    <row r="36" spans="1:16" ht="15">
      <c r="A36" s="102"/>
      <c r="B36" s="122">
        <v>232</v>
      </c>
      <c r="C36" s="122">
        <v>18</v>
      </c>
      <c r="D36" s="122" t="s">
        <v>84</v>
      </c>
      <c r="E36" s="117" t="s">
        <v>530</v>
      </c>
      <c r="F36" s="122" t="str">
        <f>FIXED(B36,0)&amp;"."&amp;FIXED(C36,0)&amp;"."&amp;D36</f>
        <v>232.18.f</v>
      </c>
      <c r="G36" s="123"/>
      <c r="H36" s="248">
        <v>483158164</v>
      </c>
      <c r="I36" s="123"/>
      <c r="J36" s="123">
        <f t="shared" si="1"/>
        <v>483158164</v>
      </c>
      <c r="K36" s="102"/>
      <c r="L36" s="272"/>
    </row>
    <row r="37" spans="1:16" ht="15">
      <c r="A37" s="102"/>
      <c r="B37" s="122">
        <v>234</v>
      </c>
      <c r="C37" s="122">
        <v>8</v>
      </c>
      <c r="D37" s="122" t="s">
        <v>52</v>
      </c>
      <c r="E37" s="117" t="s">
        <v>66</v>
      </c>
      <c r="F37" s="122" t="str">
        <f>FIXED(B37,0)&amp;"."&amp;FIXED(C37,0)&amp;"."&amp;D37</f>
        <v>234.8.c</v>
      </c>
      <c r="G37" s="123"/>
      <c r="H37" s="248">
        <v>668425265.98000002</v>
      </c>
      <c r="I37" s="123"/>
      <c r="J37" s="123">
        <f t="shared" si="1"/>
        <v>668425265.98000002</v>
      </c>
      <c r="K37" s="102"/>
      <c r="L37" s="272"/>
    </row>
    <row r="38" spans="1:16" ht="15">
      <c r="A38" s="102"/>
      <c r="B38" s="122">
        <v>263</v>
      </c>
      <c r="C38" s="122">
        <v>3</v>
      </c>
      <c r="D38" s="122" t="s">
        <v>149</v>
      </c>
      <c r="E38" s="117" t="s">
        <v>199</v>
      </c>
      <c r="F38" s="122" t="str">
        <f t="shared" ref="F38:F43" si="3">B38&amp;"."&amp;C38&amp;"."&amp;D38</f>
        <v>263.3.i</v>
      </c>
      <c r="G38" s="123"/>
      <c r="H38" s="248">
        <v>30271950</v>
      </c>
      <c r="I38" s="123"/>
      <c r="J38" s="123">
        <f t="shared" si="1"/>
        <v>30271950</v>
      </c>
      <c r="K38" s="102"/>
      <c r="L38" s="272"/>
    </row>
    <row r="39" spans="1:16" ht="15">
      <c r="A39" s="102"/>
      <c r="B39" s="122">
        <v>263</v>
      </c>
      <c r="C39" s="122">
        <v>4</v>
      </c>
      <c r="D39" s="122" t="s">
        <v>149</v>
      </c>
      <c r="E39" s="117" t="s">
        <v>200</v>
      </c>
      <c r="F39" s="122" t="str">
        <f t="shared" si="3"/>
        <v>263.4.i</v>
      </c>
      <c r="G39" s="123"/>
      <c r="H39" s="248">
        <v>641524</v>
      </c>
      <c r="I39" s="123"/>
      <c r="J39" s="123">
        <f t="shared" si="1"/>
        <v>641524</v>
      </c>
      <c r="K39" s="102"/>
      <c r="L39" s="272"/>
    </row>
    <row r="40" spans="1:16" ht="15">
      <c r="A40" s="102"/>
      <c r="B40" s="122">
        <v>263</v>
      </c>
      <c r="C40" s="144">
        <v>5</v>
      </c>
      <c r="D40" s="122" t="s">
        <v>149</v>
      </c>
      <c r="E40" s="117" t="s">
        <v>203</v>
      </c>
      <c r="F40" s="122" t="str">
        <f t="shared" si="3"/>
        <v>263.5.i</v>
      </c>
      <c r="G40" s="123"/>
      <c r="H40" s="248">
        <v>24715</v>
      </c>
      <c r="I40" s="123"/>
      <c r="J40" s="123">
        <f t="shared" si="1"/>
        <v>24715</v>
      </c>
      <c r="K40" s="102"/>
      <c r="L40" s="272"/>
    </row>
    <row r="41" spans="1:16" ht="15">
      <c r="A41" s="102"/>
      <c r="B41" s="122">
        <v>263</v>
      </c>
      <c r="C41" s="144" t="s">
        <v>756</v>
      </c>
      <c r="D41" s="122" t="s">
        <v>149</v>
      </c>
      <c r="E41" s="117" t="s">
        <v>397</v>
      </c>
      <c r="F41" s="122" t="str">
        <f t="shared" si="3"/>
        <v>263.11&amp;21.i</v>
      </c>
      <c r="G41" s="123"/>
      <c r="H41" s="248">
        <f>41568877+23890063</f>
        <v>65458940</v>
      </c>
      <c r="I41" s="123"/>
      <c r="J41" s="123">
        <f t="shared" si="1"/>
        <v>65458940</v>
      </c>
      <c r="K41" s="102"/>
      <c r="L41" s="272"/>
    </row>
    <row r="42" spans="1:16" ht="15">
      <c r="A42" s="102"/>
      <c r="B42" s="122">
        <v>263</v>
      </c>
      <c r="C42" s="144" t="s">
        <v>757</v>
      </c>
      <c r="D42" s="122" t="s">
        <v>149</v>
      </c>
      <c r="E42" s="117" t="s">
        <v>201</v>
      </c>
      <c r="F42" s="122" t="str">
        <f t="shared" si="3"/>
        <v>263.13&amp;23.i</v>
      </c>
      <c r="G42" s="123"/>
      <c r="H42" s="248">
        <f>59762+3031</f>
        <v>62793</v>
      </c>
      <c r="I42" s="123"/>
      <c r="J42" s="123">
        <f t="shared" si="1"/>
        <v>62793</v>
      </c>
      <c r="K42" s="102"/>
      <c r="L42" s="272"/>
    </row>
    <row r="43" spans="1:16" ht="15">
      <c r="A43" s="102"/>
      <c r="B43" s="122">
        <v>263</v>
      </c>
      <c r="C43" s="122">
        <v>18</v>
      </c>
      <c r="D43" s="122" t="s">
        <v>149</v>
      </c>
      <c r="E43" s="117" t="s">
        <v>202</v>
      </c>
      <c r="F43" s="122" t="str">
        <f t="shared" si="3"/>
        <v>263.18.i</v>
      </c>
      <c r="G43" s="123"/>
      <c r="H43" s="248">
        <v>0</v>
      </c>
      <c r="I43" s="123"/>
      <c r="J43" s="123">
        <f t="shared" si="1"/>
        <v>0</v>
      </c>
      <c r="K43" s="102"/>
      <c r="L43" s="272"/>
    </row>
    <row r="44" spans="1:16" ht="15">
      <c r="A44" s="102"/>
      <c r="B44" s="122">
        <v>266</v>
      </c>
      <c r="C44" s="122">
        <v>8</v>
      </c>
      <c r="D44" s="122" t="s">
        <v>84</v>
      </c>
      <c r="E44" s="117" t="s">
        <v>85</v>
      </c>
      <c r="F44" s="122" t="str">
        <f t="shared" ref="F44:F63" si="4">FIXED(B44,0)&amp;"."&amp;FIXED(C44,0)&amp;"."&amp;D44</f>
        <v>266.8.f</v>
      </c>
      <c r="G44" s="123"/>
      <c r="H44" s="248">
        <v>-5733012</v>
      </c>
      <c r="I44" s="123"/>
      <c r="J44" s="123">
        <f t="shared" si="1"/>
        <v>-5733012</v>
      </c>
      <c r="K44" s="102"/>
      <c r="L44" s="272"/>
    </row>
    <row r="45" spans="1:16" ht="15">
      <c r="A45" s="102"/>
      <c r="B45" s="122">
        <v>273</v>
      </c>
      <c r="C45" s="122">
        <v>8</v>
      </c>
      <c r="D45" s="122" t="s">
        <v>86</v>
      </c>
      <c r="E45" s="117" t="s">
        <v>67</v>
      </c>
      <c r="F45" s="122" t="str">
        <f t="shared" si="4"/>
        <v>273.8.k</v>
      </c>
      <c r="G45" s="123"/>
      <c r="H45" s="248">
        <v>0</v>
      </c>
      <c r="I45" s="123"/>
      <c r="J45" s="123">
        <f t="shared" si="1"/>
        <v>0</v>
      </c>
      <c r="K45" s="102"/>
      <c r="L45" s="272"/>
      <c r="O45" s="40"/>
      <c r="P45" s="40"/>
    </row>
    <row r="46" spans="1:16" ht="15">
      <c r="A46" s="102"/>
      <c r="B46" s="122">
        <v>275</v>
      </c>
      <c r="C46" s="122">
        <v>2</v>
      </c>
      <c r="D46" s="122" t="s">
        <v>86</v>
      </c>
      <c r="E46" s="117" t="s">
        <v>68</v>
      </c>
      <c r="F46" s="122" t="str">
        <f t="shared" si="4"/>
        <v>275.2.k</v>
      </c>
      <c r="G46" s="123"/>
      <c r="H46" s="248">
        <v>-1408293996.8883994</v>
      </c>
      <c r="I46" s="123"/>
      <c r="J46" s="123">
        <f t="shared" si="1"/>
        <v>-1408293996.8883994</v>
      </c>
      <c r="K46" s="102"/>
      <c r="L46" s="272"/>
    </row>
    <row r="47" spans="1:16" ht="15">
      <c r="A47" s="102"/>
      <c r="B47" s="122">
        <v>277</v>
      </c>
      <c r="C47" s="269">
        <v>9</v>
      </c>
      <c r="D47" s="122" t="s">
        <v>86</v>
      </c>
      <c r="E47" s="117" t="s">
        <v>495</v>
      </c>
      <c r="F47" s="122" t="str">
        <f t="shared" si="4"/>
        <v>277.9.k</v>
      </c>
      <c r="G47" s="123"/>
      <c r="H47" s="248">
        <v>-479449010.33679444</v>
      </c>
      <c r="I47" s="123"/>
      <c r="J47" s="123">
        <f t="shared" si="1"/>
        <v>-479449010.33679444</v>
      </c>
      <c r="K47" s="102"/>
      <c r="L47" s="272"/>
      <c r="O47" s="107"/>
      <c r="P47" s="107"/>
    </row>
    <row r="48" spans="1:16" ht="15">
      <c r="A48" s="102"/>
      <c r="B48" s="122">
        <v>321</v>
      </c>
      <c r="C48" s="125" t="s">
        <v>553</v>
      </c>
      <c r="D48" s="122" t="s">
        <v>53</v>
      </c>
      <c r="E48" s="117" t="s">
        <v>554</v>
      </c>
      <c r="F48" s="122" t="str">
        <f>FIXED(B48,0)&amp;"."&amp;C48&amp;"."&amp;D48</f>
        <v>321.84-88.b</v>
      </c>
      <c r="G48" s="123"/>
      <c r="H48" s="248">
        <v>4428040</v>
      </c>
      <c r="I48" s="123"/>
      <c r="J48" s="123">
        <f t="shared" si="1"/>
        <v>4428040</v>
      </c>
      <c r="K48" s="102"/>
      <c r="L48" s="272"/>
      <c r="O48" s="107"/>
      <c r="P48" s="107"/>
    </row>
    <row r="49" spans="1:16" ht="15">
      <c r="A49" s="102"/>
      <c r="B49" s="122">
        <v>321</v>
      </c>
      <c r="C49" s="122">
        <v>96</v>
      </c>
      <c r="D49" s="122" t="s">
        <v>53</v>
      </c>
      <c r="E49" s="117" t="s">
        <v>47</v>
      </c>
      <c r="F49" s="122" t="str">
        <f t="shared" si="4"/>
        <v>321.96.b</v>
      </c>
      <c r="G49" s="123"/>
      <c r="H49" s="248">
        <v>22585931</v>
      </c>
      <c r="I49" s="123"/>
      <c r="J49" s="123">
        <f t="shared" si="1"/>
        <v>22585931</v>
      </c>
      <c r="K49" s="102"/>
      <c r="L49" s="272"/>
      <c r="O49" s="107"/>
      <c r="P49" s="107"/>
    </row>
    <row r="50" spans="1:16" ht="15">
      <c r="A50" s="102"/>
      <c r="B50" s="122">
        <v>321</v>
      </c>
      <c r="C50" s="122">
        <v>112</v>
      </c>
      <c r="D50" s="122" t="s">
        <v>53</v>
      </c>
      <c r="E50" s="117" t="s">
        <v>101</v>
      </c>
      <c r="F50" s="122" t="str">
        <f t="shared" si="4"/>
        <v>321.112.b</v>
      </c>
      <c r="G50" s="123"/>
      <c r="H50" s="248">
        <v>59134415</v>
      </c>
      <c r="I50" s="123"/>
      <c r="J50" s="123">
        <f t="shared" si="1"/>
        <v>59134415</v>
      </c>
      <c r="K50" s="102"/>
      <c r="L50" s="272"/>
      <c r="O50" s="107"/>
      <c r="P50" s="107"/>
    </row>
    <row r="51" spans="1:16" ht="15">
      <c r="A51" s="102"/>
      <c r="B51" s="122">
        <v>323</v>
      </c>
      <c r="C51" s="122">
        <v>185</v>
      </c>
      <c r="D51" s="122" t="s">
        <v>53</v>
      </c>
      <c r="E51" s="117" t="s">
        <v>103</v>
      </c>
      <c r="F51" s="122" t="str">
        <f t="shared" si="4"/>
        <v>323.185.b</v>
      </c>
      <c r="G51" s="123"/>
      <c r="H51" s="248">
        <v>4882453</v>
      </c>
      <c r="I51" s="123"/>
      <c r="J51" s="123">
        <f t="shared" si="1"/>
        <v>4882453</v>
      </c>
      <c r="K51" s="102"/>
      <c r="L51" s="272"/>
      <c r="O51" s="107"/>
      <c r="P51" s="107"/>
    </row>
    <row r="52" spans="1:16" ht="15">
      <c r="A52" s="102"/>
      <c r="B52" s="122">
        <v>323</v>
      </c>
      <c r="C52" s="122">
        <v>189</v>
      </c>
      <c r="D52" s="122" t="s">
        <v>53</v>
      </c>
      <c r="E52" s="117" t="s">
        <v>49</v>
      </c>
      <c r="F52" s="122" t="str">
        <f t="shared" si="4"/>
        <v>323.189.b</v>
      </c>
      <c r="G52" s="123"/>
      <c r="H52" s="248">
        <v>6038682</v>
      </c>
      <c r="I52" s="123"/>
      <c r="J52" s="123">
        <f t="shared" si="1"/>
        <v>6038682</v>
      </c>
      <c r="K52" s="102"/>
      <c r="L52" s="272"/>
      <c r="O52" s="107"/>
      <c r="P52" s="107"/>
    </row>
    <row r="53" spans="1:16" ht="15">
      <c r="A53" s="102"/>
      <c r="B53" s="122">
        <v>323</v>
      </c>
      <c r="C53" s="122">
        <v>191</v>
      </c>
      <c r="D53" s="122" t="s">
        <v>53</v>
      </c>
      <c r="E53" s="117" t="s">
        <v>50</v>
      </c>
      <c r="F53" s="122" t="str">
        <f t="shared" si="4"/>
        <v>323.191.b</v>
      </c>
      <c r="G53" s="123"/>
      <c r="H53" s="248">
        <v>1702427</v>
      </c>
      <c r="I53" s="123"/>
      <c r="J53" s="123">
        <f t="shared" si="1"/>
        <v>1702427</v>
      </c>
      <c r="K53" s="102"/>
      <c r="L53" s="272"/>
      <c r="O53" s="107"/>
      <c r="P53" s="107"/>
    </row>
    <row r="54" spans="1:16" ht="15">
      <c r="A54" s="102"/>
      <c r="B54" s="122">
        <v>323</v>
      </c>
      <c r="C54" s="122">
        <v>197</v>
      </c>
      <c r="D54" s="122" t="s">
        <v>53</v>
      </c>
      <c r="E54" s="117" t="s">
        <v>48</v>
      </c>
      <c r="F54" s="122" t="str">
        <f t="shared" si="4"/>
        <v>323.197.b</v>
      </c>
      <c r="G54" s="126"/>
      <c r="H54" s="248">
        <v>282302365</v>
      </c>
      <c r="I54" s="126"/>
      <c r="J54" s="123">
        <f t="shared" si="1"/>
        <v>282302365</v>
      </c>
      <c r="K54" s="102"/>
      <c r="L54" s="272"/>
      <c r="O54" s="107"/>
      <c r="P54" s="107"/>
    </row>
    <row r="55" spans="1:16" ht="15">
      <c r="A55" s="102"/>
      <c r="B55" s="122">
        <v>335</v>
      </c>
      <c r="C55" s="127" t="s">
        <v>868</v>
      </c>
      <c r="D55" s="122" t="s">
        <v>53</v>
      </c>
      <c r="E55" s="117" t="s">
        <v>497</v>
      </c>
      <c r="F55" s="122" t="str">
        <f>FIXED(B55,0)&amp;"."&amp;C55&amp;"."&amp;D55</f>
        <v>335.1-3,12.b</v>
      </c>
      <c r="G55" s="126"/>
      <c r="H55" s="248">
        <v>-3247794</v>
      </c>
      <c r="I55" s="126"/>
      <c r="J55" s="123">
        <f t="shared" si="1"/>
        <v>-3247794</v>
      </c>
      <c r="K55" s="102"/>
      <c r="L55" s="272"/>
      <c r="O55" s="111"/>
      <c r="P55" s="111"/>
    </row>
    <row r="56" spans="1:16" ht="15">
      <c r="A56" s="102"/>
      <c r="B56" s="122">
        <v>336</v>
      </c>
      <c r="C56" s="122">
        <v>1</v>
      </c>
      <c r="D56" s="122" t="s">
        <v>84</v>
      </c>
      <c r="E56" s="117" t="s">
        <v>221</v>
      </c>
      <c r="F56" s="122" t="str">
        <f t="shared" si="4"/>
        <v>336.1.f</v>
      </c>
      <c r="G56" s="123"/>
      <c r="H56" s="248">
        <v>3502094</v>
      </c>
      <c r="I56" s="248">
        <v>-312235</v>
      </c>
      <c r="J56" s="123">
        <f t="shared" si="1"/>
        <v>3189859</v>
      </c>
      <c r="K56" s="102"/>
      <c r="L56" s="272" t="s">
        <v>799</v>
      </c>
      <c r="O56" s="107"/>
      <c r="P56" s="107"/>
    </row>
    <row r="57" spans="1:16" ht="15">
      <c r="A57" s="102"/>
      <c r="B57" s="122">
        <v>336</v>
      </c>
      <c r="C57" s="122">
        <v>7</v>
      </c>
      <c r="D57" s="122" t="s">
        <v>53</v>
      </c>
      <c r="E57" s="117" t="s">
        <v>109</v>
      </c>
      <c r="F57" s="122" t="str">
        <f t="shared" si="4"/>
        <v>336.7.b</v>
      </c>
      <c r="G57" s="123"/>
      <c r="H57" s="248">
        <v>41056440</v>
      </c>
      <c r="I57" s="123"/>
      <c r="J57" s="123">
        <f t="shared" si="1"/>
        <v>41056440</v>
      </c>
      <c r="K57" s="102"/>
      <c r="L57" s="272"/>
      <c r="P57" s="107"/>
    </row>
    <row r="58" spans="1:16" ht="15">
      <c r="A58" s="102"/>
      <c r="B58" s="122">
        <v>336</v>
      </c>
      <c r="C58" s="269">
        <v>10</v>
      </c>
      <c r="D58" s="122" t="s">
        <v>53</v>
      </c>
      <c r="E58" s="117" t="s">
        <v>110</v>
      </c>
      <c r="F58" s="122" t="str">
        <f t="shared" si="4"/>
        <v>336.10.b</v>
      </c>
      <c r="G58" s="123"/>
      <c r="H58" s="248">
        <v>17199290</v>
      </c>
      <c r="I58" s="123"/>
      <c r="J58" s="123">
        <f t="shared" si="1"/>
        <v>17199290</v>
      </c>
      <c r="K58" s="102"/>
      <c r="L58" s="272"/>
      <c r="O58" s="107"/>
      <c r="P58" s="107"/>
    </row>
    <row r="59" spans="1:16" ht="15">
      <c r="A59" s="102"/>
      <c r="B59" s="122">
        <v>350</v>
      </c>
      <c r="C59" s="122">
        <v>12</v>
      </c>
      <c r="D59" s="122" t="s">
        <v>53</v>
      </c>
      <c r="E59" s="117" t="s">
        <v>505</v>
      </c>
      <c r="F59" s="122" t="str">
        <f t="shared" si="4"/>
        <v>350.12.b</v>
      </c>
      <c r="G59" s="123"/>
      <c r="H59" s="248">
        <v>861369</v>
      </c>
      <c r="I59" s="123"/>
      <c r="J59" s="123">
        <f t="shared" si="1"/>
        <v>861369</v>
      </c>
      <c r="K59" s="102"/>
      <c r="L59" s="272"/>
      <c r="P59" s="107"/>
    </row>
    <row r="60" spans="1:16" ht="15">
      <c r="A60" s="102"/>
      <c r="B60" s="122">
        <v>354</v>
      </c>
      <c r="C60" s="122">
        <v>21</v>
      </c>
      <c r="D60" s="122" t="s">
        <v>53</v>
      </c>
      <c r="E60" s="117" t="s">
        <v>46</v>
      </c>
      <c r="F60" s="122" t="str">
        <f t="shared" si="4"/>
        <v>354.21.b</v>
      </c>
      <c r="G60" s="123"/>
      <c r="H60" s="248">
        <v>16719028</v>
      </c>
      <c r="I60" s="123"/>
      <c r="J60" s="123">
        <f t="shared" si="1"/>
        <v>16719028</v>
      </c>
      <c r="K60" s="102"/>
      <c r="L60" s="272"/>
      <c r="P60" s="107"/>
    </row>
    <row r="61" spans="1:16" ht="15">
      <c r="A61" s="102"/>
      <c r="B61" s="122">
        <v>354</v>
      </c>
      <c r="C61" s="122">
        <v>27</v>
      </c>
      <c r="D61" s="122" t="s">
        <v>53</v>
      </c>
      <c r="E61" s="117" t="s">
        <v>205</v>
      </c>
      <c r="F61" s="122" t="str">
        <f t="shared" si="4"/>
        <v>354.27.b</v>
      </c>
      <c r="G61" s="123"/>
      <c r="H61" s="248">
        <v>59727421</v>
      </c>
      <c r="I61" s="123"/>
      <c r="J61" s="123">
        <f t="shared" si="1"/>
        <v>59727421</v>
      </c>
      <c r="K61" s="102"/>
      <c r="L61" s="272"/>
      <c r="P61" s="107"/>
    </row>
    <row r="62" spans="1:16" ht="15">
      <c r="A62" s="102"/>
      <c r="B62" s="122">
        <v>354</v>
      </c>
      <c r="C62" s="122">
        <v>28</v>
      </c>
      <c r="D62" s="122" t="s">
        <v>53</v>
      </c>
      <c r="E62" s="117" t="s">
        <v>45</v>
      </c>
      <c r="F62" s="122" t="str">
        <f t="shared" si="4"/>
        <v>354.28.b</v>
      </c>
      <c r="G62" s="123"/>
      <c r="H62" s="248">
        <v>406521358</v>
      </c>
      <c r="I62" s="123"/>
      <c r="J62" s="123">
        <f t="shared" si="1"/>
        <v>406521358</v>
      </c>
      <c r="K62" s="102"/>
      <c r="L62" s="272"/>
      <c r="P62" s="107"/>
    </row>
    <row r="63" spans="1:16" ht="15">
      <c r="A63" s="102"/>
      <c r="B63" s="122">
        <v>400</v>
      </c>
      <c r="C63" s="122">
        <v>17</v>
      </c>
      <c r="D63" s="124" t="s">
        <v>53</v>
      </c>
      <c r="E63" s="117" t="s">
        <v>56</v>
      </c>
      <c r="F63" s="122" t="str">
        <f t="shared" si="4"/>
        <v>400.17.b</v>
      </c>
      <c r="G63" s="123"/>
      <c r="H63" s="248">
        <v>131808</v>
      </c>
      <c r="I63" s="123"/>
      <c r="J63" s="123">
        <f t="shared" si="1"/>
        <v>131808</v>
      </c>
      <c r="K63" s="102"/>
      <c r="L63" s="272"/>
      <c r="P63" s="107"/>
    </row>
    <row r="64" spans="1:16" ht="15">
      <c r="A64" s="102"/>
      <c r="B64" s="122">
        <v>400</v>
      </c>
      <c r="C64" s="122">
        <v>17</v>
      </c>
      <c r="D64" s="122" t="s">
        <v>58</v>
      </c>
      <c r="E64" s="117" t="s">
        <v>153</v>
      </c>
      <c r="F64" s="122" t="str">
        <f>B64&amp;"."&amp;C64&amp;"."&amp;D64</f>
        <v>400.17.e</v>
      </c>
      <c r="G64" s="123"/>
      <c r="H64" s="248">
        <v>87178</v>
      </c>
      <c r="I64" s="123"/>
      <c r="J64" s="123">
        <f t="shared" si="1"/>
        <v>87178</v>
      </c>
      <c r="K64" s="102"/>
      <c r="L64" s="272"/>
    </row>
    <row r="65" spans="1:12" ht="15">
      <c r="A65" s="102"/>
      <c r="B65" s="122">
        <v>400</v>
      </c>
      <c r="C65" s="122">
        <v>17</v>
      </c>
      <c r="D65" s="122" t="s">
        <v>84</v>
      </c>
      <c r="E65" s="117" t="s">
        <v>150</v>
      </c>
      <c r="F65" s="122" t="str">
        <f>B65&amp;"."&amp;C65&amp;"."&amp;D65</f>
        <v>400.17.f</v>
      </c>
      <c r="G65" s="123"/>
      <c r="H65" s="248">
        <v>40837</v>
      </c>
      <c r="I65" s="123"/>
      <c r="J65" s="123">
        <f t="shared" si="1"/>
        <v>40837</v>
      </c>
      <c r="K65" s="102"/>
      <c r="L65" s="272"/>
    </row>
    <row r="66" spans="1:12" ht="15">
      <c r="A66" s="102"/>
      <c r="B66" s="122">
        <v>400</v>
      </c>
      <c r="C66" s="122">
        <v>17</v>
      </c>
      <c r="D66" s="122" t="s">
        <v>54</v>
      </c>
      <c r="E66" s="117" t="s">
        <v>152</v>
      </c>
      <c r="F66" s="122" t="str">
        <f>B66&amp;"."&amp;C66&amp;"."&amp;D66</f>
        <v>400.17.g</v>
      </c>
      <c r="G66" s="123"/>
      <c r="H66" s="248">
        <v>2484</v>
      </c>
      <c r="I66" s="123"/>
      <c r="J66" s="123">
        <f t="shared" si="1"/>
        <v>2484</v>
      </c>
      <c r="K66" s="102"/>
      <c r="L66" s="272"/>
    </row>
    <row r="67" spans="1:12" ht="15">
      <c r="A67" s="102"/>
      <c r="B67" s="122">
        <v>400</v>
      </c>
      <c r="C67" s="122">
        <v>17</v>
      </c>
      <c r="D67" s="122" t="s">
        <v>83</v>
      </c>
      <c r="E67" s="117" t="s">
        <v>198</v>
      </c>
      <c r="F67" s="122" t="str">
        <f>B67&amp;"."&amp;C67&amp;"."&amp;D67</f>
        <v>400.17.h</v>
      </c>
      <c r="G67" s="123"/>
      <c r="H67" s="248">
        <v>0</v>
      </c>
      <c r="I67" s="123"/>
      <c r="J67" s="123">
        <f t="shared" si="1"/>
        <v>0</v>
      </c>
      <c r="K67" s="102"/>
      <c r="L67" s="272"/>
    </row>
    <row r="68" spans="1:12" ht="15">
      <c r="A68" s="102"/>
      <c r="B68" s="122">
        <v>400</v>
      </c>
      <c r="C68" s="122">
        <v>17</v>
      </c>
      <c r="D68" s="122" t="s">
        <v>149</v>
      </c>
      <c r="E68" s="117" t="s">
        <v>151</v>
      </c>
      <c r="F68" s="122" t="str">
        <f>B68&amp;"."&amp;C68&amp;"."&amp;D68</f>
        <v>400.17.i</v>
      </c>
      <c r="G68" s="123"/>
      <c r="H68" s="248">
        <v>1309</v>
      </c>
      <c r="I68" s="123"/>
      <c r="J68" s="123">
        <f t="shared" si="1"/>
        <v>1309</v>
      </c>
      <c r="K68" s="102"/>
      <c r="L68" s="272"/>
    </row>
    <row r="69" spans="1:12">
      <c r="B69" s="2"/>
      <c r="D69" s="2"/>
    </row>
  </sheetData>
  <mergeCells count="3">
    <mergeCell ref="K3:L3"/>
    <mergeCell ref="A5:L5"/>
    <mergeCell ref="A6:L6"/>
  </mergeCells>
  <phoneticPr fontId="0" type="noConversion"/>
  <printOptions horizontalCentered="1"/>
  <pageMargins left="0.5" right="0.5" top="0.75" bottom="0.75" header="0.5" footer="0.5"/>
  <pageSetup scale="6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O118"/>
  <sheetViews>
    <sheetView workbookViewId="0">
      <selection sqref="A1:I52"/>
    </sheetView>
  </sheetViews>
  <sheetFormatPr defaultRowHeight="12.75"/>
  <cols>
    <col min="1" max="1" width="5.7109375" customWidth="1"/>
    <col min="2" max="2" width="40.5703125" customWidth="1"/>
    <col min="3" max="3" width="11.85546875" bestFit="1" customWidth="1"/>
    <col min="4" max="4" width="5.7109375" customWidth="1"/>
    <col min="5" max="6" width="10.7109375" bestFit="1" customWidth="1"/>
    <col min="7" max="7" width="5.7109375" customWidth="1"/>
    <col min="8" max="8" width="14.7109375" customWidth="1"/>
    <col min="9" max="9" width="7.28515625" customWidth="1"/>
    <col min="12" max="12" width="31.7109375" bestFit="1" customWidth="1"/>
    <col min="13" max="13" width="11" bestFit="1" customWidth="1"/>
    <col min="14" max="14" width="11.85546875" bestFit="1" customWidth="1"/>
    <col min="15" max="15" width="10" bestFit="1" customWidth="1"/>
  </cols>
  <sheetData>
    <row r="1" spans="1:15" ht="15.75">
      <c r="A1" s="102"/>
      <c r="B1" s="102"/>
      <c r="C1" s="102"/>
      <c r="D1" s="102"/>
      <c r="E1" s="102"/>
      <c r="F1" s="102"/>
      <c r="G1" s="102"/>
      <c r="H1" s="276" t="s">
        <v>394</v>
      </c>
      <c r="I1" s="276"/>
    </row>
    <row r="2" spans="1:15" ht="15.75">
      <c r="A2" s="102"/>
      <c r="B2" s="102"/>
      <c r="C2" s="102"/>
      <c r="D2" s="102"/>
      <c r="E2" s="102"/>
      <c r="F2" s="102"/>
      <c r="G2" s="102"/>
      <c r="H2" s="113" t="s">
        <v>696</v>
      </c>
      <c r="I2" s="113"/>
    </row>
    <row r="3" spans="1:15" ht="15">
      <c r="A3" s="102"/>
      <c r="B3" s="102"/>
      <c r="C3" s="102"/>
      <c r="D3" s="102"/>
      <c r="E3" s="102"/>
      <c r="F3" s="102"/>
      <c r="G3" s="102"/>
      <c r="H3" s="288" t="str">
        <f>FF1_Year</f>
        <v>Year Ending 12/31/2009</v>
      </c>
      <c r="I3" s="288"/>
    </row>
    <row r="4" spans="1:15" ht="15">
      <c r="A4" s="102"/>
      <c r="B4" s="102"/>
      <c r="C4" s="102"/>
      <c r="D4" s="102"/>
      <c r="E4" s="102"/>
      <c r="F4" s="102"/>
      <c r="G4" s="102"/>
      <c r="H4" s="102"/>
      <c r="I4" s="102"/>
    </row>
    <row r="5" spans="1:15" ht="15">
      <c r="A5" s="303" t="s">
        <v>395</v>
      </c>
      <c r="B5" s="303"/>
      <c r="C5" s="303"/>
      <c r="D5" s="303"/>
      <c r="E5" s="303"/>
      <c r="F5" s="303"/>
      <c r="G5" s="303"/>
      <c r="H5" s="303"/>
      <c r="I5" s="303"/>
    </row>
    <row r="6" spans="1:15" ht="15">
      <c r="A6" s="302" t="s">
        <v>466</v>
      </c>
      <c r="B6" s="302"/>
      <c r="C6" s="302"/>
      <c r="D6" s="302"/>
      <c r="E6" s="302"/>
      <c r="F6" s="302"/>
      <c r="G6" s="302"/>
      <c r="H6" s="302"/>
      <c r="I6" s="302"/>
    </row>
    <row r="7" spans="1:15" ht="15">
      <c r="A7" s="302" t="s">
        <v>467</v>
      </c>
      <c r="B7" s="302"/>
      <c r="C7" s="302"/>
      <c r="D7" s="302"/>
      <c r="E7" s="302"/>
      <c r="F7" s="302"/>
      <c r="G7" s="302"/>
      <c r="H7" s="302"/>
      <c r="I7" s="302"/>
    </row>
    <row r="8" spans="1:15" ht="15">
      <c r="A8" s="102"/>
      <c r="B8" s="102"/>
      <c r="C8" s="102"/>
      <c r="D8" s="102"/>
      <c r="E8" s="102"/>
      <c r="F8" s="102"/>
      <c r="G8" s="102"/>
      <c r="H8" s="102"/>
      <c r="I8" s="102"/>
    </row>
    <row r="9" spans="1:15" ht="15">
      <c r="A9" s="102"/>
      <c r="B9" s="102"/>
      <c r="C9" s="102"/>
      <c r="D9" s="102"/>
      <c r="E9" s="102"/>
      <c r="F9" s="102"/>
      <c r="G9" s="102"/>
      <c r="H9" s="102"/>
      <c r="I9" s="102"/>
    </row>
    <row r="10" spans="1:15" ht="15">
      <c r="A10" s="102"/>
      <c r="B10" s="102"/>
      <c r="C10" s="112" t="s">
        <v>392</v>
      </c>
      <c r="D10" s="102"/>
      <c r="E10" s="102"/>
      <c r="F10" s="102"/>
      <c r="G10" s="102"/>
      <c r="H10" s="102"/>
      <c r="I10" s="102"/>
    </row>
    <row r="11" spans="1:15" ht="15">
      <c r="A11" s="102"/>
      <c r="B11" s="102"/>
      <c r="C11" s="118">
        <v>40178</v>
      </c>
      <c r="D11" s="102"/>
      <c r="E11" s="302" t="s">
        <v>273</v>
      </c>
      <c r="F11" s="302"/>
      <c r="G11" s="102"/>
      <c r="H11" s="114" t="s">
        <v>443</v>
      </c>
      <c r="I11" s="102"/>
    </row>
    <row r="12" spans="1:15" ht="15">
      <c r="A12" s="102"/>
      <c r="B12" s="102"/>
      <c r="C12" s="112" t="s">
        <v>419</v>
      </c>
      <c r="D12" s="102"/>
      <c r="E12" s="102"/>
      <c r="F12" s="102"/>
      <c r="G12" s="102"/>
      <c r="H12" s="102"/>
      <c r="I12" s="102"/>
    </row>
    <row r="14" spans="1:15" ht="15">
      <c r="A14" s="8"/>
      <c r="B14" s="102" t="s">
        <v>506</v>
      </c>
      <c r="C14" s="249">
        <v>205828</v>
      </c>
      <c r="D14" s="1"/>
      <c r="E14" s="102" t="s">
        <v>326</v>
      </c>
      <c r="F14" s="108">
        <f t="shared" ref="F14:F21" si="0">VLOOKUP(E14,Alloc_Table,2,FALSE)</f>
        <v>0</v>
      </c>
      <c r="G14" s="102"/>
      <c r="H14" s="107">
        <f>C14*F14</f>
        <v>0</v>
      </c>
      <c r="O14" s="102"/>
    </row>
    <row r="15" spans="1:15" ht="15">
      <c r="A15" s="8"/>
      <c r="B15" s="102" t="s">
        <v>456</v>
      </c>
      <c r="C15" s="249">
        <v>-5269938</v>
      </c>
      <c r="D15" s="1"/>
      <c r="E15" s="102" t="s">
        <v>324</v>
      </c>
      <c r="F15" s="108">
        <f t="shared" si="0"/>
        <v>0</v>
      </c>
      <c r="G15" s="102"/>
      <c r="H15" s="107">
        <f t="shared" ref="H15:H50" si="1">C15*F15</f>
        <v>0</v>
      </c>
      <c r="O15" s="102"/>
    </row>
    <row r="16" spans="1:15" ht="15">
      <c r="A16" s="8"/>
      <c r="B16" s="102" t="s">
        <v>458</v>
      </c>
      <c r="C16" s="249">
        <v>-44036150</v>
      </c>
      <c r="D16" s="1"/>
      <c r="E16" s="102" t="s">
        <v>326</v>
      </c>
      <c r="F16" s="108">
        <f t="shared" si="0"/>
        <v>0</v>
      </c>
      <c r="G16" s="102"/>
      <c r="H16" s="107">
        <f t="shared" si="1"/>
        <v>0</v>
      </c>
      <c r="O16" s="102"/>
    </row>
    <row r="17" spans="1:15" ht="15">
      <c r="A17" s="8"/>
      <c r="B17" s="102" t="s">
        <v>507</v>
      </c>
      <c r="C17" s="249">
        <v>1278585</v>
      </c>
      <c r="D17" s="1"/>
      <c r="E17" s="102" t="s">
        <v>326</v>
      </c>
      <c r="F17" s="108">
        <f t="shared" si="0"/>
        <v>0</v>
      </c>
      <c r="G17" s="102"/>
      <c r="H17" s="107">
        <f t="shared" si="1"/>
        <v>0</v>
      </c>
      <c r="O17" s="102"/>
    </row>
    <row r="18" spans="1:15" ht="15">
      <c r="A18" s="8"/>
      <c r="B18" s="102" t="s">
        <v>455</v>
      </c>
      <c r="C18" s="249">
        <v>-125141.09000000003</v>
      </c>
      <c r="D18" s="1"/>
      <c r="E18" s="102" t="s">
        <v>87</v>
      </c>
      <c r="F18" s="108">
        <f t="shared" si="0"/>
        <v>0.11415725804365343</v>
      </c>
      <c r="G18" s="102"/>
      <c r="H18" s="107">
        <f t="shared" si="1"/>
        <v>-14285.76370299406</v>
      </c>
      <c r="O18" s="102"/>
    </row>
    <row r="19" spans="1:15" ht="15">
      <c r="A19" s="8"/>
      <c r="B19" s="102" t="s">
        <v>459</v>
      </c>
      <c r="C19" s="249">
        <v>2031273</v>
      </c>
      <c r="D19" s="1"/>
      <c r="E19" s="102" t="s">
        <v>324</v>
      </c>
      <c r="F19" s="108">
        <f t="shared" si="0"/>
        <v>0</v>
      </c>
      <c r="G19" s="102"/>
      <c r="H19" s="107">
        <f t="shared" si="1"/>
        <v>0</v>
      </c>
      <c r="O19" s="102"/>
    </row>
    <row r="20" spans="1:15" ht="15">
      <c r="A20" s="8"/>
      <c r="B20" s="102" t="s">
        <v>457</v>
      </c>
      <c r="C20" s="249">
        <v>12099721.84</v>
      </c>
      <c r="D20" s="1"/>
      <c r="E20" s="102" t="s">
        <v>322</v>
      </c>
      <c r="F20" s="108">
        <f t="shared" si="0"/>
        <v>4.5100020896118378E-2</v>
      </c>
      <c r="G20" s="102"/>
      <c r="H20" s="107">
        <f t="shared" si="1"/>
        <v>545697.70782121993</v>
      </c>
      <c r="O20" s="102"/>
    </row>
    <row r="21" spans="1:15" ht="15">
      <c r="A21" s="8"/>
      <c r="B21" s="102" t="s">
        <v>428</v>
      </c>
      <c r="C21" s="249">
        <v>7131139.0500000007</v>
      </c>
      <c r="D21" s="1"/>
      <c r="E21" s="102" t="s">
        <v>87</v>
      </c>
      <c r="F21" s="108">
        <f t="shared" si="0"/>
        <v>0.11415725804365343</v>
      </c>
      <c r="G21" s="102"/>
      <c r="H21" s="107">
        <f t="shared" si="1"/>
        <v>814071.28067602369</v>
      </c>
      <c r="O21" s="102"/>
    </row>
    <row r="22" spans="1:15" ht="15">
      <c r="A22" s="8"/>
      <c r="B22" s="102" t="s">
        <v>800</v>
      </c>
      <c r="C22" s="249">
        <v>6351294</v>
      </c>
      <c r="E22" s="102" t="s">
        <v>326</v>
      </c>
      <c r="F22" s="108">
        <f t="shared" ref="F22:F33" si="2">VLOOKUP(E22,Alloc_Table,2,FALSE)</f>
        <v>0</v>
      </c>
      <c r="H22" s="107">
        <f t="shared" si="1"/>
        <v>0</v>
      </c>
      <c r="L22" s="102"/>
      <c r="M22" s="102"/>
      <c r="N22" s="107"/>
      <c r="O22" s="102"/>
    </row>
    <row r="23" spans="1:15" ht="15">
      <c r="A23" s="8"/>
      <c r="B23" s="102" t="s">
        <v>445</v>
      </c>
      <c r="C23" s="249">
        <v>23180669.789999999</v>
      </c>
      <c r="D23" s="1"/>
      <c r="E23" s="102" t="s">
        <v>322</v>
      </c>
      <c r="F23" s="108">
        <f t="shared" si="2"/>
        <v>4.5100020896118378E-2</v>
      </c>
      <c r="G23" s="102"/>
      <c r="H23" s="107">
        <f t="shared" si="1"/>
        <v>1045448.69191502</v>
      </c>
      <c r="L23" s="102"/>
      <c r="M23" s="102"/>
      <c r="N23" s="107"/>
      <c r="O23" s="102"/>
    </row>
    <row r="24" spans="1:15" ht="15">
      <c r="A24" s="8"/>
      <c r="B24" s="102" t="s">
        <v>802</v>
      </c>
      <c r="C24" s="249">
        <v>180</v>
      </c>
      <c r="E24" s="102" t="s">
        <v>322</v>
      </c>
      <c r="F24" s="108">
        <f t="shared" si="2"/>
        <v>4.5100020896118378E-2</v>
      </c>
      <c r="H24" s="107">
        <f t="shared" si="1"/>
        <v>8.1180037613013081</v>
      </c>
      <c r="O24" s="102"/>
    </row>
    <row r="25" spans="1:15" ht="15">
      <c r="A25" s="8"/>
      <c r="B25" s="102" t="s">
        <v>454</v>
      </c>
      <c r="C25" s="249">
        <v>4866802.45</v>
      </c>
      <c r="D25" s="1"/>
      <c r="E25" s="107" t="s">
        <v>326</v>
      </c>
      <c r="F25" s="108">
        <f t="shared" si="2"/>
        <v>0</v>
      </c>
      <c r="G25" s="107"/>
      <c r="H25" s="107">
        <f t="shared" si="1"/>
        <v>0</v>
      </c>
      <c r="O25" s="102"/>
    </row>
    <row r="26" spans="1:15" ht="15">
      <c r="A26" s="8"/>
      <c r="B26" s="102" t="s">
        <v>753</v>
      </c>
      <c r="C26" s="249">
        <v>5468587</v>
      </c>
      <c r="D26" s="1"/>
      <c r="E26" s="102" t="s">
        <v>326</v>
      </c>
      <c r="F26" s="108">
        <f t="shared" si="2"/>
        <v>0</v>
      </c>
      <c r="G26" s="102"/>
      <c r="H26" s="107">
        <f t="shared" si="1"/>
        <v>0</v>
      </c>
      <c r="O26" s="102"/>
    </row>
    <row r="27" spans="1:15" ht="15">
      <c r="A27" s="8"/>
      <c r="B27" s="102" t="s">
        <v>752</v>
      </c>
      <c r="C27" s="249">
        <v>66153466</v>
      </c>
      <c r="D27" s="1"/>
      <c r="E27" s="102" t="s">
        <v>326</v>
      </c>
      <c r="F27" s="108">
        <f t="shared" si="2"/>
        <v>0</v>
      </c>
      <c r="G27" s="102"/>
      <c r="H27" s="107">
        <f t="shared" si="1"/>
        <v>0</v>
      </c>
      <c r="O27" s="102"/>
    </row>
    <row r="28" spans="1:15" ht="15">
      <c r="A28" s="8"/>
      <c r="B28" s="102" t="s">
        <v>801</v>
      </c>
      <c r="C28" s="249">
        <v>1565770</v>
      </c>
      <c r="E28" s="102" t="s">
        <v>326</v>
      </c>
      <c r="F28" s="108">
        <f t="shared" si="2"/>
        <v>0</v>
      </c>
      <c r="H28" s="107">
        <f t="shared" si="1"/>
        <v>0</v>
      </c>
      <c r="O28" s="102"/>
    </row>
    <row r="29" spans="1:15" ht="15">
      <c r="A29" s="8"/>
      <c r="B29" s="102" t="s">
        <v>451</v>
      </c>
      <c r="C29" s="249">
        <v>14036168</v>
      </c>
      <c r="D29" s="1"/>
      <c r="E29" s="102" t="s">
        <v>322</v>
      </c>
      <c r="F29" s="108">
        <f t="shared" si="2"/>
        <v>4.5100020896118378E-2</v>
      </c>
      <c r="G29" s="102"/>
      <c r="H29" s="107">
        <f t="shared" si="1"/>
        <v>633031.4701014281</v>
      </c>
      <c r="O29" s="102"/>
    </row>
    <row r="30" spans="1:15" ht="15">
      <c r="A30" s="8"/>
      <c r="B30" s="102" t="s">
        <v>746</v>
      </c>
      <c r="C30" s="249">
        <v>11412</v>
      </c>
      <c r="D30" s="1"/>
      <c r="E30" s="102" t="s">
        <v>87</v>
      </c>
      <c r="F30" s="108">
        <f t="shared" si="2"/>
        <v>0.11415725804365343</v>
      </c>
      <c r="G30" s="102"/>
      <c r="H30" s="107">
        <f t="shared" si="1"/>
        <v>1302.762628794173</v>
      </c>
      <c r="O30" s="102"/>
    </row>
    <row r="31" spans="1:15" ht="15">
      <c r="A31" s="8"/>
      <c r="B31" s="102" t="s">
        <v>444</v>
      </c>
      <c r="C31" s="249">
        <v>1521121.56</v>
      </c>
      <c r="D31" s="1"/>
      <c r="E31" s="102" t="s">
        <v>87</v>
      </c>
      <c r="F31" s="108">
        <f t="shared" si="2"/>
        <v>0.11415725804365343</v>
      </c>
      <c r="G31" s="102"/>
      <c r="H31" s="107">
        <f t="shared" si="1"/>
        <v>173647.06644068466</v>
      </c>
      <c r="L31" s="102"/>
      <c r="M31" s="102"/>
      <c r="N31" s="107"/>
      <c r="O31" s="102"/>
    </row>
    <row r="32" spans="1:15" ht="15">
      <c r="A32" s="8"/>
      <c r="B32" s="102" t="s">
        <v>376</v>
      </c>
      <c r="C32" s="249">
        <v>5906748</v>
      </c>
      <c r="D32" s="1"/>
      <c r="E32" s="102" t="s">
        <v>87</v>
      </c>
      <c r="F32" s="108">
        <f t="shared" si="2"/>
        <v>0.11415725804365343</v>
      </c>
      <c r="G32" s="102"/>
      <c r="H32" s="107">
        <f t="shared" si="1"/>
        <v>674298.15563483373</v>
      </c>
      <c r="O32" s="102"/>
    </row>
    <row r="33" spans="1:15" ht="15">
      <c r="A33" s="8"/>
      <c r="B33" s="102" t="s">
        <v>450</v>
      </c>
      <c r="C33" s="249">
        <v>3942227</v>
      </c>
      <c r="D33" s="1"/>
      <c r="E33" s="102" t="s">
        <v>326</v>
      </c>
      <c r="F33" s="108">
        <f t="shared" si="2"/>
        <v>0</v>
      </c>
      <c r="G33" s="102"/>
      <c r="H33" s="107">
        <f t="shared" si="1"/>
        <v>0</v>
      </c>
      <c r="O33" s="102"/>
    </row>
    <row r="34" spans="1:15" ht="15">
      <c r="A34" s="8"/>
      <c r="B34" s="102" t="s">
        <v>446</v>
      </c>
      <c r="C34" s="249">
        <v>2001154.66</v>
      </c>
      <c r="D34" s="1"/>
      <c r="E34" s="102" t="s">
        <v>324</v>
      </c>
      <c r="F34" s="108">
        <f t="shared" ref="F34" si="3">VLOOKUP(E34,Alloc_Table,2,FALSE)</f>
        <v>0</v>
      </c>
      <c r="G34" s="102"/>
      <c r="H34" s="107">
        <f t="shared" si="1"/>
        <v>0</v>
      </c>
      <c r="L34" s="102"/>
      <c r="M34" s="102"/>
      <c r="N34" s="107"/>
      <c r="O34" s="102"/>
    </row>
    <row r="35" spans="1:15" ht="15">
      <c r="A35" s="8"/>
      <c r="B35" s="102" t="s">
        <v>750</v>
      </c>
      <c r="C35" s="249">
        <v>35800979</v>
      </c>
      <c r="D35" s="1"/>
      <c r="E35" s="102" t="s">
        <v>326</v>
      </c>
      <c r="F35" s="108">
        <f t="shared" ref="F35:F50" si="4">VLOOKUP(E35,Alloc_Table,2,FALSE)</f>
        <v>0</v>
      </c>
      <c r="G35" s="102"/>
      <c r="H35" s="107">
        <f t="shared" si="1"/>
        <v>0</v>
      </c>
      <c r="L35" s="102"/>
      <c r="M35" s="102"/>
      <c r="N35" s="107"/>
      <c r="O35" s="102"/>
    </row>
    <row r="36" spans="1:15" ht="15">
      <c r="A36" s="8"/>
      <c r="B36" s="102" t="s">
        <v>440</v>
      </c>
      <c r="C36" s="249">
        <v>142812389.16999999</v>
      </c>
      <c r="D36" s="1"/>
      <c r="E36" s="102" t="s">
        <v>324</v>
      </c>
      <c r="F36" s="108">
        <f t="shared" si="4"/>
        <v>0</v>
      </c>
      <c r="G36" s="102"/>
      <c r="H36" s="107">
        <f t="shared" si="1"/>
        <v>0</v>
      </c>
      <c r="L36" s="102"/>
      <c r="M36" s="102"/>
      <c r="N36" s="107"/>
      <c r="O36" s="102"/>
    </row>
    <row r="37" spans="1:15" ht="15">
      <c r="A37" s="8"/>
      <c r="B37" s="102" t="s">
        <v>449</v>
      </c>
      <c r="C37" s="249">
        <v>128798715</v>
      </c>
      <c r="D37" s="1"/>
      <c r="E37" s="102" t="s">
        <v>322</v>
      </c>
      <c r="F37" s="108">
        <f t="shared" si="4"/>
        <v>4.5100020896118378E-2</v>
      </c>
      <c r="G37" s="102"/>
      <c r="H37" s="107">
        <f t="shared" si="1"/>
        <v>5808824.7378931958</v>
      </c>
      <c r="O37" s="102"/>
    </row>
    <row r="38" spans="1:15" ht="15">
      <c r="A38" s="8"/>
      <c r="B38" s="102" t="s">
        <v>453</v>
      </c>
      <c r="C38" s="249">
        <v>1861422.82</v>
      </c>
      <c r="D38" s="1"/>
      <c r="E38" s="102" t="s">
        <v>322</v>
      </c>
      <c r="F38" s="108">
        <f t="shared" si="4"/>
        <v>4.5100020896118378E-2</v>
      </c>
      <c r="G38" s="102"/>
      <c r="H38" s="107">
        <f t="shared" si="1"/>
        <v>83950.208078511598</v>
      </c>
      <c r="O38" s="102"/>
    </row>
    <row r="39" spans="1:15" ht="15">
      <c r="A39" s="8"/>
      <c r="B39" s="102" t="s">
        <v>447</v>
      </c>
      <c r="C39" s="249">
        <v>112473460.26000001</v>
      </c>
      <c r="D39" s="1"/>
      <c r="E39" s="102" t="s">
        <v>322</v>
      </c>
      <c r="F39" s="108">
        <f t="shared" si="4"/>
        <v>4.5100020896118378E-2</v>
      </c>
      <c r="G39" s="102"/>
      <c r="H39" s="107">
        <f t="shared" si="1"/>
        <v>5072555.4079847401</v>
      </c>
      <c r="L39" s="102"/>
      <c r="M39" s="102"/>
      <c r="N39" s="107"/>
      <c r="O39" s="102"/>
    </row>
    <row r="40" spans="1:15" ht="15">
      <c r="A40" s="8"/>
      <c r="B40" s="102" t="s">
        <v>748</v>
      </c>
      <c r="C40" s="249">
        <v>94172</v>
      </c>
      <c r="D40" s="1"/>
      <c r="E40" s="102" t="s">
        <v>322</v>
      </c>
      <c r="F40" s="108">
        <f t="shared" si="4"/>
        <v>4.5100020896118378E-2</v>
      </c>
      <c r="G40" s="102"/>
      <c r="H40" s="107">
        <f t="shared" si="1"/>
        <v>4247.1591678292598</v>
      </c>
      <c r="L40" s="102"/>
      <c r="M40" s="102"/>
      <c r="N40" s="107"/>
      <c r="O40" s="102"/>
    </row>
    <row r="41" spans="1:15" ht="15">
      <c r="A41" s="8"/>
      <c r="B41" s="102" t="s">
        <v>751</v>
      </c>
      <c r="C41" s="249">
        <v>2271886</v>
      </c>
      <c r="D41" s="1"/>
      <c r="E41" s="102" t="s">
        <v>326</v>
      </c>
      <c r="F41" s="108">
        <f t="shared" si="4"/>
        <v>0</v>
      </c>
      <c r="G41" s="102"/>
      <c r="H41" s="107">
        <f t="shared" si="1"/>
        <v>0</v>
      </c>
      <c r="O41" s="102"/>
    </row>
    <row r="42" spans="1:15" ht="15">
      <c r="A42" s="8"/>
      <c r="B42" s="102" t="s">
        <v>804</v>
      </c>
      <c r="C42" s="249">
        <v>70771394</v>
      </c>
      <c r="D42" s="1"/>
      <c r="E42" s="102" t="s">
        <v>324</v>
      </c>
      <c r="F42" s="108">
        <f t="shared" si="4"/>
        <v>0</v>
      </c>
      <c r="G42" s="102"/>
      <c r="H42" s="107">
        <f t="shared" si="1"/>
        <v>0</v>
      </c>
      <c r="O42" s="102"/>
    </row>
    <row r="43" spans="1:15" ht="15">
      <c r="A43" s="8"/>
      <c r="B43" s="102" t="s">
        <v>747</v>
      </c>
      <c r="C43" s="249">
        <v>2914732</v>
      </c>
      <c r="D43" s="1"/>
      <c r="E43" s="102" t="s">
        <v>326</v>
      </c>
      <c r="F43" s="108">
        <f t="shared" si="4"/>
        <v>0</v>
      </c>
      <c r="G43" s="102"/>
      <c r="H43" s="107">
        <f t="shared" si="1"/>
        <v>0</v>
      </c>
      <c r="O43" s="102"/>
    </row>
    <row r="44" spans="1:15" ht="15">
      <c r="A44" s="8"/>
      <c r="B44" s="102" t="s">
        <v>448</v>
      </c>
      <c r="C44" s="249">
        <v>3837376</v>
      </c>
      <c r="D44" s="1"/>
      <c r="E44" s="102" t="s">
        <v>322</v>
      </c>
      <c r="F44" s="108">
        <f t="shared" si="4"/>
        <v>4.5100020896118378E-2</v>
      </c>
      <c r="G44" s="102"/>
      <c r="H44" s="107">
        <f t="shared" si="1"/>
        <v>173065.73778626317</v>
      </c>
      <c r="L44" s="102"/>
      <c r="M44" s="102"/>
      <c r="N44" s="107"/>
      <c r="O44" s="102"/>
    </row>
    <row r="45" spans="1:15" ht="15">
      <c r="A45" s="8"/>
      <c r="B45" s="102" t="s">
        <v>749</v>
      </c>
      <c r="C45" s="249">
        <v>1614832.9900000016</v>
      </c>
      <c r="D45" s="1"/>
      <c r="E45" s="102" t="s">
        <v>324</v>
      </c>
      <c r="F45" s="108">
        <f t="shared" si="4"/>
        <v>0</v>
      </c>
      <c r="G45" s="102"/>
      <c r="H45" s="107">
        <f t="shared" si="1"/>
        <v>0</v>
      </c>
      <c r="L45" s="102"/>
      <c r="M45" s="102"/>
      <c r="N45" s="107"/>
      <c r="O45" s="102"/>
    </row>
    <row r="46" spans="1:15" ht="15">
      <c r="A46" s="8"/>
      <c r="B46" s="102" t="s">
        <v>745</v>
      </c>
      <c r="C46" s="249">
        <v>30305641</v>
      </c>
      <c r="D46" s="1"/>
      <c r="E46" s="102" t="s">
        <v>326</v>
      </c>
      <c r="F46" s="108">
        <f t="shared" si="4"/>
        <v>0</v>
      </c>
      <c r="G46" s="102"/>
      <c r="H46" s="107">
        <f t="shared" si="1"/>
        <v>0</v>
      </c>
      <c r="O46" s="102"/>
    </row>
    <row r="47" spans="1:15" ht="15">
      <c r="A47" s="8"/>
      <c r="B47" s="102" t="s">
        <v>452</v>
      </c>
      <c r="C47" s="249">
        <v>2955222.56</v>
      </c>
      <c r="D47" s="1"/>
      <c r="E47" s="102" t="s">
        <v>326</v>
      </c>
      <c r="F47" s="108">
        <f t="shared" si="4"/>
        <v>0</v>
      </c>
      <c r="G47" s="102"/>
      <c r="H47" s="107">
        <f t="shared" si="1"/>
        <v>0</v>
      </c>
      <c r="O47" s="102"/>
    </row>
    <row r="48" spans="1:15" ht="15">
      <c r="A48" s="8"/>
      <c r="B48" s="102" t="s">
        <v>423</v>
      </c>
      <c r="C48" s="249">
        <v>7849601.4800000004</v>
      </c>
      <c r="D48" s="1"/>
      <c r="E48" s="102" t="s">
        <v>322</v>
      </c>
      <c r="F48" s="108">
        <f t="shared" si="4"/>
        <v>4.5100020896118378E-2</v>
      </c>
      <c r="G48" s="102"/>
      <c r="H48" s="107">
        <f t="shared" si="1"/>
        <v>354017.19077420176</v>
      </c>
      <c r="O48" s="102"/>
    </row>
    <row r="49" spans="1:15" ht="15">
      <c r="A49" s="8"/>
      <c r="B49" s="102" t="s">
        <v>424</v>
      </c>
      <c r="C49" s="249">
        <v>15742488.439999999</v>
      </c>
      <c r="D49" s="1"/>
      <c r="E49" s="102" t="s">
        <v>322</v>
      </c>
      <c r="F49" s="108">
        <f t="shared" si="4"/>
        <v>4.5100020896118378E-2</v>
      </c>
      <c r="G49" s="102"/>
      <c r="H49" s="107">
        <f t="shared" si="1"/>
        <v>709986.55760090204</v>
      </c>
      <c r="O49" s="102"/>
    </row>
    <row r="50" spans="1:15" ht="15">
      <c r="B50" s="102" t="s">
        <v>803</v>
      </c>
      <c r="C50" s="249">
        <v>35</v>
      </c>
      <c r="E50" s="102" t="s">
        <v>326</v>
      </c>
      <c r="F50" s="108">
        <f t="shared" si="4"/>
        <v>0</v>
      </c>
      <c r="H50" s="107">
        <f t="shared" si="1"/>
        <v>0</v>
      </c>
      <c r="O50" s="102"/>
    </row>
    <row r="52" spans="1:15" ht="15">
      <c r="B52" s="102" t="s">
        <v>460</v>
      </c>
      <c r="C52" s="107">
        <f>SUM(C14:C50)</f>
        <v>668425265.98000002</v>
      </c>
      <c r="D52" s="107"/>
      <c r="E52" s="102"/>
      <c r="F52" s="102"/>
      <c r="G52" s="102"/>
      <c r="H52" s="107">
        <f>SUM(H14:H50)</f>
        <v>16079866.488804417</v>
      </c>
    </row>
    <row r="53" spans="1:15" ht="15">
      <c r="B53" s="102"/>
      <c r="C53" s="102"/>
      <c r="D53" s="102"/>
      <c r="E53" s="102"/>
      <c r="F53" s="102"/>
      <c r="G53" s="102"/>
      <c r="H53" s="102"/>
    </row>
    <row r="54" spans="1:15" ht="15">
      <c r="B54" s="102"/>
      <c r="C54" s="102"/>
      <c r="D54" s="102"/>
      <c r="E54" s="102"/>
      <c r="F54" s="102"/>
      <c r="G54" s="102"/>
      <c r="H54" s="102"/>
      <c r="L54" s="102"/>
      <c r="M54" s="102"/>
      <c r="N54" s="107"/>
      <c r="O54" s="102"/>
    </row>
    <row r="55" spans="1:15" ht="15">
      <c r="B55" s="102"/>
      <c r="C55" s="102"/>
      <c r="D55" s="102"/>
      <c r="E55" s="102"/>
      <c r="F55" s="102"/>
      <c r="G55" s="102"/>
      <c r="H55" s="102"/>
      <c r="L55" s="102"/>
      <c r="M55" s="102"/>
      <c r="N55" s="107"/>
      <c r="O55" s="102"/>
    </row>
    <row r="56" spans="1:15" ht="15">
      <c r="B56" s="102"/>
      <c r="C56" s="102"/>
      <c r="D56" s="102"/>
      <c r="E56" s="102"/>
      <c r="F56" s="102"/>
      <c r="G56" s="102"/>
      <c r="H56" s="102"/>
      <c r="L56" s="102"/>
      <c r="M56" s="102"/>
      <c r="N56" s="107"/>
      <c r="O56" s="102"/>
    </row>
    <row r="57" spans="1:15" ht="15">
      <c r="B57" s="102"/>
      <c r="C57" s="102"/>
      <c r="D57" s="102"/>
      <c r="E57" s="228" t="s">
        <v>18</v>
      </c>
      <c r="F57" s="229">
        <v>0</v>
      </c>
      <c r="G57" s="102"/>
      <c r="H57" s="102"/>
      <c r="L57" s="102"/>
      <c r="M57" s="102"/>
      <c r="N57" s="107"/>
      <c r="O57" s="102"/>
    </row>
    <row r="58" spans="1:15" ht="15">
      <c r="B58" s="102"/>
      <c r="C58" s="102"/>
      <c r="D58" s="102"/>
      <c r="E58" s="228" t="s">
        <v>91</v>
      </c>
      <c r="F58" s="229">
        <f>'PEC - 2 Page 2 Rate Base'!I19</f>
        <v>9.0710180997676554E-2</v>
      </c>
      <c r="G58" s="102"/>
      <c r="H58" s="102"/>
      <c r="L58" s="102"/>
      <c r="M58" s="102"/>
      <c r="N58" s="107"/>
      <c r="O58" s="102"/>
    </row>
    <row r="59" spans="1:15" ht="15">
      <c r="B59" s="102"/>
      <c r="C59" s="102"/>
      <c r="D59" s="102"/>
      <c r="E59" s="228" t="s">
        <v>322</v>
      </c>
      <c r="F59" s="229">
        <f>'PEC - 2 - Page 4 Support'!I32</f>
        <v>4.5100020896118378E-2</v>
      </c>
      <c r="G59" s="102"/>
      <c r="H59" s="102"/>
      <c r="L59" s="102"/>
      <c r="M59" s="102"/>
      <c r="N59" s="107"/>
      <c r="O59" s="102"/>
    </row>
    <row r="60" spans="1:15" ht="15">
      <c r="B60" s="102"/>
      <c r="C60" s="102"/>
      <c r="D60" s="102"/>
      <c r="E60" s="228" t="s">
        <v>87</v>
      </c>
      <c r="F60" s="229">
        <f>'PEC - 2 Page 2 Rate Base'!I35</f>
        <v>0.11415725804365343</v>
      </c>
      <c r="G60" s="102"/>
      <c r="H60" s="102"/>
      <c r="L60" s="102"/>
      <c r="M60" s="102"/>
      <c r="N60" s="107"/>
      <c r="O60" s="102"/>
    </row>
    <row r="61" spans="1:15" ht="15">
      <c r="B61" s="102"/>
      <c r="C61" s="102"/>
      <c r="D61" s="102"/>
      <c r="E61" s="228" t="s">
        <v>326</v>
      </c>
      <c r="F61" s="229">
        <v>0</v>
      </c>
      <c r="G61" s="102"/>
      <c r="H61" s="102"/>
      <c r="L61" s="102"/>
      <c r="M61" s="102"/>
      <c r="N61" s="107"/>
      <c r="O61" s="102"/>
    </row>
    <row r="62" spans="1:15" ht="15">
      <c r="B62" s="102"/>
      <c r="C62" s="102"/>
      <c r="D62" s="102"/>
      <c r="E62" s="228" t="s">
        <v>324</v>
      </c>
      <c r="F62" s="229">
        <v>0</v>
      </c>
      <c r="G62" s="102"/>
      <c r="H62" s="102"/>
      <c r="L62" s="102"/>
      <c r="M62" s="102"/>
      <c r="N62" s="107"/>
      <c r="O62" s="102"/>
    </row>
    <row r="63" spans="1:15" ht="15">
      <c r="B63" s="102"/>
      <c r="C63" s="102"/>
      <c r="D63" s="102"/>
      <c r="E63" s="228" t="s">
        <v>102</v>
      </c>
      <c r="F63" s="229">
        <f>'PEC - 2 - Page 4 Support'!I20</f>
        <v>0.94081639170888487</v>
      </c>
      <c r="G63" s="102"/>
      <c r="H63" s="102"/>
      <c r="L63" s="102"/>
      <c r="M63" s="102"/>
      <c r="N63" s="107"/>
      <c r="O63" s="102"/>
    </row>
    <row r="64" spans="1:15" ht="15">
      <c r="E64" s="1"/>
      <c r="F64" s="9"/>
      <c r="L64" s="102"/>
      <c r="M64" s="102"/>
      <c r="N64" s="107"/>
      <c r="O64" s="102"/>
    </row>
    <row r="65" spans="12:15" ht="15">
      <c r="L65" s="102"/>
      <c r="M65" s="102"/>
      <c r="N65" s="107"/>
      <c r="O65" s="102"/>
    </row>
    <row r="66" spans="12:15" ht="15">
      <c r="L66" s="102"/>
      <c r="M66" s="102"/>
      <c r="N66" s="107"/>
      <c r="O66" s="102"/>
    </row>
    <row r="67" spans="12:15" ht="15">
      <c r="L67" s="102"/>
      <c r="M67" s="102"/>
      <c r="N67" s="107"/>
      <c r="O67" s="102"/>
    </row>
    <row r="68" spans="12:15" ht="15">
      <c r="L68" s="102"/>
      <c r="M68" s="102"/>
      <c r="N68" s="107"/>
      <c r="O68" s="102"/>
    </row>
    <row r="69" spans="12:15" ht="15">
      <c r="L69" s="102"/>
      <c r="M69" s="102"/>
      <c r="N69" s="107"/>
      <c r="O69" s="102"/>
    </row>
    <row r="70" spans="12:15" ht="15">
      <c r="L70" s="102"/>
      <c r="M70" s="102"/>
      <c r="N70" s="107"/>
      <c r="O70" s="102"/>
    </row>
    <row r="71" spans="12:15" ht="15">
      <c r="L71" s="102"/>
      <c r="M71" s="102"/>
      <c r="N71" s="107"/>
      <c r="O71" s="102"/>
    </row>
    <row r="72" spans="12:15" ht="15">
      <c r="L72" s="102"/>
      <c r="M72" s="102"/>
      <c r="N72" s="107"/>
      <c r="O72" s="102"/>
    </row>
    <row r="73" spans="12:15" ht="15">
      <c r="L73" s="102"/>
      <c r="M73" s="102"/>
      <c r="N73" s="107"/>
      <c r="O73" s="102"/>
    </row>
    <row r="74" spans="12:15" ht="15">
      <c r="L74" s="102"/>
      <c r="M74" s="102"/>
      <c r="N74" s="107"/>
      <c r="O74" s="102"/>
    </row>
    <row r="75" spans="12:15" ht="15">
      <c r="L75" s="102"/>
      <c r="M75" s="102"/>
      <c r="N75" s="107"/>
      <c r="O75" s="102"/>
    </row>
    <row r="76" spans="12:15" ht="15">
      <c r="L76" s="102"/>
      <c r="M76" s="102"/>
      <c r="N76" s="107"/>
      <c r="O76" s="102"/>
    </row>
    <row r="77" spans="12:15" ht="15">
      <c r="L77" s="102"/>
      <c r="M77" s="102"/>
      <c r="N77" s="107"/>
      <c r="O77" s="102"/>
    </row>
    <row r="78" spans="12:15" ht="15">
      <c r="L78" s="102"/>
      <c r="M78" s="102"/>
      <c r="N78" s="107"/>
      <c r="O78" s="102"/>
    </row>
    <row r="79" spans="12:15" ht="15">
      <c r="M79" t="s">
        <v>720</v>
      </c>
      <c r="O79" s="102"/>
    </row>
    <row r="80" spans="12:15" ht="15">
      <c r="M80" t="s">
        <v>720</v>
      </c>
      <c r="O80" s="102"/>
    </row>
    <row r="81" spans="13:15" ht="15">
      <c r="M81" t="s">
        <v>720</v>
      </c>
      <c r="O81" s="102"/>
    </row>
    <row r="82" spans="13:15" ht="15">
      <c r="M82" t="s">
        <v>720</v>
      </c>
      <c r="O82" s="102"/>
    </row>
    <row r="83" spans="13:15" ht="15">
      <c r="O83" s="102"/>
    </row>
    <row r="84" spans="13:15" ht="15">
      <c r="O84" s="102"/>
    </row>
    <row r="85" spans="13:15" ht="15">
      <c r="O85" s="102"/>
    </row>
    <row r="86" spans="13:15" ht="15">
      <c r="O86" s="102"/>
    </row>
    <row r="87" spans="13:15" ht="15">
      <c r="O87" s="102"/>
    </row>
    <row r="88" spans="13:15" ht="15">
      <c r="O88" s="102"/>
    </row>
    <row r="89" spans="13:15" ht="15">
      <c r="O89" s="102"/>
    </row>
    <row r="90" spans="13:15" ht="15">
      <c r="O90" s="102"/>
    </row>
    <row r="91" spans="13:15" ht="15">
      <c r="O91" s="102"/>
    </row>
    <row r="92" spans="13:15" ht="15">
      <c r="O92" s="102"/>
    </row>
    <row r="93" spans="13:15" ht="15">
      <c r="O93" s="102"/>
    </row>
    <row r="94" spans="13:15" ht="15">
      <c r="O94" s="102"/>
    </row>
    <row r="95" spans="13:15" ht="15">
      <c r="O95" s="102"/>
    </row>
    <row r="96" spans="13:15" ht="15">
      <c r="M96" t="s">
        <v>720</v>
      </c>
      <c r="O96" s="102"/>
    </row>
    <row r="97" spans="13:15" ht="15">
      <c r="M97" t="s">
        <v>720</v>
      </c>
      <c r="O97" s="102"/>
    </row>
    <row r="98" spans="13:15" ht="15">
      <c r="M98" t="s">
        <v>720</v>
      </c>
      <c r="O98" s="102"/>
    </row>
    <row r="99" spans="13:15" ht="15">
      <c r="M99" t="s">
        <v>720</v>
      </c>
      <c r="O99" s="102"/>
    </row>
    <row r="100" spans="13:15" ht="15">
      <c r="M100" t="s">
        <v>720</v>
      </c>
      <c r="O100" s="102"/>
    </row>
    <row r="101" spans="13:15" ht="15">
      <c r="M101" t="s">
        <v>720</v>
      </c>
      <c r="O101" s="102"/>
    </row>
    <row r="102" spans="13:15" ht="15">
      <c r="M102" t="s">
        <v>720</v>
      </c>
      <c r="O102" s="102"/>
    </row>
    <row r="103" spans="13:15" ht="15">
      <c r="M103" t="s">
        <v>720</v>
      </c>
      <c r="O103" s="102"/>
    </row>
    <row r="104" spans="13:15" ht="15">
      <c r="M104" t="s">
        <v>720</v>
      </c>
      <c r="O104" s="102"/>
    </row>
    <row r="105" spans="13:15" ht="15">
      <c r="M105" t="s">
        <v>720</v>
      </c>
      <c r="O105" s="102"/>
    </row>
    <row r="106" spans="13:15" ht="15">
      <c r="M106" t="s">
        <v>720</v>
      </c>
      <c r="O106" s="102"/>
    </row>
    <row r="107" spans="13:15" ht="15">
      <c r="M107" t="s">
        <v>720</v>
      </c>
      <c r="O107" s="102"/>
    </row>
    <row r="108" spans="13:15" ht="15">
      <c r="M108" t="s">
        <v>720</v>
      </c>
      <c r="O108" s="102"/>
    </row>
    <row r="109" spans="13:15" ht="15">
      <c r="O109" s="102"/>
    </row>
    <row r="110" spans="13:15" ht="15">
      <c r="M110" t="s">
        <v>720</v>
      </c>
      <c r="O110" s="102"/>
    </row>
    <row r="111" spans="13:15" ht="15">
      <c r="M111" t="s">
        <v>720</v>
      </c>
      <c r="O111" s="102"/>
    </row>
    <row r="112" spans="13:15" ht="15">
      <c r="M112" t="s">
        <v>720</v>
      </c>
      <c r="O112" s="102"/>
    </row>
    <row r="113" spans="13:15" ht="15">
      <c r="M113" t="s">
        <v>720</v>
      </c>
      <c r="O113" s="102"/>
    </row>
    <row r="114" spans="13:15" ht="15">
      <c r="M114" t="s">
        <v>720</v>
      </c>
      <c r="O114" s="102"/>
    </row>
    <row r="115" spans="13:15" ht="15">
      <c r="M115" t="s">
        <v>720</v>
      </c>
      <c r="O115" s="102"/>
    </row>
    <row r="116" spans="13:15" ht="15">
      <c r="M116" t="s">
        <v>720</v>
      </c>
      <c r="O116" s="102"/>
    </row>
    <row r="117" spans="13:15" ht="15">
      <c r="M117" t="s">
        <v>720</v>
      </c>
      <c r="O117" s="102"/>
    </row>
    <row r="118" spans="13:15" ht="15">
      <c r="M118" t="s">
        <v>720</v>
      </c>
      <c r="O118" s="102"/>
    </row>
  </sheetData>
  <sortState ref="L14:O118">
    <sortCondition ref="L14:L118"/>
  </sortState>
  <mergeCells count="6">
    <mergeCell ref="E11:F11"/>
    <mergeCell ref="H1:I1"/>
    <mergeCell ref="H3:I3"/>
    <mergeCell ref="A5:I5"/>
    <mergeCell ref="A7:I7"/>
    <mergeCell ref="A6:I6"/>
  </mergeCells>
  <phoneticPr fontId="10" type="noConversion"/>
  <pageMargins left="0.25" right="0.25" top="1" bottom="1" header="0.5" footer="0.5"/>
  <pageSetup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76"/>
  <sheetViews>
    <sheetView workbookViewId="0">
      <selection activeCell="H29" sqref="H29"/>
    </sheetView>
  </sheetViews>
  <sheetFormatPr defaultRowHeight="12.75"/>
  <cols>
    <col min="1" max="1" width="4.7109375" customWidth="1"/>
    <col min="3" max="3" width="3.7109375" customWidth="1"/>
    <col min="4" max="4" width="39.28515625" customWidth="1"/>
    <col min="5" max="5" width="12.7109375" customWidth="1"/>
    <col min="6" max="6" width="13.42578125" customWidth="1"/>
    <col min="7" max="7" width="5.7109375" customWidth="1"/>
    <col min="8" max="10" width="12.7109375" customWidth="1"/>
  </cols>
  <sheetData>
    <row r="1" spans="1:10">
      <c r="A1" s="4" t="s">
        <v>184</v>
      </c>
    </row>
    <row r="2" spans="1:10" ht="6" customHeight="1"/>
    <row r="3" spans="1:10">
      <c r="A3" t="s">
        <v>358</v>
      </c>
    </row>
    <row r="4" spans="1:10">
      <c r="A4" t="s">
        <v>244</v>
      </c>
    </row>
    <row r="6" spans="1:10" ht="27.95" customHeight="1">
      <c r="B6" s="18" t="s">
        <v>250</v>
      </c>
      <c r="C6" s="274" t="s">
        <v>281</v>
      </c>
      <c r="D6" s="274"/>
      <c r="E6" s="274"/>
      <c r="F6" s="274"/>
      <c r="H6" s="17" t="s">
        <v>245</v>
      </c>
      <c r="I6" s="17" t="s">
        <v>246</v>
      </c>
      <c r="J6" s="17" t="s">
        <v>276</v>
      </c>
    </row>
    <row r="8" spans="1:10">
      <c r="B8" s="8" t="s">
        <v>249</v>
      </c>
      <c r="C8" s="4" t="s">
        <v>341</v>
      </c>
      <c r="H8" s="1">
        <v>1385.1915006157012</v>
      </c>
      <c r="I8" s="8" t="s">
        <v>247</v>
      </c>
      <c r="J8" s="8" t="s">
        <v>247</v>
      </c>
    </row>
    <row r="9" spans="1:10">
      <c r="C9" s="4"/>
      <c r="H9" s="1"/>
    </row>
    <row r="10" spans="1:10">
      <c r="B10" s="8" t="s">
        <v>251</v>
      </c>
      <c r="C10" s="4" t="s">
        <v>342</v>
      </c>
      <c r="H10" s="1">
        <v>1380</v>
      </c>
      <c r="I10" s="1">
        <f>H10-H8</f>
        <v>-5.1915006157012158</v>
      </c>
      <c r="J10" s="1">
        <f>I10</f>
        <v>-5.1915006157012158</v>
      </c>
    </row>
    <row r="11" spans="1:10">
      <c r="C11" s="4"/>
      <c r="D11" s="21" t="s">
        <v>343</v>
      </c>
      <c r="E11" t="s">
        <v>344</v>
      </c>
      <c r="F11" s="1">
        <v>-6000000</v>
      </c>
      <c r="H11" s="1"/>
    </row>
    <row r="12" spans="1:10">
      <c r="C12" s="4"/>
      <c r="D12" s="21" t="s">
        <v>346</v>
      </c>
      <c r="E12" t="s">
        <v>345</v>
      </c>
      <c r="F12" s="1">
        <f>4256730</f>
        <v>4256730</v>
      </c>
      <c r="H12" s="1"/>
    </row>
    <row r="13" spans="1:10">
      <c r="C13" s="4"/>
      <c r="H13" s="1"/>
    </row>
    <row r="14" spans="1:10">
      <c r="B14" s="8" t="s">
        <v>261</v>
      </c>
      <c r="C14" s="4" t="s">
        <v>347</v>
      </c>
      <c r="H14" s="1">
        <v>1378.9511777449159</v>
      </c>
      <c r="I14" s="1">
        <f>H14-H10</f>
        <v>-1.0488222550841328</v>
      </c>
      <c r="J14" s="1">
        <f>SUM(I$10:I14)</f>
        <v>-6.2403228707853486</v>
      </c>
    </row>
    <row r="15" spans="1:10">
      <c r="C15" s="4"/>
      <c r="D15" t="s">
        <v>349</v>
      </c>
      <c r="E15" t="s">
        <v>348</v>
      </c>
      <c r="F15" s="1">
        <v>1900000</v>
      </c>
      <c r="H15" s="1"/>
    </row>
    <row r="16" spans="1:10">
      <c r="C16" s="4"/>
      <c r="D16" t="s">
        <v>350</v>
      </c>
      <c r="E16" t="s">
        <v>351</v>
      </c>
      <c r="F16" s="1">
        <f>187011484+F15</f>
        <v>188911484</v>
      </c>
      <c r="H16" s="1"/>
    </row>
    <row r="17" spans="2:10">
      <c r="C17" s="4"/>
      <c r="F17" s="15"/>
      <c r="H17" s="1"/>
    </row>
    <row r="18" spans="2:10">
      <c r="B18" s="8" t="s">
        <v>265</v>
      </c>
      <c r="C18" s="4" t="s">
        <v>359</v>
      </c>
      <c r="F18" s="15"/>
      <c r="H18" s="1">
        <f>'PEC - 2 -Page 1 Summary'!I31</f>
        <v>1317.3558585390556</v>
      </c>
      <c r="I18" s="1">
        <f>H18-H14</f>
        <v>-61.595319205860278</v>
      </c>
      <c r="J18" s="1">
        <f>J14+I18</f>
        <v>-67.835642076645627</v>
      </c>
    </row>
    <row r="19" spans="2:10">
      <c r="C19" s="4"/>
      <c r="D19" t="s">
        <v>323</v>
      </c>
      <c r="E19" t="e">
        <f>#REF!</f>
        <v>#REF!</v>
      </c>
      <c r="F19" s="9" t="e">
        <f>#REF!</f>
        <v>#REF!</v>
      </c>
      <c r="H19" s="1"/>
    </row>
    <row r="20" spans="2:10">
      <c r="C20" s="4"/>
      <c r="D20" t="s">
        <v>325</v>
      </c>
      <c r="E20" t="e">
        <f>#REF!</f>
        <v>#REF!</v>
      </c>
      <c r="F20" s="9" t="e">
        <f>#REF!</f>
        <v>#REF!</v>
      </c>
      <c r="H20" s="1"/>
    </row>
    <row r="21" spans="2:10">
      <c r="C21" s="4"/>
      <c r="D21" t="s">
        <v>327</v>
      </c>
      <c r="E21" t="e">
        <f>#REF!</f>
        <v>#REF!</v>
      </c>
      <c r="F21" s="9" t="e">
        <f>#REF!</f>
        <v>#REF!</v>
      </c>
      <c r="H21" s="1"/>
    </row>
    <row r="22" spans="2:10">
      <c r="C22" s="4"/>
      <c r="D22" t="s">
        <v>328</v>
      </c>
      <c r="E22" t="e">
        <f>#REF!</f>
        <v>#REF!</v>
      </c>
      <c r="F22" s="9" t="e">
        <f>#REF!</f>
        <v>#REF!</v>
      </c>
      <c r="H22" s="1"/>
    </row>
    <row r="23" spans="2:10">
      <c r="C23" s="4"/>
      <c r="D23" t="s">
        <v>329</v>
      </c>
      <c r="E23" t="e">
        <f>#REF!</f>
        <v>#REF!</v>
      </c>
      <c r="F23" s="9" t="e">
        <f>#REF!</f>
        <v>#REF!</v>
      </c>
      <c r="H23" s="1"/>
    </row>
    <row r="24" spans="2:10">
      <c r="C24" s="4"/>
      <c r="F24" s="15"/>
      <c r="H24" s="1"/>
    </row>
    <row r="25" spans="2:10" ht="3" customHeight="1">
      <c r="B25" s="10"/>
      <c r="C25" s="26"/>
      <c r="D25" s="10"/>
      <c r="E25" s="10"/>
      <c r="F25" s="10"/>
      <c r="G25" s="10"/>
      <c r="H25" s="27"/>
      <c r="I25" s="10"/>
      <c r="J25" s="10"/>
    </row>
    <row r="26" spans="2:10">
      <c r="C26" s="4"/>
      <c r="F26" s="15"/>
      <c r="H26" s="1"/>
    </row>
    <row r="27" spans="2:10">
      <c r="B27" s="5" t="s">
        <v>352</v>
      </c>
      <c r="C27" s="4" t="s">
        <v>353</v>
      </c>
      <c r="F27" s="15"/>
      <c r="H27" s="1">
        <v>1402</v>
      </c>
      <c r="I27" s="1">
        <f>H27-H18</f>
        <v>84.644141460944411</v>
      </c>
      <c r="J27" s="1">
        <f>J18+I27</f>
        <v>16.808499384298784</v>
      </c>
    </row>
    <row r="28" spans="2:10">
      <c r="C28" s="4"/>
      <c r="D28" t="s">
        <v>355</v>
      </c>
      <c r="E28" t="s">
        <v>354</v>
      </c>
      <c r="F28" s="1">
        <v>484579677.37131268</v>
      </c>
      <c r="H28" s="1"/>
    </row>
    <row r="29" spans="2:10">
      <c r="C29" s="4"/>
      <c r="D29" t="s">
        <v>356</v>
      </c>
      <c r="E29" t="s">
        <v>357</v>
      </c>
      <c r="F29" s="1">
        <v>30499109.575906385</v>
      </c>
      <c r="H29" s="1"/>
    </row>
    <row r="30" spans="2:10">
      <c r="B30" s="8"/>
      <c r="C30" s="4"/>
      <c r="F30" s="15"/>
      <c r="H30" s="1"/>
      <c r="I30" s="1"/>
      <c r="J30" s="1"/>
    </row>
    <row r="31" spans="2:10">
      <c r="B31" s="5" t="s">
        <v>352</v>
      </c>
      <c r="C31" s="4" t="s">
        <v>360</v>
      </c>
      <c r="F31" s="24"/>
      <c r="I31" s="1">
        <v>1</v>
      </c>
    </row>
    <row r="32" spans="2:10">
      <c r="C32" s="4"/>
      <c r="H32" s="1"/>
    </row>
    <row r="33" spans="2:10">
      <c r="B33" s="8"/>
      <c r="C33" s="4"/>
      <c r="H33" s="1"/>
      <c r="I33" s="1"/>
      <c r="J33" s="1"/>
    </row>
    <row r="34" spans="2:10">
      <c r="C34" s="4"/>
      <c r="D34" s="15"/>
      <c r="F34" s="23"/>
    </row>
    <row r="35" spans="2:10">
      <c r="C35" s="4"/>
      <c r="H35" s="1"/>
    </row>
    <row r="36" spans="2:10">
      <c r="B36" s="8"/>
      <c r="C36" s="4"/>
      <c r="H36" s="1"/>
      <c r="I36" s="1"/>
      <c r="J36" s="1"/>
    </row>
    <row r="37" spans="2:10">
      <c r="C37" s="4"/>
      <c r="F37" s="1"/>
      <c r="H37" s="1"/>
    </row>
    <row r="38" spans="2:10">
      <c r="C38" s="4"/>
      <c r="F38" s="24"/>
      <c r="H38" s="1"/>
    </row>
    <row r="39" spans="2:10">
      <c r="C39" s="4"/>
      <c r="F39" s="1"/>
      <c r="H39" s="1"/>
    </row>
    <row r="40" spans="2:10">
      <c r="C40" s="4"/>
      <c r="F40" s="24"/>
      <c r="H40" s="1"/>
    </row>
    <row r="41" spans="2:10">
      <c r="C41" s="4"/>
      <c r="H41" s="1"/>
    </row>
    <row r="42" spans="2:10">
      <c r="B42" s="8"/>
      <c r="C42" s="4"/>
      <c r="H42" s="1"/>
      <c r="I42" s="1"/>
      <c r="J42" s="1"/>
    </row>
    <row r="43" spans="2:10">
      <c r="C43" s="4"/>
      <c r="F43" s="1"/>
      <c r="H43" s="1"/>
    </row>
    <row r="44" spans="2:10">
      <c r="C44" s="4"/>
      <c r="H44" s="1"/>
    </row>
    <row r="45" spans="2:10">
      <c r="B45" s="8"/>
      <c r="C45" s="4"/>
      <c r="H45" s="1"/>
      <c r="I45" s="1"/>
      <c r="J45" s="1"/>
    </row>
    <row r="46" spans="2:10">
      <c r="C46" s="4"/>
      <c r="F46" s="1"/>
      <c r="H46" s="1"/>
    </row>
    <row r="47" spans="2:10">
      <c r="C47" s="4"/>
      <c r="F47" s="1"/>
      <c r="H47" s="1"/>
    </row>
    <row r="48" spans="2:10">
      <c r="C48" s="4"/>
      <c r="H48" s="1"/>
    </row>
    <row r="49" spans="2:10">
      <c r="B49" s="8"/>
      <c r="C49" s="4"/>
      <c r="H49" s="1"/>
      <c r="I49" s="1"/>
      <c r="J49" s="1"/>
    </row>
    <row r="50" spans="2:10">
      <c r="F50" s="20"/>
      <c r="H50" s="1"/>
    </row>
    <row r="51" spans="2:10">
      <c r="F51" s="20"/>
      <c r="H51" s="1"/>
    </row>
    <row r="52" spans="2:10">
      <c r="F52" s="20"/>
      <c r="H52" s="1"/>
    </row>
    <row r="53" spans="2:10">
      <c r="H53" s="1"/>
    </row>
    <row r="54" spans="2:10">
      <c r="H54" s="1"/>
    </row>
    <row r="55" spans="2:10">
      <c r="H55" s="1"/>
    </row>
    <row r="56" spans="2:10">
      <c r="H56" s="1"/>
    </row>
    <row r="57" spans="2:10">
      <c r="H57" s="1"/>
    </row>
    <row r="58" spans="2:10">
      <c r="H58" s="1"/>
    </row>
    <row r="59" spans="2:10">
      <c r="H59" s="1"/>
    </row>
    <row r="60" spans="2:10">
      <c r="H60" s="1"/>
    </row>
    <row r="61" spans="2:10">
      <c r="H61" s="1"/>
    </row>
    <row r="62" spans="2:10">
      <c r="H62" s="1"/>
    </row>
    <row r="63" spans="2:10">
      <c r="H63" s="1"/>
    </row>
    <row r="64" spans="2:10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  <row r="70" spans="8:8">
      <c r="H70" s="1"/>
    </row>
    <row r="71" spans="8:8">
      <c r="H71" s="1"/>
    </row>
    <row r="72" spans="8:8">
      <c r="H72" s="1"/>
    </row>
    <row r="73" spans="8:8">
      <c r="H73" s="1"/>
    </row>
    <row r="74" spans="8:8">
      <c r="H74" s="1"/>
    </row>
    <row r="75" spans="8:8">
      <c r="H75" s="1"/>
    </row>
    <row r="76" spans="8:8">
      <c r="H76" s="1"/>
    </row>
  </sheetData>
  <mergeCells count="1">
    <mergeCell ref="C6:F6"/>
  </mergeCells>
  <phoneticPr fontId="10" type="noConversion"/>
  <pageMargins left="0.75" right="0.75" top="1" bottom="1" header="0.5" footer="0.5"/>
  <pageSetup scale="7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N52"/>
  <sheetViews>
    <sheetView workbookViewId="0">
      <selection sqref="A1:I38"/>
    </sheetView>
  </sheetViews>
  <sheetFormatPr defaultRowHeight="12.75"/>
  <cols>
    <col min="1" max="1" width="5.7109375" customWidth="1"/>
    <col min="2" max="2" width="41.28515625" customWidth="1"/>
    <col min="3" max="3" width="14.28515625" customWidth="1"/>
    <col min="4" max="4" width="5.7109375" customWidth="1"/>
    <col min="5" max="5" width="11.7109375" customWidth="1"/>
    <col min="7" max="7" width="5.7109375" customWidth="1"/>
    <col min="8" max="8" width="18.5703125" customWidth="1"/>
    <col min="9" max="9" width="7" customWidth="1"/>
    <col min="11" max="11" width="36.28515625" bestFit="1" customWidth="1"/>
    <col min="12" max="12" width="13.42578125" bestFit="1" customWidth="1"/>
    <col min="13" max="13" width="12.5703125" bestFit="1" customWidth="1"/>
    <col min="14" max="14" width="11.7109375" bestFit="1" customWidth="1"/>
  </cols>
  <sheetData>
    <row r="1" spans="1:14" ht="15.75">
      <c r="A1" s="102"/>
      <c r="B1" s="102"/>
      <c r="C1" s="102"/>
      <c r="D1" s="102"/>
      <c r="E1" s="102"/>
      <c r="F1" s="102"/>
      <c r="G1" s="102"/>
      <c r="H1" s="276" t="s">
        <v>394</v>
      </c>
      <c r="I1" s="276"/>
    </row>
    <row r="2" spans="1:14" ht="15.75">
      <c r="A2" s="102"/>
      <c r="B2" s="102"/>
      <c r="C2" s="102"/>
      <c r="D2" s="102"/>
      <c r="E2" s="102"/>
      <c r="F2" s="102"/>
      <c r="G2" s="102"/>
      <c r="H2" s="113" t="s">
        <v>695</v>
      </c>
      <c r="I2" s="113"/>
    </row>
    <row r="3" spans="1:14" ht="15">
      <c r="A3" s="102"/>
      <c r="B3" s="102"/>
      <c r="C3" s="102"/>
      <c r="D3" s="102"/>
      <c r="E3" s="102"/>
      <c r="F3" s="102"/>
      <c r="G3" s="102"/>
      <c r="H3" s="288" t="str">
        <f>FF1_Year</f>
        <v>Year Ending 12/31/2009</v>
      </c>
      <c r="I3" s="288"/>
    </row>
    <row r="4" spans="1:14" ht="15">
      <c r="A4" s="303" t="s">
        <v>395</v>
      </c>
      <c r="B4" s="303"/>
      <c r="C4" s="303"/>
      <c r="D4" s="303"/>
      <c r="E4" s="303"/>
      <c r="F4" s="303"/>
      <c r="G4" s="303"/>
      <c r="H4" s="303"/>
      <c r="I4" s="303"/>
    </row>
    <row r="5" spans="1:14" ht="15">
      <c r="A5" s="302" t="s">
        <v>466</v>
      </c>
      <c r="B5" s="302"/>
      <c r="C5" s="302"/>
      <c r="D5" s="302"/>
      <c r="E5" s="302"/>
      <c r="F5" s="302"/>
      <c r="G5" s="302"/>
      <c r="H5" s="302"/>
      <c r="I5" s="302"/>
    </row>
    <row r="6" spans="1:14" ht="15">
      <c r="A6" s="302" t="s">
        <v>468</v>
      </c>
      <c r="B6" s="302"/>
      <c r="C6" s="302"/>
      <c r="D6" s="302"/>
      <c r="E6" s="302"/>
      <c r="F6" s="302"/>
      <c r="G6" s="302"/>
      <c r="H6" s="302"/>
      <c r="I6" s="302"/>
    </row>
    <row r="7" spans="1:14" ht="15">
      <c r="A7" s="112"/>
      <c r="B7" s="112"/>
      <c r="C7" s="112"/>
      <c r="D7" s="112"/>
      <c r="E7" s="112"/>
      <c r="F7" s="112"/>
      <c r="G7" s="112"/>
      <c r="H7" s="112"/>
      <c r="I7" s="112"/>
    </row>
    <row r="8" spans="1:14" ht="15">
      <c r="A8" s="102"/>
      <c r="B8" s="102"/>
      <c r="C8" s="112" t="s">
        <v>392</v>
      </c>
      <c r="D8" s="112"/>
      <c r="E8" s="102"/>
      <c r="F8" s="102"/>
      <c r="G8" s="102"/>
      <c r="H8" s="102"/>
      <c r="I8" s="102"/>
    </row>
    <row r="9" spans="1:14" ht="15">
      <c r="A9" s="102"/>
      <c r="B9" s="102"/>
      <c r="C9" s="118">
        <v>40178</v>
      </c>
      <c r="D9" s="112"/>
      <c r="E9" s="302" t="s">
        <v>273</v>
      </c>
      <c r="F9" s="302"/>
      <c r="G9" s="102"/>
      <c r="H9" s="114" t="s">
        <v>443</v>
      </c>
      <c r="I9" s="102"/>
    </row>
    <row r="10" spans="1:14" ht="15">
      <c r="A10" s="102"/>
      <c r="B10" s="102"/>
      <c r="C10" s="112" t="s">
        <v>419</v>
      </c>
      <c r="D10" s="112"/>
      <c r="E10" s="102"/>
      <c r="F10" s="102"/>
      <c r="G10" s="102"/>
      <c r="H10" s="102"/>
      <c r="I10" s="102"/>
    </row>
    <row r="11" spans="1:14" ht="15">
      <c r="A11" s="102"/>
      <c r="B11" s="102"/>
      <c r="C11" s="112"/>
      <c r="D11" s="112"/>
      <c r="E11" s="102"/>
      <c r="F11" s="102"/>
      <c r="G11" s="102"/>
      <c r="H11" s="102"/>
      <c r="I11" s="102"/>
    </row>
    <row r="12" spans="1:14" ht="15">
      <c r="A12" s="112"/>
      <c r="B12" s="102" t="s">
        <v>744</v>
      </c>
      <c r="C12" s="249">
        <v>-97432405</v>
      </c>
      <c r="D12" s="107"/>
      <c r="E12" s="102" t="s">
        <v>326</v>
      </c>
      <c r="F12" s="108">
        <f t="shared" ref="F12:F16" si="0">VLOOKUP(E12,Alloc_Table,2,FALSE)</f>
        <v>0</v>
      </c>
      <c r="G12" s="102"/>
      <c r="H12" s="107">
        <f>C12*F12</f>
        <v>0</v>
      </c>
      <c r="I12" s="102"/>
      <c r="N12" s="102"/>
    </row>
    <row r="13" spans="1:14" ht="15">
      <c r="A13" s="112"/>
      <c r="B13" s="102" t="s">
        <v>806</v>
      </c>
      <c r="C13" s="249">
        <v>21069020</v>
      </c>
      <c r="D13" s="107"/>
      <c r="E13" s="102" t="s">
        <v>326</v>
      </c>
      <c r="F13" s="108">
        <f t="shared" si="0"/>
        <v>0</v>
      </c>
      <c r="G13" s="102"/>
      <c r="H13" s="107">
        <f t="shared" ref="H13:H16" si="1">C13*F13</f>
        <v>0</v>
      </c>
      <c r="I13" s="102"/>
      <c r="N13" s="102"/>
    </row>
    <row r="14" spans="1:14" ht="15">
      <c r="A14" s="112"/>
      <c r="B14" s="102" t="s">
        <v>441</v>
      </c>
      <c r="C14" s="249">
        <v>126419208.22</v>
      </c>
      <c r="D14" s="107"/>
      <c r="E14" s="102" t="s">
        <v>324</v>
      </c>
      <c r="F14" s="108">
        <f t="shared" si="0"/>
        <v>0</v>
      </c>
      <c r="G14" s="102"/>
      <c r="H14" s="107">
        <f t="shared" si="1"/>
        <v>0</v>
      </c>
      <c r="I14" s="102"/>
      <c r="N14" s="102"/>
    </row>
    <row r="15" spans="1:14" ht="15">
      <c r="A15" s="112"/>
      <c r="B15" s="102" t="s">
        <v>431</v>
      </c>
      <c r="C15" s="249">
        <v>6175136.717685</v>
      </c>
      <c r="D15" s="107"/>
      <c r="E15" s="102" t="s">
        <v>326</v>
      </c>
      <c r="F15" s="108">
        <f t="shared" si="0"/>
        <v>0</v>
      </c>
      <c r="G15" s="102"/>
      <c r="H15" s="107">
        <f t="shared" si="1"/>
        <v>0</v>
      </c>
      <c r="I15" s="102"/>
      <c r="K15" s="102"/>
      <c r="L15" s="102"/>
      <c r="M15" s="107"/>
      <c r="N15" s="102"/>
    </row>
    <row r="16" spans="1:14" ht="15">
      <c r="A16" s="112"/>
      <c r="B16" s="102" t="s">
        <v>432</v>
      </c>
      <c r="C16" s="249">
        <v>36763464.432437003</v>
      </c>
      <c r="D16" s="107"/>
      <c r="E16" s="102" t="s">
        <v>326</v>
      </c>
      <c r="F16" s="108">
        <f t="shared" si="0"/>
        <v>0</v>
      </c>
      <c r="G16" s="102"/>
      <c r="H16" s="107">
        <f t="shared" si="1"/>
        <v>0</v>
      </c>
      <c r="I16" s="102"/>
      <c r="K16" s="102"/>
      <c r="L16" s="102"/>
      <c r="M16" s="107"/>
      <c r="N16" s="102"/>
    </row>
    <row r="17" spans="1:14" ht="15">
      <c r="A17" s="112"/>
      <c r="B17" s="102" t="s">
        <v>805</v>
      </c>
      <c r="C17" s="249">
        <v>20908904.003837001</v>
      </c>
      <c r="E17" s="102" t="s">
        <v>326</v>
      </c>
      <c r="F17" s="108">
        <f t="shared" ref="F17" si="2">VLOOKUP(E17,Alloc_Table,2,FALSE)</f>
        <v>0</v>
      </c>
      <c r="G17" s="102"/>
      <c r="H17" s="107">
        <f t="shared" ref="H17" si="3">C17*F17</f>
        <v>0</v>
      </c>
      <c r="I17" s="102"/>
      <c r="K17" s="102"/>
      <c r="L17" s="102"/>
      <c r="M17" s="107"/>
      <c r="N17" s="102"/>
    </row>
    <row r="18" spans="1:14" ht="15">
      <c r="A18" s="112"/>
      <c r="B18" s="102" t="s">
        <v>437</v>
      </c>
      <c r="C18" s="249">
        <v>-1617858.4825030002</v>
      </c>
      <c r="D18" s="107"/>
      <c r="E18" s="102" t="s">
        <v>324</v>
      </c>
      <c r="F18" s="108">
        <f t="shared" ref="F18:F35" si="4">VLOOKUP(E18,Alloc_Table,2,FALSE)</f>
        <v>0</v>
      </c>
      <c r="G18" s="102"/>
      <c r="H18" s="107">
        <f t="shared" ref="H18:H35" si="5">C18*F18</f>
        <v>0</v>
      </c>
      <c r="I18" s="102"/>
      <c r="K18" s="102"/>
      <c r="L18" s="102"/>
      <c r="M18" s="107"/>
      <c r="N18" s="102"/>
    </row>
    <row r="19" spans="1:14" ht="15">
      <c r="A19" s="112"/>
      <c r="B19" s="102" t="s">
        <v>438</v>
      </c>
      <c r="C19" s="249">
        <v>-121838.26850199999</v>
      </c>
      <c r="D19" s="107"/>
      <c r="E19" s="102" t="s">
        <v>324</v>
      </c>
      <c r="F19" s="108">
        <f t="shared" si="4"/>
        <v>0</v>
      </c>
      <c r="G19" s="102"/>
      <c r="H19" s="107">
        <f t="shared" si="5"/>
        <v>0</v>
      </c>
      <c r="I19" s="102"/>
      <c r="N19" s="102"/>
    </row>
    <row r="20" spans="1:14" ht="15">
      <c r="A20" s="112"/>
      <c r="B20" s="102" t="s">
        <v>439</v>
      </c>
      <c r="C20" s="249">
        <v>1037801.2179930001</v>
      </c>
      <c r="D20" s="107"/>
      <c r="E20" s="102" t="s">
        <v>324</v>
      </c>
      <c r="F20" s="108">
        <f t="shared" si="4"/>
        <v>0</v>
      </c>
      <c r="G20" s="102"/>
      <c r="H20" s="107">
        <f t="shared" si="5"/>
        <v>0</v>
      </c>
      <c r="I20" s="102"/>
      <c r="N20" s="102"/>
    </row>
    <row r="21" spans="1:14" ht="15">
      <c r="A21" s="112"/>
      <c r="B21" s="102" t="s">
        <v>434</v>
      </c>
      <c r="C21" s="249">
        <v>6739088.7940329993</v>
      </c>
      <c r="D21" s="107"/>
      <c r="E21" s="102" t="s">
        <v>324</v>
      </c>
      <c r="F21" s="108">
        <f t="shared" si="4"/>
        <v>0</v>
      </c>
      <c r="G21" s="102"/>
      <c r="H21" s="107">
        <f t="shared" si="5"/>
        <v>0</v>
      </c>
      <c r="I21" s="102"/>
      <c r="K21" s="102"/>
      <c r="L21" s="102"/>
      <c r="M21" s="107"/>
      <c r="N21" s="102"/>
    </row>
    <row r="22" spans="1:14" ht="15">
      <c r="A22" s="112"/>
      <c r="B22" s="102" t="s">
        <v>433</v>
      </c>
      <c r="C22" s="249">
        <v>-13990645.168202998</v>
      </c>
      <c r="D22" s="107"/>
      <c r="E22" s="102" t="s">
        <v>324</v>
      </c>
      <c r="F22" s="108">
        <f t="shared" si="4"/>
        <v>0</v>
      </c>
      <c r="G22" s="102"/>
      <c r="H22" s="107">
        <f t="shared" si="5"/>
        <v>0</v>
      </c>
      <c r="I22" s="102"/>
      <c r="K22" s="102"/>
      <c r="L22" s="102"/>
      <c r="M22" s="107"/>
      <c r="N22" s="102"/>
    </row>
    <row r="23" spans="1:14" ht="15">
      <c r="A23" s="112"/>
      <c r="B23" s="102" t="s">
        <v>809</v>
      </c>
      <c r="C23" s="249">
        <v>-404291254.08454204</v>
      </c>
      <c r="D23" s="107"/>
      <c r="E23" s="102" t="s">
        <v>326</v>
      </c>
      <c r="F23" s="108">
        <f t="shared" si="4"/>
        <v>0</v>
      </c>
      <c r="G23" s="102"/>
      <c r="H23" s="107">
        <f t="shared" si="5"/>
        <v>0</v>
      </c>
      <c r="I23" s="102"/>
      <c r="K23" s="102"/>
      <c r="L23" s="102"/>
      <c r="M23" s="107"/>
      <c r="N23" s="102"/>
    </row>
    <row r="24" spans="1:14" ht="15">
      <c r="A24" s="112"/>
      <c r="B24" s="102" t="s">
        <v>810</v>
      </c>
      <c r="C24" s="249">
        <v>-61973641.682327971</v>
      </c>
      <c r="D24" s="107"/>
      <c r="E24" s="102" t="s">
        <v>322</v>
      </c>
      <c r="F24" s="108">
        <f t="shared" si="4"/>
        <v>4.5100020896118378E-2</v>
      </c>
      <c r="G24" s="102"/>
      <c r="H24" s="107">
        <f t="shared" si="5"/>
        <v>-2795012.5348815443</v>
      </c>
      <c r="I24" s="102"/>
      <c r="K24" s="102"/>
      <c r="L24" s="102"/>
      <c r="M24" s="107"/>
      <c r="N24" s="102"/>
    </row>
    <row r="25" spans="1:14" ht="15">
      <c r="A25" s="112"/>
      <c r="B25" s="119" t="s">
        <v>812</v>
      </c>
      <c r="C25" s="249">
        <v>-22707902.490143001</v>
      </c>
      <c r="D25" s="107"/>
      <c r="E25" s="102" t="s">
        <v>322</v>
      </c>
      <c r="F25" s="108">
        <f t="shared" si="4"/>
        <v>4.5100020896118378E-2</v>
      </c>
      <c r="G25" s="102"/>
      <c r="H25" s="107">
        <f t="shared" si="5"/>
        <v>-1024126.8768124679</v>
      </c>
      <c r="I25" s="102"/>
      <c r="K25" s="102"/>
      <c r="L25" s="102"/>
      <c r="M25" s="107"/>
      <c r="N25" s="102"/>
    </row>
    <row r="26" spans="1:14" ht="15">
      <c r="A26" s="112"/>
      <c r="B26" s="119" t="s">
        <v>811</v>
      </c>
      <c r="C26" s="249">
        <v>-23252301.150204986</v>
      </c>
      <c r="D26" s="107"/>
      <c r="E26" s="102" t="s">
        <v>324</v>
      </c>
      <c r="F26" s="108">
        <f t="shared" si="4"/>
        <v>0</v>
      </c>
      <c r="G26" s="102"/>
      <c r="H26" s="107">
        <f t="shared" si="5"/>
        <v>0</v>
      </c>
      <c r="I26" s="102"/>
      <c r="K26" s="102"/>
      <c r="L26" s="102"/>
      <c r="M26" s="107"/>
      <c r="N26" s="102"/>
    </row>
    <row r="27" spans="1:14" ht="15">
      <c r="A27" s="112"/>
      <c r="B27" s="119" t="s">
        <v>807</v>
      </c>
      <c r="C27" s="249">
        <v>-768638543.4579047</v>
      </c>
      <c r="D27" s="107"/>
      <c r="E27" s="102" t="s">
        <v>324</v>
      </c>
      <c r="F27" s="108">
        <f t="shared" si="4"/>
        <v>0</v>
      </c>
      <c r="G27" s="102"/>
      <c r="H27" s="107">
        <f t="shared" si="5"/>
        <v>0</v>
      </c>
      <c r="I27" s="102"/>
      <c r="K27" s="102"/>
      <c r="L27" s="102"/>
      <c r="M27" s="107"/>
      <c r="N27" s="102"/>
    </row>
    <row r="28" spans="1:14" ht="15">
      <c r="A28" s="112"/>
      <c r="B28" s="119" t="s">
        <v>808</v>
      </c>
      <c r="C28" s="249">
        <v>-217853260.73914939</v>
      </c>
      <c r="D28" s="107"/>
      <c r="E28" s="102" t="s">
        <v>102</v>
      </c>
      <c r="F28" s="108">
        <f t="shared" si="4"/>
        <v>0.94081639170888487</v>
      </c>
      <c r="G28" s="102"/>
      <c r="H28" s="107">
        <f t="shared" si="5"/>
        <v>-204959918.69062141</v>
      </c>
      <c r="I28" s="102"/>
      <c r="K28" s="102"/>
      <c r="L28" s="102"/>
      <c r="M28" s="107"/>
      <c r="N28" s="102"/>
    </row>
    <row r="29" spans="1:14" ht="15">
      <c r="A29" s="112"/>
      <c r="B29" s="102" t="s">
        <v>813</v>
      </c>
      <c r="C29" s="249">
        <v>-21459958.021204002</v>
      </c>
      <c r="D29" s="107"/>
      <c r="E29" s="102" t="s">
        <v>87</v>
      </c>
      <c r="F29" s="108">
        <f t="shared" si="4"/>
        <v>0.11415725804365343</v>
      </c>
      <c r="G29" s="102"/>
      <c r="H29" s="107">
        <f t="shared" si="5"/>
        <v>-2449809.9654325554</v>
      </c>
      <c r="I29" s="102"/>
      <c r="K29" s="102"/>
      <c r="L29" s="102"/>
      <c r="M29" s="107"/>
      <c r="N29" s="102"/>
    </row>
    <row r="30" spans="1:14" ht="15">
      <c r="A30" s="112"/>
      <c r="B30" s="102" t="s">
        <v>436</v>
      </c>
      <c r="C30" s="249">
        <v>1547603.808037</v>
      </c>
      <c r="D30" s="107"/>
      <c r="E30" s="102" t="s">
        <v>324</v>
      </c>
      <c r="F30" s="108">
        <f t="shared" si="4"/>
        <v>0</v>
      </c>
      <c r="G30" s="102"/>
      <c r="H30" s="107">
        <f t="shared" si="5"/>
        <v>0</v>
      </c>
      <c r="I30" s="102"/>
      <c r="K30" s="102"/>
      <c r="L30" s="102"/>
      <c r="M30" s="107"/>
      <c r="N30" s="102"/>
    </row>
    <row r="31" spans="1:14" ht="15">
      <c r="A31" s="112"/>
      <c r="B31" s="102" t="s">
        <v>435</v>
      </c>
      <c r="C31" s="249">
        <v>9508200.7084369995</v>
      </c>
      <c r="D31" s="107"/>
      <c r="E31" s="102" t="s">
        <v>324</v>
      </c>
      <c r="F31" s="108">
        <f t="shared" si="4"/>
        <v>0</v>
      </c>
      <c r="G31" s="102"/>
      <c r="H31" s="107">
        <f t="shared" si="5"/>
        <v>0</v>
      </c>
      <c r="I31" s="102"/>
      <c r="K31" s="102"/>
      <c r="L31" s="102"/>
      <c r="M31" s="107"/>
      <c r="N31" s="102"/>
    </row>
    <row r="32" spans="1:14" ht="15">
      <c r="A32" s="112"/>
      <c r="B32" s="102" t="s">
        <v>742</v>
      </c>
      <c r="C32" s="249">
        <v>-27132.313094999998</v>
      </c>
      <c r="D32" s="107"/>
      <c r="E32" s="102" t="s">
        <v>326</v>
      </c>
      <c r="F32" s="108">
        <f t="shared" si="4"/>
        <v>0</v>
      </c>
      <c r="G32" s="102"/>
      <c r="H32" s="107">
        <f t="shared" si="5"/>
        <v>0</v>
      </c>
      <c r="I32" s="102"/>
      <c r="K32" s="102"/>
      <c r="L32" s="102"/>
      <c r="M32" s="107"/>
      <c r="N32" s="102"/>
    </row>
    <row r="33" spans="1:14" ht="15">
      <c r="A33" s="112"/>
      <c r="B33" s="102" t="s">
        <v>743</v>
      </c>
      <c r="C33" s="249">
        <v>-9421.1982499999995</v>
      </c>
      <c r="D33" s="107"/>
      <c r="E33" s="102" t="s">
        <v>322</v>
      </c>
      <c r="F33" s="108">
        <f t="shared" si="4"/>
        <v>4.5100020896118378E-2</v>
      </c>
      <c r="G33" s="102"/>
      <c r="H33" s="107">
        <f t="shared" si="5"/>
        <v>-424.89623794147388</v>
      </c>
      <c r="I33" s="102"/>
      <c r="K33" s="102"/>
      <c r="L33" s="102"/>
      <c r="M33" s="107"/>
      <c r="N33" s="102"/>
    </row>
    <row r="34" spans="1:14" ht="15">
      <c r="A34" s="112"/>
      <c r="B34" s="102" t="s">
        <v>740</v>
      </c>
      <c r="C34" s="249">
        <v>-4599120.1669370001</v>
      </c>
      <c r="D34" s="107"/>
      <c r="E34" s="102" t="s">
        <v>324</v>
      </c>
      <c r="F34" s="108">
        <f t="shared" si="4"/>
        <v>0</v>
      </c>
      <c r="G34" s="102"/>
      <c r="H34" s="107">
        <f t="shared" si="5"/>
        <v>0</v>
      </c>
      <c r="I34" s="102"/>
      <c r="K34" s="102"/>
      <c r="L34" s="102"/>
      <c r="M34" s="107"/>
      <c r="N34" s="102"/>
    </row>
    <row r="35" spans="1:14" ht="15" customHeight="1">
      <c r="A35" s="102"/>
      <c r="B35" s="102" t="s">
        <v>741</v>
      </c>
      <c r="C35" s="249">
        <v>-468706.5678919999</v>
      </c>
      <c r="D35" s="107"/>
      <c r="E35" s="102" t="s">
        <v>102</v>
      </c>
      <c r="F35" s="108">
        <f t="shared" si="4"/>
        <v>0.94081639170888487</v>
      </c>
      <c r="G35" s="102"/>
      <c r="H35" s="107">
        <f t="shared" si="5"/>
        <v>-440966.82197440683</v>
      </c>
      <c r="I35" s="102"/>
      <c r="K35" s="102"/>
      <c r="L35" s="102"/>
      <c r="M35" s="107"/>
      <c r="N35" s="102"/>
    </row>
    <row r="36" spans="1:14" ht="15">
      <c r="A36" s="102"/>
      <c r="B36" s="102" t="s">
        <v>803</v>
      </c>
      <c r="C36" s="249">
        <v>-18436</v>
      </c>
      <c r="D36" s="102"/>
      <c r="E36" s="102"/>
      <c r="F36" s="102"/>
      <c r="G36" s="102"/>
      <c r="H36" s="102"/>
      <c r="I36" s="102"/>
      <c r="N36" s="102"/>
    </row>
    <row r="37" spans="1:14" ht="15">
      <c r="K37" s="102"/>
      <c r="L37" s="102"/>
      <c r="M37" s="107"/>
      <c r="N37" s="102"/>
    </row>
    <row r="38" spans="1:14" ht="15">
      <c r="B38" s="102" t="s">
        <v>442</v>
      </c>
      <c r="C38" s="107">
        <f>SUM(C12:C36)</f>
        <v>-1408293996.8883994</v>
      </c>
      <c r="D38" s="107"/>
      <c r="E38" s="102"/>
      <c r="F38" s="102"/>
      <c r="G38" s="102"/>
      <c r="H38" s="107">
        <f>SUM(H12:H36)</f>
        <v>-211670259.78596032</v>
      </c>
      <c r="K38" s="102"/>
      <c r="L38" s="102"/>
      <c r="M38" s="107"/>
      <c r="N38" s="102"/>
    </row>
    <row r="39" spans="1:14" ht="15">
      <c r="K39" s="102"/>
      <c r="L39" s="102"/>
      <c r="M39" s="107"/>
      <c r="N39" s="102"/>
    </row>
    <row r="40" spans="1:14" ht="15">
      <c r="K40" s="102"/>
      <c r="L40" s="102"/>
      <c r="M40" s="107"/>
      <c r="N40" s="102"/>
    </row>
    <row r="41" spans="1:14" ht="15">
      <c r="K41" s="102"/>
      <c r="L41" s="102"/>
      <c r="M41" s="107"/>
      <c r="N41" s="102"/>
    </row>
    <row r="42" spans="1:14" ht="15">
      <c r="K42" s="102"/>
      <c r="L42" s="102"/>
      <c r="M42" s="107"/>
      <c r="N42" s="102"/>
    </row>
    <row r="43" spans="1:14" ht="15">
      <c r="K43" s="102"/>
      <c r="L43" s="102"/>
      <c r="M43" s="107"/>
      <c r="N43" s="102"/>
    </row>
    <row r="44" spans="1:14" ht="15">
      <c r="K44" s="102"/>
      <c r="L44" s="102"/>
      <c r="M44" s="107"/>
      <c r="N44" s="102"/>
    </row>
    <row r="45" spans="1:14" ht="15">
      <c r="K45" s="102"/>
      <c r="L45" s="102"/>
      <c r="M45" s="107"/>
      <c r="N45" s="102"/>
    </row>
    <row r="46" spans="1:14" ht="15">
      <c r="K46" s="102"/>
      <c r="L46" s="102"/>
      <c r="M46" s="107"/>
      <c r="N46" s="102"/>
    </row>
    <row r="47" spans="1:14" ht="15">
      <c r="K47" s="102"/>
      <c r="L47" s="102"/>
      <c r="M47" s="107"/>
      <c r="N47" s="102"/>
    </row>
    <row r="48" spans="1:14" ht="15">
      <c r="N48" s="102"/>
    </row>
    <row r="49" spans="14:14" ht="15">
      <c r="N49" s="102"/>
    </row>
    <row r="50" spans="14:14" ht="15">
      <c r="N50" s="102"/>
    </row>
    <row r="51" spans="14:14" ht="15">
      <c r="N51" s="102"/>
    </row>
    <row r="52" spans="14:14" ht="15">
      <c r="N52" s="102"/>
    </row>
  </sheetData>
  <sortState ref="K12:N51">
    <sortCondition ref="K12:K51"/>
  </sortState>
  <mergeCells count="6">
    <mergeCell ref="E9:F9"/>
    <mergeCell ref="H1:I1"/>
    <mergeCell ref="H3:I3"/>
    <mergeCell ref="A4:I4"/>
    <mergeCell ref="A5:I5"/>
    <mergeCell ref="A6:I6"/>
  </mergeCells>
  <phoneticPr fontId="10" type="noConversion"/>
  <printOptions horizontalCentered="1"/>
  <pageMargins left="0.17" right="0.17" top="0.25" bottom="0.25" header="0.33" footer="0.5"/>
  <pageSetup scale="8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R84"/>
  <sheetViews>
    <sheetView workbookViewId="0">
      <selection activeCell="B3" sqref="B3"/>
    </sheetView>
  </sheetViews>
  <sheetFormatPr defaultRowHeight="12.75"/>
  <cols>
    <col min="1" max="1" width="5.7109375" customWidth="1"/>
    <col min="2" max="2" width="35.5703125" customWidth="1"/>
    <col min="3" max="3" width="12.7109375" customWidth="1"/>
    <col min="4" max="4" width="5.7109375" customWidth="1"/>
    <col min="6" max="6" width="9.7109375" bestFit="1" customWidth="1"/>
    <col min="7" max="7" width="5.7109375" customWidth="1"/>
    <col min="8" max="8" width="14.7109375" customWidth="1"/>
    <col min="9" max="9" width="6.7109375" customWidth="1"/>
    <col min="14" max="14" width="38.28515625" bestFit="1" customWidth="1"/>
    <col min="15" max="15" width="13.42578125" bestFit="1" customWidth="1"/>
    <col min="16" max="16" width="12.5703125" bestFit="1" customWidth="1"/>
  </cols>
  <sheetData>
    <row r="1" spans="1:16" ht="15.75">
      <c r="A1" s="102"/>
      <c r="B1" s="102"/>
      <c r="C1" s="102"/>
      <c r="D1" s="102"/>
      <c r="E1" s="102"/>
      <c r="F1" s="102"/>
      <c r="G1" s="102"/>
      <c r="H1" s="276" t="s">
        <v>394</v>
      </c>
      <c r="I1" s="276"/>
      <c r="J1" s="102"/>
    </row>
    <row r="2" spans="1:16" ht="15.75">
      <c r="A2" s="102"/>
      <c r="B2" s="102"/>
      <c r="C2" s="102"/>
      <c r="D2" s="102"/>
      <c r="E2" s="102"/>
      <c r="F2" s="102"/>
      <c r="G2" s="102"/>
      <c r="H2" s="113" t="s">
        <v>694</v>
      </c>
      <c r="I2" s="113"/>
      <c r="J2" s="102"/>
    </row>
    <row r="3" spans="1:16" ht="15">
      <c r="A3" s="102"/>
      <c r="B3" s="102"/>
      <c r="C3" s="102"/>
      <c r="D3" s="102"/>
      <c r="E3" s="102"/>
      <c r="F3" s="102"/>
      <c r="G3" s="102"/>
      <c r="H3" s="288" t="str">
        <f>FF1_Year</f>
        <v>Year Ending 12/31/2009</v>
      </c>
      <c r="I3" s="288"/>
      <c r="J3" s="102"/>
    </row>
    <row r="4" spans="1:16" ht="15">
      <c r="A4" s="102"/>
      <c r="B4" s="102"/>
      <c r="C4" s="102"/>
      <c r="D4" s="102"/>
      <c r="E4" s="102"/>
      <c r="F4" s="102"/>
      <c r="G4" s="102"/>
      <c r="H4" s="102"/>
      <c r="I4" s="102"/>
      <c r="J4" s="102"/>
    </row>
    <row r="5" spans="1:16" ht="15">
      <c r="A5" s="303" t="s">
        <v>395</v>
      </c>
      <c r="B5" s="303"/>
      <c r="C5" s="303"/>
      <c r="D5" s="303"/>
      <c r="E5" s="303"/>
      <c r="F5" s="303"/>
      <c r="G5" s="303"/>
      <c r="H5" s="303"/>
      <c r="I5" s="303"/>
      <c r="J5" s="102"/>
    </row>
    <row r="6" spans="1:16" ht="15">
      <c r="A6" s="302" t="s">
        <v>466</v>
      </c>
      <c r="B6" s="302"/>
      <c r="C6" s="302"/>
      <c r="D6" s="302"/>
      <c r="E6" s="302"/>
      <c r="F6" s="302"/>
      <c r="G6" s="302"/>
      <c r="H6" s="302"/>
      <c r="I6" s="302"/>
      <c r="J6" s="102"/>
    </row>
    <row r="7" spans="1:16" ht="15">
      <c r="A7" s="302" t="s">
        <v>469</v>
      </c>
      <c r="B7" s="302"/>
      <c r="C7" s="302"/>
      <c r="D7" s="302"/>
      <c r="E7" s="302"/>
      <c r="F7" s="302"/>
      <c r="G7" s="302"/>
      <c r="H7" s="302"/>
      <c r="I7" s="302"/>
      <c r="J7" s="102"/>
    </row>
    <row r="8" spans="1:16" ht="15">
      <c r="A8" s="102"/>
      <c r="B8" s="102"/>
      <c r="C8" s="102"/>
      <c r="D8" s="102"/>
      <c r="E8" s="102"/>
      <c r="F8" s="102"/>
      <c r="G8" s="102"/>
      <c r="H8" s="102"/>
      <c r="I8" s="102"/>
      <c r="J8" s="102"/>
    </row>
    <row r="9" spans="1:16" ht="15">
      <c r="A9" s="102"/>
      <c r="B9" s="102"/>
      <c r="C9" s="102"/>
      <c r="D9" s="102"/>
      <c r="E9" s="102"/>
      <c r="F9" s="102"/>
      <c r="G9" s="102"/>
      <c r="H9" s="102"/>
      <c r="I9" s="102"/>
      <c r="J9" s="102"/>
    </row>
    <row r="10" spans="1:16" ht="15">
      <c r="A10" s="102"/>
      <c r="B10" s="102"/>
      <c r="C10" s="103" t="s">
        <v>392</v>
      </c>
      <c r="D10" s="112"/>
      <c r="E10" s="102"/>
      <c r="F10" s="102"/>
      <c r="G10" s="102"/>
      <c r="H10" s="102"/>
      <c r="I10" s="102"/>
      <c r="J10" s="102"/>
    </row>
    <row r="11" spans="1:16" ht="15">
      <c r="A11" s="102"/>
      <c r="B11" s="102"/>
      <c r="C11" s="105">
        <v>39813</v>
      </c>
      <c r="D11" s="112"/>
      <c r="E11" s="302" t="s">
        <v>273</v>
      </c>
      <c r="F11" s="302"/>
      <c r="G11" s="102"/>
      <c r="H11" s="114" t="s">
        <v>443</v>
      </c>
      <c r="I11" s="102"/>
      <c r="J11" s="102"/>
    </row>
    <row r="12" spans="1:16" ht="15">
      <c r="A12" s="102"/>
      <c r="B12" s="102"/>
      <c r="C12" s="103" t="s">
        <v>419</v>
      </c>
      <c r="D12" s="112"/>
      <c r="E12" s="102"/>
      <c r="F12" s="102"/>
      <c r="G12" s="102"/>
      <c r="H12" s="102"/>
      <c r="I12" s="102"/>
      <c r="J12" s="102"/>
    </row>
    <row r="13" spans="1:16" ht="15">
      <c r="A13" s="102"/>
      <c r="B13" s="102"/>
      <c r="C13" s="107"/>
      <c r="D13" s="102"/>
      <c r="E13" s="102"/>
      <c r="F13" s="102"/>
      <c r="G13" s="102"/>
      <c r="H13" s="102"/>
      <c r="I13" s="102"/>
      <c r="J13" s="102"/>
      <c r="N13" t="s">
        <v>720</v>
      </c>
      <c r="O13" t="s">
        <v>720</v>
      </c>
      <c r="P13" t="s">
        <v>720</v>
      </c>
    </row>
    <row r="14" spans="1:16" ht="15">
      <c r="A14" s="102"/>
      <c r="B14" s="102" t="s">
        <v>428</v>
      </c>
      <c r="C14" s="249">
        <v>10271071.280000001</v>
      </c>
      <c r="D14" s="107"/>
      <c r="E14" s="102" t="s">
        <v>87</v>
      </c>
      <c r="F14" s="108">
        <f t="shared" ref="F14:F19" si="0">VLOOKUP(E14,Alloc_Table,2,FALSE)</f>
        <v>0.11415725804365343</v>
      </c>
      <c r="G14" s="102"/>
      <c r="H14" s="107">
        <f t="shared" ref="H14:H20" si="1">C14*F14</f>
        <v>1172517.3344957179</v>
      </c>
      <c r="I14" s="102"/>
      <c r="J14" s="102"/>
      <c r="N14" s="117"/>
      <c r="O14" s="117"/>
      <c r="P14" s="102"/>
    </row>
    <row r="15" spans="1:16" ht="15">
      <c r="A15" s="102"/>
      <c r="B15" s="102" t="s">
        <v>732</v>
      </c>
      <c r="C15" s="249">
        <v>-7261649</v>
      </c>
      <c r="D15" s="107"/>
      <c r="E15" s="102" t="s">
        <v>326</v>
      </c>
      <c r="F15" s="108">
        <f t="shared" si="0"/>
        <v>0</v>
      </c>
      <c r="G15" s="102"/>
      <c r="H15" s="107">
        <f t="shared" si="1"/>
        <v>0</v>
      </c>
      <c r="I15" s="102"/>
      <c r="J15" s="102"/>
      <c r="N15" s="117"/>
      <c r="O15" s="117"/>
      <c r="P15" s="102"/>
    </row>
    <row r="16" spans="1:16" ht="15">
      <c r="A16" s="102"/>
      <c r="B16" s="102" t="s">
        <v>733</v>
      </c>
      <c r="C16" s="249">
        <v>-1359770</v>
      </c>
      <c r="D16" s="107"/>
      <c r="E16" s="102" t="s">
        <v>326</v>
      </c>
      <c r="F16" s="108">
        <f t="shared" si="0"/>
        <v>0</v>
      </c>
      <c r="G16" s="102"/>
      <c r="H16" s="107">
        <f t="shared" si="1"/>
        <v>0</v>
      </c>
      <c r="I16" s="102"/>
      <c r="J16" s="102"/>
      <c r="N16" s="117"/>
      <c r="O16" s="117"/>
      <c r="P16" s="102"/>
    </row>
    <row r="17" spans="1:16" ht="15">
      <c r="A17" s="102"/>
      <c r="B17" s="102" t="s">
        <v>426</v>
      </c>
      <c r="C17" s="249">
        <v>61422</v>
      </c>
      <c r="D17" s="107"/>
      <c r="E17" s="102" t="s">
        <v>322</v>
      </c>
      <c r="F17" s="108">
        <f t="shared" si="0"/>
        <v>4.5100020896118378E-2</v>
      </c>
      <c r="G17" s="102"/>
      <c r="H17" s="107">
        <f t="shared" si="1"/>
        <v>2770.1334834813829</v>
      </c>
      <c r="I17" s="102"/>
      <c r="J17" s="102"/>
      <c r="N17" s="117"/>
      <c r="O17" s="117"/>
      <c r="P17" s="107"/>
    </row>
    <row r="18" spans="1:16" ht="15">
      <c r="A18" s="102"/>
      <c r="B18" s="102" t="s">
        <v>721</v>
      </c>
      <c r="C18" s="249">
        <v>-1341849</v>
      </c>
      <c r="D18" s="107"/>
      <c r="E18" s="102" t="s">
        <v>326</v>
      </c>
      <c r="F18" s="108">
        <f t="shared" si="0"/>
        <v>0</v>
      </c>
      <c r="G18" s="102"/>
      <c r="H18" s="107">
        <f t="shared" si="1"/>
        <v>0</v>
      </c>
      <c r="I18" s="102"/>
      <c r="J18" s="102"/>
      <c r="N18" s="117"/>
      <c r="O18" s="240"/>
      <c r="P18" s="107"/>
    </row>
    <row r="19" spans="1:16" ht="15">
      <c r="A19" s="102"/>
      <c r="B19" s="102" t="s">
        <v>725</v>
      </c>
      <c r="C19" s="249">
        <v>-499037</v>
      </c>
      <c r="D19" s="107"/>
      <c r="E19" s="102" t="s">
        <v>326</v>
      </c>
      <c r="F19" s="108">
        <f t="shared" si="0"/>
        <v>0</v>
      </c>
      <c r="G19" s="102"/>
      <c r="H19" s="107">
        <f t="shared" si="1"/>
        <v>0</v>
      </c>
      <c r="I19" s="102"/>
      <c r="J19" s="102"/>
      <c r="N19" s="117"/>
      <c r="O19" s="240"/>
      <c r="P19" s="107"/>
    </row>
    <row r="20" spans="1:16" ht="15">
      <c r="A20" s="102"/>
      <c r="B20" s="117" t="s">
        <v>814</v>
      </c>
      <c r="C20" s="249">
        <v>-62832782</v>
      </c>
      <c r="E20" s="102" t="s">
        <v>326</v>
      </c>
      <c r="F20" s="108">
        <f t="shared" ref="F20" si="2">VLOOKUP(E20,Alloc_Table,2,FALSE)</f>
        <v>0</v>
      </c>
      <c r="H20" s="107">
        <f t="shared" si="1"/>
        <v>0</v>
      </c>
      <c r="I20" s="102"/>
      <c r="J20" s="102"/>
      <c r="N20" s="117"/>
      <c r="O20" s="117"/>
      <c r="P20" s="107"/>
    </row>
    <row r="21" spans="1:16" ht="15">
      <c r="A21" s="102"/>
      <c r="B21" s="117" t="s">
        <v>509</v>
      </c>
      <c r="C21" s="249">
        <v>-19778416</v>
      </c>
      <c r="D21" s="107"/>
      <c r="E21" s="102" t="s">
        <v>322</v>
      </c>
      <c r="F21" s="108">
        <f>VLOOKUP(E21,Alloc_Table,2,FALSE)</f>
        <v>4.5100020896118378E-2</v>
      </c>
      <c r="G21" s="102"/>
      <c r="H21" s="107">
        <f>C21*F21</f>
        <v>-892006.97489212209</v>
      </c>
      <c r="I21" s="102"/>
      <c r="J21" s="102"/>
      <c r="N21" s="117"/>
      <c r="O21" s="240"/>
      <c r="P21" s="102"/>
    </row>
    <row r="22" spans="1:16" ht="15">
      <c r="A22" s="102"/>
      <c r="B22" s="117" t="s">
        <v>508</v>
      </c>
      <c r="C22" s="249">
        <v>-181074395</v>
      </c>
      <c r="D22" s="102"/>
      <c r="E22" s="102" t="s">
        <v>322</v>
      </c>
      <c r="F22" s="108">
        <f>VLOOKUP(E22,Alloc_Table,2,FALSE)</f>
        <v>4.5100020896118378E-2</v>
      </c>
      <c r="G22" s="102"/>
      <c r="H22" s="107">
        <f>C22*F22</f>
        <v>-8166458.9982519932</v>
      </c>
      <c r="I22" s="102"/>
      <c r="J22" s="102"/>
      <c r="N22" s="117"/>
      <c r="O22" s="240"/>
      <c r="P22" s="102"/>
    </row>
    <row r="23" spans="1:16" ht="15">
      <c r="A23" s="102"/>
      <c r="B23" s="117" t="s">
        <v>815</v>
      </c>
      <c r="C23" s="249">
        <v>54407</v>
      </c>
      <c r="D23" s="107"/>
      <c r="E23" s="102" t="s">
        <v>322</v>
      </c>
      <c r="F23" s="108">
        <f>VLOOKUP(E23,Alloc_Table,2,FALSE)</f>
        <v>4.5100020896118378E-2</v>
      </c>
      <c r="G23" s="102"/>
      <c r="H23" s="107">
        <f t="shared" ref="H23:H31" si="3">C23*F23</f>
        <v>2453.7568368951124</v>
      </c>
      <c r="I23" s="102"/>
      <c r="J23" s="102"/>
      <c r="N23" s="117"/>
      <c r="O23" s="240"/>
      <c r="P23" s="102"/>
    </row>
    <row r="24" spans="1:16" ht="15">
      <c r="A24" s="102"/>
      <c r="B24" s="117" t="s">
        <v>510</v>
      </c>
      <c r="C24" s="249">
        <v>-1072649</v>
      </c>
      <c r="D24" s="107"/>
      <c r="E24" s="102" t="s">
        <v>322</v>
      </c>
      <c r="F24" s="108">
        <f>VLOOKUP(E24,Alloc_Table,2,FALSE)</f>
        <v>4.5100020896118378E-2</v>
      </c>
      <c r="G24" s="102"/>
      <c r="H24" s="107">
        <f t="shared" si="3"/>
        <v>-48376.492314200485</v>
      </c>
      <c r="I24" s="102"/>
      <c r="J24" s="102"/>
      <c r="N24" s="117"/>
      <c r="O24" s="240"/>
      <c r="P24" s="102"/>
    </row>
    <row r="25" spans="1:16" ht="15">
      <c r="A25" s="102"/>
      <c r="B25" s="102" t="s">
        <v>425</v>
      </c>
      <c r="C25" s="249">
        <v>18992</v>
      </c>
      <c r="D25" s="107"/>
      <c r="E25" s="102" t="s">
        <v>322</v>
      </c>
      <c r="F25" s="108">
        <f>VLOOKUP(E25,Alloc_Table,2,FALSE)</f>
        <v>4.5100020896118378E-2</v>
      </c>
      <c r="G25" s="102"/>
      <c r="H25" s="107">
        <f t="shared" si="3"/>
        <v>856.53959685908023</v>
      </c>
      <c r="I25" s="102"/>
      <c r="J25" s="102"/>
      <c r="N25" s="117"/>
      <c r="O25" s="117"/>
      <c r="P25" s="107"/>
    </row>
    <row r="26" spans="1:16" ht="15">
      <c r="A26" s="102"/>
      <c r="B26" s="102" t="s">
        <v>735</v>
      </c>
      <c r="C26" s="249">
        <v>-1772633</v>
      </c>
      <c r="D26" s="107"/>
      <c r="E26" s="102" t="s">
        <v>326</v>
      </c>
      <c r="F26" s="108">
        <v>0</v>
      </c>
      <c r="G26" s="102"/>
      <c r="H26" s="107">
        <f t="shared" si="3"/>
        <v>0</v>
      </c>
      <c r="I26" s="102"/>
      <c r="J26" s="102"/>
      <c r="N26" s="117"/>
      <c r="O26" s="117"/>
      <c r="P26" s="107"/>
    </row>
    <row r="27" spans="1:16" ht="15">
      <c r="A27" s="102"/>
      <c r="B27" s="102" t="s">
        <v>736</v>
      </c>
      <c r="C27" s="249">
        <v>-1441261</v>
      </c>
      <c r="D27" s="107"/>
      <c r="E27" s="102" t="s">
        <v>326</v>
      </c>
      <c r="F27" s="108">
        <f t="shared" ref="F27:F31" si="4">VLOOKUP(E27,Alloc_Table,2,FALSE)</f>
        <v>0</v>
      </c>
      <c r="G27" s="102"/>
      <c r="H27" s="107">
        <f t="shared" si="3"/>
        <v>0</v>
      </c>
      <c r="I27" s="102"/>
      <c r="J27" s="102"/>
      <c r="N27" s="117"/>
      <c r="O27" s="117"/>
      <c r="P27" s="107"/>
    </row>
    <row r="28" spans="1:16" ht="15">
      <c r="A28" s="102"/>
      <c r="B28" s="102" t="s">
        <v>737</v>
      </c>
      <c r="C28" s="249">
        <v>-2740698</v>
      </c>
      <c r="D28" s="102"/>
      <c r="E28" s="102" t="s">
        <v>326</v>
      </c>
      <c r="F28" s="108">
        <f t="shared" si="4"/>
        <v>0</v>
      </c>
      <c r="G28" s="102"/>
      <c r="H28" s="107">
        <f t="shared" si="3"/>
        <v>0</v>
      </c>
      <c r="I28" s="102"/>
      <c r="J28" s="102"/>
      <c r="N28" s="117"/>
      <c r="O28" s="117"/>
      <c r="P28" s="107"/>
    </row>
    <row r="29" spans="1:16" ht="15">
      <c r="A29" s="102"/>
      <c r="B29" s="102" t="s">
        <v>754</v>
      </c>
      <c r="C29" s="249">
        <v>-765922</v>
      </c>
      <c r="D29" s="102"/>
      <c r="E29" s="102" t="s">
        <v>326</v>
      </c>
      <c r="F29" s="108">
        <f t="shared" si="4"/>
        <v>0</v>
      </c>
      <c r="G29" s="102"/>
      <c r="H29" s="107">
        <f t="shared" si="3"/>
        <v>0</v>
      </c>
      <c r="I29" s="102"/>
      <c r="J29" s="102"/>
      <c r="N29" s="117"/>
      <c r="O29" s="117"/>
      <c r="P29" s="107"/>
    </row>
    <row r="30" spans="1:16" ht="15">
      <c r="A30" s="102"/>
      <c r="B30" s="102" t="s">
        <v>738</v>
      </c>
      <c r="C30" s="249">
        <v>-1634</v>
      </c>
      <c r="D30" s="102"/>
      <c r="E30" s="102" t="s">
        <v>326</v>
      </c>
      <c r="F30" s="108">
        <f t="shared" si="4"/>
        <v>0</v>
      </c>
      <c r="G30" s="102"/>
      <c r="H30" s="107">
        <f t="shared" si="3"/>
        <v>0</v>
      </c>
      <c r="I30" s="102"/>
      <c r="J30" s="102"/>
      <c r="N30" s="117"/>
      <c r="O30" s="117"/>
      <c r="P30" s="107"/>
    </row>
    <row r="31" spans="1:16" ht="15">
      <c r="A31" s="102"/>
      <c r="B31" s="102" t="s">
        <v>781</v>
      </c>
      <c r="C31" s="249">
        <v>-34456905</v>
      </c>
      <c r="D31" s="102"/>
      <c r="E31" s="102" t="s">
        <v>326</v>
      </c>
      <c r="F31" s="108">
        <f t="shared" si="4"/>
        <v>0</v>
      </c>
      <c r="G31" s="102"/>
      <c r="H31" s="107">
        <f t="shared" si="3"/>
        <v>0</v>
      </c>
      <c r="I31" s="102"/>
      <c r="J31" s="102"/>
      <c r="N31" s="117"/>
      <c r="O31" s="117"/>
      <c r="P31" s="107"/>
    </row>
    <row r="32" spans="1:16" ht="15">
      <c r="A32" s="102"/>
      <c r="B32" s="102" t="s">
        <v>427</v>
      </c>
      <c r="C32" s="249">
        <v>1783147</v>
      </c>
      <c r="D32" s="102"/>
      <c r="E32" s="102" t="s">
        <v>326</v>
      </c>
      <c r="F32" s="108">
        <f t="shared" ref="F32:F34" si="5">VLOOKUP(E32,Alloc_Table,2,FALSE)</f>
        <v>0</v>
      </c>
      <c r="G32" s="102"/>
      <c r="H32" s="107">
        <f t="shared" ref="H32:H34" si="6">C32*F32</f>
        <v>0</v>
      </c>
      <c r="I32" s="102"/>
      <c r="J32" s="102"/>
      <c r="N32" s="117"/>
      <c r="O32" s="117"/>
      <c r="P32" s="102"/>
    </row>
    <row r="33" spans="1:16" ht="15">
      <c r="A33" s="102"/>
      <c r="B33" s="102" t="s">
        <v>422</v>
      </c>
      <c r="C33" s="249">
        <v>-58880972.426991999</v>
      </c>
      <c r="D33" s="102"/>
      <c r="E33" s="102" t="s">
        <v>326</v>
      </c>
      <c r="F33" s="108">
        <f t="shared" si="5"/>
        <v>0</v>
      </c>
      <c r="G33" s="102"/>
      <c r="H33" s="107">
        <f t="shared" si="6"/>
        <v>0</v>
      </c>
      <c r="I33" s="102"/>
      <c r="J33" s="102"/>
      <c r="N33" s="117"/>
      <c r="O33" s="117"/>
      <c r="P33" s="107"/>
    </row>
    <row r="34" spans="1:16" ht="15">
      <c r="A34" s="102"/>
      <c r="B34" s="117" t="s">
        <v>817</v>
      </c>
      <c r="C34" s="247">
        <v>-70771397</v>
      </c>
      <c r="E34" s="102" t="s">
        <v>324</v>
      </c>
      <c r="F34" s="108">
        <f t="shared" si="5"/>
        <v>0</v>
      </c>
      <c r="H34" s="107">
        <f t="shared" si="6"/>
        <v>0</v>
      </c>
      <c r="I34" s="102"/>
      <c r="J34" s="102"/>
      <c r="N34" s="117"/>
      <c r="O34" s="117"/>
      <c r="P34" s="102"/>
    </row>
    <row r="35" spans="1:16" ht="15">
      <c r="A35" s="102"/>
      <c r="B35" s="102" t="s">
        <v>727</v>
      </c>
      <c r="C35" s="249">
        <v>-3780899</v>
      </c>
      <c r="D35" s="102"/>
      <c r="E35" s="102" t="s">
        <v>326</v>
      </c>
      <c r="F35" s="108">
        <f t="shared" ref="F35:F49" si="7">VLOOKUP(E35,Alloc_Table,2,FALSE)</f>
        <v>0</v>
      </c>
      <c r="G35" s="102"/>
      <c r="H35" s="107">
        <f t="shared" ref="H35:H49" si="8">C35*F35</f>
        <v>0</v>
      </c>
      <c r="I35" s="102"/>
      <c r="J35" s="102"/>
      <c r="N35" s="117"/>
      <c r="O35" s="117"/>
      <c r="P35" s="102"/>
    </row>
    <row r="36" spans="1:16" ht="15">
      <c r="A36" s="102"/>
      <c r="B36" s="102" t="s">
        <v>739</v>
      </c>
      <c r="C36" s="249">
        <v>-1082454</v>
      </c>
      <c r="D36" s="102"/>
      <c r="E36" s="102" t="s">
        <v>326</v>
      </c>
      <c r="F36" s="108">
        <f t="shared" si="7"/>
        <v>0</v>
      </c>
      <c r="G36" s="102"/>
      <c r="H36" s="107">
        <f t="shared" si="8"/>
        <v>0</v>
      </c>
      <c r="I36" s="102"/>
      <c r="J36" s="102"/>
      <c r="N36" s="117"/>
      <c r="O36" s="117"/>
      <c r="P36" s="102"/>
    </row>
    <row r="37" spans="1:16" ht="15">
      <c r="A37" s="102"/>
      <c r="B37" s="117" t="s">
        <v>816</v>
      </c>
      <c r="C37" s="249">
        <v>-370568</v>
      </c>
      <c r="E37" s="102" t="s">
        <v>326</v>
      </c>
      <c r="F37" s="108">
        <f t="shared" si="7"/>
        <v>0</v>
      </c>
      <c r="G37" s="102"/>
      <c r="H37" s="107">
        <f t="shared" si="8"/>
        <v>0</v>
      </c>
      <c r="I37" s="102"/>
      <c r="J37" s="102"/>
      <c r="N37" s="117"/>
      <c r="O37" s="117"/>
      <c r="P37" s="102"/>
    </row>
    <row r="38" spans="1:16" ht="15">
      <c r="A38" s="102"/>
      <c r="B38" s="102" t="s">
        <v>730</v>
      </c>
      <c r="C38" s="249">
        <v>-1403908</v>
      </c>
      <c r="D38" s="102"/>
      <c r="E38" s="102" t="s">
        <v>324</v>
      </c>
      <c r="F38" s="108">
        <f t="shared" si="7"/>
        <v>0</v>
      </c>
      <c r="G38" s="102"/>
      <c r="H38" s="107">
        <f t="shared" si="8"/>
        <v>0</v>
      </c>
      <c r="I38" s="102"/>
      <c r="J38" s="102"/>
      <c r="N38" s="117"/>
      <c r="O38" s="117"/>
      <c r="P38" s="102"/>
    </row>
    <row r="39" spans="1:16" ht="15">
      <c r="A39" s="102"/>
      <c r="B39" s="102" t="s">
        <v>731</v>
      </c>
      <c r="C39" s="249">
        <v>-5722200</v>
      </c>
      <c r="D39" s="102"/>
      <c r="E39" s="102" t="s">
        <v>324</v>
      </c>
      <c r="F39" s="108">
        <f t="shared" si="7"/>
        <v>0</v>
      </c>
      <c r="G39" s="102"/>
      <c r="H39" s="107">
        <f t="shared" si="8"/>
        <v>0</v>
      </c>
      <c r="I39" s="102"/>
      <c r="J39" s="102"/>
      <c r="N39" s="117"/>
      <c r="O39" s="117"/>
      <c r="P39" s="102"/>
    </row>
    <row r="40" spans="1:16" ht="15">
      <c r="A40" s="102"/>
      <c r="B40" s="102" t="s">
        <v>729</v>
      </c>
      <c r="C40" s="249">
        <v>-34643459</v>
      </c>
      <c r="D40" s="102"/>
      <c r="E40" s="102" t="s">
        <v>324</v>
      </c>
      <c r="F40" s="108">
        <f t="shared" si="7"/>
        <v>0</v>
      </c>
      <c r="G40" s="102"/>
      <c r="H40" s="107">
        <f t="shared" si="8"/>
        <v>0</v>
      </c>
      <c r="I40" s="102"/>
      <c r="J40" s="102"/>
      <c r="N40" s="117"/>
      <c r="O40" s="117"/>
      <c r="P40" s="102"/>
    </row>
    <row r="41" spans="1:16" ht="15">
      <c r="A41" s="102"/>
      <c r="B41" s="102" t="s">
        <v>724</v>
      </c>
      <c r="C41" s="249">
        <v>-2075710</v>
      </c>
      <c r="D41" s="102"/>
      <c r="E41" s="102" t="s">
        <v>324</v>
      </c>
      <c r="F41" s="108">
        <f t="shared" si="7"/>
        <v>0</v>
      </c>
      <c r="G41" s="102"/>
      <c r="H41" s="107">
        <f t="shared" si="8"/>
        <v>0</v>
      </c>
      <c r="I41" s="102"/>
      <c r="J41" s="102"/>
      <c r="N41" s="117"/>
      <c r="O41" s="117"/>
      <c r="P41" s="102"/>
    </row>
    <row r="42" spans="1:16" ht="15">
      <c r="A42" s="102"/>
      <c r="B42" s="102" t="s">
        <v>726</v>
      </c>
      <c r="C42" s="249">
        <v>-100723</v>
      </c>
      <c r="D42" s="102"/>
      <c r="E42" s="102" t="s">
        <v>326</v>
      </c>
      <c r="F42" s="108">
        <f t="shared" si="7"/>
        <v>0</v>
      </c>
      <c r="G42" s="102"/>
      <c r="H42" s="107">
        <f t="shared" si="8"/>
        <v>0</v>
      </c>
      <c r="I42" s="102"/>
      <c r="J42" s="102"/>
      <c r="N42" s="117"/>
      <c r="O42" s="117"/>
      <c r="P42" s="107"/>
    </row>
    <row r="43" spans="1:16" ht="15">
      <c r="A43" s="102"/>
      <c r="B43" s="102" t="s">
        <v>420</v>
      </c>
      <c r="C43" s="249">
        <v>-778350.59805900045</v>
      </c>
      <c r="D43" s="102"/>
      <c r="E43" s="102" t="s">
        <v>326</v>
      </c>
      <c r="F43" s="108">
        <f t="shared" si="7"/>
        <v>0</v>
      </c>
      <c r="G43" s="102"/>
      <c r="H43" s="107">
        <f t="shared" si="8"/>
        <v>0</v>
      </c>
      <c r="I43" s="102"/>
      <c r="J43" s="102"/>
      <c r="N43" s="117"/>
      <c r="O43" s="117"/>
      <c r="P43" s="107"/>
    </row>
    <row r="44" spans="1:16" ht="15">
      <c r="A44" s="102"/>
      <c r="B44" s="102" t="s">
        <v>728</v>
      </c>
      <c r="C44" s="249">
        <v>559835.65259024536</v>
      </c>
      <c r="D44" s="102"/>
      <c r="E44" s="102" t="s">
        <v>324</v>
      </c>
      <c r="F44" s="108">
        <f t="shared" si="7"/>
        <v>0</v>
      </c>
      <c r="G44" s="102"/>
      <c r="H44" s="107">
        <f t="shared" si="8"/>
        <v>0</v>
      </c>
      <c r="I44" s="102"/>
      <c r="J44" s="102"/>
      <c r="N44" s="117"/>
      <c r="O44" s="117"/>
      <c r="P44" s="107"/>
    </row>
    <row r="45" spans="1:16" ht="15">
      <c r="A45" s="102"/>
      <c r="B45" s="102" t="s">
        <v>734</v>
      </c>
      <c r="C45" s="249">
        <v>-3252376.652590245</v>
      </c>
      <c r="D45" s="102"/>
      <c r="E45" s="102" t="s">
        <v>87</v>
      </c>
      <c r="F45" s="108">
        <f t="shared" si="7"/>
        <v>0.11415725804365343</v>
      </c>
      <c r="G45" s="102"/>
      <c r="H45" s="107">
        <f t="shared" si="8"/>
        <v>-371282.40078489837</v>
      </c>
      <c r="I45" s="102"/>
      <c r="J45" s="102"/>
      <c r="N45" s="117"/>
      <c r="O45" s="117"/>
      <c r="P45" s="107"/>
    </row>
    <row r="46" spans="1:16" ht="15">
      <c r="A46" s="102"/>
      <c r="B46" s="102" t="s">
        <v>722</v>
      </c>
      <c r="C46" s="249">
        <v>3701644</v>
      </c>
      <c r="D46" s="102"/>
      <c r="E46" s="102" t="s">
        <v>326</v>
      </c>
      <c r="F46" s="108">
        <f t="shared" si="7"/>
        <v>0</v>
      </c>
      <c r="G46" s="102"/>
      <c r="H46" s="107">
        <f t="shared" si="8"/>
        <v>0</v>
      </c>
      <c r="I46" s="102"/>
      <c r="J46" s="102"/>
      <c r="N46" s="117"/>
      <c r="O46" s="117"/>
      <c r="P46" s="107"/>
    </row>
    <row r="47" spans="1:16" ht="15">
      <c r="A47" s="102"/>
      <c r="B47" s="102" t="s">
        <v>723</v>
      </c>
      <c r="C47" s="249">
        <v>3557378</v>
      </c>
      <c r="D47" s="102"/>
      <c r="E47" s="102" t="s">
        <v>326</v>
      </c>
      <c r="F47" s="108">
        <f t="shared" si="7"/>
        <v>0</v>
      </c>
      <c r="G47" s="102"/>
      <c r="H47" s="107">
        <f t="shared" si="8"/>
        <v>0</v>
      </c>
      <c r="I47" s="102"/>
      <c r="J47" s="102"/>
      <c r="N47" s="117"/>
      <c r="O47" s="117"/>
      <c r="P47" s="102"/>
    </row>
    <row r="48" spans="1:16" ht="15">
      <c r="A48" s="102"/>
      <c r="B48" s="102" t="s">
        <v>421</v>
      </c>
      <c r="C48" s="249">
        <v>-194262.59174340998</v>
      </c>
      <c r="D48" s="102"/>
      <c r="E48" s="102" t="s">
        <v>326</v>
      </c>
      <c r="F48" s="108">
        <f t="shared" si="7"/>
        <v>0</v>
      </c>
      <c r="G48" s="102"/>
      <c r="H48" s="107">
        <f t="shared" si="8"/>
        <v>0</v>
      </c>
      <c r="I48" s="102"/>
      <c r="J48" s="102"/>
      <c r="N48" s="117"/>
      <c r="O48" s="117"/>
      <c r="P48" s="107"/>
    </row>
    <row r="49" spans="2:18" ht="15">
      <c r="B49" s="102" t="s">
        <v>430</v>
      </c>
      <c r="C49" s="249">
        <v>-27</v>
      </c>
      <c r="D49" s="102"/>
      <c r="E49" s="102" t="s">
        <v>326</v>
      </c>
      <c r="F49" s="108">
        <f t="shared" si="7"/>
        <v>0</v>
      </c>
      <c r="G49" s="102"/>
      <c r="H49" s="107">
        <f t="shared" si="8"/>
        <v>0</v>
      </c>
      <c r="N49" s="117"/>
      <c r="O49" s="117"/>
      <c r="P49" s="102"/>
    </row>
    <row r="50" spans="2:18" ht="15">
      <c r="B50" s="102"/>
      <c r="C50" s="109"/>
      <c r="D50" s="102"/>
      <c r="E50" s="102"/>
      <c r="F50" s="102"/>
      <c r="G50" s="102"/>
      <c r="H50" s="102"/>
    </row>
    <row r="51" spans="2:18" ht="15">
      <c r="B51" s="102" t="s">
        <v>470</v>
      </c>
      <c r="C51" s="107">
        <f>SUM(C14:C49)</f>
        <v>-479449010.33679444</v>
      </c>
      <c r="D51" s="107"/>
      <c r="E51" s="102"/>
      <c r="F51" s="102"/>
      <c r="G51" s="102"/>
      <c r="H51" s="107">
        <f>SUM(H14:H49)</f>
        <v>-8299527.1018302608</v>
      </c>
      <c r="N51" s="117"/>
      <c r="O51" s="117"/>
      <c r="P51" s="107"/>
    </row>
    <row r="52" spans="2:18" ht="15">
      <c r="N52" s="102"/>
      <c r="O52" s="117"/>
      <c r="P52" s="107"/>
    </row>
    <row r="53" spans="2:18" ht="15">
      <c r="N53" s="117"/>
      <c r="O53" s="117"/>
      <c r="P53" s="107"/>
    </row>
    <row r="54" spans="2:18" ht="15">
      <c r="N54" s="117"/>
      <c r="O54" s="117"/>
      <c r="P54" s="107"/>
    </row>
    <row r="55" spans="2:18" ht="15">
      <c r="N55" s="117"/>
      <c r="O55" s="117"/>
      <c r="P55" s="107"/>
    </row>
    <row r="56" spans="2:18" ht="15">
      <c r="N56" s="117"/>
      <c r="O56" s="117"/>
      <c r="P56" s="107"/>
    </row>
    <row r="57" spans="2:18" ht="15">
      <c r="N57" s="117"/>
      <c r="O57" s="117"/>
      <c r="P57" s="107"/>
      <c r="R57" s="1"/>
    </row>
    <row r="58" spans="2:18" ht="15">
      <c r="N58" s="117"/>
      <c r="O58" s="117"/>
      <c r="P58" s="107"/>
    </row>
    <row r="59" spans="2:18" ht="15">
      <c r="N59" s="117"/>
      <c r="O59" s="117"/>
      <c r="P59" s="107"/>
    </row>
    <row r="60" spans="2:18" ht="15">
      <c r="N60" s="117"/>
      <c r="O60" s="117"/>
      <c r="P60" s="107"/>
    </row>
    <row r="61" spans="2:18" ht="15">
      <c r="N61" s="102"/>
      <c r="O61" s="117"/>
      <c r="P61" s="107"/>
    </row>
    <row r="62" spans="2:18" ht="15">
      <c r="N62" s="117"/>
      <c r="O62" s="117"/>
      <c r="P62" s="107"/>
    </row>
    <row r="63" spans="2:18" ht="15">
      <c r="N63" s="117"/>
      <c r="O63" s="117"/>
      <c r="P63" s="107"/>
    </row>
    <row r="64" spans="2:18" ht="15">
      <c r="N64" s="117"/>
      <c r="O64" s="117"/>
      <c r="P64" s="107"/>
    </row>
    <row r="65" spans="14:16" ht="15">
      <c r="N65" s="117"/>
      <c r="O65" s="117"/>
      <c r="P65" s="107"/>
    </row>
    <row r="66" spans="14:16" ht="15">
      <c r="N66" s="117"/>
      <c r="O66" s="117"/>
      <c r="P66" s="102"/>
    </row>
    <row r="67" spans="14:16" ht="15">
      <c r="N67" s="117"/>
      <c r="O67" s="117"/>
      <c r="P67" s="102"/>
    </row>
    <row r="68" spans="14:16" ht="15">
      <c r="N68" s="117"/>
      <c r="O68" s="117"/>
      <c r="P68" s="102"/>
    </row>
    <row r="69" spans="14:16" ht="15">
      <c r="N69" s="117"/>
      <c r="O69" s="117"/>
      <c r="P69" s="102"/>
    </row>
    <row r="70" spans="14:16" ht="15">
      <c r="N70" s="117"/>
      <c r="O70" s="117"/>
      <c r="P70" s="102"/>
    </row>
    <row r="71" spans="14:16" ht="15">
      <c r="N71" s="117"/>
      <c r="O71" s="117"/>
      <c r="P71" s="102"/>
    </row>
    <row r="72" spans="14:16" ht="15">
      <c r="N72" s="117"/>
      <c r="O72" s="117"/>
      <c r="P72" s="102"/>
    </row>
    <row r="73" spans="14:16" ht="15">
      <c r="N73" s="117"/>
      <c r="O73" s="117"/>
      <c r="P73" s="102"/>
    </row>
    <row r="74" spans="14:16" ht="15">
      <c r="N74" s="117"/>
      <c r="O74" s="117"/>
      <c r="P74" s="102"/>
    </row>
    <row r="75" spans="14:16" ht="15">
      <c r="N75" s="117"/>
      <c r="O75" s="117"/>
      <c r="P75" s="102"/>
    </row>
    <row r="76" spans="14:16" ht="15">
      <c r="N76" s="117"/>
      <c r="O76" s="117"/>
      <c r="P76" s="102"/>
    </row>
    <row r="77" spans="14:16" ht="15">
      <c r="N77" s="117"/>
      <c r="O77" s="117"/>
      <c r="P77" s="102"/>
    </row>
    <row r="78" spans="14:16" ht="15">
      <c r="N78" s="117"/>
      <c r="O78" s="117"/>
      <c r="P78" s="102"/>
    </row>
    <row r="79" spans="14:16" ht="15">
      <c r="N79" s="117"/>
      <c r="O79" s="117"/>
      <c r="P79" s="102"/>
    </row>
    <row r="80" spans="14:16" ht="15">
      <c r="N80" s="117"/>
      <c r="O80" s="117"/>
      <c r="P80" s="102"/>
    </row>
    <row r="81" spans="14:16" ht="15">
      <c r="N81" s="117"/>
      <c r="O81" s="117"/>
      <c r="P81" s="102"/>
    </row>
    <row r="82" spans="14:16" ht="15">
      <c r="N82" s="117"/>
      <c r="O82" s="117"/>
      <c r="P82" s="102"/>
    </row>
    <row r="83" spans="14:16" ht="15">
      <c r="N83" s="117"/>
      <c r="O83" s="117"/>
      <c r="P83" s="102"/>
    </row>
    <row r="84" spans="14:16" ht="15">
      <c r="N84" s="117"/>
      <c r="O84" s="117"/>
      <c r="P84" s="102"/>
    </row>
  </sheetData>
  <sortState ref="N14:P86">
    <sortCondition ref="N14:N86"/>
  </sortState>
  <mergeCells count="6">
    <mergeCell ref="E11:F11"/>
    <mergeCell ref="H1:I1"/>
    <mergeCell ref="H3:I3"/>
    <mergeCell ref="A5:I5"/>
    <mergeCell ref="A6:I6"/>
    <mergeCell ref="A7:I7"/>
  </mergeCells>
  <phoneticPr fontId="10" type="noConversion"/>
  <printOptions horizontalCentered="1"/>
  <pageMargins left="0.25" right="0.25" top="1" bottom="1" header="0.5" footer="0.5"/>
  <pageSetup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I22"/>
  <sheetViews>
    <sheetView workbookViewId="0">
      <selection activeCell="C14" sqref="C14"/>
    </sheetView>
  </sheetViews>
  <sheetFormatPr defaultRowHeight="12.75"/>
  <cols>
    <col min="1" max="1" width="5.7109375" customWidth="1"/>
    <col min="2" max="2" width="33.5703125" customWidth="1"/>
    <col min="3" max="3" width="12.7109375" customWidth="1"/>
    <col min="4" max="4" width="5.7109375" customWidth="1"/>
    <col min="6" max="6" width="9.7109375" bestFit="1" customWidth="1"/>
    <col min="7" max="7" width="5.7109375" customWidth="1"/>
    <col min="8" max="8" width="14.7109375" customWidth="1"/>
    <col min="9" max="9" width="6.85546875" customWidth="1"/>
  </cols>
  <sheetData>
    <row r="1" spans="1:9" ht="15.75">
      <c r="A1" s="102"/>
      <c r="B1" s="102"/>
      <c r="C1" s="102"/>
      <c r="D1" s="102"/>
      <c r="E1" s="102"/>
      <c r="F1" s="102"/>
      <c r="G1" s="102"/>
      <c r="H1" s="276" t="s">
        <v>394</v>
      </c>
      <c r="I1" s="276"/>
    </row>
    <row r="2" spans="1:9" ht="15.75">
      <c r="A2" s="102"/>
      <c r="B2" s="102"/>
      <c r="C2" s="102"/>
      <c r="D2" s="102"/>
      <c r="E2" s="102"/>
      <c r="F2" s="102"/>
      <c r="G2" s="102"/>
      <c r="H2" s="110" t="s">
        <v>693</v>
      </c>
      <c r="I2" s="110"/>
    </row>
    <row r="3" spans="1:9" ht="15">
      <c r="A3" s="102"/>
      <c r="B3" s="102"/>
      <c r="C3" s="102"/>
      <c r="D3" s="102"/>
      <c r="E3" s="102"/>
      <c r="F3" s="102"/>
      <c r="G3" s="102"/>
      <c r="H3" s="288" t="str">
        <f>FF1_Year</f>
        <v>Year Ending 12/31/2009</v>
      </c>
      <c r="I3" s="288"/>
    </row>
    <row r="4" spans="1:9" ht="15">
      <c r="A4" s="102"/>
      <c r="B4" s="102"/>
      <c r="C4" s="102"/>
      <c r="D4" s="102"/>
      <c r="E4" s="102"/>
      <c r="F4" s="102"/>
      <c r="G4" s="102"/>
      <c r="H4" s="102"/>
      <c r="I4" s="102"/>
    </row>
    <row r="5" spans="1:9" ht="15">
      <c r="A5" s="303" t="s">
        <v>395</v>
      </c>
      <c r="B5" s="303"/>
      <c r="C5" s="303"/>
      <c r="D5" s="303"/>
      <c r="E5" s="303"/>
      <c r="F5" s="303"/>
      <c r="G5" s="303"/>
      <c r="H5" s="303"/>
      <c r="I5" s="303"/>
    </row>
    <row r="6" spans="1:9" ht="15">
      <c r="A6" s="302" t="s">
        <v>466</v>
      </c>
      <c r="B6" s="302"/>
      <c r="C6" s="302"/>
      <c r="D6" s="302"/>
      <c r="E6" s="302"/>
      <c r="F6" s="302"/>
      <c r="G6" s="302"/>
      <c r="H6" s="302"/>
      <c r="I6" s="302"/>
    </row>
    <row r="7" spans="1:9" ht="15">
      <c r="A7" s="302" t="s">
        <v>539</v>
      </c>
      <c r="B7" s="302"/>
      <c r="C7" s="302"/>
      <c r="D7" s="302"/>
      <c r="E7" s="302"/>
      <c r="F7" s="302"/>
      <c r="G7" s="302"/>
      <c r="H7" s="302"/>
      <c r="I7" s="302"/>
    </row>
    <row r="8" spans="1:9" ht="15">
      <c r="A8" s="102"/>
      <c r="B8" s="102"/>
      <c r="C8" s="102"/>
      <c r="D8" s="102"/>
      <c r="E8" s="102"/>
      <c r="F8" s="102"/>
      <c r="G8" s="102"/>
      <c r="H8" s="102"/>
      <c r="I8" s="102"/>
    </row>
    <row r="9" spans="1:9" ht="15">
      <c r="A9" s="102"/>
      <c r="B9" s="102"/>
      <c r="C9" s="102"/>
      <c r="D9" s="102"/>
      <c r="E9" s="102"/>
      <c r="F9" s="102"/>
      <c r="G9" s="102"/>
      <c r="H9" s="102"/>
      <c r="I9" s="102"/>
    </row>
    <row r="10" spans="1:9" ht="15">
      <c r="A10" s="102"/>
      <c r="B10" s="102"/>
      <c r="C10" s="103" t="s">
        <v>392</v>
      </c>
      <c r="D10" s="104"/>
      <c r="E10" s="102"/>
      <c r="F10" s="102"/>
      <c r="G10" s="102"/>
      <c r="H10" s="102"/>
      <c r="I10" s="102"/>
    </row>
    <row r="11" spans="1:9" ht="15">
      <c r="A11" s="102"/>
      <c r="B11" s="102"/>
      <c r="C11" s="105">
        <v>39813</v>
      </c>
      <c r="D11" s="104"/>
      <c r="E11" s="302" t="s">
        <v>273</v>
      </c>
      <c r="F11" s="302"/>
      <c r="G11" s="102"/>
      <c r="H11" s="106" t="s">
        <v>443</v>
      </c>
      <c r="I11" s="102"/>
    </row>
    <row r="12" spans="1:9" ht="15">
      <c r="A12" s="102"/>
      <c r="B12" s="102"/>
      <c r="C12" s="103" t="s">
        <v>419</v>
      </c>
      <c r="D12" s="104"/>
      <c r="E12" s="102"/>
      <c r="F12" s="102"/>
      <c r="G12" s="102"/>
      <c r="H12" s="102"/>
      <c r="I12" s="102"/>
    </row>
    <row r="13" spans="1:9" ht="15">
      <c r="A13" s="102"/>
      <c r="B13" s="102"/>
      <c r="C13" s="107"/>
      <c r="D13" s="102"/>
      <c r="E13" s="102"/>
      <c r="F13" s="102"/>
      <c r="G13" s="102"/>
      <c r="H13" s="102"/>
      <c r="I13" s="102"/>
    </row>
    <row r="14" spans="1:9" ht="15">
      <c r="A14" s="102"/>
      <c r="B14" s="102" t="s">
        <v>540</v>
      </c>
      <c r="C14" s="249">
        <v>-5104263</v>
      </c>
      <c r="D14" s="107"/>
      <c r="E14" s="102" t="s">
        <v>324</v>
      </c>
      <c r="F14" s="108">
        <f>VLOOKUP(E14,Alloc_Table,2,FALSE)</f>
        <v>0</v>
      </c>
      <c r="G14" s="102"/>
      <c r="H14" s="107">
        <f>C14*F14</f>
        <v>0</v>
      </c>
      <c r="I14" s="102"/>
    </row>
    <row r="15" spans="1:9" ht="15">
      <c r="A15" s="102"/>
      <c r="B15" s="102" t="s">
        <v>541</v>
      </c>
      <c r="C15" s="249">
        <v>-127040</v>
      </c>
      <c r="D15" s="107"/>
      <c r="E15" s="102" t="s">
        <v>324</v>
      </c>
      <c r="F15" s="108">
        <f>VLOOKUP(E15,Alloc_Table,2,FALSE)</f>
        <v>0</v>
      </c>
      <c r="G15" s="102"/>
      <c r="H15" s="107">
        <f>C15*F15</f>
        <v>0</v>
      </c>
      <c r="I15" s="102"/>
    </row>
    <row r="16" spans="1:9" ht="15">
      <c r="A16" s="102"/>
      <c r="B16" s="102" t="s">
        <v>542</v>
      </c>
      <c r="C16" s="249">
        <v>-27928631</v>
      </c>
      <c r="D16" s="107"/>
      <c r="E16" s="102" t="s">
        <v>322</v>
      </c>
      <c r="F16" s="108">
        <f>VLOOKUP(E16,Alloc_Table,2,FALSE)</f>
        <v>4.5100020896118378E-2</v>
      </c>
      <c r="G16" s="102"/>
      <c r="H16" s="107">
        <f>C16*F16</f>
        <v>-1259581.8416999795</v>
      </c>
      <c r="I16" s="102"/>
    </row>
    <row r="17" spans="1:9" ht="15">
      <c r="A17" s="102"/>
      <c r="B17" s="102" t="s">
        <v>543</v>
      </c>
      <c r="C17" s="249">
        <v>-1561309</v>
      </c>
      <c r="D17" s="107"/>
      <c r="E17" s="102" t="s">
        <v>326</v>
      </c>
      <c r="F17" s="108">
        <f>VLOOKUP(E17,Alloc_Table,2,FALSE)</f>
        <v>0</v>
      </c>
      <c r="G17" s="102"/>
      <c r="H17" s="107">
        <f>C17*F17</f>
        <v>0</v>
      </c>
      <c r="I17" s="102"/>
    </row>
    <row r="18" spans="1:9" ht="15">
      <c r="A18" s="102"/>
      <c r="B18" s="102" t="s">
        <v>544</v>
      </c>
      <c r="C18" s="249">
        <v>0</v>
      </c>
      <c r="D18" s="107"/>
      <c r="E18" s="102" t="s">
        <v>324</v>
      </c>
      <c r="F18" s="108">
        <f>VLOOKUP(E18,Alloc_Table,2,FALSE)</f>
        <v>0</v>
      </c>
      <c r="G18" s="102"/>
      <c r="H18" s="107">
        <f>C18*F18</f>
        <v>0</v>
      </c>
      <c r="I18" s="102"/>
    </row>
    <row r="19" spans="1:9" ht="15">
      <c r="A19" s="102"/>
      <c r="B19" s="102"/>
      <c r="C19" s="109"/>
      <c r="D19" s="102"/>
      <c r="E19" s="102"/>
      <c r="F19" s="102"/>
      <c r="G19" s="102"/>
      <c r="H19" s="102"/>
      <c r="I19" s="102"/>
    </row>
    <row r="20" spans="1:9" ht="15">
      <c r="A20" s="102"/>
      <c r="B20" s="102" t="s">
        <v>545</v>
      </c>
      <c r="C20" s="107">
        <f>SUM(C14:C18)</f>
        <v>-34721243</v>
      </c>
      <c r="D20" s="107"/>
      <c r="E20" s="102"/>
      <c r="F20" s="102"/>
      <c r="G20" s="102"/>
      <c r="H20" s="107">
        <f>SUM(H14:H18)</f>
        <v>-1259581.8416999795</v>
      </c>
      <c r="I20" s="102"/>
    </row>
    <row r="21" spans="1:9" ht="15">
      <c r="A21" s="102"/>
      <c r="B21" s="102"/>
      <c r="C21" s="102"/>
      <c r="D21" s="102"/>
      <c r="E21" s="102"/>
      <c r="F21" s="102"/>
      <c r="G21" s="102"/>
      <c r="H21" s="102"/>
      <c r="I21" s="102"/>
    </row>
    <row r="22" spans="1:9">
      <c r="C22" s="45"/>
    </row>
  </sheetData>
  <mergeCells count="6">
    <mergeCell ref="A7:I7"/>
    <mergeCell ref="E11:F11"/>
    <mergeCell ref="H1:I1"/>
    <mergeCell ref="H3:I3"/>
    <mergeCell ref="A5:I5"/>
    <mergeCell ref="A6:I6"/>
  </mergeCells>
  <phoneticPr fontId="25" type="noConversion"/>
  <printOptions horizontalCentered="1"/>
  <pageMargins left="0.25" right="0.2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>
      <selection activeCell="I2" sqref="I2"/>
    </sheetView>
  </sheetViews>
  <sheetFormatPr defaultRowHeight="12.75"/>
  <cols>
    <col min="1" max="1" width="31.7109375" customWidth="1"/>
    <col min="2" max="2" width="11.85546875" bestFit="1" customWidth="1"/>
    <col min="3" max="4" width="14" bestFit="1" customWidth="1"/>
    <col min="5" max="5" width="10.28515625" bestFit="1" customWidth="1"/>
    <col min="6" max="6" width="34.140625" customWidth="1"/>
    <col min="7" max="7" width="15.42578125" customWidth="1"/>
    <col min="8" max="8" width="17.42578125" customWidth="1"/>
    <col min="9" max="9" width="15.5703125" customWidth="1"/>
  </cols>
  <sheetData>
    <row r="1" spans="1:9" ht="15">
      <c r="I1" s="14" t="s">
        <v>394</v>
      </c>
    </row>
    <row r="2" spans="1:9" ht="15">
      <c r="I2" s="14" t="s">
        <v>692</v>
      </c>
    </row>
    <row r="4" spans="1:9">
      <c r="A4" s="4" t="s">
        <v>691</v>
      </c>
    </row>
    <row r="5" spans="1:9">
      <c r="A5" t="s">
        <v>690</v>
      </c>
    </row>
    <row r="8" spans="1:9">
      <c r="A8" s="29" t="s">
        <v>689</v>
      </c>
    </row>
    <row r="9" spans="1:9">
      <c r="A9" s="64" t="s">
        <v>688</v>
      </c>
    </row>
    <row r="10" spans="1:9">
      <c r="A10" t="s">
        <v>687</v>
      </c>
    </row>
    <row r="11" spans="1:9">
      <c r="A11" t="s">
        <v>686</v>
      </c>
    </row>
    <row r="12" spans="1:9">
      <c r="A12" t="s">
        <v>685</v>
      </c>
    </row>
    <row r="13" spans="1:9">
      <c r="A13" t="s">
        <v>684</v>
      </c>
    </row>
    <row r="15" spans="1:9">
      <c r="A15" s="4" t="s">
        <v>683</v>
      </c>
    </row>
    <row r="17" spans="1:9">
      <c r="A17" t="s">
        <v>682</v>
      </c>
      <c r="C17" s="51">
        <v>1000000</v>
      </c>
    </row>
    <row r="18" spans="1:9">
      <c r="A18" t="s">
        <v>681</v>
      </c>
      <c r="C18" s="63" t="s">
        <v>680</v>
      </c>
    </row>
    <row r="19" spans="1:9">
      <c r="A19" t="s">
        <v>679</v>
      </c>
      <c r="B19" s="2" t="s">
        <v>677</v>
      </c>
      <c r="C19" s="62">
        <v>0.06</v>
      </c>
    </row>
    <row r="20" spans="1:9">
      <c r="A20" t="s">
        <v>678</v>
      </c>
      <c r="B20" s="2" t="s">
        <v>677</v>
      </c>
      <c r="C20" s="51">
        <f>+C17/5</f>
        <v>200000</v>
      </c>
      <c r="E20" s="62"/>
    </row>
    <row r="21" spans="1:9">
      <c r="E21" s="62"/>
    </row>
    <row r="22" spans="1:9">
      <c r="A22" s="61" t="s">
        <v>676</v>
      </c>
      <c r="B22" s="48"/>
      <c r="C22" s="48"/>
      <c r="D22" s="48"/>
      <c r="E22" s="62"/>
      <c r="F22" s="61" t="s">
        <v>675</v>
      </c>
      <c r="G22" s="48"/>
      <c r="H22" s="48"/>
      <c r="I22" s="48"/>
    </row>
    <row r="23" spans="1:9">
      <c r="F23" s="60" t="s">
        <v>674</v>
      </c>
      <c r="G23" s="15"/>
      <c r="H23" s="15"/>
      <c r="I23" s="15"/>
    </row>
    <row r="24" spans="1:9">
      <c r="A24" s="4" t="s">
        <v>670</v>
      </c>
      <c r="F24" s="60" t="s">
        <v>673</v>
      </c>
      <c r="G24" s="15"/>
      <c r="H24" s="15"/>
      <c r="I24" s="15"/>
    </row>
    <row r="25" spans="1:9">
      <c r="A25" s="59" t="s">
        <v>662</v>
      </c>
      <c r="B25" s="59" t="s">
        <v>661</v>
      </c>
      <c r="C25" s="59" t="s">
        <v>660</v>
      </c>
      <c r="D25" s="59" t="s">
        <v>659</v>
      </c>
      <c r="F25" s="60" t="s">
        <v>672</v>
      </c>
      <c r="G25" s="15"/>
      <c r="H25" s="15"/>
      <c r="I25" s="15"/>
    </row>
    <row r="26" spans="1:9">
      <c r="A26" t="s">
        <v>669</v>
      </c>
      <c r="B26" s="2">
        <v>101</v>
      </c>
      <c r="C26" s="51">
        <f>+C17</f>
        <v>1000000</v>
      </c>
      <c r="F26" s="60" t="s">
        <v>671</v>
      </c>
      <c r="G26" s="15"/>
      <c r="H26" s="15"/>
      <c r="I26" s="15"/>
    </row>
    <row r="27" spans="1:9">
      <c r="A27" t="s">
        <v>658</v>
      </c>
      <c r="B27" s="2">
        <v>252</v>
      </c>
      <c r="D27" s="51">
        <f>+C17</f>
        <v>1000000</v>
      </c>
      <c r="F27" s="15"/>
      <c r="G27" s="15"/>
      <c r="H27" s="15"/>
      <c r="I27" s="15"/>
    </row>
    <row r="28" spans="1:9">
      <c r="F28" s="4" t="s">
        <v>670</v>
      </c>
    </row>
    <row r="29" spans="1:9">
      <c r="F29" s="59" t="s">
        <v>662</v>
      </c>
      <c r="G29" s="59" t="s">
        <v>661</v>
      </c>
      <c r="H29" s="59" t="s">
        <v>660</v>
      </c>
      <c r="I29" s="59" t="s">
        <v>659</v>
      </c>
    </row>
    <row r="30" spans="1:9">
      <c r="F30" t="s">
        <v>669</v>
      </c>
      <c r="G30" s="2">
        <v>101</v>
      </c>
      <c r="H30" s="51">
        <f>-+G50</f>
        <v>1000000</v>
      </c>
    </row>
    <row r="31" spans="1:9">
      <c r="A31" s="4" t="s">
        <v>668</v>
      </c>
      <c r="F31" t="s">
        <v>658</v>
      </c>
      <c r="G31" s="2">
        <v>252</v>
      </c>
      <c r="I31" s="51">
        <f>+H30</f>
        <v>1000000</v>
      </c>
    </row>
    <row r="32" spans="1:9">
      <c r="A32" s="59" t="s">
        <v>662</v>
      </c>
      <c r="B32" s="59" t="s">
        <v>661</v>
      </c>
      <c r="C32" s="59" t="s">
        <v>660</v>
      </c>
      <c r="D32" s="59" t="s">
        <v>659</v>
      </c>
    </row>
    <row r="33" spans="1:9">
      <c r="A33" t="s">
        <v>657</v>
      </c>
      <c r="B33" s="2">
        <v>130</v>
      </c>
      <c r="C33" s="51"/>
      <c r="D33" s="50">
        <f>+C34+C35</f>
        <v>260000</v>
      </c>
      <c r="F33" s="4" t="s">
        <v>667</v>
      </c>
    </row>
    <row r="34" spans="1:9">
      <c r="A34" t="s">
        <v>658</v>
      </c>
      <c r="B34" s="2">
        <v>252</v>
      </c>
      <c r="C34" s="50">
        <f>+C20</f>
        <v>200000</v>
      </c>
      <c r="D34" s="51"/>
      <c r="F34" s="59" t="s">
        <v>662</v>
      </c>
      <c r="G34" s="59" t="s">
        <v>661</v>
      </c>
      <c r="H34" s="59" t="s">
        <v>660</v>
      </c>
      <c r="I34" s="59" t="s">
        <v>659</v>
      </c>
    </row>
    <row r="35" spans="1:9">
      <c r="A35" t="s">
        <v>666</v>
      </c>
      <c r="B35" s="2">
        <v>431</v>
      </c>
      <c r="C35" s="51">
        <f>+C26*0.06</f>
        <v>60000</v>
      </c>
      <c r="F35" t="s">
        <v>658</v>
      </c>
      <c r="G35" s="2">
        <v>252</v>
      </c>
      <c r="H35" s="50"/>
      <c r="I35" s="51">
        <f>+H36</f>
        <v>60000</v>
      </c>
    </row>
    <row r="36" spans="1:9">
      <c r="D36" s="50"/>
      <c r="F36" t="s">
        <v>665</v>
      </c>
      <c r="G36" s="2">
        <v>431</v>
      </c>
      <c r="H36" s="51">
        <f>+H30*0.06</f>
        <v>60000</v>
      </c>
    </row>
    <row r="37" spans="1:9">
      <c r="F37" t="s">
        <v>655</v>
      </c>
      <c r="G37" s="2">
        <v>182.3</v>
      </c>
      <c r="H37" s="50">
        <f>+H36</f>
        <v>60000</v>
      </c>
    </row>
    <row r="38" spans="1:9" ht="13.5" thickBot="1">
      <c r="A38" s="52"/>
      <c r="B38" s="56" t="s">
        <v>652</v>
      </c>
      <c r="C38" s="56"/>
      <c r="D38" s="56" t="s">
        <v>651</v>
      </c>
      <c r="F38" s="15" t="s">
        <v>653</v>
      </c>
      <c r="G38" s="25">
        <v>407.4</v>
      </c>
      <c r="H38" s="15"/>
      <c r="I38" s="57">
        <f>+H37</f>
        <v>60000</v>
      </c>
    </row>
    <row r="39" spans="1:9">
      <c r="B39" s="47"/>
      <c r="C39" s="47"/>
      <c r="D39" s="47"/>
      <c r="F39" s="15"/>
      <c r="G39" s="15"/>
      <c r="H39" s="15"/>
      <c r="I39" s="15"/>
    </row>
    <row r="40" spans="1:9">
      <c r="A40" s="58"/>
      <c r="B40" s="47"/>
      <c r="C40" s="47"/>
      <c r="D40" s="47"/>
      <c r="F40" s="4" t="s">
        <v>664</v>
      </c>
    </row>
    <row r="41" spans="1:9" ht="14.25">
      <c r="A41" s="4" t="s">
        <v>663</v>
      </c>
      <c r="B41" s="55">
        <f>+C26</f>
        <v>1000000</v>
      </c>
      <c r="C41" s="47"/>
      <c r="D41" s="47"/>
      <c r="F41" s="59" t="s">
        <v>662</v>
      </c>
      <c r="G41" s="59" t="s">
        <v>661</v>
      </c>
      <c r="H41" s="59" t="s">
        <v>660</v>
      </c>
      <c r="I41" s="59" t="s">
        <v>659</v>
      </c>
    </row>
    <row r="42" spans="1:9">
      <c r="A42" s="58"/>
      <c r="B42" s="47"/>
      <c r="C42" s="47"/>
      <c r="D42" s="47"/>
      <c r="F42" t="s">
        <v>658</v>
      </c>
      <c r="G42" s="2">
        <v>252</v>
      </c>
      <c r="H42" s="50">
        <f>+G65+I65</f>
        <v>1338225.5776</v>
      </c>
      <c r="I42" s="51"/>
    </row>
    <row r="43" spans="1:9">
      <c r="A43" t="s">
        <v>647</v>
      </c>
      <c r="B43" s="50">
        <f>-D27</f>
        <v>-1000000</v>
      </c>
      <c r="F43" t="s">
        <v>657</v>
      </c>
      <c r="G43" s="2">
        <v>131</v>
      </c>
      <c r="H43" s="51"/>
      <c r="I43" s="50">
        <f>+H42</f>
        <v>1338225.5776</v>
      </c>
    </row>
    <row r="44" spans="1:9" ht="15.75">
      <c r="A44" t="s">
        <v>656</v>
      </c>
      <c r="B44" s="50">
        <f>-C35</f>
        <v>-60000</v>
      </c>
      <c r="D44" s="50">
        <f>-B44</f>
        <v>60000</v>
      </c>
      <c r="F44" t="s">
        <v>655</v>
      </c>
      <c r="G44" s="2">
        <v>182.3</v>
      </c>
      <c r="H44" s="50"/>
      <c r="I44" s="50">
        <f>+I65</f>
        <v>338225.57759999996</v>
      </c>
    </row>
    <row r="45" spans="1:9" ht="15.75">
      <c r="A45" t="s">
        <v>654</v>
      </c>
      <c r="B45" s="50">
        <f>+D33</f>
        <v>260000</v>
      </c>
      <c r="F45" s="15" t="s">
        <v>653</v>
      </c>
      <c r="G45" s="25">
        <v>407.3</v>
      </c>
      <c r="H45" s="57">
        <f>+I44</f>
        <v>338225.57759999996</v>
      </c>
      <c r="I45" s="57"/>
    </row>
    <row r="46" spans="1:9" ht="15" thickBot="1">
      <c r="A46" s="4" t="s">
        <v>642</v>
      </c>
      <c r="B46" s="49">
        <f>SUM(B43:B45)</f>
        <v>-800000</v>
      </c>
      <c r="C46" s="4"/>
      <c r="D46" s="49">
        <f>+-B44</f>
        <v>60000</v>
      </c>
      <c r="F46" s="15"/>
      <c r="G46" s="25"/>
      <c r="H46" s="57"/>
      <c r="I46" s="57"/>
    </row>
    <row r="47" spans="1:9" ht="14.25" thickTop="1" thickBot="1">
      <c r="F47" s="52"/>
      <c r="G47" s="56" t="s">
        <v>652</v>
      </c>
      <c r="H47" s="56"/>
      <c r="I47" s="56" t="s">
        <v>651</v>
      </c>
    </row>
    <row r="48" spans="1:9" ht="14.25">
      <c r="A48" s="4" t="s">
        <v>650</v>
      </c>
      <c r="B48" s="55">
        <f>+B41</f>
        <v>1000000</v>
      </c>
    </row>
    <row r="49" spans="1:9" ht="15" thickBot="1">
      <c r="A49" s="4" t="s">
        <v>649</v>
      </c>
      <c r="B49" s="54">
        <f>+-B48/40</f>
        <v>-25000</v>
      </c>
      <c r="F49" s="53" t="s">
        <v>648</v>
      </c>
      <c r="G49" s="52"/>
    </row>
    <row r="50" spans="1:9">
      <c r="F50" t="str">
        <f>+A51</f>
        <v>BEGINNING BAL.</v>
      </c>
      <c r="G50" s="50">
        <f>+B43</f>
        <v>-1000000</v>
      </c>
    </row>
    <row r="51" spans="1:9" ht="15.75">
      <c r="A51" t="s">
        <v>647</v>
      </c>
      <c r="B51" s="50">
        <f>+B46</f>
        <v>-800000</v>
      </c>
      <c r="F51" t="s">
        <v>646</v>
      </c>
      <c r="G51" s="51">
        <f>+G50*0.06</f>
        <v>-60000</v>
      </c>
      <c r="I51" s="50">
        <f>+G51</f>
        <v>-60000</v>
      </c>
    </row>
    <row r="52" spans="1:9" ht="15.75">
      <c r="A52" t="s">
        <v>645</v>
      </c>
      <c r="B52" s="50">
        <f>+B51*0.06</f>
        <v>-48000</v>
      </c>
      <c r="D52" s="50">
        <f>-B52</f>
        <v>48000</v>
      </c>
      <c r="F52" t="s">
        <v>644</v>
      </c>
      <c r="G52" s="51">
        <f>-G51</f>
        <v>60000</v>
      </c>
      <c r="I52" s="50">
        <f>+G52</f>
        <v>60000</v>
      </c>
    </row>
    <row r="53" spans="1:9" ht="16.5" thickBot="1">
      <c r="A53" t="s">
        <v>643</v>
      </c>
      <c r="B53" s="50">
        <f>200000+48000</f>
        <v>248000</v>
      </c>
      <c r="F53" s="4" t="s">
        <v>642</v>
      </c>
      <c r="G53" s="49">
        <f>SUM(G50:G52)</f>
        <v>-1000000</v>
      </c>
      <c r="H53" s="4"/>
      <c r="I53" s="49">
        <f>SUM(I51:I52)</f>
        <v>0</v>
      </c>
    </row>
    <row r="54" spans="1:9" ht="17.25" thickTop="1" thickBot="1">
      <c r="A54" s="4" t="s">
        <v>639</v>
      </c>
      <c r="B54" s="49">
        <f>SUM(B51:B53)</f>
        <v>-600000</v>
      </c>
      <c r="C54" s="4"/>
      <c r="D54" s="49">
        <f>+-B52</f>
        <v>48000</v>
      </c>
      <c r="F54" t="s">
        <v>641</v>
      </c>
      <c r="G54" s="51">
        <f>(+G53+G51)*0.06</f>
        <v>-63600</v>
      </c>
      <c r="I54" s="50">
        <f>+G54</f>
        <v>-63600</v>
      </c>
    </row>
    <row r="55" spans="1:9" ht="16.5" thickTop="1">
      <c r="A55" s="48"/>
      <c r="B55" s="48"/>
      <c r="C55" s="48"/>
      <c r="D55" s="48"/>
      <c r="F55" t="s">
        <v>640</v>
      </c>
      <c r="G55" s="51">
        <f>-G54</f>
        <v>63600</v>
      </c>
      <c r="I55" s="50">
        <f>+G55</f>
        <v>63600</v>
      </c>
    </row>
    <row r="56" spans="1:9" s="15" customFormat="1" ht="15" thickBot="1">
      <c r="F56" s="4" t="s">
        <v>639</v>
      </c>
      <c r="G56" s="49">
        <f>SUM(G53:G55)</f>
        <v>-1000000</v>
      </c>
      <c r="H56" s="4"/>
      <c r="I56" s="49">
        <f>SUM(I54:I55)</f>
        <v>0</v>
      </c>
    </row>
    <row r="57" spans="1:9" s="15" customFormat="1" ht="16.5" thickTop="1">
      <c r="F57" t="s">
        <v>638</v>
      </c>
      <c r="G57" s="51">
        <f>(+G56+G54+G51)*0.06</f>
        <v>-67416</v>
      </c>
      <c r="H57"/>
      <c r="I57" s="50">
        <f>+G57</f>
        <v>-67416</v>
      </c>
    </row>
    <row r="58" spans="1:9" s="15" customFormat="1" ht="15.75">
      <c r="F58" t="s">
        <v>637</v>
      </c>
      <c r="G58" s="51">
        <f>-G57</f>
        <v>67416</v>
      </c>
      <c r="H58"/>
      <c r="I58" s="50">
        <f>+G58</f>
        <v>67416</v>
      </c>
    </row>
    <row r="59" spans="1:9" s="15" customFormat="1" ht="15" thickBot="1">
      <c r="F59" s="4" t="s">
        <v>636</v>
      </c>
      <c r="G59" s="49">
        <f>SUM(G56:G58)</f>
        <v>-1000000</v>
      </c>
      <c r="H59" s="4"/>
      <c r="I59" s="49">
        <f>SUM(I57:I58)</f>
        <v>0</v>
      </c>
    </row>
    <row r="60" spans="1:9" s="15" customFormat="1" ht="16.5" thickTop="1">
      <c r="F60" t="s">
        <v>635</v>
      </c>
      <c r="G60" s="51">
        <f>(+G59+G57+G54+G51)*0.06</f>
        <v>-71460.959999999992</v>
      </c>
      <c r="H60"/>
      <c r="I60" s="50">
        <f>+G60</f>
        <v>-71460.959999999992</v>
      </c>
    </row>
    <row r="61" spans="1:9" ht="15.75">
      <c r="F61" t="s">
        <v>634</v>
      </c>
      <c r="G61" s="51">
        <f>-G60</f>
        <v>71460.959999999992</v>
      </c>
      <c r="I61" s="50">
        <f>+G61</f>
        <v>71460.959999999992</v>
      </c>
    </row>
    <row r="62" spans="1:9" ht="15" thickBot="1">
      <c r="F62" s="4" t="s">
        <v>633</v>
      </c>
      <c r="G62" s="49">
        <f>SUM(G59:G61)</f>
        <v>-1000000</v>
      </c>
      <c r="H62" s="4"/>
      <c r="I62" s="49">
        <f>SUM(I60:I61)</f>
        <v>0</v>
      </c>
    </row>
    <row r="63" spans="1:9" ht="16.5" thickTop="1">
      <c r="F63" t="s">
        <v>632</v>
      </c>
      <c r="G63" s="51">
        <f>(+G62+G60+G57+G54+G51)*0.06</f>
        <v>-75748.617599999998</v>
      </c>
      <c r="I63" s="50">
        <f>+G63</f>
        <v>-75748.617599999998</v>
      </c>
    </row>
    <row r="64" spans="1:9" ht="15.75">
      <c r="F64" t="s">
        <v>631</v>
      </c>
      <c r="G64" s="51">
        <f>-G63</f>
        <v>75748.617599999998</v>
      </c>
      <c r="I64" s="50">
        <f>+G64</f>
        <v>75748.617599999998</v>
      </c>
    </row>
    <row r="65" spans="6:9" ht="15.75">
      <c r="F65" t="s">
        <v>630</v>
      </c>
      <c r="G65" s="51">
        <f>+-G62</f>
        <v>1000000</v>
      </c>
      <c r="I65" s="50">
        <f>+I52+I55+I58+I61+I64</f>
        <v>338225.57759999996</v>
      </c>
    </row>
    <row r="66" spans="6:9" ht="15" thickBot="1">
      <c r="F66" s="4" t="s">
        <v>629</v>
      </c>
      <c r="G66" s="49">
        <f>SUM(G62:G65)</f>
        <v>0</v>
      </c>
      <c r="H66" s="4"/>
      <c r="I66" s="49">
        <f>SUM(I63:I65)</f>
        <v>338225.57759999996</v>
      </c>
    </row>
    <row r="67" spans="6:9" ht="13.5" thickTop="1">
      <c r="F67" s="48"/>
      <c r="G67" s="48"/>
      <c r="H67" s="48"/>
      <c r="I67" s="48"/>
    </row>
    <row r="71" spans="6:9" s="15" customFormat="1"/>
    <row r="72" spans="6:9" s="15" customFormat="1"/>
    <row r="78" spans="6:9" s="15" customFormat="1"/>
    <row r="79" spans="6:9" s="15" customFormat="1"/>
    <row r="80" spans="6:9" s="15" customFormat="1"/>
  </sheetData>
  <phoneticPr fontId="25" type="noConversion"/>
  <pageMargins left="0.75" right="0.75" top="0.2" bottom="0.18" header="0.17" footer="0.17"/>
  <pageSetup scale="6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J25"/>
  <sheetViews>
    <sheetView workbookViewId="0">
      <selection activeCell="G27" sqref="G27"/>
    </sheetView>
  </sheetViews>
  <sheetFormatPr defaultRowHeight="12.75"/>
  <cols>
    <col min="1" max="1" width="5.7109375" customWidth="1"/>
    <col min="2" max="2" width="4.7109375" customWidth="1"/>
    <col min="6" max="12" width="12.7109375" customWidth="1"/>
  </cols>
  <sheetData>
    <row r="1" spans="1:10">
      <c r="A1" s="4" t="s">
        <v>395</v>
      </c>
    </row>
    <row r="2" spans="1:10" ht="6" customHeight="1"/>
    <row r="3" spans="1:10">
      <c r="A3" t="s">
        <v>19</v>
      </c>
    </row>
    <row r="6" spans="1:10">
      <c r="A6" s="29" t="s">
        <v>384</v>
      </c>
      <c r="F6" s="30">
        <v>2008</v>
      </c>
      <c r="G6" s="30">
        <v>2009</v>
      </c>
      <c r="H6" s="30">
        <v>2010</v>
      </c>
      <c r="I6" s="30">
        <v>2011</v>
      </c>
      <c r="J6" s="30">
        <v>2012</v>
      </c>
    </row>
    <row r="8" spans="1:10">
      <c r="A8" s="5">
        <f>ROW(A8)-7</f>
        <v>1</v>
      </c>
      <c r="B8" t="s">
        <v>20</v>
      </c>
      <c r="F8" s="1" t="e">
        <f>#REF!</f>
        <v>#REF!</v>
      </c>
      <c r="G8" s="1" t="e">
        <f>F8</f>
        <v>#REF!</v>
      </c>
      <c r="H8" s="1" t="e">
        <f>G8</f>
        <v>#REF!</v>
      </c>
      <c r="I8" s="1" t="e">
        <f>H8</f>
        <v>#REF!</v>
      </c>
      <c r="J8" s="1" t="e">
        <f>I8</f>
        <v>#REF!</v>
      </c>
    </row>
    <row r="9" spans="1:10">
      <c r="A9" s="5">
        <f t="shared" ref="A9:A25" si="0">ROW(A9)-7</f>
        <v>2</v>
      </c>
      <c r="C9" s="31" t="s">
        <v>386</v>
      </c>
      <c r="D9" s="31"/>
      <c r="E9" s="31"/>
      <c r="F9" s="32">
        <v>0</v>
      </c>
      <c r="G9" s="32" t="e">
        <f>-F25</f>
        <v>#REF!</v>
      </c>
      <c r="H9" s="32" t="e">
        <f>-G25</f>
        <v>#REF!</v>
      </c>
      <c r="I9" s="32" t="e">
        <f>-H25</f>
        <v>#REF!</v>
      </c>
      <c r="J9" s="32" t="e">
        <f>-I25</f>
        <v>#REF!</v>
      </c>
    </row>
    <row r="10" spans="1:10">
      <c r="A10" s="5">
        <f t="shared" si="0"/>
        <v>3</v>
      </c>
      <c r="C10" t="s">
        <v>385</v>
      </c>
      <c r="F10" s="1" t="e">
        <f>F8+F9</f>
        <v>#REF!</v>
      </c>
      <c r="G10" s="1" t="e">
        <f>G8+G9</f>
        <v>#REF!</v>
      </c>
      <c r="H10" s="1" t="e">
        <f>H8+H9</f>
        <v>#REF!</v>
      </c>
      <c r="I10" s="1" t="e">
        <f>I8+I9</f>
        <v>#REF!</v>
      </c>
      <c r="J10" s="1" t="e">
        <f>J8+J9</f>
        <v>#REF!</v>
      </c>
    </row>
    <row r="11" spans="1:10">
      <c r="A11" s="5">
        <f t="shared" si="0"/>
        <v>4</v>
      </c>
      <c r="F11" s="1"/>
    </row>
    <row r="12" spans="1:10">
      <c r="A12" s="5">
        <f t="shared" si="0"/>
        <v>5</v>
      </c>
      <c r="B12" t="s">
        <v>21</v>
      </c>
      <c r="F12" s="1">
        <v>39297.162319895331</v>
      </c>
      <c r="G12" s="1">
        <v>39992.954198892476</v>
      </c>
      <c r="H12" s="1">
        <v>40707.042758020136</v>
      </c>
      <c r="I12" s="1">
        <v>41515.333886047942</v>
      </c>
      <c r="J12" s="1">
        <v>42312.847078351857</v>
      </c>
    </row>
    <row r="13" spans="1:10">
      <c r="A13" s="5">
        <f t="shared" si="0"/>
        <v>6</v>
      </c>
      <c r="F13" s="1"/>
    </row>
    <row r="14" spans="1:10" ht="13.5" thickBot="1">
      <c r="A14" s="5">
        <f t="shared" si="0"/>
        <v>7</v>
      </c>
    </row>
    <row r="15" spans="1:10" ht="20.100000000000001" customHeight="1" thickBot="1">
      <c r="A15" s="5">
        <f t="shared" si="0"/>
        <v>8</v>
      </c>
      <c r="B15" s="33" t="s">
        <v>388</v>
      </c>
      <c r="C15" s="33"/>
      <c r="D15" s="33"/>
      <c r="E15" s="33"/>
      <c r="F15" s="33" t="e">
        <f>F10/F12</f>
        <v>#REF!</v>
      </c>
      <c r="G15" s="33" t="e">
        <f>G10/G12</f>
        <v>#REF!</v>
      </c>
      <c r="H15" s="33" t="e">
        <f>H10/H12</f>
        <v>#REF!</v>
      </c>
      <c r="I15" s="33" t="e">
        <f>I10/I12</f>
        <v>#REF!</v>
      </c>
      <c r="J15" s="33" t="e">
        <f>J10/J12</f>
        <v>#REF!</v>
      </c>
    </row>
    <row r="16" spans="1:10">
      <c r="A16" s="5">
        <f t="shared" si="0"/>
        <v>9</v>
      </c>
    </row>
    <row r="17" spans="1:10">
      <c r="A17" s="5">
        <f t="shared" si="0"/>
        <v>10</v>
      </c>
    </row>
    <row r="18" spans="1:10">
      <c r="A18" s="5">
        <f t="shared" si="0"/>
        <v>11</v>
      </c>
      <c r="B18" t="s">
        <v>22</v>
      </c>
    </row>
    <row r="19" spans="1:10">
      <c r="A19" s="5">
        <f t="shared" si="0"/>
        <v>12</v>
      </c>
    </row>
    <row r="20" spans="1:10">
      <c r="A20" s="5">
        <f t="shared" si="0"/>
        <v>13</v>
      </c>
      <c r="C20" t="s">
        <v>387</v>
      </c>
      <c r="F20" s="1" t="e">
        <f>F12*F15</f>
        <v>#REF!</v>
      </c>
      <c r="G20" s="1" t="e">
        <f>G12*G15</f>
        <v>#REF!</v>
      </c>
      <c r="H20" s="1" t="e">
        <f>H12*H15</f>
        <v>#REF!</v>
      </c>
      <c r="I20" s="1" t="e">
        <f>I12*I15</f>
        <v>#REF!</v>
      </c>
      <c r="J20" s="1" t="e">
        <f>J12*J15</f>
        <v>#REF!</v>
      </c>
    </row>
    <row r="21" spans="1:10">
      <c r="A21" s="5">
        <f t="shared" si="0"/>
        <v>14</v>
      </c>
      <c r="C21" t="s">
        <v>389</v>
      </c>
      <c r="F21" s="1" t="e">
        <f>3000*F15</f>
        <v>#REF!</v>
      </c>
      <c r="G21" s="1" t="e">
        <f>3000*G15</f>
        <v>#REF!</v>
      </c>
      <c r="H21" s="1" t="e">
        <f>3000*H15</f>
        <v>#REF!</v>
      </c>
      <c r="I21" s="1" t="e">
        <f>3000*I15</f>
        <v>#REF!</v>
      </c>
      <c r="J21" s="1" t="e">
        <f>3000*J15</f>
        <v>#REF!</v>
      </c>
    </row>
    <row r="22" spans="1:10">
      <c r="A22" s="5">
        <f t="shared" si="0"/>
        <v>15</v>
      </c>
    </row>
    <row r="23" spans="1:10">
      <c r="A23" s="5">
        <f t="shared" si="0"/>
        <v>16</v>
      </c>
      <c r="C23" s="38" t="s">
        <v>23</v>
      </c>
      <c r="D23" s="34"/>
      <c r="E23" s="34"/>
      <c r="F23" s="1" t="e">
        <f>F20+F21</f>
        <v>#REF!</v>
      </c>
      <c r="G23" s="1" t="e">
        <f>G20+G21</f>
        <v>#REF!</v>
      </c>
      <c r="H23" s="1" t="e">
        <f>H20+H21</f>
        <v>#REF!</v>
      </c>
      <c r="I23" s="1" t="e">
        <f>I20+I21</f>
        <v>#REF!</v>
      </c>
      <c r="J23" s="1" t="e">
        <f>J20+J21</f>
        <v>#REF!</v>
      </c>
    </row>
    <row r="24" spans="1:10" ht="13.5" thickBot="1">
      <c r="A24" s="5">
        <f t="shared" si="0"/>
        <v>17</v>
      </c>
    </row>
    <row r="25" spans="1:10" ht="13.5" thickBot="1">
      <c r="A25" s="5">
        <f t="shared" si="0"/>
        <v>18</v>
      </c>
      <c r="C25" s="31" t="s">
        <v>472</v>
      </c>
      <c r="D25" s="35"/>
      <c r="E25" s="35"/>
      <c r="F25" s="36" t="e">
        <f>F23-F10</f>
        <v>#REF!</v>
      </c>
      <c r="G25" s="36" t="e">
        <f>G23-G10</f>
        <v>#REF!</v>
      </c>
      <c r="H25" s="36" t="e">
        <f>H23-H10</f>
        <v>#REF!</v>
      </c>
      <c r="I25" s="36" t="e">
        <f>I23-I10</f>
        <v>#REF!</v>
      </c>
      <c r="J25" s="37" t="e">
        <f>J23-J10</f>
        <v>#REF!</v>
      </c>
    </row>
  </sheetData>
  <phoneticPr fontId="10" type="noConversion"/>
  <pageMargins left="0.75" right="0.75" top="1" bottom="1" header="0.5" footer="0.5"/>
  <pageSetup scale="9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69"/>
  <sheetViews>
    <sheetView workbookViewId="0">
      <selection activeCell="H29" sqref="H29"/>
    </sheetView>
  </sheetViews>
  <sheetFormatPr defaultRowHeight="12.75"/>
  <cols>
    <col min="1" max="1" width="4.7109375" customWidth="1"/>
    <col min="3" max="3" width="3.7109375" customWidth="1"/>
    <col min="4" max="4" width="39.28515625" customWidth="1"/>
    <col min="5" max="5" width="12.7109375" customWidth="1"/>
    <col min="6" max="6" width="13.42578125" customWidth="1"/>
    <col min="7" max="7" width="5.7109375" customWidth="1"/>
    <col min="8" max="10" width="12.7109375" customWidth="1"/>
  </cols>
  <sheetData>
    <row r="1" spans="1:10">
      <c r="A1" s="4" t="s">
        <v>184</v>
      </c>
    </row>
    <row r="2" spans="1:10" ht="6" customHeight="1"/>
    <row r="3" spans="1:10">
      <c r="A3" t="s">
        <v>320</v>
      </c>
    </row>
    <row r="4" spans="1:10">
      <c r="A4" t="s">
        <v>244</v>
      </c>
    </row>
    <row r="6" spans="1:10" ht="27.95" customHeight="1">
      <c r="B6" s="18" t="s">
        <v>250</v>
      </c>
      <c r="C6" s="274" t="s">
        <v>281</v>
      </c>
      <c r="D6" s="274"/>
      <c r="E6" s="274"/>
      <c r="F6" s="274"/>
      <c r="H6" s="17" t="s">
        <v>245</v>
      </c>
      <c r="I6" s="17" t="s">
        <v>246</v>
      </c>
      <c r="J6" s="17" t="s">
        <v>276</v>
      </c>
    </row>
    <row r="8" spans="1:10">
      <c r="B8" s="8" t="s">
        <v>249</v>
      </c>
      <c r="C8" s="4" t="s">
        <v>283</v>
      </c>
      <c r="H8" s="1">
        <v>1465.2321957621527</v>
      </c>
      <c r="I8" s="8" t="s">
        <v>247</v>
      </c>
      <c r="J8" s="8" t="s">
        <v>247</v>
      </c>
    </row>
    <row r="9" spans="1:10">
      <c r="C9" s="4"/>
      <c r="H9" s="1"/>
    </row>
    <row r="10" spans="1:10">
      <c r="B10" s="8" t="s">
        <v>251</v>
      </c>
      <c r="C10" s="4" t="s">
        <v>284</v>
      </c>
      <c r="H10" s="1"/>
      <c r="I10" s="1"/>
      <c r="J10" s="1"/>
    </row>
    <row r="11" spans="1:10">
      <c r="C11" s="4"/>
      <c r="D11" s="21" t="s">
        <v>285</v>
      </c>
      <c r="E11" t="s">
        <v>288</v>
      </c>
      <c r="F11" s="1">
        <v>0</v>
      </c>
      <c r="H11" s="1"/>
    </row>
    <row r="12" spans="1:10">
      <c r="C12" s="4"/>
      <c r="D12" s="21" t="s">
        <v>286</v>
      </c>
      <c r="E12" t="s">
        <v>289</v>
      </c>
      <c r="F12" s="1">
        <v>0</v>
      </c>
      <c r="H12" s="1"/>
    </row>
    <row r="13" spans="1:10">
      <c r="C13" s="4"/>
      <c r="D13" s="21" t="s">
        <v>287</v>
      </c>
      <c r="E13" t="s">
        <v>290</v>
      </c>
      <c r="F13" s="1">
        <v>0</v>
      </c>
      <c r="H13" s="1"/>
    </row>
    <row r="14" spans="1:10">
      <c r="C14" s="4"/>
      <c r="D14" s="21" t="s">
        <v>293</v>
      </c>
      <c r="E14" t="s">
        <v>292</v>
      </c>
      <c r="F14" s="1">
        <v>0</v>
      </c>
      <c r="H14" s="1"/>
    </row>
    <row r="15" spans="1:10">
      <c r="C15" s="4"/>
      <c r="D15" t="s">
        <v>291</v>
      </c>
      <c r="E15" t="s">
        <v>294</v>
      </c>
      <c r="F15" s="1">
        <v>0</v>
      </c>
      <c r="H15" s="1"/>
    </row>
    <row r="16" spans="1:10">
      <c r="C16" s="4"/>
      <c r="H16" s="1"/>
    </row>
    <row r="17" spans="2:10">
      <c r="B17" s="8" t="s">
        <v>261</v>
      </c>
      <c r="C17" s="4" t="s">
        <v>295</v>
      </c>
      <c r="H17" s="1">
        <v>1437</v>
      </c>
      <c r="I17" s="1">
        <f>H17-H8</f>
        <v>-28.232195762152742</v>
      </c>
      <c r="J17" s="1">
        <f>SUM(I$10:I17)</f>
        <v>-28.232195762152742</v>
      </c>
    </row>
    <row r="18" spans="2:10">
      <c r="C18" s="4"/>
      <c r="D18" t="s">
        <v>141</v>
      </c>
      <c r="E18" t="s">
        <v>296</v>
      </c>
      <c r="F18" s="22">
        <v>0.11</v>
      </c>
      <c r="H18" s="1"/>
    </row>
    <row r="19" spans="2:10">
      <c r="C19" s="4"/>
      <c r="F19" s="15"/>
      <c r="H19" s="1"/>
    </row>
    <row r="20" spans="2:10">
      <c r="B20" s="8" t="s">
        <v>265</v>
      </c>
      <c r="C20" s="4" t="s">
        <v>297</v>
      </c>
      <c r="F20" s="15"/>
      <c r="H20" s="1">
        <v>1435</v>
      </c>
      <c r="I20" s="1">
        <f>H20-H17</f>
        <v>-2</v>
      </c>
      <c r="J20" s="1">
        <f>SUM(I$10:I20)</f>
        <v>-30.232195762152742</v>
      </c>
    </row>
    <row r="21" spans="2:10">
      <c r="C21" s="4"/>
      <c r="D21" t="s">
        <v>221</v>
      </c>
      <c r="E21" t="s">
        <v>298</v>
      </c>
      <c r="F21" s="23">
        <v>10457887.970000001</v>
      </c>
      <c r="H21" s="1"/>
    </row>
    <row r="22" spans="2:10">
      <c r="C22" s="4"/>
      <c r="F22" s="15"/>
      <c r="H22" s="1"/>
    </row>
    <row r="23" spans="2:10">
      <c r="B23" s="8" t="s">
        <v>268</v>
      </c>
      <c r="C23" s="4" t="s">
        <v>299</v>
      </c>
      <c r="F23" s="15"/>
      <c r="H23" s="1">
        <v>1420.3349170499534</v>
      </c>
      <c r="I23" s="1">
        <f>H23-H20</f>
        <v>-14.665082950046553</v>
      </c>
      <c r="J23" s="1">
        <f>SUM(I$10:I23)</f>
        <v>-44.897278712199295</v>
      </c>
    </row>
    <row r="24" spans="2:10">
      <c r="C24" s="4"/>
      <c r="D24" t="s">
        <v>273</v>
      </c>
      <c r="E24" t="s">
        <v>259</v>
      </c>
      <c r="F24" s="24">
        <f>'PEC - 2 - Page 3 Rev Reqt'!I41</f>
        <v>9.0710180997676554E-2</v>
      </c>
    </row>
    <row r="25" spans="2:10">
      <c r="C25" s="4"/>
      <c r="H25" s="1"/>
    </row>
    <row r="26" spans="2:10">
      <c r="B26" s="8" t="s">
        <v>272</v>
      </c>
      <c r="C26" s="4" t="s">
        <v>340</v>
      </c>
      <c r="H26" s="1">
        <v>1417.4809728127789</v>
      </c>
      <c r="I26" s="1">
        <f>H26-H23</f>
        <v>-2.8539442371745736</v>
      </c>
      <c r="J26" s="1">
        <f>SUM(I$10:I26)</f>
        <v>-47.751222949373869</v>
      </c>
    </row>
    <row r="27" spans="2:10">
      <c r="C27" s="4"/>
      <c r="D27" s="15" t="s">
        <v>300</v>
      </c>
      <c r="E27" t="s">
        <v>301</v>
      </c>
      <c r="F27" s="23">
        <v>-373252.73524551681</v>
      </c>
    </row>
    <row r="28" spans="2:10">
      <c r="C28" s="4"/>
      <c r="H28" s="1"/>
    </row>
    <row r="29" spans="2:10">
      <c r="B29" s="8" t="s">
        <v>277</v>
      </c>
      <c r="C29" s="4" t="s">
        <v>302</v>
      </c>
      <c r="H29" s="1">
        <v>1400.1730411476467</v>
      </c>
      <c r="I29" s="1">
        <f>H29-H26</f>
        <v>-17.307931665132173</v>
      </c>
      <c r="J29" s="1">
        <f>SUM(I$10:I29)</f>
        <v>-65.059154614506042</v>
      </c>
    </row>
    <row r="30" spans="2:10">
      <c r="C30" s="4"/>
      <c r="D30" t="s">
        <v>305</v>
      </c>
      <c r="E30" t="s">
        <v>306</v>
      </c>
      <c r="F30" s="1">
        <v>3452109</v>
      </c>
      <c r="H30" s="1"/>
    </row>
    <row r="31" spans="2:10">
      <c r="C31" s="4"/>
      <c r="D31" t="s">
        <v>307</v>
      </c>
      <c r="E31" t="s">
        <v>308</v>
      </c>
      <c r="F31" s="24">
        <v>0.95836730786876501</v>
      </c>
      <c r="H31" s="1"/>
    </row>
    <row r="32" spans="2:10">
      <c r="C32" s="4"/>
      <c r="D32" t="s">
        <v>304</v>
      </c>
      <c r="E32" t="s">
        <v>309</v>
      </c>
      <c r="F32" s="1" t="e">
        <f>'PEC - 2 - Page 4 Support'!#REF!</f>
        <v>#REF!</v>
      </c>
      <c r="H32" s="1"/>
    </row>
    <row r="33" spans="2:10">
      <c r="C33" s="4"/>
      <c r="D33" t="s">
        <v>311</v>
      </c>
      <c r="E33" t="s">
        <v>310</v>
      </c>
      <c r="F33" s="24">
        <v>0.95836730786876501</v>
      </c>
      <c r="H33" s="1"/>
    </row>
    <row r="34" spans="2:10">
      <c r="C34" s="4"/>
      <c r="H34" s="1"/>
    </row>
    <row r="35" spans="2:10">
      <c r="B35" s="8" t="s">
        <v>312</v>
      </c>
      <c r="C35" s="4" t="s">
        <v>331</v>
      </c>
      <c r="H35" s="1">
        <v>1391.931020593079</v>
      </c>
      <c r="I35" s="1">
        <f>H35-H29</f>
        <v>-8.2420205545677163</v>
      </c>
      <c r="J35" s="1">
        <f>I35+J29</f>
        <v>-73.301175169073758</v>
      </c>
    </row>
    <row r="36" spans="2:10">
      <c r="C36" s="4"/>
      <c r="D36" t="s">
        <v>81</v>
      </c>
      <c r="E36" t="s">
        <v>330</v>
      </c>
      <c r="F36" s="1">
        <v>-62704500.485162988</v>
      </c>
      <c r="H36" s="1"/>
    </row>
    <row r="37" spans="2:10">
      <c r="C37" s="4"/>
      <c r="H37" s="1"/>
    </row>
    <row r="38" spans="2:10">
      <c r="B38" s="8" t="s">
        <v>333</v>
      </c>
      <c r="C38" s="4" t="s">
        <v>334</v>
      </c>
      <c r="H38" s="1">
        <v>1391.2555018875473</v>
      </c>
      <c r="I38" s="1">
        <f>H38-H35</f>
        <v>-0.67551870553165827</v>
      </c>
      <c r="J38" s="1">
        <f>I38+J35</f>
        <v>-73.976693874605417</v>
      </c>
    </row>
    <row r="39" spans="2:10">
      <c r="C39" s="4"/>
      <c r="D39" t="s">
        <v>336</v>
      </c>
      <c r="E39" t="s">
        <v>337</v>
      </c>
      <c r="F39" s="1">
        <v>2713334</v>
      </c>
      <c r="H39" s="1"/>
    </row>
    <row r="40" spans="2:10">
      <c r="C40" s="4"/>
      <c r="D40" t="s">
        <v>338</v>
      </c>
      <c r="E40" t="s">
        <v>339</v>
      </c>
      <c r="F40" s="1">
        <v>132153</v>
      </c>
      <c r="H40" s="1"/>
    </row>
    <row r="41" spans="2:10">
      <c r="C41" s="4"/>
      <c r="H41" s="1"/>
    </row>
    <row r="42" spans="2:10">
      <c r="B42" s="8" t="s">
        <v>332</v>
      </c>
      <c r="C42" s="4" t="s">
        <v>313</v>
      </c>
      <c r="E42" t="s">
        <v>319</v>
      </c>
      <c r="H42" s="1">
        <v>1385.1915006157012</v>
      </c>
      <c r="I42" s="1">
        <f>H42-H38</f>
        <v>-6.0640012718461094</v>
      </c>
      <c r="J42" s="1">
        <f>I42+J38</f>
        <v>-80.040695146451526</v>
      </c>
    </row>
    <row r="43" spans="2:10">
      <c r="D43" t="s">
        <v>315</v>
      </c>
      <c r="F43" s="20" t="s">
        <v>314</v>
      </c>
      <c r="H43" s="1"/>
    </row>
    <row r="44" spans="2:10">
      <c r="D44" t="s">
        <v>316</v>
      </c>
      <c r="F44" s="20" t="s">
        <v>314</v>
      </c>
      <c r="H44" s="1"/>
    </row>
    <row r="45" spans="2:10">
      <c r="D45" t="s">
        <v>317</v>
      </c>
      <c r="F45" s="20" t="s">
        <v>314</v>
      </c>
      <c r="H45" s="1"/>
    </row>
    <row r="46" spans="2:10">
      <c r="D46" t="s">
        <v>318</v>
      </c>
      <c r="H46" s="1"/>
    </row>
    <row r="47" spans="2:10">
      <c r="H47" s="1"/>
    </row>
    <row r="48" spans="2:10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  <row r="64" spans="8:8">
      <c r="H64" s="1"/>
    </row>
    <row r="65" spans="8:8">
      <c r="H65" s="1"/>
    </row>
    <row r="66" spans="8:8">
      <c r="H66" s="1"/>
    </row>
    <row r="67" spans="8:8">
      <c r="H67" s="1"/>
    </row>
    <row r="68" spans="8:8">
      <c r="H68" s="1"/>
    </row>
    <row r="69" spans="8:8">
      <c r="H69" s="1"/>
    </row>
  </sheetData>
  <mergeCells count="1">
    <mergeCell ref="C6:F6"/>
  </mergeCells>
  <phoneticPr fontId="10" type="noConversion"/>
  <pageMargins left="0.75" right="0.75" top="1" bottom="1" header="0.5" footer="0.5"/>
  <pageSetup scale="8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63"/>
  <sheetViews>
    <sheetView workbookViewId="0">
      <selection activeCell="H29" sqref="H29"/>
    </sheetView>
  </sheetViews>
  <sheetFormatPr defaultRowHeight="12.75"/>
  <cols>
    <col min="1" max="1" width="4.7109375" customWidth="1"/>
    <col min="3" max="3" width="3.7109375" customWidth="1"/>
    <col min="4" max="4" width="24.7109375" customWidth="1"/>
    <col min="5" max="6" width="12.7109375" customWidth="1"/>
    <col min="7" max="7" width="5.7109375" customWidth="1"/>
    <col min="8" max="10" width="12.7109375" customWidth="1"/>
  </cols>
  <sheetData>
    <row r="1" spans="1:10">
      <c r="A1" s="4" t="s">
        <v>184</v>
      </c>
    </row>
    <row r="2" spans="1:10" ht="6" customHeight="1"/>
    <row r="3" spans="1:10">
      <c r="A3" t="s">
        <v>282</v>
      </c>
    </row>
    <row r="4" spans="1:10">
      <c r="A4" t="s">
        <v>244</v>
      </c>
    </row>
    <row r="6" spans="1:10" ht="27.95" customHeight="1">
      <c r="B6" s="18" t="s">
        <v>250</v>
      </c>
      <c r="C6" s="274" t="s">
        <v>281</v>
      </c>
      <c r="D6" s="274"/>
      <c r="E6" s="274"/>
      <c r="F6" s="274"/>
      <c r="H6" s="17" t="s">
        <v>245</v>
      </c>
      <c r="I6" s="17" t="s">
        <v>246</v>
      </c>
      <c r="J6" s="17" t="s">
        <v>276</v>
      </c>
    </row>
    <row r="8" spans="1:10">
      <c r="B8" s="8" t="s">
        <v>249</v>
      </c>
      <c r="C8" s="4" t="s">
        <v>248</v>
      </c>
      <c r="H8" s="1">
        <v>1606</v>
      </c>
      <c r="I8" s="8" t="s">
        <v>247</v>
      </c>
      <c r="J8" s="8" t="s">
        <v>247</v>
      </c>
    </row>
    <row r="9" spans="1:10">
      <c r="C9" s="4"/>
      <c r="H9" s="1"/>
    </row>
    <row r="10" spans="1:10">
      <c r="B10" s="8" t="s">
        <v>251</v>
      </c>
      <c r="C10" s="4" t="s">
        <v>252</v>
      </c>
      <c r="H10" s="1">
        <v>1597.0444792837523</v>
      </c>
      <c r="I10" s="1">
        <f>H10-H8</f>
        <v>-8.9555207162477473</v>
      </c>
      <c r="J10" s="1">
        <f>SUM(I$10:I10)</f>
        <v>-8.9555207162477473</v>
      </c>
    </row>
    <row r="11" spans="1:10">
      <c r="C11" s="4"/>
      <c r="D11" t="s">
        <v>90</v>
      </c>
      <c r="E11" t="s">
        <v>253</v>
      </c>
      <c r="F11" s="1">
        <v>128350988</v>
      </c>
      <c r="H11" s="1"/>
    </row>
    <row r="12" spans="1:10">
      <c r="C12" s="4"/>
      <c r="D12" t="s">
        <v>255</v>
      </c>
      <c r="E12" t="s">
        <v>254</v>
      </c>
      <c r="F12" s="1">
        <v>190260852</v>
      </c>
      <c r="H12" s="1"/>
    </row>
    <row r="13" spans="1:10">
      <c r="C13" s="4"/>
      <c r="D13" t="s">
        <v>256</v>
      </c>
      <c r="E13" t="s">
        <v>258</v>
      </c>
      <c r="F13" s="1">
        <v>18893455</v>
      </c>
      <c r="H13" s="1"/>
    </row>
    <row r="14" spans="1:10">
      <c r="C14" s="4"/>
      <c r="D14" t="s">
        <v>257</v>
      </c>
      <c r="E14" t="s">
        <v>259</v>
      </c>
      <c r="F14" s="1">
        <v>88185360</v>
      </c>
      <c r="H14" s="1"/>
    </row>
    <row r="15" spans="1:10">
      <c r="C15" s="4"/>
      <c r="D15" t="s">
        <v>239</v>
      </c>
      <c r="E15" t="s">
        <v>260</v>
      </c>
      <c r="F15" s="1">
        <v>3524</v>
      </c>
      <c r="H15" s="1"/>
    </row>
    <row r="16" spans="1:10">
      <c r="C16" s="4"/>
      <c r="H16" s="1"/>
    </row>
    <row r="17" spans="2:10">
      <c r="B17" s="8" t="s">
        <v>261</v>
      </c>
      <c r="C17" s="4" t="s">
        <v>280</v>
      </c>
      <c r="H17" s="1">
        <v>1480.1466904288707</v>
      </c>
      <c r="I17" s="1">
        <f>H17-H10</f>
        <v>-116.89778885488158</v>
      </c>
      <c r="J17" s="1">
        <f>SUM(I$10:I17)</f>
        <v>-125.85330957112933</v>
      </c>
    </row>
    <row r="18" spans="2:10">
      <c r="C18" s="4"/>
      <c r="D18" t="s">
        <v>262</v>
      </c>
      <c r="E18" t="s">
        <v>263</v>
      </c>
      <c r="F18" s="1">
        <v>36712835.865000002</v>
      </c>
      <c r="H18" s="1"/>
    </row>
    <row r="19" spans="2:10">
      <c r="C19" s="4"/>
      <c r="D19" t="s">
        <v>266</v>
      </c>
      <c r="E19" t="s">
        <v>264</v>
      </c>
      <c r="F19" s="19">
        <v>0.11600000000000001</v>
      </c>
      <c r="H19" s="1"/>
    </row>
    <row r="20" spans="2:10">
      <c r="C20" s="4"/>
      <c r="H20" s="1"/>
    </row>
    <row r="21" spans="2:10">
      <c r="B21" s="8" t="s">
        <v>265</v>
      </c>
      <c r="C21" s="4" t="s">
        <v>267</v>
      </c>
      <c r="H21" s="1">
        <v>1466.4241969882137</v>
      </c>
      <c r="I21" s="1">
        <f>H21-H17</f>
        <v>-13.72249344065699</v>
      </c>
      <c r="J21" s="1">
        <f>SUM(I$10:I21)</f>
        <v>-139.57580301178632</v>
      </c>
    </row>
    <row r="22" spans="2:10">
      <c r="C22" s="4"/>
      <c r="D22" t="s">
        <v>90</v>
      </c>
      <c r="E22" t="s">
        <v>253</v>
      </c>
      <c r="F22" s="1">
        <v>13342589</v>
      </c>
      <c r="H22" s="1"/>
    </row>
    <row r="23" spans="2:10">
      <c r="C23" s="4"/>
      <c r="H23" s="1"/>
    </row>
    <row r="24" spans="2:10">
      <c r="B24" s="8" t="s">
        <v>268</v>
      </c>
      <c r="C24" s="4" t="s">
        <v>269</v>
      </c>
      <c r="H24" s="1">
        <v>1466.1571734468728</v>
      </c>
      <c r="I24" s="1">
        <f>H24-H21</f>
        <v>-0.26702354134090456</v>
      </c>
      <c r="J24" s="1">
        <f>SUM(I$10:I24)</f>
        <v>-139.84282655312722</v>
      </c>
    </row>
    <row r="25" spans="2:10">
      <c r="C25" s="4"/>
      <c r="D25" t="s">
        <v>270</v>
      </c>
      <c r="E25" t="s">
        <v>271</v>
      </c>
      <c r="F25" s="1">
        <v>464676</v>
      </c>
    </row>
    <row r="26" spans="2:10">
      <c r="C26" s="4"/>
      <c r="H26" s="1"/>
    </row>
    <row r="27" spans="2:10">
      <c r="B27" s="8" t="s">
        <v>272</v>
      </c>
      <c r="C27" s="4" t="s">
        <v>275</v>
      </c>
      <c r="H27" s="1">
        <v>1465.3622214572206</v>
      </c>
      <c r="I27" s="1">
        <f>H27-H24</f>
        <v>-0.7949519896521906</v>
      </c>
      <c r="J27" s="1">
        <f>SUM(I$10:I27)</f>
        <v>-140.63777854277942</v>
      </c>
    </row>
    <row r="28" spans="2:10">
      <c r="C28" s="4"/>
      <c r="D28" t="s">
        <v>273</v>
      </c>
      <c r="E28" t="s">
        <v>274</v>
      </c>
      <c r="F28" s="7">
        <v>1</v>
      </c>
    </row>
    <row r="29" spans="2:10">
      <c r="C29" s="4"/>
      <c r="H29" s="1"/>
    </row>
    <row r="30" spans="2:10">
      <c r="B30" s="8" t="s">
        <v>277</v>
      </c>
      <c r="C30" s="4" t="s">
        <v>278</v>
      </c>
      <c r="H30" s="1">
        <v>1465.2321957621527</v>
      </c>
      <c r="I30" s="1">
        <f>H30-H27</f>
        <v>-0.13002569506784312</v>
      </c>
      <c r="J30" s="1">
        <f>SUM(I$10:I30)</f>
        <v>-140.76780423784726</v>
      </c>
    </row>
    <row r="31" spans="2:10">
      <c r="C31" s="4"/>
      <c r="D31" t="s">
        <v>210</v>
      </c>
      <c r="E31" t="s">
        <v>279</v>
      </c>
      <c r="F31" s="1">
        <f>369615559</f>
        <v>369615559</v>
      </c>
      <c r="H31" s="1"/>
    </row>
    <row r="32" spans="2:10">
      <c r="C32" s="4"/>
      <c r="H32" s="1"/>
    </row>
    <row r="33" spans="3:8">
      <c r="C33" s="4"/>
      <c r="H33" s="1"/>
    </row>
    <row r="34" spans="3:8">
      <c r="C34" s="4"/>
      <c r="H34" s="1"/>
    </row>
    <row r="35" spans="3:8">
      <c r="C35" s="4"/>
      <c r="H35" s="1"/>
    </row>
    <row r="36" spans="3:8">
      <c r="C36" s="4"/>
      <c r="H36" s="1"/>
    </row>
    <row r="37" spans="3:8">
      <c r="H37" s="1"/>
    </row>
    <row r="38" spans="3:8">
      <c r="H38" s="1"/>
    </row>
    <row r="39" spans="3:8">
      <c r="H39" s="1"/>
    </row>
    <row r="40" spans="3:8">
      <c r="H40" s="1"/>
    </row>
    <row r="41" spans="3:8">
      <c r="H41" s="1"/>
    </row>
    <row r="42" spans="3:8">
      <c r="H42" s="1"/>
    </row>
    <row r="43" spans="3:8">
      <c r="H43" s="1"/>
    </row>
    <row r="44" spans="3:8">
      <c r="H44" s="1"/>
    </row>
    <row r="45" spans="3:8">
      <c r="H45" s="1"/>
    </row>
    <row r="46" spans="3:8">
      <c r="H46" s="1"/>
    </row>
    <row r="47" spans="3:8">
      <c r="H47" s="1"/>
    </row>
    <row r="48" spans="3:8">
      <c r="H48" s="1"/>
    </row>
    <row r="49" spans="8:8">
      <c r="H49" s="1"/>
    </row>
    <row r="50" spans="8:8">
      <c r="H50" s="1"/>
    </row>
    <row r="51" spans="8:8">
      <c r="H51" s="1"/>
    </row>
    <row r="52" spans="8:8">
      <c r="H52" s="1"/>
    </row>
    <row r="53" spans="8:8">
      <c r="H53" s="1"/>
    </row>
    <row r="54" spans="8:8">
      <c r="H54" s="1"/>
    </row>
    <row r="55" spans="8:8">
      <c r="H55" s="1"/>
    </row>
    <row r="56" spans="8:8">
      <c r="H56" s="1"/>
    </row>
    <row r="57" spans="8:8">
      <c r="H57" s="1"/>
    </row>
    <row r="58" spans="8:8">
      <c r="H58" s="1"/>
    </row>
    <row r="59" spans="8:8">
      <c r="H59" s="1"/>
    </row>
    <row r="60" spans="8:8">
      <c r="H60" s="1"/>
    </row>
    <row r="61" spans="8:8">
      <c r="H61" s="1"/>
    </row>
    <row r="62" spans="8:8">
      <c r="H62" s="1"/>
    </row>
    <row r="63" spans="8:8">
      <c r="H63" s="1"/>
    </row>
  </sheetData>
  <mergeCells count="1">
    <mergeCell ref="C6:F6"/>
  </mergeCells>
  <phoneticPr fontId="10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61"/>
  <sheetViews>
    <sheetView tabSelected="1" workbookViewId="0"/>
  </sheetViews>
  <sheetFormatPr defaultRowHeight="12.75"/>
  <cols>
    <col min="2" max="2" width="2.7109375" customWidth="1"/>
    <col min="3" max="3" width="39.7109375" customWidth="1"/>
    <col min="4" max="4" width="17.7109375" customWidth="1"/>
    <col min="5" max="8" width="3.7109375" customWidth="1"/>
    <col min="9" max="9" width="14.7109375" customWidth="1"/>
    <col min="10" max="10" width="3.7109375" customWidth="1"/>
  </cols>
  <sheetData>
    <row r="1" spans="1:10" ht="15.75">
      <c r="A1" s="102"/>
      <c r="B1" s="102"/>
      <c r="C1" s="102"/>
      <c r="D1" s="102"/>
      <c r="E1" s="102"/>
      <c r="F1" s="102"/>
      <c r="G1" s="102"/>
      <c r="H1" s="275" t="s">
        <v>399</v>
      </c>
      <c r="I1" s="275"/>
      <c r="J1" s="275"/>
    </row>
    <row r="2" spans="1:10" ht="15.75">
      <c r="A2" s="102"/>
      <c r="B2" s="102"/>
      <c r="C2" s="102"/>
      <c r="D2" s="102"/>
      <c r="E2" s="102"/>
      <c r="F2" s="102"/>
      <c r="G2" s="102"/>
      <c r="H2" s="276" t="s">
        <v>461</v>
      </c>
      <c r="I2" s="276"/>
      <c r="J2" s="277"/>
    </row>
    <row r="3" spans="1:10" ht="15">
      <c r="A3" s="117"/>
      <c r="B3" s="117"/>
      <c r="C3" s="117"/>
      <c r="D3" s="117"/>
      <c r="E3" s="117"/>
      <c r="F3" s="117"/>
      <c r="G3" s="117"/>
      <c r="H3" s="278" t="str">
        <f>FF1_Year</f>
        <v>Year Ending 12/31/2009</v>
      </c>
      <c r="I3" s="278"/>
      <c r="J3" s="278"/>
    </row>
    <row r="4" spans="1:10" ht="15">
      <c r="A4" s="117"/>
      <c r="B4" s="117"/>
      <c r="C4" s="117"/>
      <c r="D4" s="117"/>
      <c r="E4" s="117"/>
      <c r="F4" s="117"/>
      <c r="G4" s="117"/>
      <c r="H4" s="117"/>
      <c r="I4" s="117"/>
      <c r="J4" s="117"/>
    </row>
    <row r="5" spans="1:10" ht="15">
      <c r="A5" s="281" t="s">
        <v>395</v>
      </c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5">
      <c r="A6" s="281" t="s">
        <v>186</v>
      </c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5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 ht="15">
      <c r="A8" s="281" t="s">
        <v>185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5">
      <c r="A9" s="163"/>
      <c r="B9" s="163"/>
      <c r="C9" s="163"/>
      <c r="D9" s="163"/>
      <c r="E9" s="163"/>
      <c r="F9" s="163"/>
      <c r="G9" s="163"/>
      <c r="H9" s="163"/>
      <c r="I9" s="163"/>
      <c r="J9" s="163"/>
    </row>
    <row r="10" spans="1:10" ht="15">
      <c r="A10" s="122"/>
      <c r="B10" s="117"/>
      <c r="C10" s="117"/>
      <c r="D10" s="117"/>
      <c r="E10" s="117"/>
      <c r="F10" s="117"/>
      <c r="G10" s="117"/>
      <c r="H10" s="117"/>
      <c r="I10" s="117"/>
      <c r="J10" s="117"/>
    </row>
    <row r="11" spans="1:10" ht="30">
      <c r="A11" s="163" t="s">
        <v>69</v>
      </c>
      <c r="B11" s="164"/>
      <c r="C11" s="165"/>
      <c r="D11" s="163" t="s">
        <v>44</v>
      </c>
      <c r="E11" s="163"/>
      <c r="F11" s="163"/>
      <c r="G11" s="163"/>
      <c r="H11" s="163"/>
      <c r="I11" s="213" t="s">
        <v>72</v>
      </c>
      <c r="J11" s="214"/>
    </row>
    <row r="12" spans="1:10" ht="15">
      <c r="A12" s="122"/>
      <c r="B12" s="117"/>
      <c r="C12" s="117"/>
      <c r="D12" s="117"/>
      <c r="E12" s="117"/>
      <c r="F12" s="117"/>
      <c r="G12" s="117"/>
      <c r="H12" s="117"/>
      <c r="I12" s="117"/>
      <c r="J12" s="117"/>
    </row>
    <row r="13" spans="1:10" ht="15">
      <c r="A13" s="122">
        <v>1</v>
      </c>
      <c r="B13" s="154" t="s">
        <v>489</v>
      </c>
      <c r="C13" s="117"/>
      <c r="D13" s="122" t="str">
        <f>"Page 3, Line "&amp;'PEC - 2 - Page 3 Rev Reqt'!A61</f>
        <v>Page 3, Line 33</v>
      </c>
      <c r="E13" s="117"/>
      <c r="F13" s="117"/>
      <c r="G13" s="117"/>
      <c r="H13" s="117"/>
      <c r="I13" s="123">
        <f>'PEC - 2 - Page 3 Rev Reqt'!K61</f>
        <v>179518261.50106516</v>
      </c>
      <c r="J13" s="117"/>
    </row>
    <row r="14" spans="1:10" ht="15">
      <c r="A14" s="125"/>
      <c r="B14" s="154"/>
      <c r="C14" s="117"/>
      <c r="D14" s="122"/>
      <c r="E14" s="122"/>
      <c r="F14" s="122"/>
      <c r="G14" s="122"/>
      <c r="H14" s="117"/>
      <c r="I14" s="117"/>
      <c r="J14" s="117"/>
    </row>
    <row r="15" spans="1:10" ht="15">
      <c r="A15" s="117"/>
      <c r="B15" s="154" t="s">
        <v>167</v>
      </c>
      <c r="C15" s="117"/>
      <c r="D15" s="122"/>
      <c r="E15" s="122"/>
      <c r="F15" s="122"/>
      <c r="G15" s="122"/>
      <c r="H15" s="155"/>
      <c r="I15" s="123"/>
      <c r="J15" s="117"/>
    </row>
    <row r="16" spans="1:10" ht="15">
      <c r="A16" s="122">
        <v>2</v>
      </c>
      <c r="B16" s="154"/>
      <c r="C16" s="117" t="s">
        <v>379</v>
      </c>
      <c r="D16" s="122" t="s">
        <v>549</v>
      </c>
      <c r="E16" s="122"/>
      <c r="F16" s="122"/>
      <c r="G16" s="122"/>
      <c r="H16" s="155"/>
      <c r="I16" s="123">
        <f>'PEC - 3 p 1 Acct 454 Detail'!$H28</f>
        <v>7124559.3842941001</v>
      </c>
      <c r="J16" s="117"/>
    </row>
    <row r="17" spans="1:10" ht="15">
      <c r="A17" s="122">
        <v>3</v>
      </c>
      <c r="B17" s="154"/>
      <c r="C17" s="117" t="s">
        <v>782</v>
      </c>
      <c r="D17" s="122" t="s">
        <v>550</v>
      </c>
      <c r="E17" s="122"/>
      <c r="F17" s="122"/>
      <c r="G17" s="122"/>
      <c r="H17" s="155"/>
      <c r="I17" s="123">
        <f>'PEF - 3 - P 2 456.1 Rev Credits'!$G64</f>
        <v>6255302</v>
      </c>
      <c r="J17" s="117"/>
    </row>
    <row r="18" spans="1:10" ht="15.75" thickBot="1">
      <c r="A18" s="122">
        <v>4</v>
      </c>
      <c r="B18" s="154"/>
      <c r="C18" s="117" t="s">
        <v>548</v>
      </c>
      <c r="D18" s="122" t="s">
        <v>551</v>
      </c>
      <c r="E18" s="122"/>
      <c r="F18" s="122"/>
      <c r="G18" s="122"/>
      <c r="H18" s="155"/>
      <c r="I18" s="123">
        <f>'PEC - 3 p 3 Other 456 Detail'!H32</f>
        <v>117041.68002872878</v>
      </c>
      <c r="J18" s="117"/>
    </row>
    <row r="19" spans="1:10" ht="15" customHeight="1" thickTop="1">
      <c r="A19" s="122">
        <f>A18+1</f>
        <v>5</v>
      </c>
      <c r="B19" s="154" t="s">
        <v>160</v>
      </c>
      <c r="C19" s="117"/>
      <c r="D19" s="122"/>
      <c r="E19" s="122"/>
      <c r="F19" s="122"/>
      <c r="G19" s="122"/>
      <c r="H19" s="155"/>
      <c r="I19" s="156">
        <f>SUM(I15:I18)</f>
        <v>13496903.064322829</v>
      </c>
      <c r="J19" s="117"/>
    </row>
    <row r="20" spans="1:10" ht="15">
      <c r="A20" s="122"/>
      <c r="B20" s="154"/>
      <c r="C20" s="117"/>
      <c r="D20" s="122"/>
      <c r="E20" s="122"/>
      <c r="F20" s="122"/>
      <c r="G20" s="122"/>
      <c r="H20" s="117"/>
      <c r="I20" s="117"/>
      <c r="J20" s="117"/>
    </row>
    <row r="21" spans="1:10" ht="15">
      <c r="A21" s="122">
        <f>A19+1</f>
        <v>6</v>
      </c>
      <c r="B21" s="154" t="s">
        <v>583</v>
      </c>
      <c r="C21" s="117"/>
      <c r="D21" s="122" t="s">
        <v>584</v>
      </c>
      <c r="E21" s="122"/>
      <c r="F21" s="122"/>
      <c r="G21" s="122"/>
      <c r="H21" s="117"/>
      <c r="I21" s="123">
        <f>'PEC - 5 p 1 Anson'!E44+'PEC - 5 p 2 Richmond'!E43</f>
        <v>899816.72041736497</v>
      </c>
      <c r="J21" s="117"/>
    </row>
    <row r="22" spans="1:10" ht="15">
      <c r="A22" s="122"/>
      <c r="B22" s="154"/>
      <c r="C22" s="117"/>
      <c r="D22" s="122"/>
      <c r="E22" s="122"/>
      <c r="F22" s="122"/>
      <c r="G22" s="122"/>
      <c r="H22" s="117"/>
      <c r="I22" s="117"/>
      <c r="J22" s="117"/>
    </row>
    <row r="23" spans="1:10" ht="15">
      <c r="A23" s="122">
        <f>A21+1</f>
        <v>7</v>
      </c>
      <c r="B23" s="154" t="s">
        <v>585</v>
      </c>
      <c r="C23" s="117"/>
      <c r="D23" s="122"/>
      <c r="E23" s="122"/>
      <c r="F23" s="122"/>
      <c r="G23" s="122"/>
      <c r="H23" s="117"/>
      <c r="I23" s="123">
        <v>0</v>
      </c>
      <c r="J23" s="117"/>
    </row>
    <row r="24" spans="1:10" ht="15">
      <c r="A24" s="122"/>
      <c r="B24" s="154"/>
      <c r="C24" s="117"/>
      <c r="D24" s="122"/>
      <c r="E24" s="122"/>
      <c r="F24" s="122"/>
      <c r="G24" s="122"/>
      <c r="H24" s="117"/>
      <c r="I24" s="117"/>
      <c r="J24" s="117"/>
    </row>
    <row r="25" spans="1:10" ht="15">
      <c r="A25" s="122">
        <f>A23+1</f>
        <v>8</v>
      </c>
      <c r="B25" s="154" t="s">
        <v>777</v>
      </c>
      <c r="C25" s="117"/>
      <c r="D25" s="122"/>
      <c r="E25" s="122"/>
      <c r="F25" s="122"/>
      <c r="G25" s="122"/>
      <c r="H25" s="117"/>
      <c r="I25" s="123">
        <f>I13-I19+I21+I23</f>
        <v>166921175.15715969</v>
      </c>
      <c r="J25" s="117"/>
    </row>
    <row r="26" spans="1:10" ht="15">
      <c r="A26" s="122"/>
      <c r="B26" s="154"/>
      <c r="C26" s="117"/>
      <c r="D26" s="122"/>
      <c r="E26" s="122"/>
      <c r="F26" s="122"/>
      <c r="G26" s="122"/>
      <c r="H26" s="117"/>
      <c r="I26" s="117"/>
      <c r="J26" s="117"/>
    </row>
    <row r="27" spans="1:10" ht="30" customHeight="1">
      <c r="A27" s="215">
        <f>A25+1</f>
        <v>9</v>
      </c>
      <c r="B27" s="279" t="s">
        <v>335</v>
      </c>
      <c r="C27" s="280"/>
      <c r="D27" s="215" t="str">
        <f>"p.5, line "&amp;'PEC - 2 - Page 5 GridSouth'!B19&amp;" Total"</f>
        <v>p.5, line 5 Total</v>
      </c>
      <c r="E27" s="215"/>
      <c r="F27" s="215"/>
      <c r="G27" s="215"/>
      <c r="H27" s="165"/>
      <c r="I27" s="216">
        <f>'PEC - 2 - Page 5 GridSouth'!F19</f>
        <v>130499</v>
      </c>
      <c r="J27" s="117"/>
    </row>
    <row r="28" spans="1:10" ht="15">
      <c r="A28" s="122"/>
      <c r="B28" s="154"/>
      <c r="C28" s="117"/>
      <c r="D28" s="122"/>
      <c r="E28" s="122"/>
      <c r="F28" s="122"/>
      <c r="G28" s="122"/>
      <c r="H28" s="117"/>
      <c r="I28" s="117"/>
      <c r="J28" s="117"/>
    </row>
    <row r="29" spans="1:10" ht="15">
      <c r="A29" s="122">
        <f>A27+1</f>
        <v>10</v>
      </c>
      <c r="B29" s="154" t="s">
        <v>169</v>
      </c>
      <c r="C29" s="117"/>
      <c r="D29" s="122" t="str">
        <f>"Line "&amp;A25&amp;" / Line "&amp;A27</f>
        <v>Line 8 / Line 9</v>
      </c>
      <c r="E29" s="122"/>
      <c r="F29" s="122"/>
      <c r="G29" s="122"/>
      <c r="H29" s="117"/>
      <c r="I29" s="123">
        <f>I25/I27</f>
        <v>1279.0992663327663</v>
      </c>
      <c r="J29" s="117"/>
    </row>
    <row r="30" spans="1:10" ht="15.75" thickBot="1">
      <c r="A30" s="122">
        <f>A29+1</f>
        <v>11</v>
      </c>
      <c r="B30" s="154" t="s">
        <v>12</v>
      </c>
      <c r="C30" s="117"/>
      <c r="D30" s="122" t="str">
        <f>"Page 5, Line "&amp;'PEC - 2 - Page 5 GridSouth'!B31</f>
        <v>Page 5, Line 11</v>
      </c>
      <c r="E30" s="122"/>
      <c r="F30" s="122"/>
      <c r="G30" s="122"/>
      <c r="H30" s="117"/>
      <c r="I30" s="123">
        <f>'PEC - 2 - Page 5 GridSouth'!K31</f>
        <v>38.256592206289262</v>
      </c>
      <c r="J30" s="117"/>
    </row>
    <row r="31" spans="1:10" ht="15.75" thickTop="1">
      <c r="A31" s="122">
        <f>A30+1</f>
        <v>12</v>
      </c>
      <c r="B31" s="154" t="s">
        <v>236</v>
      </c>
      <c r="C31" s="117"/>
      <c r="D31" s="122" t="str">
        <f>"Line "&amp;A29&amp;" + Line "&amp;A30</f>
        <v>Line 10 + Line 11</v>
      </c>
      <c r="E31" s="122"/>
      <c r="F31" s="122"/>
      <c r="G31" s="122"/>
      <c r="H31" s="155"/>
      <c r="I31" s="156">
        <f>I29+I30</f>
        <v>1317.3558585390556</v>
      </c>
      <c r="J31" s="117"/>
    </row>
    <row r="32" spans="1:10" ht="15">
      <c r="A32" s="122"/>
      <c r="B32" s="154"/>
      <c r="C32" s="117"/>
      <c r="D32" s="122"/>
      <c r="E32" s="122"/>
      <c r="F32" s="122"/>
      <c r="G32" s="122"/>
      <c r="H32" s="117"/>
      <c r="I32" s="123"/>
      <c r="J32" s="117"/>
    </row>
    <row r="33" spans="1:10" ht="25.5" customHeight="1">
      <c r="A33" s="215">
        <f>A31+1</f>
        <v>13</v>
      </c>
      <c r="B33" s="279" t="s">
        <v>168</v>
      </c>
      <c r="C33" s="280"/>
      <c r="D33" s="215" t="str">
        <f>"Line "&amp;A31&amp;" * 12"</f>
        <v>Line 12 * 12</v>
      </c>
      <c r="E33" s="215"/>
      <c r="F33" s="215"/>
      <c r="G33" s="215"/>
      <c r="H33" s="165"/>
      <c r="I33" s="216">
        <f>I31*12</f>
        <v>15808.270302468667</v>
      </c>
      <c r="J33" s="117"/>
    </row>
    <row r="34" spans="1:10" ht="15">
      <c r="A34" s="122"/>
      <c r="B34" s="154"/>
      <c r="C34" s="117"/>
      <c r="D34" s="122"/>
      <c r="E34" s="122"/>
      <c r="F34" s="122"/>
      <c r="G34" s="122"/>
      <c r="H34" s="117"/>
      <c r="I34" s="123"/>
      <c r="J34" s="117"/>
    </row>
    <row r="35" spans="1:10" ht="15">
      <c r="A35" s="122">
        <f>+A33+1</f>
        <v>14</v>
      </c>
      <c r="B35" s="154" t="s">
        <v>235</v>
      </c>
      <c r="C35" s="117"/>
      <c r="D35" s="122" t="str">
        <f>"Line "&amp;A33&amp;" / 52 weeks"</f>
        <v>Line 13 / 52 weeks</v>
      </c>
      <c r="E35" s="122"/>
      <c r="F35" s="122"/>
      <c r="G35" s="122"/>
      <c r="H35" s="117"/>
      <c r="I35" s="217">
        <f>I33/52</f>
        <v>304.00519812439745</v>
      </c>
      <c r="J35" s="117"/>
    </row>
    <row r="36" spans="1:10" ht="15">
      <c r="A36" s="122"/>
      <c r="B36" s="154"/>
      <c r="C36" s="117"/>
      <c r="D36" s="117"/>
      <c r="E36" s="117"/>
      <c r="F36" s="117"/>
      <c r="G36" s="117"/>
      <c r="H36" s="117"/>
      <c r="I36" s="217"/>
      <c r="J36" s="117"/>
    </row>
    <row r="37" spans="1:10" ht="15">
      <c r="A37" s="122"/>
      <c r="B37" s="154" t="s">
        <v>234</v>
      </c>
      <c r="C37" s="117"/>
      <c r="D37" s="117"/>
      <c r="E37" s="117"/>
      <c r="F37" s="117"/>
      <c r="G37" s="117"/>
      <c r="H37" s="117"/>
      <c r="I37" s="217"/>
      <c r="J37" s="117"/>
    </row>
    <row r="38" spans="1:10" ht="12.75" customHeight="1">
      <c r="A38" s="215">
        <f>A35+1</f>
        <v>15</v>
      </c>
      <c r="B38" s="163"/>
      <c r="C38" s="218" t="s">
        <v>162</v>
      </c>
      <c r="D38" s="122" t="str">
        <f>"Line "&amp;A35&amp;" / 5 days"</f>
        <v>Line 14 / 5 days</v>
      </c>
      <c r="E38" s="215"/>
      <c r="F38" s="215"/>
      <c r="G38" s="215"/>
      <c r="H38" s="165"/>
      <c r="I38" s="219">
        <f>I35/5</f>
        <v>60.801039624879493</v>
      </c>
      <c r="J38" s="117"/>
    </row>
    <row r="39" spans="1:10" ht="15">
      <c r="A39" s="122">
        <f>A38+1</f>
        <v>16</v>
      </c>
      <c r="B39" s="154"/>
      <c r="C39" s="117" t="s">
        <v>163</v>
      </c>
      <c r="D39" s="122" t="str">
        <f>"Line "&amp;A35&amp;" / 7 days"</f>
        <v>Line 14 / 7 days</v>
      </c>
      <c r="E39" s="215"/>
      <c r="F39" s="215"/>
      <c r="G39" s="215"/>
      <c r="H39" s="165"/>
      <c r="I39" s="219">
        <f>I35/7</f>
        <v>43.429314017771063</v>
      </c>
      <c r="J39" s="117"/>
    </row>
    <row r="40" spans="1:10" ht="15">
      <c r="A40" s="117"/>
      <c r="B40" s="154"/>
      <c r="C40" s="117"/>
      <c r="D40" s="117"/>
      <c r="E40" s="117"/>
      <c r="F40" s="117"/>
      <c r="G40" s="117"/>
      <c r="H40" s="117"/>
      <c r="I40" s="217"/>
      <c r="J40" s="117"/>
    </row>
    <row r="41" spans="1:10" ht="15">
      <c r="A41" s="117"/>
      <c r="B41" s="154" t="s">
        <v>166</v>
      </c>
      <c r="C41" s="117"/>
      <c r="D41" s="117"/>
      <c r="E41" s="117"/>
      <c r="F41" s="117"/>
      <c r="G41" s="117"/>
      <c r="H41" s="117"/>
      <c r="I41" s="217"/>
      <c r="J41" s="117"/>
    </row>
    <row r="42" spans="1:10" ht="15">
      <c r="A42" s="215">
        <f>A39+1</f>
        <v>17</v>
      </c>
      <c r="B42" s="163"/>
      <c r="C42" s="218" t="s">
        <v>164</v>
      </c>
      <c r="D42" s="122" t="str">
        <f>"Line "&amp;A38&amp;" / 16 hrs"</f>
        <v>Line 15 / 16 hrs</v>
      </c>
      <c r="E42" s="215"/>
      <c r="F42" s="215"/>
      <c r="G42" s="215"/>
      <c r="H42" s="165"/>
      <c r="I42" s="219">
        <f>I38/16</f>
        <v>3.8000649765549683</v>
      </c>
      <c r="J42" s="117"/>
    </row>
    <row r="43" spans="1:10" ht="15">
      <c r="A43" s="122">
        <f>A42+1</f>
        <v>18</v>
      </c>
      <c r="B43" s="154"/>
      <c r="C43" s="117" t="s">
        <v>165</v>
      </c>
      <c r="D43" s="122" t="str">
        <f>"Line "&amp;A39&amp;" / 24 hrs"</f>
        <v>Line 16 / 24 hrs</v>
      </c>
      <c r="E43" s="215"/>
      <c r="F43" s="215"/>
      <c r="G43" s="215"/>
      <c r="H43" s="165"/>
      <c r="I43" s="219">
        <f>I39/24</f>
        <v>1.809554750740461</v>
      </c>
      <c r="J43" s="117"/>
    </row>
    <row r="44" spans="1:10">
      <c r="B44" s="4"/>
    </row>
    <row r="45" spans="1:10">
      <c r="B45" s="4"/>
    </row>
    <row r="46" spans="1:10">
      <c r="B46" s="4"/>
    </row>
    <row r="47" spans="1:10">
      <c r="B47" s="4"/>
    </row>
    <row r="48" spans="1:10">
      <c r="B48" s="4"/>
    </row>
    <row r="49" spans="2:2">
      <c r="B49" s="4"/>
    </row>
    <row r="50" spans="2:2">
      <c r="B50" s="4"/>
    </row>
    <row r="51" spans="2:2">
      <c r="B51" s="4"/>
    </row>
    <row r="52" spans="2:2">
      <c r="B52" s="4"/>
    </row>
    <row r="53" spans="2:2">
      <c r="B53" s="4"/>
    </row>
    <row r="54" spans="2:2">
      <c r="B54" s="4"/>
    </row>
    <row r="55" spans="2:2">
      <c r="B55" s="4"/>
    </row>
    <row r="56" spans="2:2">
      <c r="B56" s="4"/>
    </row>
    <row r="57" spans="2:2">
      <c r="B57" s="4"/>
    </row>
    <row r="58" spans="2:2">
      <c r="B58" s="4"/>
    </row>
    <row r="59" spans="2:2">
      <c r="B59" s="4"/>
    </row>
    <row r="60" spans="2:2">
      <c r="B60" s="4"/>
    </row>
    <row r="61" spans="2:2">
      <c r="B61" s="4"/>
    </row>
  </sheetData>
  <mergeCells count="8">
    <mergeCell ref="H1:J1"/>
    <mergeCell ref="H2:J2"/>
    <mergeCell ref="H3:J3"/>
    <mergeCell ref="B33:C33"/>
    <mergeCell ref="B27:C27"/>
    <mergeCell ref="A5:J5"/>
    <mergeCell ref="A6:J6"/>
    <mergeCell ref="A8:J8"/>
  </mergeCells>
  <phoneticPr fontId="0" type="noConversion"/>
  <pageMargins left="0.75" right="0.75" top="1" bottom="1" header="0.5" footer="0.5"/>
  <pageSetup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86"/>
  <sheetViews>
    <sheetView workbookViewId="0">
      <selection activeCell="K9" sqref="K9"/>
    </sheetView>
  </sheetViews>
  <sheetFormatPr defaultRowHeight="12.75"/>
  <cols>
    <col min="2" max="2" width="2.7109375" customWidth="1"/>
    <col min="3" max="3" width="32.5703125" customWidth="1"/>
    <col min="4" max="4" width="15.140625" bestFit="1" customWidth="1"/>
    <col min="5" max="5" width="3.7109375" customWidth="1"/>
    <col min="6" max="6" width="14.7109375" customWidth="1"/>
    <col min="7" max="7" width="3.7109375" customWidth="1"/>
    <col min="8" max="8" width="12.5703125" bestFit="1" customWidth="1"/>
    <col min="10" max="10" width="3.7109375" customWidth="1"/>
    <col min="11" max="11" width="14.7109375" customWidth="1"/>
    <col min="12" max="12" width="5.7109375" customWidth="1"/>
    <col min="14" max="14" width="10.7109375" bestFit="1" customWidth="1"/>
  </cols>
  <sheetData>
    <row r="1" spans="1:13" ht="15.75">
      <c r="A1" s="117"/>
      <c r="B1" s="117"/>
      <c r="C1" s="117"/>
      <c r="D1" s="117"/>
      <c r="E1" s="117"/>
      <c r="F1" s="117"/>
      <c r="G1" s="117"/>
      <c r="H1" s="117"/>
      <c r="I1" s="117"/>
      <c r="J1" s="284" t="s">
        <v>399</v>
      </c>
      <c r="K1" s="284"/>
      <c r="L1" s="284"/>
    </row>
    <row r="2" spans="1:13" ht="15.75">
      <c r="A2" s="117"/>
      <c r="B2" s="117"/>
      <c r="C2" s="117"/>
      <c r="D2" s="117"/>
      <c r="E2" s="117"/>
      <c r="F2" s="117"/>
      <c r="G2" s="117"/>
      <c r="H2" s="117"/>
      <c r="I2" s="117"/>
      <c r="J2" s="285" t="s">
        <v>0</v>
      </c>
      <c r="K2" s="285"/>
      <c r="L2" s="286"/>
    </row>
    <row r="3" spans="1:13" ht="15">
      <c r="A3" s="117"/>
      <c r="B3" s="117"/>
      <c r="C3" s="117"/>
      <c r="D3" s="117"/>
      <c r="E3" s="117"/>
      <c r="F3" s="117"/>
      <c r="G3" s="117"/>
      <c r="H3" s="117"/>
      <c r="I3" s="117"/>
      <c r="J3" s="278" t="str">
        <f>FF1_Year</f>
        <v>Year Ending 12/31/2009</v>
      </c>
      <c r="K3" s="278"/>
      <c r="L3" s="278"/>
    </row>
    <row r="4" spans="1:13" ht="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3" ht="15">
      <c r="A5" s="281" t="s">
        <v>395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3" ht="15">
      <c r="A6" s="281" t="s">
        <v>186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3" ht="1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3" ht="15">
      <c r="A8" s="281" t="s">
        <v>531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3" ht="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3" ht="15">
      <c r="A10" s="122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3" ht="30">
      <c r="A11" s="163" t="s">
        <v>69</v>
      </c>
      <c r="B11" s="164" t="s">
        <v>73</v>
      </c>
      <c r="C11" s="165"/>
      <c r="D11" s="163" t="s">
        <v>44</v>
      </c>
      <c r="E11" s="163"/>
      <c r="F11" s="163" t="s">
        <v>70</v>
      </c>
      <c r="G11" s="163"/>
      <c r="H11" s="281" t="s">
        <v>71</v>
      </c>
      <c r="I11" s="281"/>
      <c r="J11" s="163"/>
      <c r="K11" s="213" t="s">
        <v>72</v>
      </c>
      <c r="L11" s="214"/>
    </row>
    <row r="12" spans="1:13" ht="15">
      <c r="A12" s="12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3" ht="15">
      <c r="A13" s="122"/>
      <c r="B13" s="154" t="s">
        <v>382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3" ht="15">
      <c r="A14" s="125">
        <v>1</v>
      </c>
      <c r="B14" s="154"/>
      <c r="C14" s="117" t="str">
        <f>'PEF - 6  - Form 1 Inputs'!E17</f>
        <v>Production Plant</v>
      </c>
      <c r="D14" s="122" t="str">
        <f>'PEC - 6  - p1 FF1 Inputs '!F25</f>
        <v>205.46.g</v>
      </c>
      <c r="E14" s="122"/>
      <c r="F14" s="166">
        <f>'PEC - 6  - p1 FF1 Inputs '!J25</f>
        <v>9538587679</v>
      </c>
      <c r="G14" s="117"/>
      <c r="H14" s="122" t="s">
        <v>74</v>
      </c>
      <c r="I14" s="117"/>
      <c r="J14" s="117"/>
      <c r="K14" s="117" t="str">
        <f>IF(ISNUMBER(I14),#REF!*I14,"")</f>
        <v/>
      </c>
      <c r="L14" s="117"/>
    </row>
    <row r="15" spans="1:13" ht="15">
      <c r="A15" s="122">
        <f>A14+1</f>
        <v>2</v>
      </c>
      <c r="B15" s="154"/>
      <c r="C15" s="117" t="str">
        <f>'PEF - 6  - Form 1 Inputs'!E18</f>
        <v>Transmission Plant</v>
      </c>
      <c r="D15" s="241" t="s">
        <v>786</v>
      </c>
      <c r="E15" s="122"/>
      <c r="F15" s="166">
        <f>'PEC - 2 - Page 4 Support'!I14</f>
        <v>1534507292</v>
      </c>
      <c r="G15" s="117"/>
      <c r="H15" s="122" t="s">
        <v>102</v>
      </c>
      <c r="I15" s="155">
        <f>'PEC - 2 - Page 4 Support'!I$20</f>
        <v>0.94081639170888487</v>
      </c>
      <c r="J15" s="155"/>
      <c r="K15" s="123">
        <f>IF(ISNUMBER(I15),F15*I15,"")</f>
        <v>1443689613.5104122</v>
      </c>
      <c r="L15" s="117"/>
      <c r="M15" s="123"/>
    </row>
    <row r="16" spans="1:13" ht="15">
      <c r="A16" s="122">
        <f>A15+1</f>
        <v>3</v>
      </c>
      <c r="B16" s="154"/>
      <c r="C16" s="117" t="str">
        <f>'PEF - 6  - Form 1 Inputs'!E19</f>
        <v>Distribution Plant</v>
      </c>
      <c r="D16" s="122" t="str">
        <f>'PEC - 6  - p1 FF1 Inputs '!F27</f>
        <v>207.75.g</v>
      </c>
      <c r="E16" s="122"/>
      <c r="F16" s="166">
        <f>'PEC - 6  - p1 FF1 Inputs '!J27</f>
        <v>4491522891</v>
      </c>
      <c r="G16" s="117"/>
      <c r="H16" s="122" t="s">
        <v>74</v>
      </c>
      <c r="I16" s="155"/>
      <c r="J16" s="155"/>
      <c r="K16" s="123" t="str">
        <f>IF(ISNUMBER(I16),#REF!*I16,"")</f>
        <v/>
      </c>
      <c r="L16" s="117"/>
    </row>
    <row r="17" spans="1:13" ht="15">
      <c r="A17" s="122">
        <f>A16+1</f>
        <v>4</v>
      </c>
      <c r="B17" s="154"/>
      <c r="C17" s="117" t="str">
        <f>'PEF - 6  - Form 1 Inputs'!E20</f>
        <v>General Plant</v>
      </c>
      <c r="D17" s="122" t="str">
        <f>'PEC - 6  - p1 FF1 Inputs '!F28</f>
        <v>207.99.g</v>
      </c>
      <c r="E17" s="122"/>
      <c r="F17" s="166">
        <f>'PEC - 6  - p1 FF1 Inputs '!J28</f>
        <v>496023629</v>
      </c>
      <c r="G17" s="117"/>
      <c r="H17" s="122" t="s">
        <v>231</v>
      </c>
      <c r="I17" s="155">
        <f>'PEC - 2 - Page 4 Support'!I$32</f>
        <v>4.5100020896118378E-2</v>
      </c>
      <c r="J17" s="155"/>
      <c r="K17" s="123">
        <f>IF(ISNUMBER(I17),F17*I17,"")</f>
        <v>22370676.032868471</v>
      </c>
      <c r="L17" s="117"/>
    </row>
    <row r="18" spans="1:13" ht="15.75" thickBot="1">
      <c r="A18" s="122">
        <f>A17+1</f>
        <v>5</v>
      </c>
      <c r="B18" s="154"/>
      <c r="C18" s="117" t="str">
        <f>'PEF - 6  - Form 1 Inputs'!E16</f>
        <v>Intangible Plant</v>
      </c>
      <c r="D18" s="122" t="str">
        <f>'PEC - 6  - p1 FF1 Inputs '!F24</f>
        <v>205.5.g</v>
      </c>
      <c r="E18" s="122"/>
      <c r="F18" s="166">
        <f>'PEC - 6  - p1 FF1 Inputs '!J24</f>
        <v>201634744</v>
      </c>
      <c r="G18" s="117"/>
      <c r="H18" s="122" t="s">
        <v>231</v>
      </c>
      <c r="I18" s="155">
        <f>I17</f>
        <v>4.5100020896118378E-2</v>
      </c>
      <c r="J18" s="155"/>
      <c r="K18" s="123">
        <f>IF(ISNUMBER(I18),F18*I18,"")</f>
        <v>9093731.1677834801</v>
      </c>
      <c r="L18" s="117"/>
      <c r="M18" s="237"/>
    </row>
    <row r="19" spans="1:13" ht="15" customHeight="1" thickTop="1">
      <c r="A19" s="122">
        <f>A18+1</f>
        <v>6</v>
      </c>
      <c r="B19" s="154" t="s">
        <v>76</v>
      </c>
      <c r="C19" s="117"/>
      <c r="D19" s="122"/>
      <c r="E19" s="122"/>
      <c r="F19" s="156">
        <f>SUM(F14:F18)</f>
        <v>16262276235</v>
      </c>
      <c r="G19" s="117"/>
      <c r="H19" s="122" t="s">
        <v>75</v>
      </c>
      <c r="I19" s="155">
        <f>K19/F19</f>
        <v>9.0710180997676554E-2</v>
      </c>
      <c r="J19" s="155"/>
      <c r="K19" s="156">
        <f>SUM(K14:K18)</f>
        <v>1475154020.7110641</v>
      </c>
      <c r="L19" s="117"/>
    </row>
    <row r="20" spans="1:13" ht="15">
      <c r="A20" s="122"/>
      <c r="B20" s="154"/>
      <c r="C20" s="117"/>
      <c r="D20" s="122"/>
      <c r="E20" s="122"/>
      <c r="F20" s="117"/>
      <c r="G20" s="117"/>
      <c r="H20" s="122"/>
      <c r="I20" s="117"/>
      <c r="J20" s="117"/>
      <c r="K20" s="117"/>
      <c r="L20" s="117"/>
    </row>
    <row r="21" spans="1:13" ht="15">
      <c r="A21" s="122"/>
      <c r="B21" s="154" t="s">
        <v>383</v>
      </c>
      <c r="C21" s="117"/>
      <c r="D21" s="122"/>
      <c r="E21" s="122"/>
      <c r="F21" s="117"/>
      <c r="G21" s="117"/>
      <c r="H21" s="122"/>
      <c r="I21" s="117"/>
      <c r="J21" s="117"/>
      <c r="K21" s="117"/>
      <c r="L21" s="117"/>
    </row>
    <row r="22" spans="1:13" ht="15">
      <c r="A22" s="122">
        <f>A19+1</f>
        <v>7</v>
      </c>
      <c r="B22" s="154"/>
      <c r="C22" s="117" t="str">
        <f>'PEF - 6  - Form 1 Inputs'!E23</f>
        <v>Production Depr. Reserve</v>
      </c>
      <c r="D22" s="122" t="str">
        <f>'PEC - 6  - p1 FF1 Inputs '!F30</f>
        <v>219.20-24.c</v>
      </c>
      <c r="E22" s="122"/>
      <c r="F22" s="123">
        <f>'PEC - 6  - p1 FF1 Inputs '!J30</f>
        <v>5654912039</v>
      </c>
      <c r="G22" s="117"/>
      <c r="H22" s="122" t="s">
        <v>74</v>
      </c>
      <c r="I22" s="117"/>
      <c r="J22" s="117"/>
      <c r="K22" s="117" t="str">
        <f>IF(ISNUMBER(I22),#REF!*I22,"")</f>
        <v/>
      </c>
      <c r="L22" s="117"/>
    </row>
    <row r="23" spans="1:13" ht="15">
      <c r="A23" s="122">
        <f>A22+1</f>
        <v>8</v>
      </c>
      <c r="B23" s="154"/>
      <c r="C23" s="117" t="s">
        <v>213</v>
      </c>
      <c r="D23" s="122" t="str">
        <f>'PEC - 6  - p1 FF1 Inputs '!F31</f>
        <v>219.25.c</v>
      </c>
      <c r="E23" s="122"/>
      <c r="F23" s="123">
        <f>'PEC - 6  - p1 FF1 Inputs '!J31</f>
        <v>623423899</v>
      </c>
      <c r="G23" s="117"/>
      <c r="H23" s="122" t="s">
        <v>102</v>
      </c>
      <c r="I23" s="155">
        <f>'PEC - 2 - Page 4 Support'!I$20</f>
        <v>0.94081639170888487</v>
      </c>
      <c r="J23" s="155"/>
      <c r="K23" s="123">
        <f>IF(ISNUMBER(I23),F23*I23,"")</f>
        <v>586527423.16226423</v>
      </c>
      <c r="L23" s="117"/>
    </row>
    <row r="24" spans="1:13" ht="15">
      <c r="A24" s="122">
        <f>A23+1</f>
        <v>9</v>
      </c>
      <c r="B24" s="154"/>
      <c r="C24" s="117" t="str">
        <f>'PEF - 6  - Form 1 Inputs'!E25</f>
        <v>Distribution Depr. Reserve</v>
      </c>
      <c r="D24" s="122" t="str">
        <f>'PEC - 6  - p1 FF1 Inputs '!F32</f>
        <v>219.26.c</v>
      </c>
      <c r="E24" s="122"/>
      <c r="F24" s="123">
        <f>'PEC - 6  - p1 FF1 Inputs '!J32</f>
        <v>1991235844</v>
      </c>
      <c r="G24" s="117"/>
      <c r="H24" s="122" t="s">
        <v>74</v>
      </c>
      <c r="I24" s="155"/>
      <c r="J24" s="155"/>
      <c r="K24" s="123" t="str">
        <f>IF(ISNUMBER(I24),#REF!*I24,"")</f>
        <v/>
      </c>
      <c r="L24" s="117"/>
    </row>
    <row r="25" spans="1:13" ht="15">
      <c r="A25" s="122">
        <f>A24+1</f>
        <v>10</v>
      </c>
      <c r="B25" s="154"/>
      <c r="C25" s="117" t="str">
        <f>'PEF - 6  - Form 1 Inputs'!E26</f>
        <v>General Depr. Reserve</v>
      </c>
      <c r="D25" s="122" t="str">
        <f>'PEC - 6  - p1 FF1 Inputs '!F33</f>
        <v>219.27.c</v>
      </c>
      <c r="E25" s="122"/>
      <c r="F25" s="123">
        <f>'PEC - 6  - p1 FF1 Inputs '!J33</f>
        <v>177782341</v>
      </c>
      <c r="G25" s="117"/>
      <c r="H25" s="122" t="s">
        <v>231</v>
      </c>
      <c r="I25" s="155">
        <f>'PEC - 2 - Page 4 Support'!I$32</f>
        <v>4.5100020896118378E-2</v>
      </c>
      <c r="J25" s="155"/>
      <c r="K25" s="123">
        <f>IF(ISNUMBER(I25),F25*I25,"")</f>
        <v>8017987.2940608431</v>
      </c>
      <c r="L25" s="117"/>
    </row>
    <row r="26" spans="1:13" ht="15.75" thickBot="1">
      <c r="A26" s="122">
        <f>A25+1</f>
        <v>11</v>
      </c>
      <c r="B26" s="154"/>
      <c r="C26" s="117" t="str">
        <f>'PEF - 6  - Form 1 Inputs'!E22</f>
        <v>Intangible Amort. Reserve</v>
      </c>
      <c r="D26" s="122" t="str">
        <f>'PEC - 6  - p1 FF1 Inputs '!F23</f>
        <v>200.21.c</v>
      </c>
      <c r="E26" s="122"/>
      <c r="F26" s="123">
        <f>'PEC - 6  - p1 FF1 Inputs '!J23</f>
        <v>166839427</v>
      </c>
      <c r="G26" s="117"/>
      <c r="H26" s="122" t="s">
        <v>231</v>
      </c>
      <c r="I26" s="155">
        <f>I25</f>
        <v>4.5100020896118378E-2</v>
      </c>
      <c r="J26" s="155"/>
      <c r="K26" s="123">
        <f>IF(ISNUMBER(I26),F26*I26,"")</f>
        <v>7524461.6439964166</v>
      </c>
      <c r="L26" s="117"/>
      <c r="M26" s="237"/>
    </row>
    <row r="27" spans="1:13" ht="15.75" thickTop="1">
      <c r="A27" s="122">
        <f>A26+1</f>
        <v>12</v>
      </c>
      <c r="B27" s="154" t="s">
        <v>77</v>
      </c>
      <c r="C27" s="117"/>
      <c r="D27" s="122"/>
      <c r="E27" s="122"/>
      <c r="F27" s="156">
        <f>SUM(F22:F26)</f>
        <v>8614193550</v>
      </c>
      <c r="G27" s="117"/>
      <c r="H27" s="122"/>
      <c r="I27" s="155"/>
      <c r="J27" s="155"/>
      <c r="K27" s="156">
        <f>SUM(K22:K26)</f>
        <v>602069872.10032141</v>
      </c>
      <c r="L27" s="117"/>
    </row>
    <row r="28" spans="1:13" ht="15">
      <c r="A28" s="122"/>
      <c r="B28" s="154"/>
      <c r="C28" s="117"/>
      <c r="D28" s="122"/>
      <c r="E28" s="122"/>
      <c r="F28" s="117"/>
      <c r="G28" s="117"/>
      <c r="H28" s="122"/>
      <c r="I28" s="117"/>
      <c r="J28" s="117"/>
      <c r="K28" s="117"/>
      <c r="L28" s="117"/>
    </row>
    <row r="29" spans="1:13" ht="15">
      <c r="A29" s="122"/>
      <c r="B29" s="154" t="s">
        <v>78</v>
      </c>
      <c r="C29" s="117"/>
      <c r="D29" s="122"/>
      <c r="E29" s="122"/>
      <c r="F29" s="117"/>
      <c r="G29" s="117"/>
      <c r="H29" s="122"/>
      <c r="I29" s="117"/>
      <c r="J29" s="117"/>
      <c r="K29" s="123"/>
      <c r="L29" s="117"/>
    </row>
    <row r="30" spans="1:13" ht="15">
      <c r="A30" s="122">
        <f>A27+1</f>
        <v>13</v>
      </c>
      <c r="B30" s="154"/>
      <c r="C30" s="117" t="s">
        <v>225</v>
      </c>
      <c r="D30" s="122" t="s">
        <v>92</v>
      </c>
      <c r="E30" s="122"/>
      <c r="F30" s="123">
        <f>F14-F22</f>
        <v>3883675640</v>
      </c>
      <c r="G30" s="117"/>
      <c r="H30" s="122"/>
      <c r="I30" s="117"/>
      <c r="J30" s="117"/>
      <c r="K30" s="123" t="str">
        <f>IF(ISNUMBER(K14),K14-K22,"")</f>
        <v/>
      </c>
      <c r="L30" s="117"/>
    </row>
    <row r="31" spans="1:13" ht="15">
      <c r="A31" s="122">
        <f>A30+1</f>
        <v>14</v>
      </c>
      <c r="B31" s="154"/>
      <c r="C31" s="117" t="s">
        <v>226</v>
      </c>
      <c r="D31" s="122" t="s">
        <v>93</v>
      </c>
      <c r="E31" s="122"/>
      <c r="F31" s="123">
        <f>F15-F23</f>
        <v>911083393</v>
      </c>
      <c r="G31" s="117"/>
      <c r="H31" s="122"/>
      <c r="I31" s="117"/>
      <c r="J31" s="117"/>
      <c r="K31" s="123">
        <f>IF(ISNUMBER(K15),K15-K23,"")</f>
        <v>857162190.34814799</v>
      </c>
      <c r="L31" s="117"/>
    </row>
    <row r="32" spans="1:13" ht="15">
      <c r="A32" s="122">
        <f>A31+1</f>
        <v>15</v>
      </c>
      <c r="B32" s="154"/>
      <c r="C32" s="117" t="s">
        <v>227</v>
      </c>
      <c r="D32" s="122" t="s">
        <v>94</v>
      </c>
      <c r="E32" s="122"/>
      <c r="F32" s="123">
        <f>F16-F24</f>
        <v>2500287047</v>
      </c>
      <c r="G32" s="117"/>
      <c r="H32" s="122"/>
      <c r="I32" s="117"/>
      <c r="J32" s="117"/>
      <c r="K32" s="123" t="str">
        <f>IF(ISNUMBER(K16),K16-K24,"")</f>
        <v/>
      </c>
      <c r="L32" s="117"/>
    </row>
    <row r="33" spans="1:12" ht="15">
      <c r="A33" s="122">
        <f>A32+1</f>
        <v>16</v>
      </c>
      <c r="B33" s="154"/>
      <c r="C33" s="117" t="s">
        <v>228</v>
      </c>
      <c r="D33" s="122" t="s">
        <v>95</v>
      </c>
      <c r="E33" s="122"/>
      <c r="F33" s="123">
        <f>F17-F25</f>
        <v>318241288</v>
      </c>
      <c r="G33" s="117"/>
      <c r="H33" s="122"/>
      <c r="I33" s="117"/>
      <c r="J33" s="117"/>
      <c r="K33" s="123">
        <f>IF(ISNUMBER(K17),K17-K25,"")</f>
        <v>14352688.738807628</v>
      </c>
      <c r="L33" s="117"/>
    </row>
    <row r="34" spans="1:12" ht="15.75" thickBot="1">
      <c r="A34" s="122">
        <f>A33+1</f>
        <v>17</v>
      </c>
      <c r="B34" s="154"/>
      <c r="C34" s="117" t="s">
        <v>229</v>
      </c>
      <c r="D34" s="122" t="s">
        <v>96</v>
      </c>
      <c r="E34" s="122"/>
      <c r="F34" s="123">
        <f>F18-F26</f>
        <v>34795317</v>
      </c>
      <c r="G34" s="117"/>
      <c r="H34" s="122"/>
      <c r="I34" s="117"/>
      <c r="J34" s="117"/>
      <c r="K34" s="123">
        <f>IF(ISNUMBER(K18),K18-K26,"")</f>
        <v>1569269.5237870635</v>
      </c>
      <c r="L34" s="117"/>
    </row>
    <row r="35" spans="1:12" ht="15.75" thickTop="1">
      <c r="A35" s="122">
        <f>A34+1</f>
        <v>18</v>
      </c>
      <c r="B35" s="154" t="s">
        <v>79</v>
      </c>
      <c r="C35" s="117"/>
      <c r="D35" s="122"/>
      <c r="E35" s="122"/>
      <c r="F35" s="156">
        <f>SUM(F30:F34)</f>
        <v>7648082685</v>
      </c>
      <c r="G35" s="117"/>
      <c r="H35" s="122" t="s">
        <v>80</v>
      </c>
      <c r="I35" s="155">
        <f>K35/F35</f>
        <v>0.11415725804365343</v>
      </c>
      <c r="J35" s="155"/>
      <c r="K35" s="156">
        <f>SUM(K30:K34)</f>
        <v>873084148.61074269</v>
      </c>
      <c r="L35" s="117"/>
    </row>
    <row r="36" spans="1:12" ht="15">
      <c r="A36" s="122"/>
      <c r="B36" s="154"/>
      <c r="C36" s="117"/>
      <c r="D36" s="122"/>
      <c r="E36" s="122"/>
      <c r="F36" s="117"/>
      <c r="G36" s="117"/>
      <c r="H36" s="122"/>
      <c r="I36" s="117"/>
      <c r="J36" s="117"/>
      <c r="K36" s="117"/>
      <c r="L36" s="117"/>
    </row>
    <row r="37" spans="1:12" ht="15">
      <c r="A37" s="122"/>
      <c r="B37" s="154" t="s">
        <v>377</v>
      </c>
      <c r="C37" s="117"/>
      <c r="D37" s="122"/>
      <c r="E37" s="122"/>
      <c r="F37" s="117"/>
      <c r="G37" s="117"/>
      <c r="H37" s="122"/>
      <c r="I37" s="117"/>
      <c r="J37" s="117"/>
      <c r="K37" s="117"/>
      <c r="L37" s="117"/>
    </row>
    <row r="38" spans="1:12" ht="15">
      <c r="A38" s="122">
        <f>A35+1</f>
        <v>19</v>
      </c>
      <c r="B38" s="154"/>
      <c r="C38" s="117" t="s">
        <v>416</v>
      </c>
      <c r="D38" s="220" t="str">
        <f>'PEC - 6  - p1 FF1 Inputs '!F37</f>
        <v>234.8.c</v>
      </c>
      <c r="E38" s="122"/>
      <c r="F38" s="166">
        <f>'PEC - 6  - p1 FF1 Inputs '!J37</f>
        <v>668425265.98000002</v>
      </c>
      <c r="G38" s="117"/>
      <c r="H38" s="282" t="s">
        <v>490</v>
      </c>
      <c r="I38" s="283"/>
      <c r="J38" s="117"/>
      <c r="K38" s="221">
        <f>'PEC - 6 -p2 AC190'!H52</f>
        <v>16079866.488804417</v>
      </c>
      <c r="L38" s="117"/>
    </row>
    <row r="39" spans="1:12" ht="15">
      <c r="A39" s="122">
        <f>A38+1</f>
        <v>20</v>
      </c>
      <c r="B39" s="154"/>
      <c r="C39" s="117" t="s">
        <v>68</v>
      </c>
      <c r="D39" s="220" t="str">
        <f>'PEC - 6  - p1 FF1 Inputs '!F46</f>
        <v>275.2.k</v>
      </c>
      <c r="E39" s="122"/>
      <c r="F39" s="166">
        <f>'PEC - 6  - p1 FF1 Inputs '!J46</f>
        <v>-1408293996.8883994</v>
      </c>
      <c r="G39" s="117"/>
      <c r="H39" s="282" t="s">
        <v>491</v>
      </c>
      <c r="I39" s="283"/>
      <c r="J39" s="117"/>
      <c r="K39" s="123">
        <f>'PEC - 6 - p3  AC282'!H38</f>
        <v>-211670259.78596032</v>
      </c>
      <c r="L39" s="117"/>
    </row>
    <row r="40" spans="1:12" ht="15.75" thickBot="1">
      <c r="A40" s="122">
        <f>A39+1</f>
        <v>21</v>
      </c>
      <c r="B40" s="154"/>
      <c r="C40" s="117" t="s">
        <v>417</v>
      </c>
      <c r="D40" s="220" t="str">
        <f>'PEC - 6  - p1 FF1 Inputs '!F47</f>
        <v>277.9.k</v>
      </c>
      <c r="E40" s="122"/>
      <c r="F40" s="166">
        <f>'PEC - 6  - p1 FF1 Inputs '!J47</f>
        <v>-479449010.33679444</v>
      </c>
      <c r="G40" s="117"/>
      <c r="H40" s="282" t="s">
        <v>492</v>
      </c>
      <c r="I40" s="283"/>
      <c r="J40" s="117"/>
      <c r="K40" s="123">
        <f>'PEC - 6 - p4 AC283'!H51</f>
        <v>-8299527.1018302608</v>
      </c>
      <c r="L40" s="117"/>
    </row>
    <row r="41" spans="1:12" ht="15.75" thickTop="1">
      <c r="A41" s="122">
        <f>A40+1</f>
        <v>22</v>
      </c>
      <c r="B41" s="154" t="s">
        <v>378</v>
      </c>
      <c r="C41" s="117"/>
      <c r="D41" s="122"/>
      <c r="E41" s="122"/>
      <c r="F41" s="156">
        <f>SUM(F38:F40)</f>
        <v>-1219317741.2451937</v>
      </c>
      <c r="G41" s="117"/>
      <c r="H41" s="122"/>
      <c r="I41" s="155"/>
      <c r="J41" s="155"/>
      <c r="K41" s="156">
        <f>SUM(K38:K40)</f>
        <v>-203889920.39898616</v>
      </c>
      <c r="L41" s="117"/>
    </row>
    <row r="42" spans="1:12" ht="15">
      <c r="A42" s="122"/>
      <c r="B42" s="154"/>
      <c r="C42" s="117"/>
      <c r="D42" s="122"/>
      <c r="E42" s="122"/>
      <c r="F42" s="117"/>
      <c r="G42" s="117"/>
      <c r="H42" s="122"/>
      <c r="I42" s="117"/>
      <c r="J42" s="117"/>
      <c r="K42" s="117"/>
      <c r="L42" s="117"/>
    </row>
    <row r="43" spans="1:12" ht="15">
      <c r="A43" s="122"/>
      <c r="B43" s="154" t="s">
        <v>537</v>
      </c>
      <c r="C43" s="117"/>
      <c r="D43" s="122"/>
      <c r="E43" s="122"/>
      <c r="F43" s="117"/>
      <c r="G43" s="117"/>
      <c r="H43" s="122"/>
      <c r="I43" s="117"/>
      <c r="J43" s="117"/>
      <c r="K43" s="117"/>
      <c r="L43" s="117"/>
    </row>
    <row r="44" spans="1:12" ht="15">
      <c r="A44" s="122">
        <f>A41+1</f>
        <v>23</v>
      </c>
      <c r="B44" s="154"/>
      <c r="C44" s="117" t="s">
        <v>627</v>
      </c>
      <c r="D44" s="220" t="str">
        <f>'PEC - 6  - p1 FF1 Inputs '!F17</f>
        <v>112.28.c</v>
      </c>
      <c r="E44" s="122"/>
      <c r="F44" s="166">
        <f>-'PEC - 6  - p1 FF1 Inputs '!J17</f>
        <v>-4057872</v>
      </c>
      <c r="G44" s="117"/>
      <c r="H44" s="122" t="s">
        <v>231</v>
      </c>
      <c r="I44" s="155">
        <f>'PEC - 2 - Page 4 Support'!I$32</f>
        <v>4.5100020896118378E-2</v>
      </c>
      <c r="J44" s="117"/>
      <c r="K44" s="123">
        <f>F44*I44</f>
        <v>-183010.11199377367</v>
      </c>
      <c r="L44" s="117"/>
    </row>
    <row r="45" spans="1:12" ht="15">
      <c r="A45" s="122">
        <f>A44+1</f>
        <v>24</v>
      </c>
      <c r="B45" s="154"/>
      <c r="C45" s="117" t="s">
        <v>504</v>
      </c>
      <c r="D45" s="220" t="str">
        <f>'PEC - 6  - p1 FF1 Inputs '!F18</f>
        <v>112.29.c</v>
      </c>
      <c r="E45" s="122"/>
      <c r="F45" s="166">
        <f>-'PEC - 6  - p1 FF1 Inputs '!J18</f>
        <v>-674692754</v>
      </c>
      <c r="G45" s="117"/>
      <c r="H45" s="122" t="s">
        <v>231</v>
      </c>
      <c r="I45" s="155">
        <f>'PEC - 2 - Page 4 Support'!I$32</f>
        <v>4.5100020896118378E-2</v>
      </c>
      <c r="J45" s="117"/>
      <c r="K45" s="123">
        <f>F45*I45</f>
        <v>-30428657.303859659</v>
      </c>
      <c r="L45" s="117"/>
    </row>
    <row r="46" spans="1:12" ht="15">
      <c r="A46" s="122">
        <f>A45+1</f>
        <v>25</v>
      </c>
      <c r="B46" s="154"/>
      <c r="C46" s="117" t="s">
        <v>535</v>
      </c>
      <c r="D46" s="220" t="str">
        <f>'PEC - 6  - p1 FF1 Inputs '!F19</f>
        <v>112.30.c</v>
      </c>
      <c r="E46" s="122"/>
      <c r="F46" s="166">
        <f>-'PEC - 6  - p1 FF1 Inputs '!J19</f>
        <v>-34721243</v>
      </c>
      <c r="G46" s="117"/>
      <c r="H46" s="282" t="s">
        <v>536</v>
      </c>
      <c r="I46" s="283"/>
      <c r="J46" s="117"/>
      <c r="K46" s="123">
        <f>'PEC - 6 - p5 AC228.4'!H20</f>
        <v>-1259581.8416999795</v>
      </c>
      <c r="L46" s="117"/>
    </row>
    <row r="47" spans="1:12" ht="15.75" thickBot="1">
      <c r="A47" s="122">
        <f>A46+1</f>
        <v>26</v>
      </c>
      <c r="B47" s="154"/>
      <c r="C47" s="117" t="s">
        <v>534</v>
      </c>
      <c r="D47" s="220" t="str">
        <f>'PEC - 6  - p1 FF1 Inputs '!F36</f>
        <v>232.18.f</v>
      </c>
      <c r="E47" s="122"/>
      <c r="F47" s="166">
        <f>'PEC - 6  - p1 FF1 Inputs '!J36</f>
        <v>483158164</v>
      </c>
      <c r="G47" s="117"/>
      <c r="H47" s="122" t="s">
        <v>231</v>
      </c>
      <c r="I47" s="155">
        <f>I44</f>
        <v>4.5100020896118378E-2</v>
      </c>
      <c r="J47" s="117"/>
      <c r="K47" s="123">
        <f>F47*I47</f>
        <v>21790443.29253019</v>
      </c>
      <c r="L47" s="117"/>
    </row>
    <row r="48" spans="1:12" ht="15.75" thickTop="1">
      <c r="A48" s="122">
        <f>A47+1</f>
        <v>27</v>
      </c>
      <c r="B48" s="154"/>
      <c r="C48" s="117" t="s">
        <v>503</v>
      </c>
      <c r="D48" s="220"/>
      <c r="E48" s="122"/>
      <c r="F48" s="156">
        <f>SUM(F44:F47)</f>
        <v>-230313705</v>
      </c>
      <c r="G48" s="117"/>
      <c r="H48" s="122"/>
      <c r="I48" s="155"/>
      <c r="J48" s="155"/>
      <c r="K48" s="156">
        <f>SUM(K44:K47)</f>
        <v>-10080805.965023223</v>
      </c>
      <c r="L48" s="117"/>
    </row>
    <row r="49" spans="1:14" ht="15">
      <c r="A49" s="122"/>
      <c r="B49" s="154"/>
      <c r="C49" s="117"/>
      <c r="D49" s="122"/>
      <c r="E49" s="122"/>
      <c r="F49" s="117"/>
      <c r="G49" s="117"/>
      <c r="H49" s="122"/>
      <c r="I49" s="117"/>
      <c r="J49" s="117"/>
      <c r="K49" s="117"/>
      <c r="L49" s="117"/>
    </row>
    <row r="50" spans="1:14" ht="15">
      <c r="A50" s="215">
        <f>A48+1</f>
        <v>28</v>
      </c>
      <c r="B50" s="154" t="s">
        <v>88</v>
      </c>
      <c r="C50" s="117"/>
      <c r="D50" s="122" t="str">
        <f>'PEC - 6  - p1 FF1 Inputs '!F29</f>
        <v>214.47.d</v>
      </c>
      <c r="E50" s="122"/>
      <c r="F50" s="123">
        <f>'PEC - 6  - p1 FF1 Inputs '!J29</f>
        <v>8586517</v>
      </c>
      <c r="G50" s="117"/>
      <c r="H50" s="122" t="s">
        <v>538</v>
      </c>
      <c r="I50" s="117"/>
      <c r="J50" s="117"/>
      <c r="K50" s="123">
        <f>F50</f>
        <v>8586517</v>
      </c>
      <c r="L50" s="117"/>
    </row>
    <row r="51" spans="1:14" ht="12.75" customHeight="1">
      <c r="A51" s="122"/>
      <c r="B51" s="117"/>
      <c r="C51" s="218"/>
      <c r="D51" s="215"/>
      <c r="E51" s="215"/>
      <c r="F51" s="216"/>
      <c r="G51" s="165"/>
      <c r="H51" s="215"/>
      <c r="I51" s="222"/>
      <c r="J51" s="165"/>
      <c r="K51" s="216"/>
      <c r="L51" s="117"/>
    </row>
    <row r="52" spans="1:14" ht="12.75" customHeight="1">
      <c r="A52" s="122">
        <f>A50+1</f>
        <v>29</v>
      </c>
      <c r="B52" s="154" t="s">
        <v>546</v>
      </c>
      <c r="C52" s="223"/>
      <c r="D52" s="223"/>
      <c r="E52" s="223"/>
      <c r="F52" s="221">
        <f>'PEC- 4 CWIP'!G97</f>
        <v>106128306.10999997</v>
      </c>
      <c r="G52" s="223"/>
      <c r="H52" s="184"/>
      <c r="I52" s="222">
        <v>0.5</v>
      </c>
      <c r="J52" s="165"/>
      <c r="K52" s="216">
        <f>F52*I52</f>
        <v>53064153.054999985</v>
      </c>
      <c r="L52" s="117"/>
      <c r="M52" s="239"/>
    </row>
    <row r="53" spans="1:14" ht="12.75" customHeight="1">
      <c r="A53" s="233">
        <f>A52+1</f>
        <v>30</v>
      </c>
      <c r="B53" s="154" t="s">
        <v>772</v>
      </c>
      <c r="C53" s="223"/>
      <c r="D53" s="223"/>
      <c r="E53" s="223"/>
      <c r="F53" s="166">
        <f>'PEC - 2 - Page 5 GridSouth'!F39</f>
        <v>-1065377</v>
      </c>
      <c r="G53" s="223"/>
      <c r="H53" s="233" t="s">
        <v>773</v>
      </c>
      <c r="I53" s="222">
        <f>'PEC - 2 - Page 5 GridSouth'!I39</f>
        <v>3.0123727522448696</v>
      </c>
      <c r="J53" s="165"/>
      <c r="K53" s="166">
        <f>'PEC - 2 - Page 5 GridSouth'!K39</f>
        <v>-3209312.6456683823</v>
      </c>
      <c r="L53" s="117"/>
      <c r="N53" s="1"/>
    </row>
    <row r="54" spans="1:14" ht="12.75" customHeight="1">
      <c r="A54" s="122"/>
      <c r="B54" s="117"/>
      <c r="C54" s="218"/>
      <c r="D54" s="215"/>
      <c r="E54" s="215"/>
      <c r="F54" s="216"/>
      <c r="G54" s="165"/>
      <c r="H54" s="215"/>
      <c r="I54" s="222"/>
      <c r="J54" s="165"/>
      <c r="K54" s="216"/>
      <c r="L54" s="117"/>
    </row>
    <row r="55" spans="1:14" ht="12.75" customHeight="1">
      <c r="A55" s="102"/>
      <c r="B55" s="154" t="s">
        <v>608</v>
      </c>
      <c r="C55" s="218"/>
      <c r="D55" s="215"/>
      <c r="E55" s="215"/>
      <c r="F55" s="102"/>
      <c r="G55" s="102"/>
      <c r="H55" s="102"/>
      <c r="I55" s="102"/>
      <c r="J55" s="102"/>
      <c r="K55" s="102"/>
      <c r="L55" s="117"/>
    </row>
    <row r="56" spans="1:14" ht="12.75" customHeight="1">
      <c r="A56" s="122">
        <f>A53+1</f>
        <v>31</v>
      </c>
      <c r="B56" s="154"/>
      <c r="C56" s="218" t="s">
        <v>783</v>
      </c>
      <c r="D56" s="215"/>
      <c r="E56" s="215"/>
      <c r="F56" s="123">
        <f>'PEC - 5 p 1 Anson'!I46+'PEC - 5 p 2 Richmond'!I45</f>
        <v>7551459.2999999989</v>
      </c>
      <c r="G56" s="165"/>
      <c r="H56" s="215" t="s">
        <v>106</v>
      </c>
      <c r="I56" s="222">
        <v>-1</v>
      </c>
      <c r="J56" s="165"/>
      <c r="K56" s="216">
        <f>F56*I56</f>
        <v>-7551459.2999999989</v>
      </c>
      <c r="L56" s="117"/>
    </row>
    <row r="57" spans="1:14" ht="12.75" customHeight="1">
      <c r="A57" s="122">
        <f>A56+1</f>
        <v>32</v>
      </c>
      <c r="B57" s="154"/>
      <c r="C57" s="218" t="s">
        <v>590</v>
      </c>
      <c r="D57" s="215"/>
      <c r="E57" s="215"/>
      <c r="F57" s="123">
        <f>'PEC - 5 p 1 Anson'!H46+'PEC - 5 p 2 Richmond'!H45</f>
        <v>699907.77681314619</v>
      </c>
      <c r="G57" s="165"/>
      <c r="H57" s="215" t="s">
        <v>106</v>
      </c>
      <c r="I57" s="222">
        <v>1</v>
      </c>
      <c r="J57" s="165"/>
      <c r="K57" s="216">
        <f>F57*I57</f>
        <v>699907.77681314619</v>
      </c>
      <c r="L57" s="117"/>
    </row>
    <row r="58" spans="1:14" ht="12.75" customHeight="1" thickBot="1">
      <c r="A58" s="122">
        <f>A57+1</f>
        <v>33</v>
      </c>
      <c r="B58" s="154"/>
      <c r="C58" s="218" t="s">
        <v>591</v>
      </c>
      <c r="D58" s="215"/>
      <c r="E58" s="215"/>
      <c r="F58" s="123">
        <f>-'PEC - 5 p 1 Anson'!I62-'PEC - 5 p 2 Richmond'!I60</f>
        <v>-1408159.7914409568</v>
      </c>
      <c r="G58" s="165"/>
      <c r="H58" s="215" t="s">
        <v>106</v>
      </c>
      <c r="I58" s="222">
        <v>1</v>
      </c>
      <c r="J58" s="165"/>
      <c r="K58" s="216">
        <f>F58*I58</f>
        <v>-1408159.7914409568</v>
      </c>
      <c r="L58" s="117"/>
    </row>
    <row r="59" spans="1:14" ht="12.75" customHeight="1" thickTop="1">
      <c r="A59" s="122">
        <f>A58+1</f>
        <v>34</v>
      </c>
      <c r="B59" s="154" t="s">
        <v>592</v>
      </c>
      <c r="C59" s="117"/>
      <c r="D59" s="220"/>
      <c r="E59" s="122"/>
      <c r="F59" s="156"/>
      <c r="G59" s="117"/>
      <c r="H59" s="122"/>
      <c r="I59" s="155"/>
      <c r="J59" s="155"/>
      <c r="K59" s="156">
        <f>SUM(K56:K58)</f>
        <v>-8259711.3146278095</v>
      </c>
      <c r="L59" s="117"/>
    </row>
    <row r="60" spans="1:14" ht="12.75" customHeight="1">
      <c r="A60" s="122"/>
      <c r="B60" s="223"/>
      <c r="C60" s="218"/>
      <c r="D60" s="224"/>
      <c r="E60" s="224"/>
      <c r="F60" s="123"/>
      <c r="G60" s="165"/>
      <c r="H60" s="215"/>
      <c r="I60" s="222"/>
      <c r="J60" s="165"/>
      <c r="K60" s="216"/>
      <c r="L60" s="117"/>
    </row>
    <row r="61" spans="1:14" ht="15">
      <c r="A61" s="122"/>
      <c r="B61" s="154" t="s">
        <v>89</v>
      </c>
      <c r="C61" s="117"/>
      <c r="D61" s="122"/>
      <c r="E61" s="122"/>
      <c r="F61" s="117"/>
      <c r="G61" s="117"/>
      <c r="H61" s="122"/>
      <c r="I61" s="117"/>
      <c r="J61" s="117"/>
      <c r="K61" s="117"/>
      <c r="L61" s="117"/>
    </row>
    <row r="62" spans="1:14" ht="15">
      <c r="A62" s="122">
        <f>A59+1</f>
        <v>35</v>
      </c>
      <c r="B62" s="154"/>
      <c r="C62" s="117" t="s">
        <v>115</v>
      </c>
      <c r="D62" s="122" t="str">
        <f>"Page 3, line "&amp;'PEC - 2 - Page 3 Rev Reqt'!A31</f>
        <v>Page 3, line 15</v>
      </c>
      <c r="E62" s="122"/>
      <c r="F62" s="117"/>
      <c r="G62" s="117"/>
      <c r="H62" s="122"/>
      <c r="I62" s="117"/>
      <c r="J62" s="117"/>
      <c r="K62" s="123">
        <f>'PEC - 2 - Page 3 Rev Reqt'!K31/8</f>
        <v>5481730.5696395887</v>
      </c>
      <c r="L62" s="117"/>
    </row>
    <row r="63" spans="1:14" ht="15">
      <c r="A63" s="215">
        <f>A62+1</f>
        <v>36</v>
      </c>
      <c r="B63" s="154"/>
      <c r="C63" s="117" t="s">
        <v>116</v>
      </c>
      <c r="D63" s="122" t="str">
        <f>'PEC - 6  - p1 FF1 Inputs '!F34</f>
        <v>227.8.c</v>
      </c>
      <c r="E63" s="122"/>
      <c r="F63" s="166">
        <f>'PEC - 6  - p1 FF1 Inputs '!J34</f>
        <v>6114802</v>
      </c>
      <c r="G63" s="117"/>
      <c r="H63" s="122" t="s">
        <v>102</v>
      </c>
      <c r="I63" s="155">
        <f>'PEC - 2 - Page 4 Support'!I20</f>
        <v>0.94081639170888487</v>
      </c>
      <c r="J63" s="155"/>
      <c r="K63" s="123">
        <f>F63*I63</f>
        <v>5752905.9536542725</v>
      </c>
      <c r="L63" s="117"/>
    </row>
    <row r="64" spans="1:14" ht="15">
      <c r="A64" s="215">
        <f>A63+1</f>
        <v>37</v>
      </c>
      <c r="B64" s="154"/>
      <c r="C64" s="117" t="s">
        <v>117</v>
      </c>
      <c r="D64" s="122" t="str">
        <f>'PEC - 6  - p1 FF1 Inputs '!F35</f>
        <v>227.16.c</v>
      </c>
      <c r="E64" s="122"/>
      <c r="F64" s="166">
        <f>'PEC - 6  - p1 FF1 Inputs '!J35</f>
        <v>20614419</v>
      </c>
      <c r="G64" s="117"/>
      <c r="H64" s="122" t="s">
        <v>231</v>
      </c>
      <c r="I64" s="155">
        <f>'PEC - 2 - Page 4 Support'!I32</f>
        <v>4.5100020896118378E-2</v>
      </c>
      <c r="J64" s="155"/>
      <c r="K64" s="123">
        <f>F64*I64</f>
        <v>929710.72766133968</v>
      </c>
      <c r="L64" s="117"/>
      <c r="M64" s="216"/>
    </row>
    <row r="65" spans="1:12" ht="15.75" thickBot="1">
      <c r="A65" s="215">
        <f>A64+1</f>
        <v>38</v>
      </c>
      <c r="B65" s="154"/>
      <c r="C65" s="117" t="s">
        <v>462</v>
      </c>
      <c r="D65" s="122" t="str">
        <f>'PEF - 6  - Form 1 Inputs'!F37</f>
        <v>111.57.c</v>
      </c>
      <c r="E65" s="122"/>
      <c r="F65" s="166">
        <f>'PEC - 6  - p1 FF1 Inputs '!J11</f>
        <v>2247063</v>
      </c>
      <c r="G65" s="117"/>
      <c r="H65" s="122" t="s">
        <v>91</v>
      </c>
      <c r="I65" s="155">
        <f>I19</f>
        <v>9.0710180997676554E-2</v>
      </c>
      <c r="J65" s="155"/>
      <c r="K65" s="123">
        <f>F65*I65</f>
        <v>203831.49144318208</v>
      </c>
      <c r="L65" s="117"/>
    </row>
    <row r="66" spans="1:12" ht="15.75" thickTop="1">
      <c r="A66" s="215">
        <f>A65+1</f>
        <v>39</v>
      </c>
      <c r="B66" s="154" t="s">
        <v>97</v>
      </c>
      <c r="C66" s="117"/>
      <c r="D66" s="122"/>
      <c r="E66" s="122"/>
      <c r="F66" s="117"/>
      <c r="G66" s="117"/>
      <c r="H66" s="117"/>
      <c r="I66" s="117"/>
      <c r="J66" s="117"/>
      <c r="K66" s="156">
        <f>SUM(K62:K65)</f>
        <v>12368178.742398381</v>
      </c>
      <c r="L66" s="117"/>
    </row>
    <row r="67" spans="1:12" ht="15">
      <c r="A67" s="215"/>
      <c r="B67" s="154"/>
      <c r="C67" s="117"/>
      <c r="D67" s="122"/>
      <c r="E67" s="122"/>
      <c r="F67" s="117"/>
      <c r="G67" s="117"/>
      <c r="H67" s="117"/>
      <c r="I67" s="117"/>
      <c r="J67" s="117"/>
      <c r="K67" s="117"/>
      <c r="L67" s="117"/>
    </row>
    <row r="68" spans="1:12" ht="15">
      <c r="A68" s="122">
        <f>A66+1</f>
        <v>40</v>
      </c>
      <c r="B68" s="154" t="str">
        <f>"Rate Base (Sum of Lines "&amp;A35&amp;", "&amp;A41&amp;", "&amp;A48&amp;", "&amp;A52&amp;", "&amp;A53&amp;", "&amp;A59&amp;", and "&amp;A66&amp;")"</f>
        <v>Rate Base (Sum of Lines 18, 22, 27, 29, 30, 34, and 39)</v>
      </c>
      <c r="C68" s="117"/>
      <c r="D68" s="122"/>
      <c r="E68" s="122"/>
      <c r="F68" s="117"/>
      <c r="G68" s="117"/>
      <c r="H68" s="117"/>
      <c r="I68" s="117"/>
      <c r="J68" s="117"/>
      <c r="K68" s="123">
        <f>K35+K41+K48+K50+K52+K53+K59+K66</f>
        <v>721663247.08383536</v>
      </c>
      <c r="L68" s="117"/>
    </row>
    <row r="69" spans="1:12">
      <c r="B69" s="4"/>
    </row>
    <row r="70" spans="1:12">
      <c r="B70" s="4"/>
    </row>
    <row r="75" spans="1:12">
      <c r="B75" s="4"/>
      <c r="F75" s="1"/>
    </row>
    <row r="76" spans="1:12">
      <c r="F76" s="1"/>
    </row>
    <row r="77" spans="1:12">
      <c r="F77" s="1"/>
    </row>
    <row r="78" spans="1:12">
      <c r="F78" s="1"/>
    </row>
    <row r="79" spans="1:12">
      <c r="F79" s="1"/>
    </row>
    <row r="80" spans="1:12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</sheetData>
  <mergeCells count="11">
    <mergeCell ref="H38:I38"/>
    <mergeCell ref="H39:I39"/>
    <mergeCell ref="H40:I40"/>
    <mergeCell ref="H46:I46"/>
    <mergeCell ref="J1:L1"/>
    <mergeCell ref="H11:I11"/>
    <mergeCell ref="J2:L2"/>
    <mergeCell ref="J3:L3"/>
    <mergeCell ref="A5:L5"/>
    <mergeCell ref="A6:L6"/>
    <mergeCell ref="A8:L8"/>
  </mergeCells>
  <phoneticPr fontId="0" type="noConversion"/>
  <printOptions horizontalCentered="1"/>
  <pageMargins left="0.5" right="0.5" top="0.75" bottom="0.5" header="0.5" footer="0.5"/>
  <pageSetup scale="6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M61"/>
  <sheetViews>
    <sheetView topLeftCell="A36" workbookViewId="0">
      <selection activeCell="F29" sqref="F29"/>
    </sheetView>
  </sheetViews>
  <sheetFormatPr defaultRowHeight="12.75"/>
  <cols>
    <col min="2" max="2" width="2.7109375" customWidth="1"/>
    <col min="3" max="3" width="40.42578125" customWidth="1"/>
    <col min="4" max="4" width="15.140625" bestFit="1" customWidth="1"/>
    <col min="5" max="5" width="3.7109375" customWidth="1"/>
    <col min="6" max="6" width="13.42578125" customWidth="1"/>
    <col min="7" max="7" width="3.7109375" customWidth="1"/>
    <col min="8" max="8" width="12.5703125" bestFit="1" customWidth="1"/>
    <col min="10" max="10" width="3.7109375" customWidth="1"/>
    <col min="11" max="11" width="13.7109375" customWidth="1"/>
    <col min="12" max="12" width="5.7109375" customWidth="1"/>
  </cols>
  <sheetData>
    <row r="1" spans="1:12" ht="15.75">
      <c r="A1" s="117"/>
      <c r="B1" s="117"/>
      <c r="C1" s="117"/>
      <c r="D1" s="117"/>
      <c r="E1" s="117"/>
      <c r="F1" s="117"/>
      <c r="G1" s="117"/>
      <c r="H1" s="117"/>
      <c r="I1" s="117"/>
      <c r="J1" s="284" t="s">
        <v>399</v>
      </c>
      <c r="K1" s="284"/>
      <c r="L1" s="284"/>
    </row>
    <row r="2" spans="1:12" ht="15.75">
      <c r="A2" s="117"/>
      <c r="B2" s="117"/>
      <c r="C2" s="117"/>
      <c r="D2" s="117"/>
      <c r="E2" s="117"/>
      <c r="F2" s="117"/>
      <c r="G2" s="117"/>
      <c r="H2" s="117"/>
      <c r="I2" s="117"/>
      <c r="J2" s="285" t="s">
        <v>463</v>
      </c>
      <c r="K2" s="285"/>
      <c r="L2" s="286"/>
    </row>
    <row r="3" spans="1:12" ht="15">
      <c r="A3" s="117"/>
      <c r="B3" s="117"/>
      <c r="C3" s="117"/>
      <c r="D3" s="117"/>
      <c r="E3" s="117"/>
      <c r="F3" s="117"/>
      <c r="G3" s="117"/>
      <c r="H3" s="117"/>
      <c r="I3" s="117"/>
      <c r="J3" s="278" t="str">
        <f>FF1_Year</f>
        <v>Year Ending 12/31/2009</v>
      </c>
      <c r="K3" s="278"/>
      <c r="L3" s="278"/>
    </row>
    <row r="4" spans="1:12" ht="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1:12" ht="15">
      <c r="A5" s="281" t="s">
        <v>395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</row>
    <row r="6" spans="1:12" ht="15">
      <c r="A6" s="281" t="s">
        <v>186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</row>
    <row r="7" spans="1:12" ht="15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>
      <c r="A8" s="281" t="s">
        <v>187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</row>
    <row r="9" spans="1:12" ht="15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15">
      <c r="A10" s="122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30">
      <c r="A11" s="163" t="s">
        <v>69</v>
      </c>
      <c r="B11" s="164" t="s">
        <v>147</v>
      </c>
      <c r="C11" s="165"/>
      <c r="D11" s="163" t="s">
        <v>44</v>
      </c>
      <c r="E11" s="163"/>
      <c r="F11" s="163" t="s">
        <v>70</v>
      </c>
      <c r="G11" s="163"/>
      <c r="H11" s="281" t="s">
        <v>71</v>
      </c>
      <c r="I11" s="281"/>
      <c r="J11" s="163"/>
      <c r="K11" s="213" t="s">
        <v>72</v>
      </c>
      <c r="L11" s="214"/>
    </row>
    <row r="12" spans="1:12" ht="15">
      <c r="A12" s="122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5">
      <c r="A13" s="122"/>
      <c r="B13" s="154" t="s">
        <v>98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15">
      <c r="A14" s="125">
        <v>1</v>
      </c>
      <c r="B14" s="154"/>
      <c r="C14" s="117" t="str">
        <f>'PEC - 6  - p1 FF1 Inputs '!E50</f>
        <v>TOTAL Transmission Expenses</v>
      </c>
      <c r="D14" s="122" t="str">
        <f>'PEC - 6  - p1 FF1 Inputs '!F50</f>
        <v>321.112.b</v>
      </c>
      <c r="E14" s="122"/>
      <c r="F14" s="166">
        <f>'PEC - 6  - p1 FF1 Inputs '!J50</f>
        <v>59134415</v>
      </c>
      <c r="G14" s="117"/>
      <c r="H14" s="122"/>
      <c r="I14" s="117"/>
      <c r="J14" s="117"/>
      <c r="K14" s="123"/>
      <c r="L14" s="117"/>
    </row>
    <row r="15" spans="1:12" ht="15">
      <c r="A15" s="122">
        <f>A14+1</f>
        <v>2</v>
      </c>
      <c r="B15" s="154"/>
      <c r="C15" s="117" t="s">
        <v>552</v>
      </c>
      <c r="D15" s="122" t="str">
        <f>'PEC - 6  - p1 FF1 Inputs '!F48</f>
        <v>321.84-88.b</v>
      </c>
      <c r="E15" s="122"/>
      <c r="F15" s="166">
        <f>'PEC - 6  - p1 FF1 Inputs '!J48</f>
        <v>4428040</v>
      </c>
      <c r="G15" s="117"/>
      <c r="H15" s="122"/>
      <c r="I15" s="117"/>
      <c r="J15" s="117"/>
      <c r="K15" s="123"/>
      <c r="L15" s="117"/>
    </row>
    <row r="16" spans="1:12" ht="15.75" thickBot="1">
      <c r="A16" s="122">
        <f>A15+1</f>
        <v>3</v>
      </c>
      <c r="B16" s="154"/>
      <c r="C16" s="117" t="s">
        <v>99</v>
      </c>
      <c r="D16" s="122" t="str">
        <f>'PEC - 6  - p1 FF1 Inputs '!F49</f>
        <v>321.96.b</v>
      </c>
      <c r="E16" s="122"/>
      <c r="F16" s="166">
        <f>'PEC - 6  - p1 FF1 Inputs '!J49</f>
        <v>22585931</v>
      </c>
      <c r="G16" s="117"/>
      <c r="H16" s="122"/>
      <c r="I16" s="155"/>
      <c r="J16" s="155"/>
      <c r="K16" s="123"/>
      <c r="L16" s="117"/>
    </row>
    <row r="17" spans="1:13" ht="15.75" thickTop="1">
      <c r="A17" s="122">
        <f>A16+1</f>
        <v>4</v>
      </c>
      <c r="B17" s="154"/>
      <c r="C17" s="117" t="s">
        <v>100</v>
      </c>
      <c r="D17" s="122" t="s">
        <v>609</v>
      </c>
      <c r="E17" s="122"/>
      <c r="F17" s="156">
        <f>F14-F15-F16</f>
        <v>32120444</v>
      </c>
      <c r="G17" s="117"/>
      <c r="H17" s="122" t="s">
        <v>102</v>
      </c>
      <c r="I17" s="155">
        <f>'PEC - 2 - Page 4 Support'!I20</f>
        <v>0.94081639170888487</v>
      </c>
      <c r="J17" s="155"/>
      <c r="K17" s="156">
        <f>F17*I17</f>
        <v>30219440.224167302</v>
      </c>
      <c r="L17" s="117"/>
    </row>
    <row r="18" spans="1:13" ht="15">
      <c r="A18" s="122"/>
      <c r="B18" s="154"/>
      <c r="C18" s="117"/>
      <c r="D18" s="122"/>
      <c r="E18" s="122"/>
      <c r="F18" s="123"/>
      <c r="G18" s="117"/>
      <c r="H18" s="122"/>
      <c r="I18" s="155"/>
      <c r="J18" s="155"/>
      <c r="K18" s="123"/>
      <c r="L18" s="117"/>
    </row>
    <row r="19" spans="1:13" ht="15">
      <c r="A19" s="122">
        <f>A17+1</f>
        <v>5</v>
      </c>
      <c r="B19" s="154"/>
      <c r="C19" s="117" t="s">
        <v>48</v>
      </c>
      <c r="D19" s="122" t="str">
        <f>'PEC - 6  - p1 FF1 Inputs '!F54</f>
        <v>323.197.b</v>
      </c>
      <c r="E19" s="122"/>
      <c r="F19" s="123">
        <f>'PEC - 6  - p1 FF1 Inputs '!J54</f>
        <v>282302365</v>
      </c>
      <c r="G19" s="117"/>
      <c r="H19" s="122"/>
      <c r="I19" s="155"/>
      <c r="J19" s="155"/>
      <c r="K19" s="123" t="str">
        <f>IF(ISNUMBER(I19),F19*I19,"")</f>
        <v/>
      </c>
      <c r="L19" s="117"/>
      <c r="M19" s="238"/>
    </row>
    <row r="20" spans="1:13" ht="15">
      <c r="A20" s="122">
        <f>A19+1</f>
        <v>6</v>
      </c>
      <c r="B20" s="154"/>
      <c r="C20" s="117" t="str">
        <f>" Less "&amp;'PEF - 6  - Form 1 Inputs'!E13</f>
        <v xml:space="preserve"> Less (924) Property Insurance</v>
      </c>
      <c r="D20" s="122" t="str">
        <f>'PEC - 6  - p1 FF1 Inputs '!F51</f>
        <v>323.185.b</v>
      </c>
      <c r="E20" s="122"/>
      <c r="F20" s="123">
        <f>'PEC - 6  - p1 FF1 Inputs '!J51</f>
        <v>4882453</v>
      </c>
      <c r="G20" s="117"/>
      <c r="H20" s="122"/>
      <c r="I20" s="155"/>
      <c r="J20" s="155"/>
      <c r="K20" s="123"/>
      <c r="L20" s="117"/>
    </row>
    <row r="21" spans="1:13" ht="15">
      <c r="A21" s="122">
        <f>A20+1</f>
        <v>7</v>
      </c>
      <c r="B21" s="154"/>
      <c r="C21" s="117" t="str">
        <f>" Less "&amp;'PEF - 6  - Form 1 Inputs'!E14</f>
        <v xml:space="preserve"> Less (928) Regulatory Commission Expenses</v>
      </c>
      <c r="D21" s="122" t="str">
        <f>'PEC - 6  - p1 FF1 Inputs '!F52</f>
        <v>323.189.b</v>
      </c>
      <c r="E21" s="122"/>
      <c r="F21" s="123">
        <f>'PEC - 6  - p1 FF1 Inputs '!J52</f>
        <v>6038682</v>
      </c>
      <c r="G21" s="117"/>
      <c r="H21" s="122"/>
      <c r="I21" s="155"/>
      <c r="J21" s="155"/>
      <c r="K21" s="123"/>
      <c r="L21" s="117"/>
    </row>
    <row r="22" spans="1:13" ht="15">
      <c r="A22" s="122">
        <f>A21+1</f>
        <v>8</v>
      </c>
      <c r="B22" s="154"/>
      <c r="C22" s="117" t="str">
        <f>" Less "&amp;'PEF - 6  - Form 1 Inputs'!E15</f>
        <v xml:space="preserve"> Less (930.1) General Advertising Expenses</v>
      </c>
      <c r="D22" s="122" t="str">
        <f>'PEC - 6  - p1 FF1 Inputs '!F53</f>
        <v>323.191.b</v>
      </c>
      <c r="E22" s="122"/>
      <c r="F22" s="123">
        <f>'PEC - 6  - p1 FF1 Inputs '!J53</f>
        <v>1702427</v>
      </c>
      <c r="G22" s="117"/>
      <c r="H22" s="122"/>
      <c r="I22" s="155"/>
      <c r="J22" s="155"/>
      <c r="K22" s="123"/>
      <c r="L22" s="117"/>
    </row>
    <row r="23" spans="1:13" ht="15.75" thickBot="1">
      <c r="A23" s="122">
        <f>A22+1</f>
        <v>9</v>
      </c>
      <c r="B23" s="154"/>
      <c r="C23" s="117" t="s">
        <v>498</v>
      </c>
      <c r="D23" s="122" t="str">
        <f>'PEC - 6  - p1 FF1 Inputs '!F55</f>
        <v>335.1-3,12.b</v>
      </c>
      <c r="E23" s="122"/>
      <c r="F23" s="166">
        <f>'PEC - 6  - p1 FF1 Inputs '!J55</f>
        <v>-3247794</v>
      </c>
      <c r="G23" s="117"/>
      <c r="H23" s="122"/>
      <c r="I23" s="155"/>
      <c r="J23" s="155"/>
      <c r="K23" s="123"/>
      <c r="L23" s="117"/>
      <c r="M23" s="119"/>
    </row>
    <row r="24" spans="1:13" ht="15.75" thickTop="1">
      <c r="A24" s="122">
        <f>A23+1</f>
        <v>10</v>
      </c>
      <c r="B24" s="154"/>
      <c r="C24" s="117" t="s">
        <v>104</v>
      </c>
      <c r="D24" s="122"/>
      <c r="E24" s="122"/>
      <c r="F24" s="156">
        <f>F19-SUM(F20:F23)</f>
        <v>272926597</v>
      </c>
      <c r="G24" s="117"/>
      <c r="H24" s="122" t="s">
        <v>231</v>
      </c>
      <c r="I24" s="155">
        <f>'PEC - 2 - Page 4 Support'!I$32</f>
        <v>4.5100020896118378E-2</v>
      </c>
      <c r="J24" s="155"/>
      <c r="K24" s="123">
        <f>F24*I24</f>
        <v>12308995.227806479</v>
      </c>
      <c r="L24" s="117"/>
    </row>
    <row r="25" spans="1:13" ht="15">
      <c r="A25" s="122"/>
      <c r="B25" s="154"/>
      <c r="C25" s="117"/>
      <c r="D25" s="122"/>
      <c r="E25" s="122"/>
      <c r="F25" s="157"/>
      <c r="G25" s="117"/>
      <c r="H25" s="122"/>
      <c r="I25" s="155"/>
      <c r="J25" s="155"/>
      <c r="K25" s="123"/>
      <c r="L25" s="117"/>
    </row>
    <row r="26" spans="1:13" ht="15">
      <c r="A26" s="122">
        <f>A24+1</f>
        <v>11</v>
      </c>
      <c r="B26" s="154"/>
      <c r="C26" s="117" t="str">
        <f>'PEF - 6  - Form 1 Inputs'!E13</f>
        <v>(924) Property Insurance</v>
      </c>
      <c r="D26" s="122" t="str">
        <f>D20</f>
        <v>323.185.b</v>
      </c>
      <c r="E26" s="122"/>
      <c r="F26" s="123">
        <f>F20</f>
        <v>4882453</v>
      </c>
      <c r="G26" s="117"/>
      <c r="H26" s="122" t="s">
        <v>91</v>
      </c>
      <c r="I26" s="155">
        <f>'PEC - 2 Page 2 Rate Base'!I19</f>
        <v>9.0710180997676554E-2</v>
      </c>
      <c r="J26" s="155"/>
      <c r="K26" s="123">
        <f>F26*I26</f>
        <v>442888.19534264889</v>
      </c>
      <c r="L26" s="117"/>
    </row>
    <row r="27" spans="1:13" ht="15">
      <c r="A27" s="122">
        <f>A26+1</f>
        <v>12</v>
      </c>
      <c r="B27" s="154"/>
      <c r="C27" s="117" t="s">
        <v>105</v>
      </c>
      <c r="D27" s="122" t="str">
        <f>'PEC - 6  - p1 FF1 Inputs '!F59</f>
        <v>350.12.b</v>
      </c>
      <c r="E27" s="122"/>
      <c r="F27" s="123">
        <f>'PEC - 6  - p1 FF1 Inputs '!J59</f>
        <v>861369</v>
      </c>
      <c r="G27" s="117"/>
      <c r="H27" s="122" t="s">
        <v>106</v>
      </c>
      <c r="I27" s="155">
        <v>1</v>
      </c>
      <c r="J27" s="155"/>
      <c r="K27" s="123">
        <f>F27*I27</f>
        <v>861369</v>
      </c>
      <c r="L27" s="117"/>
    </row>
    <row r="28" spans="1:13" ht="15">
      <c r="A28" s="122">
        <f>A27+1</f>
        <v>13</v>
      </c>
      <c r="B28" s="154"/>
      <c r="C28" s="117" t="s">
        <v>107</v>
      </c>
      <c r="D28" s="122" t="s">
        <v>390</v>
      </c>
      <c r="E28" s="122"/>
      <c r="F28" s="123">
        <v>0</v>
      </c>
      <c r="G28" s="117"/>
      <c r="H28" s="122" t="s">
        <v>106</v>
      </c>
      <c r="I28" s="155">
        <v>1</v>
      </c>
      <c r="J28" s="155"/>
      <c r="K28" s="123">
        <f>F28*I28</f>
        <v>0</v>
      </c>
      <c r="L28" s="117"/>
    </row>
    <row r="29" spans="1:13" ht="15">
      <c r="A29" s="122">
        <v>14</v>
      </c>
      <c r="B29" s="154"/>
      <c r="C29" s="117" t="s">
        <v>613</v>
      </c>
      <c r="D29" s="122" t="s">
        <v>610</v>
      </c>
      <c r="E29" s="122"/>
      <c r="F29" s="248">
        <f>469000</f>
        <v>469000</v>
      </c>
      <c r="G29" s="117"/>
      <c r="H29" s="122" t="s">
        <v>231</v>
      </c>
      <c r="I29" s="155">
        <f>'PEC - 2 - Page 4 Support'!I$32</f>
        <v>4.5100020896118378E-2</v>
      </c>
      <c r="J29" s="155"/>
      <c r="K29" s="123">
        <f>F29*I29</f>
        <v>21151.909800279518</v>
      </c>
      <c r="L29" s="117"/>
    </row>
    <row r="30" spans="1:13" ht="15.75" thickBot="1">
      <c r="A30" s="122"/>
      <c r="B30" s="154"/>
      <c r="C30" s="117"/>
      <c r="D30" s="122"/>
      <c r="E30" s="122"/>
      <c r="F30" s="123"/>
      <c r="G30" s="117"/>
      <c r="H30" s="122"/>
      <c r="I30" s="155"/>
      <c r="J30" s="155"/>
      <c r="K30" s="123"/>
      <c r="L30" s="117"/>
    </row>
    <row r="31" spans="1:13" ht="15.75" thickTop="1">
      <c r="A31" s="122">
        <f>A29+1</f>
        <v>15</v>
      </c>
      <c r="B31" s="154" t="str">
        <f>"Total O&amp;M (Sum of Lines "&amp;A17&amp;", "&amp;A24&amp;", and "&amp;A26&amp;" thru "&amp;A29&amp;")"</f>
        <v>Total O&amp;M (Sum of Lines 4, 10, and 11 thru 14)</v>
      </c>
      <c r="C31" s="117"/>
      <c r="D31" s="122"/>
      <c r="E31" s="122"/>
      <c r="F31" s="123"/>
      <c r="G31" s="117"/>
      <c r="H31" s="122"/>
      <c r="I31" s="155"/>
      <c r="J31" s="155"/>
      <c r="K31" s="225">
        <f>K17+K24+SUM(K26:K29)</f>
        <v>43853844.55711671</v>
      </c>
      <c r="L31" s="117"/>
    </row>
    <row r="32" spans="1:13" ht="15">
      <c r="A32" s="122"/>
      <c r="B32" s="154"/>
      <c r="C32" s="117"/>
      <c r="D32" s="122"/>
      <c r="E32" s="122"/>
      <c r="F32" s="123"/>
      <c r="G32" s="117"/>
      <c r="H32" s="122"/>
      <c r="I32" s="155"/>
      <c r="J32" s="155"/>
      <c r="K32" s="123"/>
      <c r="L32" s="117"/>
    </row>
    <row r="33" spans="1:13" ht="15">
      <c r="A33" s="122"/>
      <c r="B33" s="154" t="s">
        <v>108</v>
      </c>
      <c r="C33" s="117"/>
      <c r="D33" s="122"/>
      <c r="E33" s="122"/>
      <c r="F33" s="123"/>
      <c r="G33" s="117"/>
      <c r="H33" s="122"/>
      <c r="I33" s="155"/>
      <c r="J33" s="155"/>
      <c r="K33" s="123"/>
      <c r="L33" s="117"/>
    </row>
    <row r="34" spans="1:13" ht="15">
      <c r="A34" s="122">
        <f>A31+1</f>
        <v>16</v>
      </c>
      <c r="B34" s="154"/>
      <c r="C34" s="226" t="s">
        <v>109</v>
      </c>
      <c r="D34" s="122" t="str">
        <f>'PEC - 6  - p1 FF1 Inputs '!F57</f>
        <v>336.7.b</v>
      </c>
      <c r="E34" s="122"/>
      <c r="F34" s="123">
        <f>'PEC - 6  - p1 FF1 Inputs '!J57</f>
        <v>41056440</v>
      </c>
      <c r="G34" s="117"/>
      <c r="H34" s="122" t="s">
        <v>102</v>
      </c>
      <c r="I34" s="155">
        <f>'PEC - 2 - Page 4 Support'!I20</f>
        <v>0.94081639170888487</v>
      </c>
      <c r="J34" s="155"/>
      <c r="K34" s="123">
        <f>F34*I34</f>
        <v>38626571.73721233</v>
      </c>
      <c r="L34" s="117"/>
    </row>
    <row r="35" spans="1:13" ht="15">
      <c r="A35" s="122">
        <f>A34+1</f>
        <v>17</v>
      </c>
      <c r="B35" s="154"/>
      <c r="C35" s="226" t="s">
        <v>110</v>
      </c>
      <c r="D35" s="122" t="str">
        <f>'PEC - 6  - p1 FF1 Inputs '!F58</f>
        <v>336.10.b</v>
      </c>
      <c r="E35" s="122"/>
      <c r="F35" s="123">
        <f>'PEC - 6  - p1 FF1 Inputs '!J58</f>
        <v>17199290</v>
      </c>
      <c r="G35" s="117"/>
      <c r="H35" s="122" t="s">
        <v>231</v>
      </c>
      <c r="I35" s="155">
        <f>'PEC - 2 - Page 4 Support'!I32</f>
        <v>4.5100020896118378E-2</v>
      </c>
      <c r="J35" s="155"/>
      <c r="K35" s="123">
        <f>F35*I35</f>
        <v>775688.33839839988</v>
      </c>
      <c r="L35" s="117"/>
    </row>
    <row r="36" spans="1:13" ht="15.75" thickBot="1">
      <c r="A36" s="122">
        <f>A35+1</f>
        <v>18</v>
      </c>
      <c r="B36" s="154"/>
      <c r="C36" s="226" t="s">
        <v>221</v>
      </c>
      <c r="D36" s="122" t="str">
        <f>'PEC - 6  - p1 FF1 Inputs '!F56</f>
        <v>336.1.f</v>
      </c>
      <c r="E36" s="122"/>
      <c r="F36" s="123">
        <f>'PEC - 6  - p1 FF1 Inputs '!J56</f>
        <v>3189859</v>
      </c>
      <c r="G36" s="117"/>
      <c r="H36" s="122" t="s">
        <v>231</v>
      </c>
      <c r="I36" s="155">
        <f>'PEC - 2 - Page 4 Support'!I32</f>
        <v>4.5100020896118378E-2</v>
      </c>
      <c r="J36" s="155"/>
      <c r="K36" s="123">
        <f>F36*I36</f>
        <v>143862.70755567128</v>
      </c>
      <c r="L36" s="117"/>
      <c r="M36" s="237"/>
    </row>
    <row r="37" spans="1:13" ht="15" customHeight="1" thickTop="1">
      <c r="A37" s="122">
        <f>A36+1</f>
        <v>19</v>
      </c>
      <c r="B37" s="154" t="s">
        <v>111</v>
      </c>
      <c r="C37" s="117"/>
      <c r="D37" s="122"/>
      <c r="E37" s="122"/>
      <c r="F37" s="156">
        <f>SUM(F34:F36)</f>
        <v>61445589</v>
      </c>
      <c r="G37" s="117"/>
      <c r="H37" s="122"/>
      <c r="I37" s="155"/>
      <c r="J37" s="155"/>
      <c r="K37" s="225">
        <f>SUM(K34:K36)</f>
        <v>39546122.783166401</v>
      </c>
      <c r="L37" s="117"/>
    </row>
    <row r="38" spans="1:13" ht="15">
      <c r="A38" s="122"/>
      <c r="B38" s="154"/>
      <c r="C38" s="117"/>
      <c r="D38" s="122"/>
      <c r="E38" s="122"/>
      <c r="F38" s="117"/>
      <c r="G38" s="117"/>
      <c r="H38" s="122"/>
      <c r="I38" s="117"/>
      <c r="J38" s="117"/>
      <c r="K38" s="117"/>
      <c r="L38" s="117"/>
    </row>
    <row r="39" spans="1:13" ht="15">
      <c r="A39" s="122"/>
      <c r="B39" s="154" t="s">
        <v>15</v>
      </c>
      <c r="C39" s="117"/>
      <c r="D39" s="122"/>
      <c r="E39" s="122"/>
      <c r="F39" s="117"/>
      <c r="G39" s="117"/>
      <c r="H39" s="122"/>
      <c r="I39" s="117"/>
      <c r="J39" s="117"/>
      <c r="K39" s="117"/>
      <c r="L39" s="117"/>
    </row>
    <row r="40" spans="1:13" ht="15">
      <c r="A40" s="122">
        <f>A37+1</f>
        <v>20</v>
      </c>
      <c r="B40" s="154"/>
      <c r="C40" s="117" t="s">
        <v>181</v>
      </c>
      <c r="D40" s="125" t="s">
        <v>114</v>
      </c>
      <c r="E40" s="125"/>
      <c r="F40" s="123">
        <f>'PEC - 6  - p1 FF1 Inputs '!J38+'PEC - 6  - p1 FF1 Inputs '!J39+'PEC - 6  - p1 FF1 Inputs '!J42</f>
        <v>30976267</v>
      </c>
      <c r="G40" s="117"/>
      <c r="H40" s="122" t="s">
        <v>231</v>
      </c>
      <c r="I40" s="155">
        <f>'PEC - 2 - Page 4 Support'!I32</f>
        <v>4.5100020896118378E-2</v>
      </c>
      <c r="J40" s="155"/>
      <c r="K40" s="123">
        <f>F40*I40</f>
        <v>1397030.2889837422</v>
      </c>
      <c r="L40" s="117"/>
    </row>
    <row r="41" spans="1:13" ht="15.75" thickBot="1">
      <c r="A41" s="122">
        <f>A40+1</f>
        <v>21</v>
      </c>
      <c r="B41" s="154"/>
      <c r="C41" s="117" t="s">
        <v>112</v>
      </c>
      <c r="D41" s="122" t="s">
        <v>114</v>
      </c>
      <c r="E41" s="122"/>
      <c r="F41" s="123">
        <f>'PEC - 6  - p1 FF1 Inputs '!J40+'PEC - 6  - p1 FF1 Inputs '!J41+'PEC - 6  - p1 FF1 Inputs '!J43</f>
        <v>65483655</v>
      </c>
      <c r="G41" s="117"/>
      <c r="H41" s="122" t="s">
        <v>91</v>
      </c>
      <c r="I41" s="155">
        <f>'PEC - 2 Page 2 Rate Base'!I19</f>
        <v>9.0710180997676554E-2</v>
      </c>
      <c r="J41" s="155"/>
      <c r="K41" s="123">
        <f>F41*I41</f>
        <v>5940034.197439407</v>
      </c>
      <c r="L41" s="117"/>
    </row>
    <row r="42" spans="1:13" ht="15.75" thickTop="1">
      <c r="A42" s="122">
        <f>A41+1</f>
        <v>22</v>
      </c>
      <c r="B42" s="154" t="s">
        <v>113</v>
      </c>
      <c r="C42" s="117"/>
      <c r="D42" s="122"/>
      <c r="E42" s="122"/>
      <c r="F42" s="156">
        <f>SUM(F39:F41)</f>
        <v>96459922</v>
      </c>
      <c r="G42" s="117"/>
      <c r="H42" s="122"/>
      <c r="I42" s="155"/>
      <c r="J42" s="155"/>
      <c r="K42" s="225">
        <f>SUM(K39:K41)</f>
        <v>7337064.4864231497</v>
      </c>
      <c r="L42" s="117"/>
    </row>
    <row r="43" spans="1:13" ht="15">
      <c r="A43" s="122"/>
      <c r="B43" s="154"/>
      <c r="C43" s="117"/>
      <c r="D43" s="122"/>
      <c r="E43" s="122"/>
      <c r="F43" s="157"/>
      <c r="G43" s="117"/>
      <c r="H43" s="122"/>
      <c r="I43" s="155"/>
      <c r="J43" s="155"/>
      <c r="K43" s="157"/>
      <c r="L43" s="117"/>
    </row>
    <row r="44" spans="1:13" ht="15">
      <c r="A44" s="122"/>
      <c r="B44" s="154" t="s">
        <v>118</v>
      </c>
      <c r="C44" s="117"/>
      <c r="D44" s="122"/>
      <c r="E44" s="122"/>
      <c r="F44" s="123"/>
      <c r="G44" s="117"/>
      <c r="H44" s="122"/>
      <c r="I44" s="155"/>
      <c r="J44" s="155"/>
      <c r="K44" s="123"/>
      <c r="L44" s="117"/>
    </row>
    <row r="45" spans="1:13" ht="15">
      <c r="A45" s="122">
        <f>A42+1</f>
        <v>23</v>
      </c>
      <c r="B45" s="154"/>
      <c r="C45" s="117" t="str">
        <f>"Rate Base (Page 2, Line "&amp;'PEC - 2 Page 2 Rate Base'!A68&amp;") * Rate of Return (Page 4, Line "&amp;'PEC - 2 - Page 4 Support'!C62&amp;")"</f>
        <v>Rate Base (Page 2, Line 40) * Rate of Return (Page 4, Line 31)</v>
      </c>
      <c r="D45" s="117"/>
      <c r="E45" s="117"/>
      <c r="F45" s="117"/>
      <c r="G45" s="117"/>
      <c r="H45" s="117"/>
      <c r="I45" s="117"/>
      <c r="J45" s="117"/>
      <c r="K45" s="159">
        <f>'PEC - 2 Page 2 Rate Base'!K68*'PEC - 2 - Page 4 Support'!I62</f>
        <v>61044005.668252416</v>
      </c>
      <c r="L45" s="117"/>
    </row>
    <row r="46" spans="1:13" ht="15">
      <c r="A46" s="117"/>
      <c r="B46" s="154"/>
      <c r="C46" s="117"/>
      <c r="D46" s="117"/>
      <c r="E46" s="117"/>
      <c r="F46" s="117"/>
      <c r="G46" s="117"/>
      <c r="H46" s="117"/>
      <c r="I46" s="117"/>
      <c r="J46" s="117"/>
      <c r="K46" s="117"/>
      <c r="L46" s="117"/>
    </row>
    <row r="47" spans="1:13" ht="15">
      <c r="A47" s="117"/>
      <c r="B47" s="154" t="s">
        <v>142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</row>
    <row r="48" spans="1:13" ht="6" customHeight="1">
      <c r="A48" s="117"/>
      <c r="B48" s="154"/>
      <c r="C48" s="117"/>
      <c r="D48" s="117"/>
      <c r="E48" s="117"/>
      <c r="F48" s="117"/>
      <c r="G48" s="117"/>
      <c r="H48" s="117"/>
      <c r="I48" s="117"/>
      <c r="J48" s="117"/>
      <c r="K48" s="117"/>
      <c r="L48" s="117"/>
    </row>
    <row r="49" spans="1:12" ht="15">
      <c r="A49" s="122">
        <f>A45+1</f>
        <v>24</v>
      </c>
      <c r="B49" s="154"/>
      <c r="C49" s="117" t="s">
        <v>16</v>
      </c>
      <c r="D49" s="122" t="s">
        <v>770</v>
      </c>
      <c r="E49" s="117"/>
      <c r="F49" s="169">
        <v>6.4699999999999994E-2</v>
      </c>
      <c r="G49" s="117"/>
      <c r="H49" s="117"/>
      <c r="I49" s="117"/>
      <c r="J49" s="117"/>
      <c r="K49" s="117"/>
      <c r="L49" s="117"/>
    </row>
    <row r="50" spans="1:12" ht="15">
      <c r="A50" s="122">
        <f>A49+1</f>
        <v>25</v>
      </c>
      <c r="B50" s="154"/>
      <c r="C50" s="117" t="s">
        <v>143</v>
      </c>
      <c r="D50" s="117"/>
      <c r="E50" s="117"/>
      <c r="F50" s="227">
        <v>0.35</v>
      </c>
      <c r="G50" s="117"/>
      <c r="H50" s="117"/>
      <c r="I50" s="117"/>
      <c r="J50" s="117"/>
      <c r="K50" s="117"/>
      <c r="L50" s="117"/>
    </row>
    <row r="51" spans="1:12" ht="15">
      <c r="A51" s="122">
        <f>A50+1</f>
        <v>26</v>
      </c>
      <c r="B51" s="154"/>
      <c r="C51" s="117" t="s">
        <v>144</v>
      </c>
      <c r="D51" s="117"/>
      <c r="E51" s="117"/>
      <c r="F51" s="169">
        <f>F49+(1-F49)*F50</f>
        <v>0.39205499999999999</v>
      </c>
      <c r="G51" s="117"/>
      <c r="H51" s="117"/>
      <c r="I51" s="117"/>
      <c r="J51" s="117"/>
      <c r="K51" s="117"/>
      <c r="L51" s="117"/>
    </row>
    <row r="52" spans="1:12" ht="6" customHeight="1">
      <c r="A52" s="122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</row>
    <row r="53" spans="1:12" ht="15">
      <c r="A53" s="122">
        <f>A51+1</f>
        <v>27</v>
      </c>
      <c r="B53" s="117"/>
      <c r="C53" s="117" t="s">
        <v>778</v>
      </c>
      <c r="D53" s="117"/>
      <c r="E53" s="117"/>
      <c r="F53" s="169">
        <f>F51/(1-F51)*(1-'PEC - 2 - Page 4 Support'!I59/'PEC - 2 - Page 4 Support'!I62)</f>
        <v>0.47201594416836862</v>
      </c>
      <c r="G53" s="117"/>
      <c r="H53" s="117"/>
      <c r="I53" s="117"/>
      <c r="J53" s="117"/>
      <c r="K53" s="117"/>
      <c r="L53" s="117"/>
    </row>
    <row r="54" spans="1:12" ht="15">
      <c r="A54" s="122">
        <f>A53+1</f>
        <v>28</v>
      </c>
      <c r="B54" s="117"/>
      <c r="C54" s="117" t="s">
        <v>145</v>
      </c>
      <c r="D54" s="230"/>
      <c r="E54" s="117"/>
      <c r="F54" s="232">
        <f>1/(1-F51)</f>
        <v>1.6448856393259259</v>
      </c>
      <c r="G54" s="117"/>
      <c r="H54" s="117"/>
      <c r="I54" s="117"/>
      <c r="J54" s="117"/>
      <c r="K54" s="117"/>
      <c r="L54" s="117"/>
    </row>
    <row r="55" spans="1:12" ht="15">
      <c r="A55" s="122">
        <f>A54+1</f>
        <v>29</v>
      </c>
      <c r="B55" s="117"/>
      <c r="C55" s="117" t="str">
        <f>'PEF - 6  - Form 1 Inputs'!E36</f>
        <v>Amortized ITC (Negative)</v>
      </c>
      <c r="D55" s="122" t="str">
        <f>'PEC - 6  - p1 FF1 Inputs '!F44</f>
        <v>266.8.f</v>
      </c>
      <c r="E55" s="122"/>
      <c r="F55" s="123">
        <f>'PEC - 6  - p1 FF1 Inputs '!J44</f>
        <v>-5733012</v>
      </c>
      <c r="G55" s="117"/>
      <c r="H55" s="117"/>
      <c r="I55" s="117"/>
      <c r="J55" s="117"/>
      <c r="K55" s="117"/>
      <c r="L55" s="117"/>
    </row>
    <row r="56" spans="1:12" ht="6" customHeight="1">
      <c r="A56" s="122"/>
      <c r="B56" s="117"/>
      <c r="C56" s="117"/>
      <c r="D56" s="117"/>
      <c r="E56" s="117"/>
      <c r="F56" s="117"/>
      <c r="G56" s="117"/>
      <c r="H56" s="122"/>
      <c r="I56" s="155"/>
      <c r="J56" s="155"/>
      <c r="K56" s="123"/>
      <c r="L56" s="117"/>
    </row>
    <row r="57" spans="1:12" ht="15">
      <c r="A57" s="122">
        <f>A55+1</f>
        <v>30</v>
      </c>
      <c r="B57" s="117"/>
      <c r="C57" s="117" t="str">
        <f>"Income Taxes Calculated (Line "&amp;A45&amp;" * Line "&amp;A53&amp;")"</f>
        <v>Income Taxes Calculated (Line 23 * Line 27)</v>
      </c>
      <c r="D57" s="117"/>
      <c r="E57" s="117"/>
      <c r="F57" s="117"/>
      <c r="G57" s="117"/>
      <c r="H57" s="122"/>
      <c r="I57" s="155"/>
      <c r="J57" s="155"/>
      <c r="K57" s="123">
        <f>F53*K45</f>
        <v>28813743.971319411</v>
      </c>
      <c r="L57" s="117"/>
    </row>
    <row r="58" spans="1:12" ht="15.75" thickBot="1">
      <c r="A58" s="122">
        <f>A57+1</f>
        <v>31</v>
      </c>
      <c r="B58" s="117"/>
      <c r="C58" s="117" t="str">
        <f>"ITC Adjustment (Line "&amp;A54&amp;" * Line "&amp;A55&amp;")"</f>
        <v>ITC Adjustment (Line 28 * Line 29)</v>
      </c>
      <c r="D58" s="117"/>
      <c r="E58" s="117"/>
      <c r="F58" s="123">
        <f>F55*F54</f>
        <v>-9430149.1088832058</v>
      </c>
      <c r="G58" s="117"/>
      <c r="H58" s="122" t="s">
        <v>87</v>
      </c>
      <c r="I58" s="155">
        <f>'PEC - 2 Page 2 Rate Base'!I35</f>
        <v>0.11415725804365343</v>
      </c>
      <c r="J58" s="155"/>
      <c r="K58" s="123">
        <f>F58*I58</f>
        <v>-1076519.9652129086</v>
      </c>
      <c r="L58" s="117"/>
    </row>
    <row r="59" spans="1:12" ht="15.75" thickTop="1">
      <c r="A59" s="122">
        <f>A58+1</f>
        <v>32</v>
      </c>
      <c r="B59" s="154" t="s">
        <v>146</v>
      </c>
      <c r="C59" s="117"/>
      <c r="D59" s="117"/>
      <c r="E59" s="117"/>
      <c r="F59" s="117"/>
      <c r="G59" s="117"/>
      <c r="H59" s="117"/>
      <c r="I59" s="117"/>
      <c r="J59" s="117"/>
      <c r="K59" s="225">
        <f>K57+K58</f>
        <v>27737224.006106503</v>
      </c>
      <c r="L59" s="117"/>
    </row>
    <row r="60" spans="1:12" ht="15">
      <c r="A60" s="122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</row>
    <row r="61" spans="1:12" ht="15">
      <c r="A61" s="122">
        <f>A59+1</f>
        <v>33</v>
      </c>
      <c r="B61" s="154" t="str">
        <f>"TOTAL REVENUE REQUIREMENT (Sum of Lines "&amp;A31&amp;", "&amp;A37&amp;", "&amp;A42&amp;", "&amp;A45&amp;", and "&amp;A59&amp;")"</f>
        <v>TOTAL REVENUE REQUIREMENT (Sum of Lines 15, 19, 22, 23, and 32)</v>
      </c>
      <c r="C61" s="117"/>
      <c r="D61" s="117"/>
      <c r="E61" s="117"/>
      <c r="F61" s="117"/>
      <c r="G61" s="117"/>
      <c r="H61" s="117"/>
      <c r="I61" s="117"/>
      <c r="J61" s="117"/>
      <c r="K61" s="159">
        <f>K31+K37+K42+K45+K59</f>
        <v>179518261.50106516</v>
      </c>
      <c r="L61" s="117"/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ageMargins left="0.75" right="0.75" top="1" bottom="1" header="0.5" footer="0.5"/>
  <pageSetup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L63"/>
  <sheetViews>
    <sheetView workbookViewId="0">
      <selection activeCell="I15" sqref="I15"/>
    </sheetView>
  </sheetViews>
  <sheetFormatPr defaultRowHeight="12.75"/>
  <cols>
    <col min="4" max="4" width="3.7109375" customWidth="1"/>
    <col min="5" max="5" width="36.85546875" customWidth="1"/>
    <col min="7" max="7" width="12.140625" customWidth="1"/>
    <col min="8" max="8" width="3.7109375" customWidth="1"/>
    <col min="9" max="9" width="13.42578125" customWidth="1"/>
    <col min="12" max="12" width="5.7109375" customWidth="1"/>
  </cols>
  <sheetData>
    <row r="1" spans="1:12" ht="15.75">
      <c r="A1" s="102"/>
      <c r="B1" s="102"/>
      <c r="C1" s="102"/>
      <c r="D1" s="102"/>
      <c r="E1" s="102"/>
      <c r="F1" s="102"/>
      <c r="G1" s="102"/>
      <c r="H1" s="102"/>
      <c r="I1" s="102"/>
      <c r="J1" s="275" t="s">
        <v>399</v>
      </c>
      <c r="K1" s="275"/>
      <c r="L1" s="275"/>
    </row>
    <row r="2" spans="1:12" ht="15.75">
      <c r="A2" s="102"/>
      <c r="B2" s="102"/>
      <c r="C2" s="102"/>
      <c r="D2" s="102"/>
      <c r="E2" s="102"/>
      <c r="F2" s="102"/>
      <c r="G2" s="102"/>
      <c r="H2" s="102"/>
      <c r="I2" s="102"/>
      <c r="J2" s="276" t="s">
        <v>1</v>
      </c>
      <c r="K2" s="276"/>
      <c r="L2" s="277"/>
    </row>
    <row r="3" spans="1:12" ht="15">
      <c r="A3" s="102"/>
      <c r="B3" s="102"/>
      <c r="C3" s="102"/>
      <c r="D3" s="102"/>
      <c r="E3" s="102"/>
      <c r="F3" s="102"/>
      <c r="G3" s="102"/>
      <c r="H3" s="102"/>
      <c r="I3" s="102"/>
      <c r="J3" s="288" t="str">
        <f>FF1_Year</f>
        <v>Year Ending 12/31/2009</v>
      </c>
      <c r="K3" s="288"/>
      <c r="L3" s="288"/>
    </row>
    <row r="4" spans="1:12" ht="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">
      <c r="A5" s="287" t="s">
        <v>395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2" ht="15">
      <c r="A6" s="287" t="s">
        <v>186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2" ht="1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5">
      <c r="A8" s="287" t="s">
        <v>188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2" ht="15">
      <c r="A9" s="102"/>
      <c r="B9" s="102"/>
      <c r="C9" s="117"/>
      <c r="D9" s="117"/>
      <c r="E9" s="117"/>
      <c r="F9" s="117"/>
      <c r="G9" s="117"/>
      <c r="H9" s="117"/>
      <c r="I9" s="117"/>
      <c r="J9" s="102"/>
      <c r="K9" s="102"/>
      <c r="L9" s="102"/>
    </row>
    <row r="10" spans="1:12" ht="15">
      <c r="A10" s="102"/>
      <c r="B10" s="102"/>
      <c r="C10" s="117"/>
      <c r="D10" s="117"/>
      <c r="E10" s="117"/>
      <c r="F10" s="117"/>
      <c r="G10" s="117"/>
      <c r="H10" s="117"/>
      <c r="I10" s="117"/>
      <c r="J10" s="102"/>
      <c r="K10" s="102"/>
      <c r="L10" s="102"/>
    </row>
    <row r="11" spans="1:12" ht="15">
      <c r="A11" s="102"/>
      <c r="B11" s="102"/>
      <c r="C11" s="163" t="s">
        <v>69</v>
      </c>
      <c r="D11" s="164"/>
      <c r="E11" s="165"/>
      <c r="F11" s="165"/>
      <c r="G11" s="163" t="s">
        <v>44</v>
      </c>
      <c r="H11" s="163"/>
      <c r="I11" s="163" t="s">
        <v>70</v>
      </c>
      <c r="J11" s="146"/>
      <c r="K11" s="287"/>
      <c r="L11" s="287"/>
    </row>
    <row r="12" spans="1:12" ht="15">
      <c r="A12" s="102"/>
      <c r="B12" s="102"/>
      <c r="C12" s="117"/>
      <c r="D12" s="117"/>
      <c r="E12" s="117"/>
      <c r="F12" s="117"/>
      <c r="G12" s="117"/>
      <c r="H12" s="117"/>
      <c r="I12" s="117"/>
      <c r="J12" s="102"/>
      <c r="K12" s="102"/>
      <c r="L12" s="102"/>
    </row>
    <row r="13" spans="1:12" ht="15">
      <c r="A13" s="102"/>
      <c r="B13" s="102"/>
      <c r="C13" s="117"/>
      <c r="D13" s="154" t="s">
        <v>483</v>
      </c>
      <c r="E13" s="117"/>
      <c r="F13" s="117"/>
      <c r="G13" s="122"/>
      <c r="H13" s="122"/>
      <c r="I13" s="117"/>
      <c r="J13" s="102"/>
      <c r="K13" s="102"/>
      <c r="L13" s="102"/>
    </row>
    <row r="14" spans="1:12" ht="15">
      <c r="A14" s="102"/>
      <c r="B14" s="102"/>
      <c r="C14" s="122">
        <v>1</v>
      </c>
      <c r="D14" s="117"/>
      <c r="E14" s="117" t="s">
        <v>380</v>
      </c>
      <c r="F14" s="117"/>
      <c r="G14" s="241" t="s">
        <v>787</v>
      </c>
      <c r="H14" s="122"/>
      <c r="I14" s="123">
        <f>'PEC - 6  - p1 FF1 Inputs '!J26-'PEC - 2 - Page 5 GridSouth'!F38</f>
        <v>1534507292</v>
      </c>
      <c r="J14" s="102"/>
      <c r="K14" s="102"/>
      <c r="L14" s="102"/>
    </row>
    <row r="15" spans="1:12" ht="15">
      <c r="A15" s="102"/>
      <c r="B15" s="102"/>
      <c r="C15" s="122">
        <v>2</v>
      </c>
      <c r="D15" s="117"/>
      <c r="E15" s="117" t="s">
        <v>119</v>
      </c>
      <c r="F15" s="117"/>
      <c r="G15" s="122" t="s">
        <v>390</v>
      </c>
      <c r="H15" s="122"/>
      <c r="I15" s="123">
        <v>83749094</v>
      </c>
      <c r="J15" s="102"/>
      <c r="K15" s="102"/>
      <c r="L15" s="102"/>
    </row>
    <row r="16" spans="1:12" ht="15">
      <c r="A16" s="102"/>
      <c r="B16" s="102"/>
      <c r="C16" s="122">
        <v>3</v>
      </c>
      <c r="D16" s="117"/>
      <c r="E16" s="117" t="s">
        <v>303</v>
      </c>
      <c r="F16" s="117"/>
      <c r="G16" s="122" t="s">
        <v>616</v>
      </c>
      <c r="H16" s="122"/>
      <c r="I16" s="123">
        <f>'PEC - 5 p 3 Order 2003 '!D89</f>
        <v>5829209.9928773521</v>
      </c>
      <c r="J16" s="117"/>
      <c r="K16" s="102"/>
      <c r="L16" s="102"/>
    </row>
    <row r="17" spans="1:12" ht="15.75" thickBot="1">
      <c r="A17" s="102"/>
      <c r="C17" s="234" t="s">
        <v>767</v>
      </c>
      <c r="D17" s="117"/>
      <c r="E17" s="117" t="s">
        <v>866</v>
      </c>
      <c r="F17" s="117"/>
      <c r="G17" s="234" t="s">
        <v>768</v>
      </c>
      <c r="H17" s="234"/>
      <c r="I17" s="123">
        <f>'PEC - 2 - Page 5 GridSouth'!K38</f>
        <v>-1239374.4967106022</v>
      </c>
      <c r="J17" s="117"/>
      <c r="K17" s="119"/>
      <c r="L17" s="102"/>
    </row>
    <row r="18" spans="1:12" ht="15.75" thickTop="1">
      <c r="A18" s="102"/>
      <c r="C18" s="122">
        <f>C16+1</f>
        <v>4</v>
      </c>
      <c r="D18" s="117"/>
      <c r="E18" s="117" t="s">
        <v>482</v>
      </c>
      <c r="F18" s="117"/>
      <c r="G18" s="122"/>
      <c r="H18" s="122"/>
      <c r="I18" s="156">
        <f>I14-SUM(I15:I16)+I17</f>
        <v>1443689613.5104122</v>
      </c>
      <c r="J18" s="117"/>
      <c r="K18" s="102"/>
      <c r="L18" s="102"/>
    </row>
    <row r="19" spans="1:12" ht="6" customHeight="1">
      <c r="A19" s="102"/>
      <c r="C19" s="122"/>
      <c r="D19" s="117"/>
      <c r="E19" s="117"/>
      <c r="F19" s="117"/>
      <c r="G19" s="122"/>
      <c r="H19" s="122"/>
      <c r="I19" s="117"/>
      <c r="J19" s="117"/>
      <c r="K19" s="102"/>
      <c r="L19" s="102"/>
    </row>
    <row r="20" spans="1:12" ht="15">
      <c r="A20" s="102"/>
      <c r="C20" s="122">
        <f>+C18+1</f>
        <v>5</v>
      </c>
      <c r="D20" s="154" t="str">
        <f>"TP Allocator (Line "&amp;C18&amp;" / Line "&amp;C14&amp;")"</f>
        <v>TP Allocator (Line 4 / Line 1)</v>
      </c>
      <c r="E20" s="117"/>
      <c r="F20" s="117"/>
      <c r="G20" s="122" t="s">
        <v>609</v>
      </c>
      <c r="H20" s="122"/>
      <c r="I20" s="161">
        <f>I18/I14</f>
        <v>0.94081639170888487</v>
      </c>
      <c r="J20" s="117"/>
      <c r="K20" s="102"/>
      <c r="L20" s="102"/>
    </row>
    <row r="21" spans="1:12" ht="15">
      <c r="A21" s="102"/>
      <c r="C21" s="122"/>
      <c r="D21" s="117"/>
      <c r="E21" s="117"/>
      <c r="F21" s="117"/>
      <c r="G21" s="122"/>
      <c r="H21" s="122"/>
      <c r="I21" s="117"/>
      <c r="J21" s="117"/>
      <c r="K21" s="102"/>
      <c r="L21" s="102"/>
    </row>
    <row r="22" spans="1:12" ht="15">
      <c r="A22" s="102"/>
      <c r="C22" s="117"/>
      <c r="D22" s="154" t="s">
        <v>120</v>
      </c>
      <c r="E22" s="117"/>
      <c r="F22" s="117"/>
      <c r="G22" s="122"/>
      <c r="H22" s="122"/>
      <c r="I22" s="117"/>
      <c r="J22" s="117"/>
      <c r="K22" s="102"/>
      <c r="L22" s="102"/>
    </row>
    <row r="23" spans="1:12" ht="15">
      <c r="A23" s="102"/>
      <c r="C23" s="122">
        <f>C20+1</f>
        <v>6</v>
      </c>
      <c r="D23" s="117"/>
      <c r="E23" s="117" t="str">
        <f>'PEF - 6  - Form 1 Inputs'!E7</f>
        <v>Total Direct Payroll - O&amp;M Labor</v>
      </c>
      <c r="F23" s="117"/>
      <c r="G23" s="122" t="str">
        <f>'PEC - 6  - p1 FF1 Inputs '!F62</f>
        <v>354.28.b</v>
      </c>
      <c r="H23" s="122"/>
      <c r="I23" s="123">
        <f>'PEC - 6  - p1 FF1 Inputs '!J62</f>
        <v>406521358</v>
      </c>
      <c r="J23" s="117"/>
      <c r="K23" s="102"/>
      <c r="L23" s="102"/>
    </row>
    <row r="24" spans="1:12" ht="15">
      <c r="A24" s="102"/>
      <c r="C24" s="122">
        <f>C23+1</f>
        <v>7</v>
      </c>
      <c r="D24" s="117"/>
      <c r="E24" s="117" t="str">
        <f>'PEF - 6  - Form 1 Inputs'!E8</f>
        <v>A&amp;G Labor</v>
      </c>
      <c r="F24" s="117"/>
      <c r="G24" s="122" t="str">
        <f>'PEC - 6  - p1 FF1 Inputs '!F61</f>
        <v>354.27.b</v>
      </c>
      <c r="H24" s="122"/>
      <c r="I24" s="123">
        <f>'PEC - 6  - p1 FF1 Inputs '!J61</f>
        <v>59727421</v>
      </c>
      <c r="J24" s="117"/>
      <c r="K24" s="102"/>
      <c r="L24" s="102"/>
    </row>
    <row r="25" spans="1:12" ht="15.75" thickBot="1">
      <c r="A25" s="102"/>
      <c r="C25" s="122">
        <f>C24+1</f>
        <v>8</v>
      </c>
      <c r="D25" s="117"/>
      <c r="E25" s="117" t="s">
        <v>349</v>
      </c>
      <c r="F25" s="117"/>
      <c r="G25" s="122"/>
      <c r="H25" s="122"/>
      <c r="I25" s="248">
        <v>1976092</v>
      </c>
      <c r="J25" s="117"/>
      <c r="K25" s="102"/>
      <c r="L25" s="102"/>
    </row>
    <row r="26" spans="1:12" ht="15.75" thickTop="1">
      <c r="A26" s="102"/>
      <c r="C26" s="122">
        <f>C25+1</f>
        <v>9</v>
      </c>
      <c r="D26" s="117"/>
      <c r="E26" s="117" t="str">
        <f>"Adjusted Labor w/o A&amp;G (Line "&amp;C23&amp;" - Line "&amp;C24&amp;" + Line "&amp;C25&amp;")"</f>
        <v>Adjusted Labor w/o A&amp;G (Line 6 - Line 7 + Line 8)</v>
      </c>
      <c r="F26" s="117"/>
      <c r="G26" s="122"/>
      <c r="H26" s="122"/>
      <c r="I26" s="156">
        <f>I23-I24+I25</f>
        <v>348770029</v>
      </c>
      <c r="J26" s="117"/>
      <c r="K26" s="102"/>
      <c r="L26" s="102"/>
    </row>
    <row r="27" spans="1:12" ht="6" customHeight="1">
      <c r="A27" s="102"/>
      <c r="C27" s="122"/>
      <c r="D27" s="117"/>
      <c r="E27" s="117"/>
      <c r="F27" s="117"/>
      <c r="G27" s="122"/>
      <c r="H27" s="122"/>
      <c r="I27" s="123"/>
      <c r="J27" s="117"/>
      <c r="K27" s="102"/>
      <c r="L27" s="102"/>
    </row>
    <row r="28" spans="1:12" ht="15">
      <c r="A28" s="102"/>
      <c r="C28" s="122">
        <f>C26+1</f>
        <v>10</v>
      </c>
      <c r="D28" s="117"/>
      <c r="E28" s="117" t="str">
        <f>'PEF - 6  - Form 1 Inputs'!E9</f>
        <v>Transmission O&amp;M Labor</v>
      </c>
      <c r="F28" s="117"/>
      <c r="G28" s="122" t="str">
        <f>'PEC - 6  - p1 FF1 Inputs '!F60</f>
        <v>354.21.b</v>
      </c>
      <c r="H28" s="122"/>
      <c r="I28" s="123">
        <f>'PEC - 6  - p1 FF1 Inputs '!J60</f>
        <v>16719028</v>
      </c>
      <c r="J28" s="117"/>
      <c r="K28" s="102"/>
      <c r="L28" s="102"/>
    </row>
    <row r="29" spans="1:12" ht="6" customHeight="1">
      <c r="A29" s="102"/>
      <c r="C29" s="122"/>
      <c r="D29" s="117"/>
      <c r="E29" s="117"/>
      <c r="F29" s="117"/>
      <c r="G29" s="122"/>
      <c r="H29" s="122"/>
      <c r="I29" s="123"/>
      <c r="J29" s="117"/>
      <c r="K29" s="102"/>
      <c r="L29" s="102"/>
    </row>
    <row r="30" spans="1:12" ht="12.75" customHeight="1">
      <c r="A30" s="102"/>
      <c r="C30" s="122">
        <f>C28+1</f>
        <v>11</v>
      </c>
      <c r="D30" s="154" t="str">
        <f>"Trans Labor Factor (Line "&amp;C28&amp;" / Line "&amp;C26&amp;")"</f>
        <v>Trans Labor Factor (Line 10 / Line 9)</v>
      </c>
      <c r="E30" s="117"/>
      <c r="F30" s="117"/>
      <c r="G30" s="122"/>
      <c r="H30" s="122"/>
      <c r="I30" s="161">
        <f>I28/I26</f>
        <v>4.7937112165105218E-2</v>
      </c>
      <c r="J30" s="117"/>
      <c r="K30" s="102"/>
      <c r="L30" s="102"/>
    </row>
    <row r="31" spans="1:12" ht="6" customHeight="1">
      <c r="A31" s="102"/>
      <c r="C31" s="122"/>
      <c r="D31" s="117"/>
      <c r="E31" s="117"/>
      <c r="F31" s="117"/>
      <c r="G31" s="122"/>
      <c r="H31" s="122"/>
      <c r="I31" s="123"/>
      <c r="J31" s="117"/>
      <c r="K31" s="102"/>
      <c r="L31" s="102"/>
    </row>
    <row r="32" spans="1:12" ht="15">
      <c r="A32" s="102"/>
      <c r="C32" s="122">
        <f>C30+1</f>
        <v>12</v>
      </c>
      <c r="D32" s="154" t="str">
        <f>"OATT LABOR Allocator (Line "&amp;C20&amp;" * Line "&amp;C30&amp;")"</f>
        <v>OATT LABOR Allocator (Line 5 * Line 11)</v>
      </c>
      <c r="E32" s="117"/>
      <c r="F32" s="117"/>
      <c r="G32" s="122" t="s">
        <v>609</v>
      </c>
      <c r="H32" s="122"/>
      <c r="I32" s="161">
        <f>I20*I30</f>
        <v>4.5100020896118378E-2</v>
      </c>
      <c r="J32" s="117"/>
      <c r="K32" s="102"/>
      <c r="L32" s="102"/>
    </row>
    <row r="33" spans="1:12" ht="15">
      <c r="A33" s="102"/>
      <c r="C33" s="122"/>
      <c r="D33" s="117"/>
      <c r="E33" s="117"/>
      <c r="F33" s="117"/>
      <c r="G33" s="122"/>
      <c r="H33" s="122"/>
      <c r="I33" s="117"/>
      <c r="J33" s="117"/>
      <c r="K33" s="102"/>
      <c r="L33" s="102"/>
    </row>
    <row r="34" spans="1:12" ht="15">
      <c r="A34" s="102"/>
      <c r="C34" s="122"/>
      <c r="D34" s="154" t="s">
        <v>476</v>
      </c>
      <c r="E34" s="117"/>
      <c r="F34" s="117"/>
      <c r="G34" s="122"/>
      <c r="H34" s="122"/>
      <c r="I34" s="117"/>
      <c r="J34" s="117"/>
      <c r="K34" s="102"/>
      <c r="L34" s="102"/>
    </row>
    <row r="35" spans="1:12" ht="6" customHeight="1">
      <c r="A35" s="102"/>
      <c r="C35" s="122"/>
      <c r="D35" s="117"/>
      <c r="E35" s="117"/>
      <c r="F35" s="117"/>
      <c r="G35" s="122"/>
      <c r="H35" s="122"/>
      <c r="I35" s="117"/>
      <c r="J35" s="117"/>
      <c r="K35" s="102"/>
      <c r="L35" s="102"/>
    </row>
    <row r="36" spans="1:12" ht="15">
      <c r="A36" s="102"/>
      <c r="C36" s="122">
        <f>C32+1</f>
        <v>13</v>
      </c>
      <c r="D36" s="117"/>
      <c r="E36" s="117" t="s">
        <v>792</v>
      </c>
      <c r="F36" s="117"/>
      <c r="G36" s="122" t="str">
        <f>'PEC - 6  - p1 FF1 Inputs '!F21</f>
        <v>117.62-66.c</v>
      </c>
      <c r="H36" s="122"/>
      <c r="I36" s="123">
        <f>'PEC - 6  - p1 FF1 Inputs '!J21</f>
        <v>196842702</v>
      </c>
      <c r="J36" s="117"/>
      <c r="K36" s="119"/>
      <c r="L36" s="102"/>
    </row>
    <row r="37" spans="1:12" ht="15.75" thickBot="1">
      <c r="A37" s="102"/>
      <c r="B37" s="102"/>
      <c r="C37" s="122">
        <f>C36+1</f>
        <v>14</v>
      </c>
      <c r="D37" s="117"/>
      <c r="E37" s="117" t="s">
        <v>127</v>
      </c>
      <c r="F37" s="117"/>
      <c r="G37" s="122" t="s">
        <v>219</v>
      </c>
      <c r="H37" s="122"/>
      <c r="I37" s="123">
        <v>0</v>
      </c>
      <c r="J37" s="117"/>
      <c r="K37" s="102"/>
      <c r="L37" s="102"/>
    </row>
    <row r="38" spans="1:12" ht="15.75" thickTop="1">
      <c r="A38" s="102"/>
      <c r="B38" s="102"/>
      <c r="C38" s="122">
        <f>C37+1</f>
        <v>15</v>
      </c>
      <c r="D38" s="117"/>
      <c r="E38" s="117" t="s">
        <v>128</v>
      </c>
      <c r="F38" s="117"/>
      <c r="G38" s="122"/>
      <c r="H38" s="122"/>
      <c r="I38" s="156">
        <f>I36-I37</f>
        <v>196842702</v>
      </c>
      <c r="J38" s="117"/>
      <c r="K38" s="102"/>
      <c r="L38" s="102"/>
    </row>
    <row r="39" spans="1:12" ht="6" customHeight="1">
      <c r="A39" s="102"/>
      <c r="B39" s="102"/>
      <c r="C39" s="122"/>
      <c r="D39" s="117"/>
      <c r="E39" s="117"/>
      <c r="F39" s="117"/>
      <c r="G39" s="122"/>
      <c r="H39" s="122"/>
      <c r="I39" s="123"/>
      <c r="J39" s="117"/>
      <c r="K39" s="102"/>
      <c r="L39" s="102"/>
    </row>
    <row r="40" spans="1:12" ht="15">
      <c r="A40" s="102"/>
      <c r="B40" s="102"/>
      <c r="C40" s="122">
        <f>C38+1</f>
        <v>16</v>
      </c>
      <c r="D40" s="117"/>
      <c r="E40" s="117" t="s">
        <v>123</v>
      </c>
      <c r="F40" s="117"/>
      <c r="G40" s="122" t="str">
        <f>'PEC - 6  - p1 FF1 Inputs '!F22</f>
        <v>118.29.c</v>
      </c>
      <c r="H40" s="122"/>
      <c r="I40" s="123">
        <f>'PEC - 6  - p1 FF1 Inputs '!J22</f>
        <v>2964169</v>
      </c>
      <c r="J40" s="117"/>
      <c r="K40" s="102"/>
      <c r="L40" s="102"/>
    </row>
    <row r="41" spans="1:12" ht="6" customHeight="1">
      <c r="A41" s="102"/>
      <c r="B41" s="102"/>
      <c r="C41" s="122"/>
      <c r="D41" s="117"/>
      <c r="E41" s="117"/>
      <c r="F41" s="117"/>
      <c r="G41" s="122"/>
      <c r="H41" s="122"/>
      <c r="I41" s="117"/>
      <c r="J41" s="117"/>
      <c r="K41" s="102"/>
      <c r="L41" s="102"/>
    </row>
    <row r="42" spans="1:12" ht="12.75" customHeight="1">
      <c r="A42" s="102"/>
      <c r="B42" s="102"/>
      <c r="C42" s="122">
        <f>C40+1</f>
        <v>17</v>
      </c>
      <c r="D42" s="117"/>
      <c r="E42" s="117" t="str">
        <f>'PEC - 6  - p1 FF1 Inputs '!E16</f>
        <v>Long Term Debt</v>
      </c>
      <c r="F42" s="117"/>
      <c r="G42" s="122" t="str">
        <f>'PEC - 6  - p1 FF1 Inputs '!F16</f>
        <v>112.24.c</v>
      </c>
      <c r="H42" s="117"/>
      <c r="I42" s="123">
        <f>'PEC - 6  - p1 FF1 Inputs '!J16</f>
        <v>3687318619</v>
      </c>
      <c r="J42" s="117"/>
      <c r="K42" s="102"/>
      <c r="L42" s="102"/>
    </row>
    <row r="43" spans="1:12" ht="12.75" customHeight="1">
      <c r="A43" s="102"/>
      <c r="B43" s="102"/>
      <c r="C43" s="122">
        <f>C42+1</f>
        <v>18</v>
      </c>
      <c r="D43" s="117"/>
      <c r="E43" s="117" t="s">
        <v>125</v>
      </c>
      <c r="F43" s="117"/>
      <c r="G43" s="122" t="str">
        <f>'PEC - 6  - p1 FF1 Inputs '!F12</f>
        <v>111.81.c</v>
      </c>
      <c r="H43" s="117"/>
      <c r="I43" s="166">
        <f>'PEC - 6  - p1 FF1 Inputs '!J12</f>
        <v>14714555</v>
      </c>
      <c r="J43" s="117"/>
      <c r="K43" s="102"/>
      <c r="L43" s="102"/>
    </row>
    <row r="44" spans="1:12" ht="12.75" customHeight="1">
      <c r="A44" s="102"/>
      <c r="B44" s="102"/>
      <c r="C44" s="122">
        <f>C43+1</f>
        <v>19</v>
      </c>
      <c r="D44" s="117"/>
      <c r="E44" s="117" t="s">
        <v>126</v>
      </c>
      <c r="F44" s="117"/>
      <c r="G44" s="122" t="str">
        <f>'PEC - 6  - p1 FF1 Inputs '!F20</f>
        <v>113.61.c</v>
      </c>
      <c r="H44" s="117"/>
      <c r="I44" s="166">
        <f>'PEC - 6  - p1 FF1 Inputs '!J20</f>
        <v>0</v>
      </c>
      <c r="J44" s="117"/>
      <c r="K44" s="102"/>
      <c r="L44" s="102"/>
    </row>
    <row r="45" spans="1:12" ht="12.75" customHeight="1" thickBot="1">
      <c r="A45" s="102"/>
      <c r="B45" s="102"/>
      <c r="C45" s="122">
        <f>C44+1</f>
        <v>20</v>
      </c>
      <c r="D45" s="117"/>
      <c r="E45" s="117" t="s">
        <v>129</v>
      </c>
      <c r="F45" s="117"/>
      <c r="G45" s="122" t="s">
        <v>219</v>
      </c>
      <c r="H45" s="117"/>
      <c r="I45" s="123">
        <v>0</v>
      </c>
      <c r="J45" s="117"/>
      <c r="K45" s="102"/>
      <c r="L45" s="102"/>
    </row>
    <row r="46" spans="1:12" ht="12.75" customHeight="1" thickTop="1">
      <c r="A46" s="102"/>
      <c r="B46" s="102"/>
      <c r="C46" s="122">
        <f>C45+1</f>
        <v>21</v>
      </c>
      <c r="D46" s="117"/>
      <c r="E46" s="117" t="s">
        <v>130</v>
      </c>
      <c r="F46" s="117"/>
      <c r="G46" s="117"/>
      <c r="H46" s="117"/>
      <c r="I46" s="156">
        <f>I42-I43+I44-I45</f>
        <v>3672604064</v>
      </c>
      <c r="J46" s="117"/>
      <c r="K46" s="102"/>
      <c r="L46" s="102"/>
    </row>
    <row r="47" spans="1:12" ht="6" customHeight="1">
      <c r="A47" s="102"/>
      <c r="B47" s="102"/>
      <c r="C47" s="117"/>
      <c r="D47" s="117"/>
      <c r="E47" s="117"/>
      <c r="F47" s="117"/>
      <c r="G47" s="117"/>
      <c r="H47" s="117"/>
      <c r="I47" s="123"/>
      <c r="J47" s="117"/>
      <c r="K47" s="102"/>
      <c r="L47" s="102"/>
    </row>
    <row r="48" spans="1:12" ht="12.75" customHeight="1">
      <c r="A48" s="102"/>
      <c r="B48" s="102"/>
      <c r="C48" s="122">
        <f>C46+1</f>
        <v>22</v>
      </c>
      <c r="D48" s="117"/>
      <c r="E48" s="117" t="s">
        <v>131</v>
      </c>
      <c r="F48" s="117"/>
      <c r="G48" s="122" t="str">
        <f>'PEC - 6  - p1 FF1 Inputs '!F13</f>
        <v>112.3.c</v>
      </c>
      <c r="H48" s="117"/>
      <c r="I48" s="166">
        <f>'PEC - 6  - p1 FF1 Inputs '!J13</f>
        <v>59333982</v>
      </c>
      <c r="J48" s="117"/>
      <c r="K48" s="102"/>
      <c r="L48" s="102"/>
    </row>
    <row r="49" spans="1:12" ht="6" customHeight="1">
      <c r="A49" s="102"/>
      <c r="B49" s="102"/>
      <c r="C49" s="122"/>
      <c r="D49" s="117"/>
      <c r="E49" s="117"/>
      <c r="F49" s="117"/>
      <c r="G49" s="122"/>
      <c r="H49" s="122"/>
      <c r="I49" s="117"/>
      <c r="J49" s="117"/>
      <c r="K49" s="102"/>
      <c r="L49" s="102"/>
    </row>
    <row r="50" spans="1:12" ht="12.75" customHeight="1">
      <c r="A50" s="102"/>
      <c r="B50" s="102"/>
      <c r="C50" s="122"/>
      <c r="D50" s="117"/>
      <c r="E50" s="117" t="s">
        <v>135</v>
      </c>
      <c r="F50" s="117"/>
      <c r="G50" s="122"/>
      <c r="H50" s="122"/>
      <c r="I50" s="117"/>
      <c r="J50" s="117"/>
      <c r="K50" s="102"/>
      <c r="L50" s="102"/>
    </row>
    <row r="51" spans="1:12" ht="12.75" customHeight="1">
      <c r="A51" s="102"/>
      <c r="B51" s="102"/>
      <c r="C51" s="122">
        <f>C48+1</f>
        <v>23</v>
      </c>
      <c r="D51" s="117"/>
      <c r="E51" s="117" t="s">
        <v>134</v>
      </c>
      <c r="F51" s="117"/>
      <c r="G51" s="122" t="str">
        <f>'PEC - 6  - p1 FF1 Inputs '!F15</f>
        <v>112.16.c</v>
      </c>
      <c r="H51" s="117"/>
      <c r="I51" s="166">
        <f>'PEC - 6  - p1 FF1 Inputs '!J15</f>
        <v>4728467967</v>
      </c>
      <c r="J51" s="117"/>
      <c r="K51" s="102"/>
      <c r="L51" s="102"/>
    </row>
    <row r="52" spans="1:12" ht="12.75" customHeight="1">
      <c r="A52" s="102"/>
      <c r="B52" s="102"/>
      <c r="C52" s="122">
        <f>C51+1</f>
        <v>24</v>
      </c>
      <c r="D52" s="117"/>
      <c r="E52" s="117" t="s">
        <v>132</v>
      </c>
      <c r="F52" s="117"/>
      <c r="G52" s="122" t="str">
        <f>'PEC - 2 - Page 4 Support'!G48</f>
        <v>112.3.c</v>
      </c>
      <c r="H52" s="117"/>
      <c r="I52" s="166">
        <f>'PEC - 2 - Page 4 Support'!I48</f>
        <v>59333982</v>
      </c>
      <c r="J52" s="117"/>
      <c r="K52" s="102"/>
      <c r="L52" s="102"/>
    </row>
    <row r="53" spans="1:12" ht="12.75" customHeight="1" thickBot="1">
      <c r="A53" s="102"/>
      <c r="B53" s="102"/>
      <c r="C53" s="122">
        <f>C52+1</f>
        <v>25</v>
      </c>
      <c r="D53" s="117"/>
      <c r="E53" s="117" t="s">
        <v>133</v>
      </c>
      <c r="F53" s="117"/>
      <c r="G53" s="122" t="str">
        <f>'PEC - 6  - p1 FF1 Inputs '!F14</f>
        <v>112.12.c</v>
      </c>
      <c r="H53" s="117"/>
      <c r="I53" s="166">
        <f>'PEC - 6  - p1 FF1 Inputs '!J14</f>
        <v>-280027223</v>
      </c>
      <c r="J53" s="117"/>
      <c r="K53" s="102"/>
      <c r="L53" s="102"/>
    </row>
    <row r="54" spans="1:12" ht="12.75" customHeight="1" thickTop="1">
      <c r="A54" s="102"/>
      <c r="B54" s="102"/>
      <c r="C54" s="122">
        <f>C53+1</f>
        <v>26</v>
      </c>
      <c r="D54" s="117"/>
      <c r="E54" s="117" t="s">
        <v>136</v>
      </c>
      <c r="F54" s="117"/>
      <c r="G54" s="117"/>
      <c r="H54" s="117"/>
      <c r="I54" s="156">
        <f>I51-I52-I53</f>
        <v>4949161208</v>
      </c>
      <c r="J54" s="117"/>
      <c r="K54" s="102"/>
      <c r="L54" s="102"/>
    </row>
    <row r="55" spans="1:12" ht="12.75" customHeight="1">
      <c r="A55" s="102"/>
      <c r="B55" s="102"/>
      <c r="C55" s="122"/>
      <c r="D55" s="117"/>
      <c r="E55" s="117"/>
      <c r="F55" s="117"/>
      <c r="G55" s="122"/>
      <c r="H55" s="122"/>
      <c r="I55" s="117"/>
      <c r="J55" s="117"/>
      <c r="K55" s="102"/>
      <c r="L55" s="102"/>
    </row>
    <row r="56" spans="1:12" ht="12.75" customHeight="1">
      <c r="A56" s="102"/>
      <c r="B56" s="102"/>
      <c r="C56" s="122">
        <f>C54+1</f>
        <v>27</v>
      </c>
      <c r="D56" s="117"/>
      <c r="E56" s="117" t="str">
        <f>"Total Capitalization (Sum Lines "&amp;C46&amp;", "&amp;C48&amp;", "&amp;C54&amp;")"</f>
        <v>Total Capitalization (Sum Lines 21, 22, 26)</v>
      </c>
      <c r="F56" s="117"/>
      <c r="G56" s="117"/>
      <c r="H56" s="117"/>
      <c r="I56" s="123">
        <f>I46+I48+I54</f>
        <v>8681099254</v>
      </c>
      <c r="J56" s="117"/>
      <c r="K56" s="102"/>
      <c r="L56" s="102"/>
    </row>
    <row r="57" spans="1:12" ht="15">
      <c r="A57" s="102"/>
      <c r="B57" s="102"/>
      <c r="C57" s="117"/>
      <c r="D57" s="117"/>
      <c r="E57" s="117"/>
      <c r="F57" s="117"/>
      <c r="G57" s="117"/>
      <c r="H57" s="117"/>
      <c r="I57" s="117"/>
      <c r="J57" s="117"/>
      <c r="K57" s="102"/>
      <c r="L57" s="102"/>
    </row>
    <row r="58" spans="1:12" ht="15">
      <c r="A58" s="102"/>
      <c r="B58" s="102"/>
      <c r="C58" s="117"/>
      <c r="D58" s="167" t="s">
        <v>547</v>
      </c>
      <c r="E58" s="167"/>
      <c r="F58" s="168" t="s">
        <v>138</v>
      </c>
      <c r="G58" s="168" t="s">
        <v>139</v>
      </c>
      <c r="H58" s="168"/>
      <c r="I58" s="168" t="s">
        <v>140</v>
      </c>
      <c r="J58" s="117"/>
      <c r="K58" s="102"/>
      <c r="L58" s="102"/>
    </row>
    <row r="59" spans="1:12" ht="15">
      <c r="A59" s="102"/>
      <c r="B59" s="102"/>
      <c r="C59" s="122">
        <f>C56+1</f>
        <v>28</v>
      </c>
      <c r="D59" s="117"/>
      <c r="E59" s="117" t="s">
        <v>137</v>
      </c>
      <c r="F59" s="169">
        <f>I46/I56</f>
        <v>0.42305749036422663</v>
      </c>
      <c r="G59" s="169">
        <f>I38/I46</f>
        <v>5.3597583232429816E-2</v>
      </c>
      <c r="H59" s="169"/>
      <c r="I59" s="169">
        <f>F59*G59</f>
        <v>2.2674859051899511E-2</v>
      </c>
      <c r="J59" s="117"/>
      <c r="K59" s="102"/>
      <c r="L59" s="102"/>
    </row>
    <row r="60" spans="1:12" ht="15">
      <c r="A60" s="102"/>
      <c r="B60" s="102"/>
      <c r="C60" s="122">
        <f>C59+1</f>
        <v>29</v>
      </c>
      <c r="D60" s="117"/>
      <c r="E60" s="117" t="s">
        <v>131</v>
      </c>
      <c r="F60" s="169">
        <f>I48/I56</f>
        <v>6.8348466322004798E-3</v>
      </c>
      <c r="G60" s="169">
        <f>I40/I48</f>
        <v>4.9957358331352175E-2</v>
      </c>
      <c r="H60" s="169"/>
      <c r="I60" s="169">
        <f>F60*G60</f>
        <v>3.41450882344675E-4</v>
      </c>
      <c r="J60" s="117"/>
      <c r="K60" s="102"/>
      <c r="L60" s="102"/>
    </row>
    <row r="61" spans="1:12" ht="15.75" thickBot="1">
      <c r="A61" s="102"/>
      <c r="B61" s="102"/>
      <c r="C61" s="122">
        <f>C60+1</f>
        <v>30</v>
      </c>
      <c r="D61" s="117"/>
      <c r="E61" s="117" t="s">
        <v>141</v>
      </c>
      <c r="F61" s="169">
        <f>I54/I56</f>
        <v>0.57010766300357285</v>
      </c>
      <c r="G61" s="170">
        <v>0.108</v>
      </c>
      <c r="H61" s="170"/>
      <c r="I61" s="169">
        <f>F61*G61</f>
        <v>6.1571627604385865E-2</v>
      </c>
      <c r="J61" s="117"/>
      <c r="K61" s="102"/>
      <c r="L61" s="102"/>
    </row>
    <row r="62" spans="1:12" ht="18.75" thickTop="1">
      <c r="A62" s="102"/>
      <c r="B62" s="102"/>
      <c r="C62" s="122">
        <f>C61+1</f>
        <v>31</v>
      </c>
      <c r="D62" s="117"/>
      <c r="E62" s="154" t="s">
        <v>769</v>
      </c>
      <c r="F62" s="117"/>
      <c r="G62" s="117"/>
      <c r="H62" s="117"/>
      <c r="I62" s="171">
        <f>SUM(I59:I61)</f>
        <v>8.4587937538630059E-2</v>
      </c>
      <c r="J62" s="117"/>
      <c r="K62" s="102"/>
      <c r="L62" s="102"/>
    </row>
    <row r="63" spans="1:12">
      <c r="C63" s="15"/>
      <c r="D63" s="15"/>
      <c r="E63" s="15"/>
      <c r="F63" s="15"/>
      <c r="G63" s="15"/>
      <c r="H63" s="15"/>
      <c r="I63" s="15"/>
      <c r="J63" s="15"/>
    </row>
  </sheetData>
  <mergeCells count="7">
    <mergeCell ref="J1:L1"/>
    <mergeCell ref="K11:L11"/>
    <mergeCell ref="J2:L2"/>
    <mergeCell ref="J3:L3"/>
    <mergeCell ref="A5:L5"/>
    <mergeCell ref="A6:L6"/>
    <mergeCell ref="A8:L8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M69"/>
  <sheetViews>
    <sheetView workbookViewId="0">
      <selection sqref="A1:L69"/>
    </sheetView>
  </sheetViews>
  <sheetFormatPr defaultRowHeight="12.75"/>
  <cols>
    <col min="1" max="1" width="5.7109375" customWidth="1"/>
    <col min="3" max="3" width="2.7109375" customWidth="1"/>
    <col min="4" max="4" width="34.7109375" customWidth="1"/>
    <col min="5" max="5" width="15.140625" bestFit="1" customWidth="1"/>
    <col min="6" max="6" width="13.42578125" customWidth="1"/>
    <col min="7" max="7" width="3.7109375" customWidth="1"/>
    <col min="8" max="8" width="12.140625" customWidth="1"/>
    <col min="10" max="10" width="3.7109375" customWidth="1"/>
    <col min="11" max="11" width="13.7109375" customWidth="1"/>
    <col min="12" max="12" width="6.85546875" customWidth="1"/>
  </cols>
  <sheetData>
    <row r="1" spans="1:13" ht="15.75">
      <c r="A1" s="102"/>
      <c r="B1" s="102"/>
      <c r="C1" s="102"/>
      <c r="D1" s="102"/>
      <c r="E1" s="102"/>
      <c r="F1" s="102"/>
      <c r="G1" s="102"/>
      <c r="H1" s="102"/>
      <c r="I1" s="102"/>
      <c r="J1" s="275" t="s">
        <v>399</v>
      </c>
      <c r="K1" s="275"/>
      <c r="L1" s="275"/>
    </row>
    <row r="2" spans="1:13" ht="15.75">
      <c r="A2" s="102"/>
      <c r="B2" s="102"/>
      <c r="C2" s="102"/>
      <c r="D2" s="102"/>
      <c r="E2" s="102"/>
      <c r="F2" s="102" t="s">
        <v>374</v>
      </c>
      <c r="G2" s="102"/>
      <c r="H2" s="102"/>
      <c r="I2" s="102"/>
      <c r="J2" s="276" t="s">
        <v>464</v>
      </c>
      <c r="K2" s="276"/>
      <c r="L2" s="277"/>
    </row>
    <row r="3" spans="1:13" ht="15">
      <c r="A3" s="102"/>
      <c r="B3" s="102"/>
      <c r="C3" s="102"/>
      <c r="D3" s="102"/>
      <c r="E3" s="102"/>
      <c r="F3" s="102"/>
      <c r="G3" s="102"/>
      <c r="H3" s="102"/>
      <c r="I3" s="102"/>
      <c r="J3" s="288" t="str">
        <f>FF1_Year</f>
        <v>Year Ending 12/31/2009</v>
      </c>
      <c r="K3" s="288"/>
      <c r="L3" s="288"/>
    </row>
    <row r="4" spans="1:13" ht="1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3" ht="15">
      <c r="A5" s="287" t="s">
        <v>395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</row>
    <row r="6" spans="1:13" ht="15">
      <c r="A6" s="287" t="s">
        <v>186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</row>
    <row r="7" spans="1:13" ht="1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3" ht="15">
      <c r="A8" s="287" t="s">
        <v>398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</row>
    <row r="9" spans="1:13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 ht="15">
      <c r="A10" s="102"/>
      <c r="B10" s="147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:13" ht="30">
      <c r="A11" s="102"/>
      <c r="B11" s="146" t="s">
        <v>69</v>
      </c>
      <c r="C11" s="149"/>
      <c r="D11" s="150"/>
      <c r="E11" s="146" t="s">
        <v>44</v>
      </c>
      <c r="F11" s="146" t="s">
        <v>70</v>
      </c>
      <c r="G11" s="146"/>
      <c r="H11" s="287" t="s">
        <v>71</v>
      </c>
      <c r="I11" s="287"/>
      <c r="J11" s="146"/>
      <c r="K11" s="151" t="s">
        <v>72</v>
      </c>
      <c r="L11" s="148"/>
    </row>
    <row r="12" spans="1:13" ht="15">
      <c r="A12" s="102"/>
      <c r="B12" s="147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3" ht="15">
      <c r="A13" s="102"/>
      <c r="B13" s="147"/>
      <c r="C13" s="120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3" ht="15">
      <c r="A14" s="102"/>
      <c r="B14" s="147"/>
      <c r="C14" s="120" t="s">
        <v>148</v>
      </c>
      <c r="D14" s="102"/>
      <c r="E14" s="147"/>
      <c r="F14" s="152"/>
      <c r="G14" s="102"/>
      <c r="H14" s="147"/>
      <c r="I14" s="153"/>
      <c r="J14" s="153"/>
      <c r="K14" s="107"/>
      <c r="L14" s="102"/>
    </row>
    <row r="15" spans="1:13" ht="15">
      <c r="B15" s="122">
        <v>1</v>
      </c>
      <c r="C15" s="154"/>
      <c r="D15" s="117" t="str">
        <f>'PEC - 6  - p1 FF1 Inputs '!E64</f>
        <v>Firm Network Service for Self</v>
      </c>
      <c r="E15" s="122" t="str">
        <f>'PEC - 6  - p1 FF1 Inputs '!F64</f>
        <v>400.17.e</v>
      </c>
      <c r="F15" s="123">
        <f>'PEC - 6  - p1 FF1 Inputs '!J64</f>
        <v>87178</v>
      </c>
      <c r="G15" s="117"/>
      <c r="H15" s="122"/>
      <c r="I15" s="155">
        <v>0</v>
      </c>
      <c r="J15" s="155"/>
      <c r="K15" s="123">
        <f>IF(ISNUMBER(I15),F15*I15,"")</f>
        <v>0</v>
      </c>
      <c r="L15" s="102"/>
      <c r="M15" s="119"/>
    </row>
    <row r="16" spans="1:13" ht="15">
      <c r="B16" s="122">
        <f>B15+1</f>
        <v>2</v>
      </c>
      <c r="C16" s="154"/>
      <c r="D16" s="117" t="str">
        <f>'PEF - 6  - Form 1 Inputs'!E53</f>
        <v>Firm Network Service for Others</v>
      </c>
      <c r="E16" s="122" t="str">
        <f>'PEC - 6  - p1 FF1 Inputs '!F65</f>
        <v>400.17.f</v>
      </c>
      <c r="F16" s="123">
        <f>'PEC - 6  - p1 FF1 Inputs '!J65</f>
        <v>40837</v>
      </c>
      <c r="G16" s="117"/>
      <c r="H16" s="122"/>
      <c r="I16" s="155">
        <v>1</v>
      </c>
      <c r="J16" s="155"/>
      <c r="K16" s="123">
        <f>IF(ISNUMBER(I16),F16*I16,"")</f>
        <v>40837</v>
      </c>
      <c r="L16" s="102"/>
      <c r="M16" s="119"/>
    </row>
    <row r="17" spans="2:13" ht="15">
      <c r="B17" s="122">
        <f>B16+1</f>
        <v>3</v>
      </c>
      <c r="C17" s="154"/>
      <c r="D17" s="117" t="str">
        <f>'PEF - 6  - Form 1 Inputs'!E54</f>
        <v>Long-Term Firm P-t-P Reservations</v>
      </c>
      <c r="E17" s="122" t="str">
        <f>'PEC - 6  - p1 FF1 Inputs '!F66</f>
        <v>400.17.g</v>
      </c>
      <c r="F17" s="123">
        <f>'PEC - 6  - p1 FF1 Inputs '!J66</f>
        <v>2484</v>
      </c>
      <c r="G17" s="117"/>
      <c r="H17" s="122"/>
      <c r="I17" s="155">
        <v>1</v>
      </c>
      <c r="J17" s="155"/>
      <c r="K17" s="123">
        <f>IF(ISNUMBER(I17),F17*I17,"")</f>
        <v>2484</v>
      </c>
      <c r="L17" s="102"/>
      <c r="M17" s="102"/>
    </row>
    <row r="18" spans="2:13" ht="15.75" thickBot="1">
      <c r="B18" s="122">
        <f>B17+1</f>
        <v>4</v>
      </c>
      <c r="C18" s="154"/>
      <c r="D18" s="117" t="str">
        <f>'PEF - 6  - Form 1 Inputs'!E55</f>
        <v>Other Long-Term Firm Service</v>
      </c>
      <c r="E18" s="122" t="str">
        <f>'PEC - 6  - p1 FF1 Inputs '!F67</f>
        <v>400.17.h</v>
      </c>
      <c r="F18" s="123">
        <f>'PEC - 6  - p1 FF1 Inputs '!J67</f>
        <v>0</v>
      </c>
      <c r="G18" s="117"/>
      <c r="H18" s="122"/>
      <c r="I18" s="155">
        <v>1</v>
      </c>
      <c r="J18" s="155"/>
      <c r="K18" s="123">
        <f>IF(ISNUMBER(I18),F18*I18,"")</f>
        <v>0</v>
      </c>
      <c r="L18" s="102"/>
      <c r="M18" s="102"/>
    </row>
    <row r="19" spans="2:13" ht="15.75" thickTop="1">
      <c r="B19" s="122">
        <f>B18+1</f>
        <v>5</v>
      </c>
      <c r="C19" s="154"/>
      <c r="D19" s="117" t="s">
        <v>763</v>
      </c>
      <c r="E19" s="122"/>
      <c r="F19" s="156">
        <f>SUM(F15:F18)</f>
        <v>130499</v>
      </c>
      <c r="G19" s="117"/>
      <c r="H19" s="122"/>
      <c r="I19" s="155"/>
      <c r="J19" s="155"/>
      <c r="K19" s="156">
        <f>SUM(K15:K18)</f>
        <v>43321</v>
      </c>
      <c r="L19" s="102"/>
      <c r="M19" s="102"/>
    </row>
    <row r="20" spans="2:13" ht="15">
      <c r="B20" s="122"/>
      <c r="C20" s="154"/>
      <c r="D20" s="117"/>
      <c r="E20" s="122"/>
      <c r="F20" s="157"/>
      <c r="G20" s="117"/>
      <c r="H20" s="122"/>
      <c r="I20" s="155"/>
      <c r="J20" s="155"/>
      <c r="K20" s="123"/>
      <c r="L20" s="102"/>
      <c r="M20" s="102"/>
    </row>
    <row r="21" spans="2:13" ht="15">
      <c r="B21" s="122">
        <f>+B19+1</f>
        <v>6</v>
      </c>
      <c r="C21" s="154" t="s">
        <v>533</v>
      </c>
      <c r="D21" s="117"/>
      <c r="E21" s="122"/>
      <c r="F21" s="123"/>
      <c r="G21" s="117"/>
      <c r="H21" s="122"/>
      <c r="I21" s="155"/>
      <c r="J21" s="155"/>
      <c r="K21" s="158">
        <f>K19/F19</f>
        <v>0.3319642296109549</v>
      </c>
      <c r="L21" s="102"/>
      <c r="M21" s="102"/>
    </row>
    <row r="22" spans="2:13" ht="15">
      <c r="B22" s="122"/>
      <c r="C22" s="154"/>
      <c r="D22" s="117"/>
      <c r="E22" s="122"/>
      <c r="F22" s="123"/>
      <c r="G22" s="117"/>
      <c r="H22" s="122"/>
      <c r="I22" s="155"/>
      <c r="J22" s="155"/>
      <c r="K22" s="159"/>
      <c r="L22" s="102"/>
      <c r="M22" s="102"/>
    </row>
    <row r="23" spans="2:13" ht="15">
      <c r="B23" s="122"/>
      <c r="C23" s="154"/>
      <c r="D23" s="117"/>
      <c r="E23" s="122"/>
      <c r="F23" s="123"/>
      <c r="G23" s="117"/>
      <c r="H23" s="122"/>
      <c r="I23" s="155"/>
      <c r="J23" s="155"/>
      <c r="K23" s="159"/>
      <c r="L23" s="102"/>
      <c r="M23" s="102"/>
    </row>
    <row r="24" spans="2:13" ht="15">
      <c r="B24" s="122">
        <f>B21+1</f>
        <v>7</v>
      </c>
      <c r="C24" s="154" t="s">
        <v>532</v>
      </c>
      <c r="D24" s="117"/>
      <c r="E24" s="122" t="s">
        <v>232</v>
      </c>
      <c r="F24" s="123">
        <f>32962614</f>
        <v>32962614</v>
      </c>
      <c r="G24" s="117"/>
      <c r="H24" s="122" t="s">
        <v>429</v>
      </c>
      <c r="I24" s="155">
        <f>39312/129757</f>
        <v>0.30296631395608714</v>
      </c>
      <c r="J24" s="155"/>
      <c r="K24" s="123">
        <f>F24*I24</f>
        <v>9986561.6619373132</v>
      </c>
      <c r="L24" s="102"/>
      <c r="M24" s="102"/>
    </row>
    <row r="25" spans="2:13" ht="15">
      <c r="B25" s="122"/>
      <c r="C25" s="154"/>
      <c r="D25" s="117"/>
      <c r="E25" s="122"/>
      <c r="F25" s="123"/>
      <c r="G25" s="117"/>
      <c r="H25" s="122"/>
      <c r="I25" s="155"/>
      <c r="J25" s="155"/>
      <c r="K25" s="123"/>
      <c r="L25" s="102"/>
      <c r="M25" s="102"/>
    </row>
    <row r="26" spans="2:13" ht="15">
      <c r="B26" s="122"/>
      <c r="C26" s="154" t="s">
        <v>493</v>
      </c>
      <c r="D26" s="117"/>
      <c r="E26" s="122"/>
      <c r="F26" s="123"/>
      <c r="G26" s="117"/>
      <c r="H26" s="122"/>
      <c r="I26" s="155"/>
      <c r="J26" s="155"/>
      <c r="K26" s="123"/>
      <c r="L26" s="102"/>
      <c r="M26" s="102"/>
    </row>
    <row r="27" spans="2:13" ht="15">
      <c r="B27" s="122">
        <f>B24+1</f>
        <v>8</v>
      </c>
      <c r="C27" s="154"/>
      <c r="D27" s="117" t="s">
        <v>11</v>
      </c>
      <c r="E27" s="122" t="str">
        <f>FIXED(K24,0)&amp;" / 5"</f>
        <v>9,986,562 / 5</v>
      </c>
      <c r="F27" s="123"/>
      <c r="G27" s="117"/>
      <c r="H27" s="122" t="s">
        <v>480</v>
      </c>
      <c r="I27" s="155"/>
      <c r="J27" s="155"/>
      <c r="K27" s="123">
        <f>K24/5</f>
        <v>1997312.3323874627</v>
      </c>
      <c r="L27" s="102"/>
      <c r="M27" s="102"/>
    </row>
    <row r="28" spans="2:13" ht="15.75" thickBot="1">
      <c r="B28" s="122">
        <f>B27+1</f>
        <v>9</v>
      </c>
      <c r="C28" s="154"/>
      <c r="D28" s="117" t="s">
        <v>485</v>
      </c>
      <c r="E28" s="122"/>
      <c r="F28" s="123"/>
      <c r="G28" s="117"/>
      <c r="H28" s="122"/>
      <c r="I28" s="155"/>
      <c r="J28" s="155"/>
      <c r="K28" s="123">
        <f>1.5*K27-K34</f>
        <v>-339998.50141880568</v>
      </c>
      <c r="L28" s="102"/>
      <c r="M28" s="102"/>
    </row>
    <row r="29" spans="2:13" ht="15.75" thickTop="1">
      <c r="B29" s="122">
        <f>B28+1</f>
        <v>10</v>
      </c>
      <c r="C29" s="154"/>
      <c r="D29" s="117" t="s">
        <v>486</v>
      </c>
      <c r="E29" s="122"/>
      <c r="F29" s="123"/>
      <c r="G29" s="117"/>
      <c r="H29" s="122"/>
      <c r="I29" s="155"/>
      <c r="J29" s="155"/>
      <c r="K29" s="156">
        <f>K27+K28</f>
        <v>1657313.830968657</v>
      </c>
      <c r="L29" s="102"/>
      <c r="M29" s="102"/>
    </row>
    <row r="30" spans="2:13" ht="15">
      <c r="B30" s="122"/>
      <c r="C30" s="154"/>
      <c r="D30" s="117"/>
      <c r="E30" s="122"/>
      <c r="F30" s="123"/>
      <c r="G30" s="117"/>
      <c r="H30" s="122"/>
      <c r="I30" s="155"/>
      <c r="J30" s="155"/>
      <c r="K30" s="123"/>
      <c r="L30" s="102"/>
      <c r="M30" s="102"/>
    </row>
    <row r="31" spans="2:13" ht="15">
      <c r="B31" s="122">
        <v>11</v>
      </c>
      <c r="C31" s="154" t="s">
        <v>13</v>
      </c>
      <c r="D31" s="117"/>
      <c r="E31" s="122" t="s">
        <v>487</v>
      </c>
      <c r="F31" s="123"/>
      <c r="G31" s="117"/>
      <c r="H31" s="122"/>
      <c r="I31" s="155"/>
      <c r="J31" s="155"/>
      <c r="K31" s="123">
        <f>K29/K19</f>
        <v>38.256592206289262</v>
      </c>
      <c r="L31" s="102"/>
      <c r="M31" s="102"/>
    </row>
    <row r="32" spans="2:13" ht="15">
      <c r="B32" s="122"/>
      <c r="C32" s="154"/>
      <c r="D32" s="117"/>
      <c r="E32" s="122"/>
      <c r="F32" s="123"/>
      <c r="G32" s="117"/>
      <c r="H32" s="122"/>
      <c r="I32" s="155"/>
      <c r="J32" s="155"/>
      <c r="K32" s="123"/>
      <c r="L32" s="102"/>
      <c r="M32" s="102"/>
    </row>
    <row r="33" spans="1:13" ht="15">
      <c r="B33" s="122"/>
      <c r="C33" s="154" t="s">
        <v>499</v>
      </c>
      <c r="D33" s="117"/>
      <c r="E33" s="122"/>
      <c r="F33" s="123"/>
      <c r="G33" s="117"/>
      <c r="H33" s="122"/>
      <c r="I33" s="155"/>
      <c r="J33" s="155"/>
      <c r="K33" s="123"/>
      <c r="L33" s="102"/>
      <c r="M33" s="102"/>
    </row>
    <row r="34" spans="1:13" ht="15.75" thickBot="1">
      <c r="B34" s="122">
        <v>12</v>
      </c>
      <c r="C34" s="154"/>
      <c r="D34" s="117" t="s">
        <v>501</v>
      </c>
      <c r="E34" s="122"/>
      <c r="F34" s="123"/>
      <c r="G34" s="117"/>
      <c r="H34" s="122"/>
      <c r="I34" s="155"/>
      <c r="J34" s="155"/>
      <c r="K34" s="248">
        <v>3335967</v>
      </c>
      <c r="L34" s="102"/>
      <c r="M34" s="102"/>
    </row>
    <row r="35" spans="1:13" ht="15.75" thickTop="1">
      <c r="B35" s="122">
        <v>13</v>
      </c>
      <c r="C35" s="154"/>
      <c r="D35" s="117" t="s">
        <v>500</v>
      </c>
      <c r="E35" s="122" t="s">
        <v>502</v>
      </c>
      <c r="F35" s="123"/>
      <c r="G35" s="117"/>
      <c r="H35" s="122"/>
      <c r="I35" s="155"/>
      <c r="J35" s="155"/>
      <c r="K35" s="156">
        <f>K24-K34</f>
        <v>6650594.6619373132</v>
      </c>
      <c r="L35" s="102"/>
      <c r="M35" s="102"/>
    </row>
    <row r="36" spans="1:13" ht="1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</row>
    <row r="37" spans="1:13" ht="15">
      <c r="B37" s="117"/>
      <c r="C37" s="154" t="s">
        <v>765</v>
      </c>
      <c r="D37" s="117"/>
      <c r="E37" s="117"/>
      <c r="F37" s="117"/>
      <c r="G37" s="117"/>
      <c r="H37" s="117"/>
      <c r="I37" s="117"/>
      <c r="J37" s="117"/>
      <c r="K37" s="117"/>
      <c r="L37" s="102"/>
      <c r="M37" s="102"/>
    </row>
    <row r="38" spans="1:13" ht="15">
      <c r="B38" s="125" t="s">
        <v>758</v>
      </c>
      <c r="C38" s="154"/>
      <c r="D38" s="117" t="s">
        <v>760</v>
      </c>
      <c r="E38" s="117"/>
      <c r="F38" s="248">
        <v>-411428</v>
      </c>
      <c r="G38" s="117"/>
      <c r="H38" s="125" t="s">
        <v>762</v>
      </c>
      <c r="I38" s="161">
        <f>1/K$21</f>
        <v>3.0123727522448696</v>
      </c>
      <c r="J38" s="117"/>
      <c r="K38" s="123">
        <f>F38*I38</f>
        <v>-1239374.4967106022</v>
      </c>
      <c r="L38" s="102"/>
      <c r="M38" s="102"/>
    </row>
    <row r="39" spans="1:13" ht="15">
      <c r="B39" s="125" t="s">
        <v>759</v>
      </c>
      <c r="C39" s="117"/>
      <c r="D39" s="235" t="s">
        <v>761</v>
      </c>
      <c r="E39" s="117"/>
      <c r="F39" s="248">
        <v>-1065377</v>
      </c>
      <c r="G39" s="117"/>
      <c r="H39" s="125" t="s">
        <v>762</v>
      </c>
      <c r="I39" s="161">
        <f>1/K$21</f>
        <v>3.0123727522448696</v>
      </c>
      <c r="J39" s="117"/>
      <c r="K39" s="123">
        <f>F39*I39</f>
        <v>-3209312.6456683823</v>
      </c>
      <c r="L39" s="102"/>
      <c r="M39" s="119"/>
    </row>
    <row r="40" spans="1:13" ht="15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 ht="3" customHeight="1">
      <c r="A41" s="102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02"/>
    </row>
    <row r="42" spans="1:13" ht="15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 ht="15">
      <c r="A43" s="102"/>
      <c r="B43" s="145" t="s">
        <v>154</v>
      </c>
      <c r="C43" s="102" t="s">
        <v>381</v>
      </c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3" ht="6" customHeight="1">
      <c r="A44" s="102"/>
      <c r="B44" s="145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3" ht="15">
      <c r="A45" s="102"/>
      <c r="B45" s="145" t="s">
        <v>155</v>
      </c>
      <c r="C45" s="102" t="s">
        <v>180</v>
      </c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3" ht="6" customHeight="1">
      <c r="A46" s="102"/>
      <c r="B46" s="145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3" ht="12.75" customHeight="1">
      <c r="A47" s="102"/>
      <c r="B47" s="145" t="s">
        <v>156</v>
      </c>
      <c r="C47" s="102" t="s">
        <v>764</v>
      </c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3" ht="12.75" customHeight="1">
      <c r="A48" s="102"/>
      <c r="B48" s="145"/>
      <c r="C48" s="102" t="s">
        <v>784</v>
      </c>
      <c r="D48" s="102"/>
      <c r="E48" s="102"/>
      <c r="F48" s="102"/>
      <c r="G48" s="102"/>
      <c r="H48" s="102"/>
      <c r="I48" s="102"/>
      <c r="J48" s="102"/>
      <c r="K48" s="102"/>
      <c r="L48" s="102"/>
    </row>
    <row r="49" spans="1:12" ht="12.75" customHeight="1">
      <c r="A49" s="102"/>
      <c r="B49" s="145"/>
      <c r="C49" s="102" t="s">
        <v>766</v>
      </c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2" ht="6" customHeight="1">
      <c r="A50" s="102"/>
      <c r="B50" s="145"/>
      <c r="C50" s="102"/>
      <c r="D50" s="102"/>
      <c r="E50" s="102"/>
      <c r="F50" s="102"/>
      <c r="G50" s="102"/>
      <c r="H50" s="102"/>
      <c r="I50" s="102"/>
      <c r="J50" s="102"/>
      <c r="K50" s="102"/>
      <c r="L50" s="102"/>
    </row>
    <row r="51" spans="1:12" ht="15">
      <c r="A51" s="102"/>
      <c r="B51" s="145" t="s">
        <v>157</v>
      </c>
      <c r="C51" s="102" t="s">
        <v>14</v>
      </c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2" ht="6" customHeight="1">
      <c r="A52" s="102"/>
      <c r="B52" s="145"/>
      <c r="C52" s="102"/>
      <c r="D52" s="102"/>
      <c r="E52" s="102"/>
      <c r="F52" s="102"/>
      <c r="G52" s="102"/>
      <c r="H52" s="102"/>
      <c r="I52" s="102"/>
      <c r="J52" s="102"/>
      <c r="K52" s="102"/>
      <c r="L52" s="102"/>
    </row>
    <row r="53" spans="1:12" ht="12.75" customHeight="1">
      <c r="A53" s="102"/>
      <c r="B53" s="145" t="s">
        <v>158</v>
      </c>
      <c r="C53" s="102" t="s">
        <v>628</v>
      </c>
      <c r="D53" s="102"/>
      <c r="E53" s="102"/>
      <c r="F53" s="102"/>
      <c r="G53" s="102"/>
      <c r="H53" s="102"/>
      <c r="I53" s="102"/>
      <c r="J53" s="102"/>
      <c r="K53" s="102"/>
      <c r="L53" s="102"/>
    </row>
    <row r="54" spans="1:12" ht="6" customHeight="1">
      <c r="A54" s="102"/>
      <c r="B54" s="145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1:12" ht="15">
      <c r="A55" s="102"/>
      <c r="B55" s="145" t="s">
        <v>614</v>
      </c>
      <c r="C55" s="102" t="s">
        <v>222</v>
      </c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5">
      <c r="A56" s="102"/>
      <c r="B56" s="145"/>
      <c r="C56" s="102" t="s">
        <v>182</v>
      </c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6" customHeight="1">
      <c r="A57" s="102"/>
      <c r="B57" s="145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2.75" customHeight="1">
      <c r="A58" s="102"/>
      <c r="B58" s="145" t="s">
        <v>615</v>
      </c>
      <c r="C58" s="102" t="s">
        <v>17</v>
      </c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6" customHeight="1">
      <c r="A59" s="102"/>
      <c r="B59" s="145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2.75" customHeight="1">
      <c r="A60" s="102"/>
      <c r="B60" s="145" t="s">
        <v>220</v>
      </c>
      <c r="C60" s="102" t="s">
        <v>465</v>
      </c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2.75" customHeight="1">
      <c r="A61" s="102"/>
      <c r="B61" s="145"/>
      <c r="C61" s="102" t="s">
        <v>183</v>
      </c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2" ht="6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</row>
    <row r="63" spans="1:12" ht="15">
      <c r="A63" s="102"/>
      <c r="B63" s="145" t="s">
        <v>233</v>
      </c>
      <c r="C63" s="102" t="s">
        <v>488</v>
      </c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2" ht="15">
      <c r="A64" s="102"/>
      <c r="B64" s="102"/>
      <c r="C64" s="102" t="s">
        <v>494</v>
      </c>
      <c r="D64" s="102"/>
      <c r="E64" s="102"/>
      <c r="F64" s="102"/>
      <c r="G64" s="102"/>
      <c r="H64" s="102"/>
      <c r="I64" s="102"/>
      <c r="J64" s="102"/>
      <c r="K64" s="102"/>
      <c r="L64" s="102"/>
    </row>
    <row r="65" spans="2:4" ht="6" customHeight="1"/>
    <row r="66" spans="2:4" ht="15">
      <c r="B66" s="242" t="s">
        <v>785</v>
      </c>
      <c r="C66" s="102" t="s">
        <v>788</v>
      </c>
      <c r="D66" s="245"/>
    </row>
    <row r="67" spans="2:4" ht="6" customHeight="1"/>
    <row r="68" spans="2:4" ht="15" customHeight="1">
      <c r="B68" s="242" t="s">
        <v>789</v>
      </c>
      <c r="C68" s="102" t="s">
        <v>790</v>
      </c>
      <c r="D68" s="246"/>
    </row>
    <row r="69" spans="2:4" ht="15">
      <c r="B69" s="102"/>
      <c r="C69" s="102" t="s">
        <v>791</v>
      </c>
      <c r="D69" s="246"/>
    </row>
  </sheetData>
  <mergeCells count="7">
    <mergeCell ref="J1:L1"/>
    <mergeCell ref="H11:I11"/>
    <mergeCell ref="J2:L2"/>
    <mergeCell ref="J3:L3"/>
    <mergeCell ref="A5:L5"/>
    <mergeCell ref="A6:L6"/>
    <mergeCell ref="A8:L8"/>
  </mergeCells>
  <phoneticPr fontId="0" type="noConversion"/>
  <pageMargins left="0.75" right="0.75" top="1" bottom="1" header="0.5" footer="0.5"/>
  <pageSetup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27</vt:i4>
      </vt:variant>
    </vt:vector>
  </HeadingPairs>
  <TitlesOfParts>
    <vt:vector size="51" baseType="lpstr">
      <vt:lpstr>4th Change Summary</vt:lpstr>
      <vt:lpstr>3rd Change Summary</vt:lpstr>
      <vt:lpstr>2nd Change Summary</vt:lpstr>
      <vt:lpstr>Change Summary</vt:lpstr>
      <vt:lpstr>PEC - 2 -Page 1 Summary</vt:lpstr>
      <vt:lpstr>PEC - 2 Page 2 Rate Base</vt:lpstr>
      <vt:lpstr>PEC - 2 - Page 3 Rev Reqt</vt:lpstr>
      <vt:lpstr>PEC - 2 - Page 4 Support</vt:lpstr>
      <vt:lpstr>PEC - 2 - Page 5 GridSouth</vt:lpstr>
      <vt:lpstr>PEC - 3 p 1 Acct 454 Detail</vt:lpstr>
      <vt:lpstr>PEF - 3 - P 2 456.1 Rev Credits</vt:lpstr>
      <vt:lpstr>PEC - 3 p 3 Other 456 Detail</vt:lpstr>
      <vt:lpstr>PEC- 4 CWIP</vt:lpstr>
      <vt:lpstr>PEF - 6  - Form 1 Inputs</vt:lpstr>
      <vt:lpstr>PEC - 5 p 1 Anson</vt:lpstr>
      <vt:lpstr>PEC - 5 p 2 Richmond</vt:lpstr>
      <vt:lpstr>PEC - 5 p 3 Order 2003 </vt:lpstr>
      <vt:lpstr>PEC - 6  - p1 FF1 Inputs </vt:lpstr>
      <vt:lpstr>PEC - 6 -p2 AC190</vt:lpstr>
      <vt:lpstr>PEC - 6 - p3  AC282</vt:lpstr>
      <vt:lpstr>PEC - 6 - p4 AC283</vt:lpstr>
      <vt:lpstr>PEC - 6 - p5 AC228.4</vt:lpstr>
      <vt:lpstr>PEC - 6, p6 Prepay Accting</vt:lpstr>
      <vt:lpstr>GridSouth Recovery Example</vt:lpstr>
      <vt:lpstr>Alloc_Table</vt:lpstr>
      <vt:lpstr>FF1_Year</vt:lpstr>
      <vt:lpstr>'2nd Change Summary'!Print_Area</vt:lpstr>
      <vt:lpstr>'3rd Change Summary'!Print_Area</vt:lpstr>
      <vt:lpstr>'4th Change Summary'!Print_Area</vt:lpstr>
      <vt:lpstr>'Change Summary'!Print_Area</vt:lpstr>
      <vt:lpstr>'PEC - 2 - Page 3 Rev Reqt'!Print_Area</vt:lpstr>
      <vt:lpstr>'PEC - 2 - Page 4 Support'!Print_Area</vt:lpstr>
      <vt:lpstr>'PEC - 2 - Page 5 GridSouth'!Print_Area</vt:lpstr>
      <vt:lpstr>'PEC - 2 -Page 1 Summary'!Print_Area</vt:lpstr>
      <vt:lpstr>'PEC - 2 Page 2 Rate Base'!Print_Area</vt:lpstr>
      <vt:lpstr>'PEC - 3 p 1 Acct 454 Detail'!Print_Area</vt:lpstr>
      <vt:lpstr>'PEC - 3 p 3 Other 456 Detail'!Print_Area</vt:lpstr>
      <vt:lpstr>'PEC - 5 p 1 Anson'!Print_Area</vt:lpstr>
      <vt:lpstr>'PEC - 5 p 2 Richmond'!Print_Area</vt:lpstr>
      <vt:lpstr>'PEC - 5 p 3 Order 2003 '!Print_Area</vt:lpstr>
      <vt:lpstr>'PEC - 6  - p1 FF1 Inputs '!Print_Area</vt:lpstr>
      <vt:lpstr>'PEC - 6 - p3  AC282'!Print_Area</vt:lpstr>
      <vt:lpstr>'PEC - 6 - p4 AC283'!Print_Area</vt:lpstr>
      <vt:lpstr>'PEC - 6 - p5 AC228.4'!Print_Area</vt:lpstr>
      <vt:lpstr>'PEC - 6 -p2 AC190'!Print_Area</vt:lpstr>
      <vt:lpstr>'PEC - 6, p6 Prepay Accting'!Print_Area</vt:lpstr>
      <vt:lpstr>'PEC- 4 CWIP'!Print_Area</vt:lpstr>
      <vt:lpstr>'PEF - 3 - P 2 456.1 Rev Credits'!Print_Area</vt:lpstr>
      <vt:lpstr>'PEF - 6  - Form 1 Inputs'!Print_Area</vt:lpstr>
      <vt:lpstr>'PEC - 5 p 1 Anson'!Print_Titles</vt:lpstr>
      <vt:lpstr>'PEC - 5 p 3 Order 2003 '!Print_Titles</vt:lpstr>
    </vt:vector>
  </TitlesOfParts>
  <Company>Progress Energy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Pistole</dc:creator>
  <cp:lastModifiedBy>Antonia A. Frost</cp:lastModifiedBy>
  <cp:lastPrinted>2010-05-17T16:34:00Z</cp:lastPrinted>
  <dcterms:created xsi:type="dcterms:W3CDTF">2007-01-29T20:10:20Z</dcterms:created>
  <dcterms:modified xsi:type="dcterms:W3CDTF">2010-05-17T16:34:03Z</dcterms:modified>
</cp:coreProperties>
</file>