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15" yWindow="840" windowWidth="27780" windowHeight="10620"/>
  </bookViews>
  <sheets>
    <sheet name="DEF - 2 -Page 1 Summary" sheetId="8" r:id="rId1"/>
    <sheet name="DEF - 2 Page 2 Rate Base" sheetId="4" r:id="rId2"/>
    <sheet name="DEF - 2 - Page 3 Rev Reqt" sheetId="5" r:id="rId3"/>
    <sheet name="DEF - 2 - Page 4 Support" sheetId="3" r:id="rId4"/>
    <sheet name="DEF - 2 - Page 5 Storm, Notes" sheetId="23" r:id="rId5"/>
    <sheet name="DEF - 2 - Page 6, PBOPs" sheetId="14" r:id="rId6"/>
    <sheet name="DEF - 3, p1, 454 Rev Credits" sheetId="22" r:id="rId7"/>
    <sheet name="DEF - 3,  p2, 456 Rev Credits" sheetId="2" r:id="rId8"/>
    <sheet name="DEF - 4, p1 Step Ups" sheetId="36" r:id="rId9"/>
    <sheet name="DEF - 4, p2 Step Ups " sheetId="11" r:id="rId10"/>
    <sheet name="DEF - 4, Order 2003 " sheetId="26" r:id="rId11"/>
    <sheet name="DEF - 5 p1 PY ADIT 190" sheetId="37" r:id="rId12"/>
    <sheet name="DEF - 5 p2 PY ADIT 28x" sheetId="21" r:id="rId13"/>
    <sheet name="DEF - 5 p3 CY ADIT 190" sheetId="39" r:id="rId14"/>
    <sheet name="DEF - 5 p4 CY ADIT 28x" sheetId="28" r:id="rId15"/>
    <sheet name="DEF - 5A Unfunded Reserves" sheetId="35" r:id="rId16"/>
    <sheet name="DEF - 6  p1, FF1 Inputs " sheetId="12" r:id="rId17"/>
    <sheet name="DEF - 6 p2, Levelized Storm" sheetId="32" r:id="rId18"/>
    <sheet name="DEF - 6 p3, Prepay Accting" sheetId="25" r:id="rId19"/>
    <sheet name="DEF - 7, Retail Radials" sheetId="33" r:id="rId20"/>
  </sheets>
  <externalReferences>
    <externalReference r:id="rId21"/>
    <externalReference r:id="rId22"/>
  </externalReferences>
  <definedNames>
    <definedName name="___fsd44" hidden="1">{#N/A,#N/A,FALSE,"Aging Summary";#N/A,#N/A,FALSE,"Ratio Analysis";#N/A,#N/A,FALSE,"Test 120 Day Accts";#N/A,#N/A,FALSE,"Tickmarks"}</definedName>
    <definedName name="__123Graph_A" localSheetId="8" hidden="1">[1]Provision!#REF!</definedName>
    <definedName name="__123Graph_A" localSheetId="11" hidden="1">[1]Provision!#REF!</definedName>
    <definedName name="__123Graph_A" localSheetId="13" hidden="1">[1]Provision!#REF!</definedName>
    <definedName name="__123Graph_A" localSheetId="15" hidden="1">[1]Provision!#REF!</definedName>
    <definedName name="__123Graph_A" hidden="1">[1]Provision!#REF!</definedName>
    <definedName name="__123Graph_B" localSheetId="8" hidden="1">[1]Provision!#REF!</definedName>
    <definedName name="__123Graph_B" localSheetId="11" hidden="1">[1]Provision!#REF!</definedName>
    <definedName name="__123Graph_B" localSheetId="13" hidden="1">[1]Provision!#REF!</definedName>
    <definedName name="__123Graph_B" localSheetId="15" hidden="1">[1]Provision!#REF!</definedName>
    <definedName name="__123Graph_B" hidden="1">[1]Provision!#REF!</definedName>
    <definedName name="__123Graph_C" localSheetId="8" hidden="1">[1]Provision!#REF!</definedName>
    <definedName name="__123Graph_C" localSheetId="11" hidden="1">[1]Provision!#REF!</definedName>
    <definedName name="__123Graph_C" localSheetId="13" hidden="1">[1]Provision!#REF!</definedName>
    <definedName name="__123Graph_C" localSheetId="15" hidden="1">[1]Provision!#REF!</definedName>
    <definedName name="__123Graph_C" hidden="1">[1]Provision!#REF!</definedName>
    <definedName name="__123Graph_D" localSheetId="8" hidden="1">[1]Provision!#REF!</definedName>
    <definedName name="__123Graph_D" localSheetId="11" hidden="1">[1]Provision!#REF!</definedName>
    <definedName name="__123Graph_D" localSheetId="13" hidden="1">[1]Provision!#REF!</definedName>
    <definedName name="__123Graph_D" localSheetId="15" hidden="1">[1]Provision!#REF!</definedName>
    <definedName name="__123Graph_D" hidden="1">[1]Provision!#REF!</definedName>
    <definedName name="__123Graph_E" localSheetId="8" hidden="1">[1]Provision!#REF!</definedName>
    <definedName name="__123Graph_E" localSheetId="11" hidden="1">[1]Provision!#REF!</definedName>
    <definedName name="__123Graph_E" localSheetId="13" hidden="1">[1]Provision!#REF!</definedName>
    <definedName name="__123Graph_E" localSheetId="15" hidden="1">[1]Provision!#REF!</definedName>
    <definedName name="__123Graph_E" hidden="1">[1]Provision!#REF!</definedName>
    <definedName name="__123Graph_X" localSheetId="8" hidden="1">[1]Provision!#REF!</definedName>
    <definedName name="__123Graph_X" localSheetId="11" hidden="1">[1]Provision!#REF!</definedName>
    <definedName name="__123Graph_X" localSheetId="13" hidden="1">[1]Provision!#REF!</definedName>
    <definedName name="__123Graph_X" localSheetId="15" hidden="1">[1]Provision!#REF!</definedName>
    <definedName name="__123Graph_X" hidden="1">[1]Provision!#REF!</definedName>
    <definedName name="__fsd44" hidden="1">{#N/A,#N/A,FALSE,"Aging Summary";#N/A,#N/A,FALSE,"Ratio Analysis";#N/A,#N/A,FALSE,"Test 120 Day Accts";#N/A,#N/A,FALSE,"Tickmarks"}</definedName>
    <definedName name="_Fill" localSheetId="8" hidden="1">#REF!</definedName>
    <definedName name="_Fill" localSheetId="11" hidden="1">#REF!</definedName>
    <definedName name="_Fill" localSheetId="13" hidden="1">#REF!</definedName>
    <definedName name="_Fill" localSheetId="15" hidden="1">#REF!</definedName>
    <definedName name="_Fill" hidden="1">#REF!</definedName>
    <definedName name="_fsd44" localSheetId="4" hidden="1">{#N/A,#N/A,FALSE,"Aging Summary";#N/A,#N/A,FALSE,"Ratio Analysis";#N/A,#N/A,FALSE,"Test 120 Day Accts";#N/A,#N/A,FALSE,"Tickmarks"}</definedName>
    <definedName name="_fsd44" localSheetId="10" hidden="1">{#N/A,#N/A,FALSE,"Aging Summary";#N/A,#N/A,FALSE,"Ratio Analysis";#N/A,#N/A,FALSE,"Test 120 Day Accts";#N/A,#N/A,FALSE,"Tickmarks"}</definedName>
    <definedName name="_fsd44" localSheetId="11" hidden="1">{#N/A,#N/A,FALSE,"Aging Summary";#N/A,#N/A,FALSE,"Ratio Analysis";#N/A,#N/A,FALSE,"Test 120 Day Accts";#N/A,#N/A,FALSE,"Tickmarks"}</definedName>
    <definedName name="_fsd44" localSheetId="12" hidden="1">{#N/A,#N/A,FALSE,"Aging Summary";#N/A,#N/A,FALSE,"Ratio Analysis";#N/A,#N/A,FALSE,"Test 120 Day Accts";#N/A,#N/A,FALSE,"Tickmarks"}</definedName>
    <definedName name="_fsd44" localSheetId="13" hidden="1">{#N/A,#N/A,FALSE,"Aging Summary";#N/A,#N/A,FALSE,"Ratio Analysis";#N/A,#N/A,FALSE,"Test 120 Day Accts";#N/A,#N/A,FALSE,"Tickmarks"}</definedName>
    <definedName name="_fsd44" localSheetId="14" hidden="1">{#N/A,#N/A,FALSE,"Aging Summary";#N/A,#N/A,FALSE,"Ratio Analysis";#N/A,#N/A,FALSE,"Test 120 Day Accts";#N/A,#N/A,FALSE,"Tickmarks"}</definedName>
    <definedName name="_fsd44" localSheetId="15" hidden="1">{#N/A,#N/A,FALSE,"Aging Summary";#N/A,#N/A,FALSE,"Ratio Analysis";#N/A,#N/A,FALSE,"Test 120 Day Accts";#N/A,#N/A,FALSE,"Tickmarks"}</definedName>
    <definedName name="_fsd44" localSheetId="17" hidden="1">{#N/A,#N/A,FALSE,"Aging Summary";#N/A,#N/A,FALSE,"Ratio Analysis";#N/A,#N/A,FALSE,"Test 120 Day Accts";#N/A,#N/A,FALSE,"Tickmarks"}</definedName>
    <definedName name="_fsd44" hidden="1">{#N/A,#N/A,FALSE,"Aging Summary";#N/A,#N/A,FALSE,"Ratio Analysis";#N/A,#N/A,FALSE,"Test 120 Day Accts";#N/A,#N/A,FALSE,"Tickmarks"}</definedName>
    <definedName name="_Key1" localSheetId="8" hidden="1">#REF!</definedName>
    <definedName name="_Key1" localSheetId="11" hidden="1">#REF!</definedName>
    <definedName name="_Key1" localSheetId="13" hidden="1">#REF!</definedName>
    <definedName name="_Key1" localSheetId="15" hidden="1">#REF!</definedName>
    <definedName name="_Key1" hidden="1">#REF!</definedName>
    <definedName name="_Key2" localSheetId="8" hidden="1">#REF!</definedName>
    <definedName name="_Key2" localSheetId="11" hidden="1">#REF!</definedName>
    <definedName name="_Key2" localSheetId="13" hidden="1">#REF!</definedName>
    <definedName name="_Key2" localSheetId="15" hidden="1">#REF!</definedName>
    <definedName name="_Key2" hidden="1">#REF!</definedName>
    <definedName name="_Order1" hidden="1">0</definedName>
    <definedName name="_Order2" hidden="1">0</definedName>
    <definedName name="_Sort" localSheetId="8" hidden="1">#REF!</definedName>
    <definedName name="_Sort" localSheetId="11" hidden="1">#REF!</definedName>
    <definedName name="_Sort" localSheetId="13" hidden="1">#REF!</definedName>
    <definedName name="_Sort" localSheetId="15" hidden="1">#REF!</definedName>
    <definedName name="_Sort" hidden="1">#REF!</definedName>
    <definedName name="_Table1_In1" localSheetId="8" hidden="1">#REF!</definedName>
    <definedName name="_Table1_In1" localSheetId="11" hidden="1">#REF!</definedName>
    <definedName name="_Table1_In1" localSheetId="13" hidden="1">#REF!</definedName>
    <definedName name="_Table1_In1" localSheetId="15" hidden="1">#REF!</definedName>
    <definedName name="_Table1_In1" hidden="1">#REF!</definedName>
    <definedName name="_Table1_Out" localSheetId="8" hidden="1">#REF!</definedName>
    <definedName name="_Table1_Out" localSheetId="11" hidden="1">#REF!</definedName>
    <definedName name="_Table1_Out" localSheetId="13" hidden="1">#REF!</definedName>
    <definedName name="_Table1_Out" localSheetId="15" hidden="1">#REF!</definedName>
    <definedName name="_Table1_Out" hidden="1">#REF!</definedName>
    <definedName name="_Table2_In1" localSheetId="8" hidden="1">#REF!</definedName>
    <definedName name="_Table2_In1" localSheetId="11" hidden="1">#REF!</definedName>
    <definedName name="_Table2_In1" localSheetId="13" hidden="1">#REF!</definedName>
    <definedName name="_Table2_In1" localSheetId="15" hidden="1">#REF!</definedName>
    <definedName name="_Table2_In1" hidden="1">#REF!</definedName>
    <definedName name="_Table2_Out" localSheetId="8" hidden="1">#REF!</definedName>
    <definedName name="_Table2_Out" localSheetId="11" hidden="1">#REF!</definedName>
    <definedName name="_Table2_Out" localSheetId="13" hidden="1">#REF!</definedName>
    <definedName name="_Table2_Out" localSheetId="15" hidden="1">#REF!</definedName>
    <definedName name="_Table2_Out" hidden="1">#REF!</definedName>
    <definedName name="_YR">'DEF - 2 -Page 1 Summary'!$P$1</definedName>
    <definedName name="Alloc_Factors">#REF!</definedName>
    <definedName name="ALLOC_TABLE">#REF!</definedName>
    <definedName name="ALLOCATORS">'DEF - 2 - Page 4 Support'!$Q$7:$R$17</definedName>
    <definedName name="AS2DocOpenMode" hidden="1">"AS2DocumentBrowse"</definedName>
    <definedName name="FF1_Year">'DEF - 6  p1, FF1 Inputs '!$K$3</definedName>
    <definedName name="frt" localSheetId="4" hidden="1">{#N/A,#N/A,FALSE,"Aging Summary";#N/A,#N/A,FALSE,"Ratio Analysis";#N/A,#N/A,FALSE,"Test 120 Day Accts";#N/A,#N/A,FALSE,"Tickmarks"}</definedName>
    <definedName name="frt" localSheetId="10" hidden="1">{#N/A,#N/A,FALSE,"Aging Summary";#N/A,#N/A,FALSE,"Ratio Analysis";#N/A,#N/A,FALSE,"Test 120 Day Accts";#N/A,#N/A,FALSE,"Tickmarks"}</definedName>
    <definedName name="frt" localSheetId="11" hidden="1">{#N/A,#N/A,FALSE,"Aging Summary";#N/A,#N/A,FALSE,"Ratio Analysis";#N/A,#N/A,FALSE,"Test 120 Day Accts";#N/A,#N/A,FALSE,"Tickmarks"}</definedName>
    <definedName name="frt" localSheetId="12" hidden="1">{#N/A,#N/A,FALSE,"Aging Summary";#N/A,#N/A,FALSE,"Ratio Analysis";#N/A,#N/A,FALSE,"Test 120 Day Accts";#N/A,#N/A,FALSE,"Tickmarks"}</definedName>
    <definedName name="frt" localSheetId="13" hidden="1">{#N/A,#N/A,FALSE,"Aging Summary";#N/A,#N/A,FALSE,"Ratio Analysis";#N/A,#N/A,FALSE,"Test 120 Day Accts";#N/A,#N/A,FALSE,"Tickmarks"}</definedName>
    <definedName name="frt" localSheetId="14" hidden="1">{#N/A,#N/A,FALSE,"Aging Summary";#N/A,#N/A,FALSE,"Ratio Analysis";#N/A,#N/A,FALSE,"Test 120 Day Accts";#N/A,#N/A,FALSE,"Tickmarks"}</definedName>
    <definedName name="frt" localSheetId="15" hidden="1">{#N/A,#N/A,FALSE,"Aging Summary";#N/A,#N/A,FALSE,"Ratio Analysis";#N/A,#N/A,FALSE,"Test 120 Day Accts";#N/A,#N/A,FALSE,"Tickmarks"}</definedName>
    <definedName name="frt" localSheetId="17" hidden="1">{#N/A,#N/A,FALSE,"Aging Summary";#N/A,#N/A,FALSE,"Ratio Analysis";#N/A,#N/A,FALSE,"Test 120 Day Accts";#N/A,#N/A,FALSE,"Tickmarks"}</definedName>
    <definedName name="frt" hidden="1">{#N/A,#N/A,FALSE,"Aging Summary";#N/A,#N/A,FALSE,"Ratio Analysis";#N/A,#N/A,FALSE,"Test 120 Day Accts";#N/A,#N/A,FALSE,"Tickmarks"}</definedName>
    <definedName name="fsd" localSheetId="4" hidden="1">{#N/A,#N/A,FALSE,"Aging Summary";#N/A,#N/A,FALSE,"Ratio Analysis";#N/A,#N/A,FALSE,"Test 120 Day Accts";#N/A,#N/A,FALSE,"Tickmarks"}</definedName>
    <definedName name="fsd" localSheetId="10" hidden="1">{#N/A,#N/A,FALSE,"Aging Summary";#N/A,#N/A,FALSE,"Ratio Analysis";#N/A,#N/A,FALSE,"Test 120 Day Accts";#N/A,#N/A,FALSE,"Tickmarks"}</definedName>
    <definedName name="fsd" localSheetId="11" hidden="1">{#N/A,#N/A,FALSE,"Aging Summary";#N/A,#N/A,FALSE,"Ratio Analysis";#N/A,#N/A,FALSE,"Test 120 Day Accts";#N/A,#N/A,FALSE,"Tickmarks"}</definedName>
    <definedName name="fsd" localSheetId="12" hidden="1">{#N/A,#N/A,FALSE,"Aging Summary";#N/A,#N/A,FALSE,"Ratio Analysis";#N/A,#N/A,FALSE,"Test 120 Day Accts";#N/A,#N/A,FALSE,"Tickmarks"}</definedName>
    <definedName name="fsd" localSheetId="13" hidden="1">{#N/A,#N/A,FALSE,"Aging Summary";#N/A,#N/A,FALSE,"Ratio Analysis";#N/A,#N/A,FALSE,"Test 120 Day Accts";#N/A,#N/A,FALSE,"Tickmarks"}</definedName>
    <definedName name="fsd" localSheetId="14" hidden="1">{#N/A,#N/A,FALSE,"Aging Summary";#N/A,#N/A,FALSE,"Ratio Analysis";#N/A,#N/A,FALSE,"Test 120 Day Accts";#N/A,#N/A,FALSE,"Tickmarks"}</definedName>
    <definedName name="fsd" localSheetId="15" hidden="1">{#N/A,#N/A,FALSE,"Aging Summary";#N/A,#N/A,FALSE,"Ratio Analysis";#N/A,#N/A,FALSE,"Test 120 Day Accts";#N/A,#N/A,FALSE,"Tickmarks"}</definedName>
    <definedName name="fsd" localSheetId="17" hidden="1">{#N/A,#N/A,FALSE,"Aging Summary";#N/A,#N/A,FALSE,"Ratio Analysis";#N/A,#N/A,FALSE,"Test 120 Day Accts";#N/A,#N/A,FALSE,"Tickmarks"}</definedName>
    <definedName name="fsd" hidden="1">{#N/A,#N/A,FALSE,"Aging Summary";#N/A,#N/A,FALSE,"Ratio Analysis";#N/A,#N/A,FALSE,"Test 120 Day Accts";#N/A,#N/A,FALSE,"Tickmarks"}</definedName>
    <definedName name="kkk" localSheetId="4" hidden="1">{#N/A,#N/A,FALSE,"Aging Summary";#N/A,#N/A,FALSE,"Ratio Analysis";#N/A,#N/A,FALSE,"Test 120 Day Accts";#N/A,#N/A,FALSE,"Tickmarks"}</definedName>
    <definedName name="kkk" localSheetId="10" hidden="1">{#N/A,#N/A,FALSE,"Aging Summary";#N/A,#N/A,FALSE,"Ratio Analysis";#N/A,#N/A,FALSE,"Test 120 Day Accts";#N/A,#N/A,FALSE,"Tickmarks"}</definedName>
    <definedName name="kkk" localSheetId="11" hidden="1">{#N/A,#N/A,FALSE,"Aging Summary";#N/A,#N/A,FALSE,"Ratio Analysis";#N/A,#N/A,FALSE,"Test 120 Day Accts";#N/A,#N/A,FALSE,"Tickmarks"}</definedName>
    <definedName name="kkk" localSheetId="12" hidden="1">{#N/A,#N/A,FALSE,"Aging Summary";#N/A,#N/A,FALSE,"Ratio Analysis";#N/A,#N/A,FALSE,"Test 120 Day Accts";#N/A,#N/A,FALSE,"Tickmarks"}</definedName>
    <definedName name="kkk" localSheetId="13" hidden="1">{#N/A,#N/A,FALSE,"Aging Summary";#N/A,#N/A,FALSE,"Ratio Analysis";#N/A,#N/A,FALSE,"Test 120 Day Accts";#N/A,#N/A,FALSE,"Tickmarks"}</definedName>
    <definedName name="kkk" localSheetId="14" hidden="1">{#N/A,#N/A,FALSE,"Aging Summary";#N/A,#N/A,FALSE,"Ratio Analysis";#N/A,#N/A,FALSE,"Test 120 Day Accts";#N/A,#N/A,FALSE,"Tickmarks"}</definedName>
    <definedName name="kkk" localSheetId="15" hidden="1">{#N/A,#N/A,FALSE,"Aging Summary";#N/A,#N/A,FALSE,"Ratio Analysis";#N/A,#N/A,FALSE,"Test 120 Day Accts";#N/A,#N/A,FALSE,"Tickmarks"}</definedName>
    <definedName name="kkk" localSheetId="17" hidden="1">{#N/A,#N/A,FALSE,"Aging Summary";#N/A,#N/A,FALSE,"Ratio Analysis";#N/A,#N/A,FALSE,"Test 120 Day Accts";#N/A,#N/A,FALSE,"Tickmarks"}</definedName>
    <definedName name="kkk" hidden="1">{#N/A,#N/A,FALSE,"Aging Summary";#N/A,#N/A,FALSE,"Ratio Analysis";#N/A,#N/A,FALSE,"Test 120 Day Accts";#N/A,#N/A,FALSE,"Tickmarks"}</definedName>
    <definedName name="L_YR">'DEF - 2 -Page 1 Summary'!$P$2</definedName>
    <definedName name="L_YR_P">'DEF - 2 -Page 1 Summary'!$P$3</definedName>
    <definedName name="LABOR_ALLOC">'DEF - 2 - Page 4 Support'!$I$37</definedName>
    <definedName name="lku" localSheetId="4" hidden="1">{#N/A,#N/A,FALSE,"Aging Summary";#N/A,#N/A,FALSE,"Ratio Analysis";#N/A,#N/A,FALSE,"Test 120 Day Accts";#N/A,#N/A,FALSE,"Tickmarks"}</definedName>
    <definedName name="lku" localSheetId="10" hidden="1">{#N/A,#N/A,FALSE,"Aging Summary";#N/A,#N/A,FALSE,"Ratio Analysis";#N/A,#N/A,FALSE,"Test 120 Day Accts";#N/A,#N/A,FALSE,"Tickmarks"}</definedName>
    <definedName name="lku" localSheetId="11" hidden="1">{#N/A,#N/A,FALSE,"Aging Summary";#N/A,#N/A,FALSE,"Ratio Analysis";#N/A,#N/A,FALSE,"Test 120 Day Accts";#N/A,#N/A,FALSE,"Tickmarks"}</definedName>
    <definedName name="lku" localSheetId="12" hidden="1">{#N/A,#N/A,FALSE,"Aging Summary";#N/A,#N/A,FALSE,"Ratio Analysis";#N/A,#N/A,FALSE,"Test 120 Day Accts";#N/A,#N/A,FALSE,"Tickmarks"}</definedName>
    <definedName name="lku" localSheetId="13" hidden="1">{#N/A,#N/A,FALSE,"Aging Summary";#N/A,#N/A,FALSE,"Ratio Analysis";#N/A,#N/A,FALSE,"Test 120 Day Accts";#N/A,#N/A,FALSE,"Tickmarks"}</definedName>
    <definedName name="lku" localSheetId="14" hidden="1">{#N/A,#N/A,FALSE,"Aging Summary";#N/A,#N/A,FALSE,"Ratio Analysis";#N/A,#N/A,FALSE,"Test 120 Day Accts";#N/A,#N/A,FALSE,"Tickmarks"}</definedName>
    <definedName name="lku" localSheetId="15" hidden="1">{#N/A,#N/A,FALSE,"Aging Summary";#N/A,#N/A,FALSE,"Ratio Analysis";#N/A,#N/A,FALSE,"Test 120 Day Accts";#N/A,#N/A,FALSE,"Tickmarks"}</definedName>
    <definedName name="lku" localSheetId="17" hidden="1">{#N/A,#N/A,FALSE,"Aging Summary";#N/A,#N/A,FALSE,"Ratio Analysis";#N/A,#N/A,FALSE,"Test 120 Day Accts";#N/A,#N/A,FALSE,"Tickmarks"}</definedName>
    <definedName name="lku" hidden="1">{#N/A,#N/A,FALSE,"Aging Summary";#N/A,#N/A,FALSE,"Ratio Analysis";#N/A,#N/A,FALSE,"Test 120 Day Accts";#N/A,#N/A,FALSE,"Tickmarks"}</definedName>
    <definedName name="lll" localSheetId="4" hidden="1">{#N/A,#N/A,FALSE,"Aging Summary";#N/A,#N/A,FALSE,"Ratio Analysis";#N/A,#N/A,FALSE,"Test 120 Day Accts";#N/A,#N/A,FALSE,"Tickmarks"}</definedName>
    <definedName name="lll" localSheetId="10" hidden="1">{#N/A,#N/A,FALSE,"Aging Summary";#N/A,#N/A,FALSE,"Ratio Analysis";#N/A,#N/A,FALSE,"Test 120 Day Accts";#N/A,#N/A,FALSE,"Tickmarks"}</definedName>
    <definedName name="lll" localSheetId="11" hidden="1">{#N/A,#N/A,FALSE,"Aging Summary";#N/A,#N/A,FALSE,"Ratio Analysis";#N/A,#N/A,FALSE,"Test 120 Day Accts";#N/A,#N/A,FALSE,"Tickmarks"}</definedName>
    <definedName name="lll" localSheetId="12" hidden="1">{#N/A,#N/A,FALSE,"Aging Summary";#N/A,#N/A,FALSE,"Ratio Analysis";#N/A,#N/A,FALSE,"Test 120 Day Accts";#N/A,#N/A,FALSE,"Tickmarks"}</definedName>
    <definedName name="lll" localSheetId="13" hidden="1">{#N/A,#N/A,FALSE,"Aging Summary";#N/A,#N/A,FALSE,"Ratio Analysis";#N/A,#N/A,FALSE,"Test 120 Day Accts";#N/A,#N/A,FALSE,"Tickmarks"}</definedName>
    <definedName name="lll" localSheetId="14" hidden="1">{#N/A,#N/A,FALSE,"Aging Summary";#N/A,#N/A,FALSE,"Ratio Analysis";#N/A,#N/A,FALSE,"Test 120 Day Accts";#N/A,#N/A,FALSE,"Tickmarks"}</definedName>
    <definedName name="lll" localSheetId="15" hidden="1">{#N/A,#N/A,FALSE,"Aging Summary";#N/A,#N/A,FALSE,"Ratio Analysis";#N/A,#N/A,FALSE,"Test 120 Day Accts";#N/A,#N/A,FALSE,"Tickmarks"}</definedName>
    <definedName name="lll" localSheetId="17" hidden="1">{#N/A,#N/A,FALSE,"Aging Summary";#N/A,#N/A,FALSE,"Ratio Analysis";#N/A,#N/A,FALSE,"Test 120 Day Accts";#N/A,#N/A,FALSE,"Tickmarks"}</definedName>
    <definedName name="lll" hidden="1">{#N/A,#N/A,FALSE,"Aging Summary";#N/A,#N/A,FALSE,"Ratio Analysis";#N/A,#N/A,FALSE,"Test 120 Day Accts";#N/A,#N/A,FALSE,"Tickmarks"}</definedName>
    <definedName name="oiu" localSheetId="4" hidden="1">{#N/A,#N/A,FALSE,"Aging Summary";#N/A,#N/A,FALSE,"Ratio Analysis";#N/A,#N/A,FALSE,"Test 120 Day Accts";#N/A,#N/A,FALSE,"Tickmarks"}</definedName>
    <definedName name="oiu" localSheetId="10" hidden="1">{#N/A,#N/A,FALSE,"Aging Summary";#N/A,#N/A,FALSE,"Ratio Analysis";#N/A,#N/A,FALSE,"Test 120 Day Accts";#N/A,#N/A,FALSE,"Tickmarks"}</definedName>
    <definedName name="oiu" localSheetId="11" hidden="1">{#N/A,#N/A,FALSE,"Aging Summary";#N/A,#N/A,FALSE,"Ratio Analysis";#N/A,#N/A,FALSE,"Test 120 Day Accts";#N/A,#N/A,FALSE,"Tickmarks"}</definedName>
    <definedName name="oiu" localSheetId="12" hidden="1">{#N/A,#N/A,FALSE,"Aging Summary";#N/A,#N/A,FALSE,"Ratio Analysis";#N/A,#N/A,FALSE,"Test 120 Day Accts";#N/A,#N/A,FALSE,"Tickmarks"}</definedName>
    <definedName name="oiu" localSheetId="13" hidden="1">{#N/A,#N/A,FALSE,"Aging Summary";#N/A,#N/A,FALSE,"Ratio Analysis";#N/A,#N/A,FALSE,"Test 120 Day Accts";#N/A,#N/A,FALSE,"Tickmarks"}</definedName>
    <definedName name="oiu" localSheetId="14" hidden="1">{#N/A,#N/A,FALSE,"Aging Summary";#N/A,#N/A,FALSE,"Ratio Analysis";#N/A,#N/A,FALSE,"Test 120 Day Accts";#N/A,#N/A,FALSE,"Tickmarks"}</definedName>
    <definedName name="oiu" localSheetId="15" hidden="1">{#N/A,#N/A,FALSE,"Aging Summary";#N/A,#N/A,FALSE,"Ratio Analysis";#N/A,#N/A,FALSE,"Test 120 Day Accts";#N/A,#N/A,FALSE,"Tickmarks"}</definedName>
    <definedName name="oiu" localSheetId="17" hidden="1">{#N/A,#N/A,FALSE,"Aging Summary";#N/A,#N/A,FALSE,"Ratio Analysis";#N/A,#N/A,FALSE,"Test 120 Day Accts";#N/A,#N/A,FALSE,"Tickmarks"}</definedName>
    <definedName name="oiu" hidden="1">{#N/A,#N/A,FALSE,"Aging Summary";#N/A,#N/A,FALSE,"Ratio Analysis";#N/A,#N/A,FALSE,"Test 120 Day Accts";#N/A,#N/A,FALSE,"Tickmarks"}</definedName>
    <definedName name="op" localSheetId="4" hidden="1">{#N/A,#N/A,FALSE,"Aging Summary";#N/A,#N/A,FALSE,"Ratio Analysis";#N/A,#N/A,FALSE,"Test 120 Day Accts";#N/A,#N/A,FALSE,"Tickmarks"}</definedName>
    <definedName name="op" localSheetId="10" hidden="1">{#N/A,#N/A,FALSE,"Aging Summary";#N/A,#N/A,FALSE,"Ratio Analysis";#N/A,#N/A,FALSE,"Test 120 Day Accts";#N/A,#N/A,FALSE,"Tickmarks"}</definedName>
    <definedName name="op" localSheetId="11" hidden="1">{#N/A,#N/A,FALSE,"Aging Summary";#N/A,#N/A,FALSE,"Ratio Analysis";#N/A,#N/A,FALSE,"Test 120 Day Accts";#N/A,#N/A,FALSE,"Tickmarks"}</definedName>
    <definedName name="op" localSheetId="12" hidden="1">{#N/A,#N/A,FALSE,"Aging Summary";#N/A,#N/A,FALSE,"Ratio Analysis";#N/A,#N/A,FALSE,"Test 120 Day Accts";#N/A,#N/A,FALSE,"Tickmarks"}</definedName>
    <definedName name="op" localSheetId="13" hidden="1">{#N/A,#N/A,FALSE,"Aging Summary";#N/A,#N/A,FALSE,"Ratio Analysis";#N/A,#N/A,FALSE,"Test 120 Day Accts";#N/A,#N/A,FALSE,"Tickmarks"}</definedName>
    <definedName name="op" localSheetId="14" hidden="1">{#N/A,#N/A,FALSE,"Aging Summary";#N/A,#N/A,FALSE,"Ratio Analysis";#N/A,#N/A,FALSE,"Test 120 Day Accts";#N/A,#N/A,FALSE,"Tickmarks"}</definedName>
    <definedName name="op" localSheetId="15" hidden="1">{#N/A,#N/A,FALSE,"Aging Summary";#N/A,#N/A,FALSE,"Ratio Analysis";#N/A,#N/A,FALSE,"Test 120 Day Accts";#N/A,#N/A,FALSE,"Tickmarks"}</definedName>
    <definedName name="op" localSheetId="17" hidden="1">{#N/A,#N/A,FALSE,"Aging Summary";#N/A,#N/A,FALSE,"Ratio Analysis";#N/A,#N/A,FALSE,"Test 120 Day Accts";#N/A,#N/A,FALSE,"Tickmarks"}</definedName>
    <definedName name="op" hidden="1">{#N/A,#N/A,FALSE,"Aging Summary";#N/A,#N/A,FALSE,"Ratio Analysis";#N/A,#N/A,FALSE,"Test 120 Day Accts";#N/A,#N/A,FALSE,"Tickmarks"}</definedName>
    <definedName name="p" localSheetId="4" hidden="1">{#N/A,#N/A,FALSE,"Aging Summary";#N/A,#N/A,FALSE,"Ratio Analysis";#N/A,#N/A,FALSE,"Test 120 Day Accts";#N/A,#N/A,FALSE,"Tickmarks"}</definedName>
    <definedName name="p" localSheetId="10" hidden="1">{#N/A,#N/A,FALSE,"Aging Summary";#N/A,#N/A,FALSE,"Ratio Analysis";#N/A,#N/A,FALSE,"Test 120 Day Accts";#N/A,#N/A,FALSE,"Tickmarks"}</definedName>
    <definedName name="p" localSheetId="11" hidden="1">{#N/A,#N/A,FALSE,"Aging Summary";#N/A,#N/A,FALSE,"Ratio Analysis";#N/A,#N/A,FALSE,"Test 120 Day Accts";#N/A,#N/A,FALSE,"Tickmarks"}</definedName>
    <definedName name="p" localSheetId="12" hidden="1">{#N/A,#N/A,FALSE,"Aging Summary";#N/A,#N/A,FALSE,"Ratio Analysis";#N/A,#N/A,FALSE,"Test 120 Day Accts";#N/A,#N/A,FALSE,"Tickmarks"}</definedName>
    <definedName name="p" localSheetId="13" hidden="1">{#N/A,#N/A,FALSE,"Aging Summary";#N/A,#N/A,FALSE,"Ratio Analysis";#N/A,#N/A,FALSE,"Test 120 Day Accts";#N/A,#N/A,FALSE,"Tickmarks"}</definedName>
    <definedName name="p" localSheetId="14" hidden="1">{#N/A,#N/A,FALSE,"Aging Summary";#N/A,#N/A,FALSE,"Ratio Analysis";#N/A,#N/A,FALSE,"Test 120 Day Accts";#N/A,#N/A,FALSE,"Tickmarks"}</definedName>
    <definedName name="p" localSheetId="15" hidden="1">{#N/A,#N/A,FALSE,"Aging Summary";#N/A,#N/A,FALSE,"Ratio Analysis";#N/A,#N/A,FALSE,"Test 120 Day Accts";#N/A,#N/A,FALSE,"Tickmarks"}</definedName>
    <definedName name="p" localSheetId="17" hidden="1">{#N/A,#N/A,FALSE,"Aging Summary";#N/A,#N/A,FALSE,"Ratio Analysis";#N/A,#N/A,FALSE,"Test 120 Day Accts";#N/A,#N/A,FALSE,"Tickmarks"}</definedName>
    <definedName name="p" hidden="1">{#N/A,#N/A,FALSE,"Aging Summary";#N/A,#N/A,FALSE,"Ratio Analysis";#N/A,#N/A,FALSE,"Test 120 Day Accts";#N/A,#N/A,FALSE,"Tickmarks"}</definedName>
    <definedName name="paul" localSheetId="8" hidden="1">#REF!</definedName>
    <definedName name="paul" localSheetId="11" hidden="1">#REF!</definedName>
    <definedName name="paul" localSheetId="13" hidden="1">#REF!</definedName>
    <definedName name="paul" localSheetId="15" hidden="1">#REF!</definedName>
    <definedName name="paul" hidden="1">#REF!</definedName>
    <definedName name="pesc1" localSheetId="4" hidden="1">{#N/A,#N/A,FALSE,"Aging Summary";#N/A,#N/A,FALSE,"Ratio Analysis";#N/A,#N/A,FALSE,"Test 120 Day Accts";#N/A,#N/A,FALSE,"Tickmarks"}</definedName>
    <definedName name="pesc1" localSheetId="10" hidden="1">{#N/A,#N/A,FALSE,"Aging Summary";#N/A,#N/A,FALSE,"Ratio Analysis";#N/A,#N/A,FALSE,"Test 120 Day Accts";#N/A,#N/A,FALSE,"Tickmarks"}</definedName>
    <definedName name="pesc1" localSheetId="11" hidden="1">{#N/A,#N/A,FALSE,"Aging Summary";#N/A,#N/A,FALSE,"Ratio Analysis";#N/A,#N/A,FALSE,"Test 120 Day Accts";#N/A,#N/A,FALSE,"Tickmarks"}</definedName>
    <definedName name="pesc1" localSheetId="12" hidden="1">{#N/A,#N/A,FALSE,"Aging Summary";#N/A,#N/A,FALSE,"Ratio Analysis";#N/A,#N/A,FALSE,"Test 120 Day Accts";#N/A,#N/A,FALSE,"Tickmarks"}</definedName>
    <definedName name="pesc1" localSheetId="13" hidden="1">{#N/A,#N/A,FALSE,"Aging Summary";#N/A,#N/A,FALSE,"Ratio Analysis";#N/A,#N/A,FALSE,"Test 120 Day Accts";#N/A,#N/A,FALSE,"Tickmarks"}</definedName>
    <definedName name="pesc1" localSheetId="14" hidden="1">{#N/A,#N/A,FALSE,"Aging Summary";#N/A,#N/A,FALSE,"Ratio Analysis";#N/A,#N/A,FALSE,"Test 120 Day Accts";#N/A,#N/A,FALSE,"Tickmarks"}</definedName>
    <definedName name="pesc1" localSheetId="15" hidden="1">{#N/A,#N/A,FALSE,"Aging Summary";#N/A,#N/A,FALSE,"Ratio Analysis";#N/A,#N/A,FALSE,"Test 120 Day Accts";#N/A,#N/A,FALSE,"Tickmarks"}</definedName>
    <definedName name="pesc1" localSheetId="17" hidden="1">{#N/A,#N/A,FALSE,"Aging Summary";#N/A,#N/A,FALSE,"Ratio Analysis";#N/A,#N/A,FALSE,"Test 120 Day Accts";#N/A,#N/A,FALSE,"Tickmarks"}</definedName>
    <definedName name="pesc1" hidden="1">{#N/A,#N/A,FALSE,"Aging Summary";#N/A,#N/A,FALSE,"Ratio Analysis";#N/A,#N/A,FALSE,"Test 120 Day Accts";#N/A,#N/A,FALSE,"Tickmarks"}</definedName>
    <definedName name="ppp" localSheetId="4" hidden="1">{#N/A,#N/A,FALSE,"Aging Summary";#N/A,#N/A,FALSE,"Ratio Analysis";#N/A,#N/A,FALSE,"Test 120 Day Accts";#N/A,#N/A,FALSE,"Tickmarks"}</definedName>
    <definedName name="ppp" localSheetId="10" hidden="1">{#N/A,#N/A,FALSE,"Aging Summary";#N/A,#N/A,FALSE,"Ratio Analysis";#N/A,#N/A,FALSE,"Test 120 Day Accts";#N/A,#N/A,FALSE,"Tickmarks"}</definedName>
    <definedName name="ppp" localSheetId="11" hidden="1">{#N/A,#N/A,FALSE,"Aging Summary";#N/A,#N/A,FALSE,"Ratio Analysis";#N/A,#N/A,FALSE,"Test 120 Day Accts";#N/A,#N/A,FALSE,"Tickmarks"}</definedName>
    <definedName name="ppp" localSheetId="12" hidden="1">{#N/A,#N/A,FALSE,"Aging Summary";#N/A,#N/A,FALSE,"Ratio Analysis";#N/A,#N/A,FALSE,"Test 120 Day Accts";#N/A,#N/A,FALSE,"Tickmarks"}</definedName>
    <definedName name="ppp" localSheetId="13" hidden="1">{#N/A,#N/A,FALSE,"Aging Summary";#N/A,#N/A,FALSE,"Ratio Analysis";#N/A,#N/A,FALSE,"Test 120 Day Accts";#N/A,#N/A,FALSE,"Tickmarks"}</definedName>
    <definedName name="ppp" localSheetId="14" hidden="1">{#N/A,#N/A,FALSE,"Aging Summary";#N/A,#N/A,FALSE,"Ratio Analysis";#N/A,#N/A,FALSE,"Test 120 Day Accts";#N/A,#N/A,FALSE,"Tickmarks"}</definedName>
    <definedName name="ppp" localSheetId="15" hidden="1">{#N/A,#N/A,FALSE,"Aging Summary";#N/A,#N/A,FALSE,"Ratio Analysis";#N/A,#N/A,FALSE,"Test 120 Day Accts";#N/A,#N/A,FALSE,"Tickmarks"}</definedName>
    <definedName name="ppp" localSheetId="17" hidden="1">{#N/A,#N/A,FALSE,"Aging Summary";#N/A,#N/A,FALSE,"Ratio Analysis";#N/A,#N/A,FALSE,"Test 120 Day Accts";#N/A,#N/A,FALSE,"Tickmarks"}</definedName>
    <definedName name="ppp" hidden="1">{#N/A,#N/A,FALSE,"Aging Summary";#N/A,#N/A,FALSE,"Ratio Analysis";#N/A,#N/A,FALSE,"Test 120 Day Accts";#N/A,#N/A,FALSE,"Tickmarks"}</definedName>
    <definedName name="_xlnm.Print_Area" localSheetId="2">'DEF - 2 - Page 3 Rev Reqt'!$A$1:$L$67</definedName>
    <definedName name="_xlnm.Print_Area" localSheetId="3">'DEF - 2 - Page 4 Support'!$A$1:$K$56</definedName>
    <definedName name="_xlnm.Print_Area" localSheetId="4">'DEF - 2 - Page 5 Storm, Notes'!$A$1:$L$90</definedName>
    <definedName name="_xlnm.Print_Area" localSheetId="5">'DEF - 2 - Page 6, PBOPs'!$A$1:$M$50</definedName>
    <definedName name="_xlnm.Print_Area" localSheetId="0">'DEF - 2 -Page 1 Summary'!$A$4:$L$45</definedName>
    <definedName name="_xlnm.Print_Area" localSheetId="1">'DEF - 2 Page 2 Rate Base'!$A$1:$P$90</definedName>
    <definedName name="_xlnm.Print_Area" localSheetId="7">'DEF - 3,  p2, 456 Rev Credits'!$A$1:$H$90</definedName>
    <definedName name="_xlnm.Print_Area" localSheetId="6">'DEF - 3, p1, 454 Rev Credits'!$A$1:$H$32</definedName>
    <definedName name="_xlnm.Print_Area" localSheetId="10">'DEF - 4, Order 2003 '!$A$1:$K$87</definedName>
    <definedName name="_xlnm.Print_Area" localSheetId="8">'DEF - 4, p1 Step Ups'!$A$1:$J$62</definedName>
    <definedName name="_xlnm.Print_Area" localSheetId="9">'DEF - 4, p2 Step Ups '!$A$1:$J$79</definedName>
    <definedName name="_xlnm.Print_Area" localSheetId="11">'DEF - 5 p1 PY ADIT 190'!$A$1:$J$71</definedName>
    <definedName name="_xlnm.Print_Area" localSheetId="12">'DEF - 5 p2 PY ADIT 28x'!$A$1:$J$49</definedName>
    <definedName name="_xlnm.Print_Area" localSheetId="13">'DEF - 5 p3 CY ADIT 190'!$A$1:$J$84</definedName>
    <definedName name="_xlnm.Print_Area" localSheetId="14">'DEF - 5 p4 CY ADIT 28x'!$A$1:$J$48</definedName>
    <definedName name="_xlnm.Print_Area" localSheetId="15">'DEF - 5A Unfunded Reserves'!$A$1:$O$31</definedName>
    <definedName name="_xlnm.Print_Area" localSheetId="16">'DEF - 6  p1, FF1 Inputs '!$A$1:$L$76</definedName>
    <definedName name="_xlnm.Print_Area" localSheetId="17">'DEF - 6 p2, Levelized Storm'!$A$1:$L$72</definedName>
    <definedName name="_xlnm.Print_Area" localSheetId="18">'DEF - 6 p3, Prepay Accting'!$A$1:$I$67</definedName>
    <definedName name="_xlnm.Print_Area" localSheetId="19">'DEF - 7, Retail Radials'!$A$1:$J$31</definedName>
    <definedName name="_xlnm.Print_Titles" localSheetId="10">'DEF - 4, Order 2003 '!$1:$11</definedName>
    <definedName name="_xlnm.Print_Titles" localSheetId="8">'DEF - 4, p1 Step Ups'!$1:$10</definedName>
    <definedName name="_xlnm.Print_Titles" localSheetId="9">'DEF - 4, p2 Step Ups '!$1:$10</definedName>
    <definedName name="ret" localSheetId="4" hidden="1">{#N/A,#N/A,FALSE,"Aging Summary";#N/A,#N/A,FALSE,"Ratio Analysis";#N/A,#N/A,FALSE,"Test 120 Day Accts";#N/A,#N/A,FALSE,"Tickmarks"}</definedName>
    <definedName name="ret" localSheetId="10" hidden="1">{#N/A,#N/A,FALSE,"Aging Summary";#N/A,#N/A,FALSE,"Ratio Analysis";#N/A,#N/A,FALSE,"Test 120 Day Accts";#N/A,#N/A,FALSE,"Tickmarks"}</definedName>
    <definedName name="ret" localSheetId="11" hidden="1">{#N/A,#N/A,FALSE,"Aging Summary";#N/A,#N/A,FALSE,"Ratio Analysis";#N/A,#N/A,FALSE,"Test 120 Day Accts";#N/A,#N/A,FALSE,"Tickmarks"}</definedName>
    <definedName name="ret" localSheetId="12" hidden="1">{#N/A,#N/A,FALSE,"Aging Summary";#N/A,#N/A,FALSE,"Ratio Analysis";#N/A,#N/A,FALSE,"Test 120 Day Accts";#N/A,#N/A,FALSE,"Tickmarks"}</definedName>
    <definedName name="ret" localSheetId="13" hidden="1">{#N/A,#N/A,FALSE,"Aging Summary";#N/A,#N/A,FALSE,"Ratio Analysis";#N/A,#N/A,FALSE,"Test 120 Day Accts";#N/A,#N/A,FALSE,"Tickmarks"}</definedName>
    <definedName name="ret" localSheetId="14" hidden="1">{#N/A,#N/A,FALSE,"Aging Summary";#N/A,#N/A,FALSE,"Ratio Analysis";#N/A,#N/A,FALSE,"Test 120 Day Accts";#N/A,#N/A,FALSE,"Tickmarks"}</definedName>
    <definedName name="ret" localSheetId="15" hidden="1">{#N/A,#N/A,FALSE,"Aging Summary";#N/A,#N/A,FALSE,"Ratio Analysis";#N/A,#N/A,FALSE,"Test 120 Day Accts";#N/A,#N/A,FALSE,"Tickmarks"}</definedName>
    <definedName name="ret" localSheetId="17" hidden="1">{#N/A,#N/A,FALSE,"Aging Summary";#N/A,#N/A,FALSE,"Ratio Analysis";#N/A,#N/A,FALSE,"Test 120 Day Accts";#N/A,#N/A,FALSE,"Tickmarks"}</definedName>
    <definedName name="ret" hidden="1">{#N/A,#N/A,FALSE,"Aging Summary";#N/A,#N/A,FALSE,"Ratio Analysis";#N/A,#N/A,FALSE,"Test 120 Day Accts";#N/A,#N/A,FALSE,"Tickmarks"}</definedName>
    <definedName name="rt" localSheetId="4" hidden="1">{#N/A,#N/A,FALSE,"Aging Summary";#N/A,#N/A,FALSE,"Ratio Analysis";#N/A,#N/A,FALSE,"Test 120 Day Accts";#N/A,#N/A,FALSE,"Tickmarks"}</definedName>
    <definedName name="rt" localSheetId="10" hidden="1">{#N/A,#N/A,FALSE,"Aging Summary";#N/A,#N/A,FALSE,"Ratio Analysis";#N/A,#N/A,FALSE,"Test 120 Day Accts";#N/A,#N/A,FALSE,"Tickmarks"}</definedName>
    <definedName name="rt" localSheetId="11" hidden="1">{#N/A,#N/A,FALSE,"Aging Summary";#N/A,#N/A,FALSE,"Ratio Analysis";#N/A,#N/A,FALSE,"Test 120 Day Accts";#N/A,#N/A,FALSE,"Tickmarks"}</definedName>
    <definedName name="rt" localSheetId="12" hidden="1">{#N/A,#N/A,FALSE,"Aging Summary";#N/A,#N/A,FALSE,"Ratio Analysis";#N/A,#N/A,FALSE,"Test 120 Day Accts";#N/A,#N/A,FALSE,"Tickmarks"}</definedName>
    <definedName name="rt" localSheetId="13" hidden="1">{#N/A,#N/A,FALSE,"Aging Summary";#N/A,#N/A,FALSE,"Ratio Analysis";#N/A,#N/A,FALSE,"Test 120 Day Accts";#N/A,#N/A,FALSE,"Tickmarks"}</definedName>
    <definedName name="rt" localSheetId="14" hidden="1">{#N/A,#N/A,FALSE,"Aging Summary";#N/A,#N/A,FALSE,"Ratio Analysis";#N/A,#N/A,FALSE,"Test 120 Day Accts";#N/A,#N/A,FALSE,"Tickmarks"}</definedName>
    <definedName name="rt" localSheetId="15" hidden="1">{#N/A,#N/A,FALSE,"Aging Summary";#N/A,#N/A,FALSE,"Ratio Analysis";#N/A,#N/A,FALSE,"Test 120 Day Accts";#N/A,#N/A,FALSE,"Tickmarks"}</definedName>
    <definedName name="rt" localSheetId="17" hidden="1">{#N/A,#N/A,FALSE,"Aging Summary";#N/A,#N/A,FALSE,"Ratio Analysis";#N/A,#N/A,FALSE,"Test 120 Day Accts";#N/A,#N/A,FALSE,"Tickmarks"}</definedName>
    <definedName name="rt" hidden="1">{#N/A,#N/A,FALSE,"Aging Summary";#N/A,#N/A,FALSE,"Ratio Analysis";#N/A,#N/A,FALSE,"Test 120 Day Accts";#N/A,#N/A,FALSE,"Tickmarks"}</definedName>
    <definedName name="temp" localSheetId="4" hidden="1">{#N/A,#N/A,FALSE,"Aging Summary";#N/A,#N/A,FALSE,"Ratio Analysis";#N/A,#N/A,FALSE,"Test 120 Day Accts";#N/A,#N/A,FALSE,"Tickmarks"}</definedName>
    <definedName name="temp" localSheetId="10" hidden="1">{#N/A,#N/A,FALSE,"Aging Summary";#N/A,#N/A,FALSE,"Ratio Analysis";#N/A,#N/A,FALSE,"Test 120 Day Accts";#N/A,#N/A,FALSE,"Tickmarks"}</definedName>
    <definedName name="temp" localSheetId="11" hidden="1">{#N/A,#N/A,FALSE,"Aging Summary";#N/A,#N/A,FALSE,"Ratio Analysis";#N/A,#N/A,FALSE,"Test 120 Day Accts";#N/A,#N/A,FALSE,"Tickmarks"}</definedName>
    <definedName name="temp" localSheetId="12" hidden="1">{#N/A,#N/A,FALSE,"Aging Summary";#N/A,#N/A,FALSE,"Ratio Analysis";#N/A,#N/A,FALSE,"Test 120 Day Accts";#N/A,#N/A,FALSE,"Tickmarks"}</definedName>
    <definedName name="temp" localSheetId="13" hidden="1">{#N/A,#N/A,FALSE,"Aging Summary";#N/A,#N/A,FALSE,"Ratio Analysis";#N/A,#N/A,FALSE,"Test 120 Day Accts";#N/A,#N/A,FALSE,"Tickmarks"}</definedName>
    <definedName name="temp" localSheetId="14" hidden="1">{#N/A,#N/A,FALSE,"Aging Summary";#N/A,#N/A,FALSE,"Ratio Analysis";#N/A,#N/A,FALSE,"Test 120 Day Accts";#N/A,#N/A,FALSE,"Tickmarks"}</definedName>
    <definedName name="temp" localSheetId="15" hidden="1">{#N/A,#N/A,FALSE,"Aging Summary";#N/A,#N/A,FALSE,"Ratio Analysis";#N/A,#N/A,FALSE,"Test 120 Day Accts";#N/A,#N/A,FALSE,"Tickmarks"}</definedName>
    <definedName name="temp" localSheetId="17" hidden="1">{#N/A,#N/A,FALSE,"Aging Summary";#N/A,#N/A,FALSE,"Ratio Analysis";#N/A,#N/A,FALSE,"Test 120 Day Accts";#N/A,#N/A,FALSE,"Tickmarks"}</definedName>
    <definedName name="temp" hidden="1">{#N/A,#N/A,FALSE,"Aging Summary";#N/A,#N/A,FALSE,"Ratio Analysis";#N/A,#N/A,FALSE,"Test 120 Day Accts";#N/A,#N/A,FALSE,"Tickmarks"}</definedName>
    <definedName name="TExp_ALLOC">'DEF - 2 - Page 4 Support'!$I$25</definedName>
    <definedName name="TP_ALLOC">'DEF - 2 - Page 4 Support'!$I$20</definedName>
    <definedName name="tre" localSheetId="4" hidden="1">{#N/A,#N/A,FALSE,"Aging Summary";#N/A,#N/A,FALSE,"Ratio Analysis";#N/A,#N/A,FALSE,"Test 120 Day Accts";#N/A,#N/A,FALSE,"Tickmarks"}</definedName>
    <definedName name="tre" localSheetId="10" hidden="1">{#N/A,#N/A,FALSE,"Aging Summary";#N/A,#N/A,FALSE,"Ratio Analysis";#N/A,#N/A,FALSE,"Test 120 Day Accts";#N/A,#N/A,FALSE,"Tickmarks"}</definedName>
    <definedName name="tre" localSheetId="11" hidden="1">{#N/A,#N/A,FALSE,"Aging Summary";#N/A,#N/A,FALSE,"Ratio Analysis";#N/A,#N/A,FALSE,"Test 120 Day Accts";#N/A,#N/A,FALSE,"Tickmarks"}</definedName>
    <definedName name="tre" localSheetId="12" hidden="1">{#N/A,#N/A,FALSE,"Aging Summary";#N/A,#N/A,FALSE,"Ratio Analysis";#N/A,#N/A,FALSE,"Test 120 Day Accts";#N/A,#N/A,FALSE,"Tickmarks"}</definedName>
    <definedName name="tre" localSheetId="13" hidden="1">{#N/A,#N/A,FALSE,"Aging Summary";#N/A,#N/A,FALSE,"Ratio Analysis";#N/A,#N/A,FALSE,"Test 120 Day Accts";#N/A,#N/A,FALSE,"Tickmarks"}</definedName>
    <definedName name="tre" localSheetId="14" hidden="1">{#N/A,#N/A,FALSE,"Aging Summary";#N/A,#N/A,FALSE,"Ratio Analysis";#N/A,#N/A,FALSE,"Test 120 Day Accts";#N/A,#N/A,FALSE,"Tickmarks"}</definedName>
    <definedName name="tre" localSheetId="15" hidden="1">{#N/A,#N/A,FALSE,"Aging Summary";#N/A,#N/A,FALSE,"Ratio Analysis";#N/A,#N/A,FALSE,"Test 120 Day Accts";#N/A,#N/A,FALSE,"Tickmarks"}</definedName>
    <definedName name="tre" localSheetId="17" hidden="1">{#N/A,#N/A,FALSE,"Aging Summary";#N/A,#N/A,FALSE,"Ratio Analysis";#N/A,#N/A,FALSE,"Test 120 Day Accts";#N/A,#N/A,FALSE,"Tickmarks"}</definedName>
    <definedName name="tre" hidden="1">{#N/A,#N/A,FALSE,"Aging Summary";#N/A,#N/A,FALSE,"Ratio Analysis";#N/A,#N/A,FALSE,"Test 120 Day Accts";#N/A,#N/A,FALSE,"Tickmarks"}</definedName>
    <definedName name="WACC">'[2]Port Value - Monthly'!$B$7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10" hidden="1">{#N/A,#N/A,FALSE,"Aging Summary";#N/A,#N/A,FALSE,"Ratio Analysis";#N/A,#N/A,FALSE,"Test 120 Day Accts";#N/A,#N/A,FALSE,"Tickmarks"}</definedName>
    <definedName name="wrn.Aging._.and._.Trend._.Analysis." localSheetId="11" hidden="1">{#N/A,#N/A,FALSE,"Aging Summary";#N/A,#N/A,FALSE,"Ratio Analysis";#N/A,#N/A,FALSE,"Test 120 Day Accts";#N/A,#N/A,FALSE,"Tickmarks"}</definedName>
    <definedName name="wrn.Aging._.and._.Trend._.Analysis." localSheetId="12" hidden="1">{#N/A,#N/A,FALSE,"Aging Summary";#N/A,#N/A,FALSE,"Ratio Analysis";#N/A,#N/A,FALSE,"Test 120 Day Accts";#N/A,#N/A,FALSE,"Tickmarks"}</definedName>
    <definedName name="wrn.Aging._.and._.Trend._.Analysis." localSheetId="13" hidden="1">{#N/A,#N/A,FALSE,"Aging Summary";#N/A,#N/A,FALSE,"Ratio Analysis";#N/A,#N/A,FALSE,"Test 120 Day Accts";#N/A,#N/A,FALSE,"Tickmarks"}</definedName>
    <definedName name="wrn.Aging._.and._.Trend._.Analysis." localSheetId="14" hidden="1">{#N/A,#N/A,FALSE,"Aging Summary";#N/A,#N/A,FALSE,"Ratio Analysis";#N/A,#N/A,FALSE,"Test 120 Day Accts";#N/A,#N/A,FALSE,"Tickmarks"}</definedName>
    <definedName name="wrn.Aging._.and._.Trend._.Analysis." localSheetId="15" hidden="1">{#N/A,#N/A,FALSE,"Aging Summary";#N/A,#N/A,FALSE,"Ratio Analysis";#N/A,#N/A,FALSE,"Test 120 Day Accts";#N/A,#N/A,FALSE,"Tickmarks"}</definedName>
    <definedName name="wrn.Aging._.and._.Trend._.Analysis." localSheetId="17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tyu" localSheetId="4" hidden="1">{#N/A,#N/A,FALSE,"Aging Summary";#N/A,#N/A,FALSE,"Ratio Analysis";#N/A,#N/A,FALSE,"Test 120 Day Accts";#N/A,#N/A,FALSE,"Tickmarks"}</definedName>
    <definedName name="wtyu" localSheetId="10" hidden="1">{#N/A,#N/A,FALSE,"Aging Summary";#N/A,#N/A,FALSE,"Ratio Analysis";#N/A,#N/A,FALSE,"Test 120 Day Accts";#N/A,#N/A,FALSE,"Tickmarks"}</definedName>
    <definedName name="wtyu" localSheetId="11" hidden="1">{#N/A,#N/A,FALSE,"Aging Summary";#N/A,#N/A,FALSE,"Ratio Analysis";#N/A,#N/A,FALSE,"Test 120 Day Accts";#N/A,#N/A,FALSE,"Tickmarks"}</definedName>
    <definedName name="wtyu" localSheetId="12" hidden="1">{#N/A,#N/A,FALSE,"Aging Summary";#N/A,#N/A,FALSE,"Ratio Analysis";#N/A,#N/A,FALSE,"Test 120 Day Accts";#N/A,#N/A,FALSE,"Tickmarks"}</definedName>
    <definedName name="wtyu" localSheetId="13" hidden="1">{#N/A,#N/A,FALSE,"Aging Summary";#N/A,#N/A,FALSE,"Ratio Analysis";#N/A,#N/A,FALSE,"Test 120 Day Accts";#N/A,#N/A,FALSE,"Tickmarks"}</definedName>
    <definedName name="wtyu" localSheetId="14" hidden="1">{#N/A,#N/A,FALSE,"Aging Summary";#N/A,#N/A,FALSE,"Ratio Analysis";#N/A,#N/A,FALSE,"Test 120 Day Accts";#N/A,#N/A,FALSE,"Tickmarks"}</definedName>
    <definedName name="wtyu" localSheetId="15" hidden="1">{#N/A,#N/A,FALSE,"Aging Summary";#N/A,#N/A,FALSE,"Ratio Analysis";#N/A,#N/A,FALSE,"Test 120 Day Accts";#N/A,#N/A,FALSE,"Tickmarks"}</definedName>
    <definedName name="wtyu" localSheetId="17" hidden="1">{#N/A,#N/A,FALSE,"Aging Summary";#N/A,#N/A,FALSE,"Ratio Analysis";#N/A,#N/A,FALSE,"Test 120 Day Accts";#N/A,#N/A,FALSE,"Tickmarks"}</definedName>
    <definedName name="wtyu" hidden="1">{#N/A,#N/A,FALSE,"Aging Summary";#N/A,#N/A,FALSE,"Ratio Analysis";#N/A,#N/A,FALSE,"Test 120 Day Accts";#N/A,#N/A,FALSE,"Tickmarks"}</definedName>
    <definedName name="XRefActiveRow" localSheetId="8" hidden="1">#REF!</definedName>
    <definedName name="XRefActiveRow" localSheetId="11" hidden="1">#REF!</definedName>
    <definedName name="XRefActiveRow" localSheetId="13" hidden="1">#REF!</definedName>
    <definedName name="XRefActiveRow" localSheetId="15" hidden="1">#REF!</definedName>
    <definedName name="XRefActiveRow" hidden="1">#REF!</definedName>
    <definedName name="XRefColumnsCount" hidden="1">3</definedName>
    <definedName name="XRefCopy1Row" localSheetId="8" hidden="1">#REF!</definedName>
    <definedName name="XRefCopy1Row" localSheetId="11" hidden="1">#REF!</definedName>
    <definedName name="XRefCopy1Row" localSheetId="13" hidden="1">#REF!</definedName>
    <definedName name="XRefCopy1Row" localSheetId="15" hidden="1">#REF!</definedName>
    <definedName name="XRefCopy1Row" hidden="1">#REF!</definedName>
    <definedName name="XRefCopy2Row" localSheetId="8" hidden="1">#REF!</definedName>
    <definedName name="XRefCopy2Row" localSheetId="11" hidden="1">#REF!</definedName>
    <definedName name="XRefCopy2Row" localSheetId="13" hidden="1">#REF!</definedName>
    <definedName name="XRefCopy2Row" localSheetId="15" hidden="1">#REF!</definedName>
    <definedName name="XRefCopy2Row" hidden="1">#REF!</definedName>
    <definedName name="XRefCopy3Row" localSheetId="8" hidden="1">#REF!</definedName>
    <definedName name="XRefCopy3Row" localSheetId="11" hidden="1">#REF!</definedName>
    <definedName name="XRefCopy3Row" localSheetId="13" hidden="1">#REF!</definedName>
    <definedName name="XRefCopy3Row" localSheetId="15" hidden="1">#REF!</definedName>
    <definedName name="XRefCopy3Row" hidden="1">#REF!</definedName>
    <definedName name="XRefCopyRangeCount" hidden="1">3</definedName>
    <definedName name="XRefPaste1Row" localSheetId="8" hidden="1">#REF!</definedName>
    <definedName name="XRefPaste1Row" localSheetId="11" hidden="1">#REF!</definedName>
    <definedName name="XRefPaste1Row" localSheetId="13" hidden="1">#REF!</definedName>
    <definedName name="XRefPaste1Row" localSheetId="15" hidden="1">#REF!</definedName>
    <definedName name="XRefPaste1Row" hidden="1">#REF!</definedName>
    <definedName name="XRefPaste2Row" localSheetId="8" hidden="1">#REF!</definedName>
    <definedName name="XRefPaste2Row" localSheetId="11" hidden="1">#REF!</definedName>
    <definedName name="XRefPaste2Row" localSheetId="13" hidden="1">#REF!</definedName>
    <definedName name="XRefPaste2Row" localSheetId="15" hidden="1">#REF!</definedName>
    <definedName name="XRefPaste2Row" hidden="1">#REF!</definedName>
    <definedName name="XRefPasteRangeCount" hidden="1">2</definedName>
    <definedName name="y" localSheetId="4" hidden="1">{#N/A,#N/A,FALSE,"Aging Summary";#N/A,#N/A,FALSE,"Ratio Analysis";#N/A,#N/A,FALSE,"Test 120 Day Accts";#N/A,#N/A,FALSE,"Tickmarks"}</definedName>
    <definedName name="y" localSheetId="10" hidden="1">{#N/A,#N/A,FALSE,"Aging Summary";#N/A,#N/A,FALSE,"Ratio Analysis";#N/A,#N/A,FALSE,"Test 120 Day Accts";#N/A,#N/A,FALSE,"Tickmarks"}</definedName>
    <definedName name="y" localSheetId="11" hidden="1">{#N/A,#N/A,FALSE,"Aging Summary";#N/A,#N/A,FALSE,"Ratio Analysis";#N/A,#N/A,FALSE,"Test 120 Day Accts";#N/A,#N/A,FALSE,"Tickmarks"}</definedName>
    <definedName name="y" localSheetId="12" hidden="1">{#N/A,#N/A,FALSE,"Aging Summary";#N/A,#N/A,FALSE,"Ratio Analysis";#N/A,#N/A,FALSE,"Test 120 Day Accts";#N/A,#N/A,FALSE,"Tickmarks"}</definedName>
    <definedName name="y" localSheetId="13" hidden="1">{#N/A,#N/A,FALSE,"Aging Summary";#N/A,#N/A,FALSE,"Ratio Analysis";#N/A,#N/A,FALSE,"Test 120 Day Accts";#N/A,#N/A,FALSE,"Tickmarks"}</definedName>
    <definedName name="y" localSheetId="14" hidden="1">{#N/A,#N/A,FALSE,"Aging Summary";#N/A,#N/A,FALSE,"Ratio Analysis";#N/A,#N/A,FALSE,"Test 120 Day Accts";#N/A,#N/A,FALSE,"Tickmarks"}</definedName>
    <definedName name="y" localSheetId="15" hidden="1">{#N/A,#N/A,FALSE,"Aging Summary";#N/A,#N/A,FALSE,"Ratio Analysis";#N/A,#N/A,FALSE,"Test 120 Day Accts";#N/A,#N/A,FALSE,"Tickmarks"}</definedName>
    <definedName name="y" localSheetId="17" hidden="1">{#N/A,#N/A,FALSE,"Aging Summary";#N/A,#N/A,FALSE,"Ratio Analysis";#N/A,#N/A,FALSE,"Test 120 Day Accts";#N/A,#N/A,FALSE,"Tickmarks"}</definedName>
    <definedName name="y" hidden="1">{#N/A,#N/A,FALSE,"Aging Summary";#N/A,#N/A,FALSE,"Ratio Analysis";#N/A,#N/A,FALSE,"Test 120 Day Accts";#N/A,#N/A,FALSE,"Tickmarks"}</definedName>
    <definedName name="YR">'DEF - 2 -Page 1 Summary'!$P$1</definedName>
  </definedNames>
  <calcPr calcId="145621"/>
</workbook>
</file>

<file path=xl/calcChain.xml><?xml version="1.0" encoding="utf-8"?>
<calcChain xmlns="http://schemas.openxmlformats.org/spreadsheetml/2006/main">
  <c r="G28" i="35" l="1"/>
  <c r="I30" i="3" l="1"/>
  <c r="J71" i="12" l="1"/>
  <c r="O40" i="12" l="1"/>
  <c r="O39" i="12"/>
  <c r="O38" i="12"/>
  <c r="O29" i="12"/>
  <c r="O28" i="12"/>
  <c r="Q28" i="12" l="1"/>
  <c r="R28" i="12" s="1"/>
  <c r="Q29" i="12"/>
  <c r="R29" i="12" l="1"/>
  <c r="R15" i="3" l="1"/>
  <c r="O41" i="12" l="1"/>
  <c r="T71" i="12" l="1"/>
  <c r="W48" i="12" l="1"/>
  <c r="T48" i="12"/>
  <c r="T27" i="12"/>
  <c r="T26" i="12"/>
  <c r="T18" i="12"/>
  <c r="T70" i="12"/>
  <c r="J70" i="12" s="1"/>
  <c r="T72" i="12"/>
  <c r="J72" i="12" s="1"/>
  <c r="T74" i="12"/>
  <c r="J74" i="12" s="1"/>
  <c r="T75" i="12"/>
  <c r="J75" i="12" s="1"/>
  <c r="T76" i="12"/>
  <c r="J76" i="12" s="1"/>
  <c r="G25" i="21" l="1"/>
  <c r="I25" i="21" s="1"/>
  <c r="G26" i="21"/>
  <c r="G27" i="21"/>
  <c r="I27" i="21" s="1"/>
  <c r="G28" i="21"/>
  <c r="G29" i="21"/>
  <c r="G31" i="21"/>
  <c r="G32" i="21"/>
  <c r="G33" i="21"/>
  <c r="G34" i="21"/>
  <c r="G36" i="21"/>
  <c r="G37" i="21"/>
  <c r="G38" i="21"/>
  <c r="G39" i="21"/>
  <c r="G40" i="21"/>
  <c r="G42" i="21"/>
  <c r="G43" i="21"/>
  <c r="G24" i="21"/>
  <c r="G19" i="21"/>
  <c r="G20" i="21"/>
  <c r="G18" i="21"/>
  <c r="I43" i="21" l="1"/>
  <c r="I39" i="21"/>
  <c r="I31" i="21"/>
  <c r="I19" i="21"/>
  <c r="I33" i="21"/>
  <c r="I18" i="21"/>
  <c r="I42" i="21"/>
  <c r="I28" i="21"/>
  <c r="I26" i="21"/>
  <c r="I20" i="21"/>
  <c r="I36" i="21"/>
  <c r="I34" i="21"/>
  <c r="I24" i="21"/>
  <c r="I37" i="21"/>
  <c r="I29" i="21"/>
  <c r="I38" i="21"/>
  <c r="I40" i="21"/>
  <c r="I32" i="21"/>
  <c r="J65" i="12" l="1"/>
  <c r="G89" i="2" l="1"/>
  <c r="G90" i="2"/>
  <c r="N20" i="12" l="1"/>
  <c r="N23" i="12" l="1"/>
  <c r="M42" i="12"/>
  <c r="N22" i="12"/>
  <c r="N19" i="12"/>
  <c r="N21" i="12" s="1"/>
  <c r="M41" i="12" l="1"/>
  <c r="M40" i="12"/>
  <c r="AF12" i="12"/>
  <c r="AF13" i="12"/>
  <c r="AF15" i="12"/>
  <c r="AF16" i="12"/>
  <c r="AF21" i="12"/>
  <c r="AF22" i="12"/>
  <c r="AF23" i="12"/>
  <c r="AF24" i="12"/>
  <c r="AF25" i="12"/>
  <c r="AF31" i="12"/>
  <c r="AF32" i="12"/>
  <c r="AF36" i="12"/>
  <c r="AF44" i="12"/>
  <c r="AF45" i="12"/>
  <c r="AF46" i="12"/>
  <c r="AF47" i="12"/>
  <c r="AF48" i="12"/>
  <c r="AF11" i="12"/>
  <c r="AD29" i="12"/>
  <c r="AD30" i="12"/>
  <c r="AD20" i="12"/>
  <c r="H12" i="12"/>
  <c r="AD12" i="12" s="1"/>
  <c r="H13" i="12"/>
  <c r="AD13" i="12" s="1"/>
  <c r="H14" i="12"/>
  <c r="AD14" i="12" s="1"/>
  <c r="H15" i="12"/>
  <c r="AD15" i="12" s="1"/>
  <c r="H16" i="12"/>
  <c r="AD16" i="12" s="1"/>
  <c r="H17" i="12"/>
  <c r="AD17" i="12" s="1"/>
  <c r="H21" i="12"/>
  <c r="AD21" i="12" s="1"/>
  <c r="H24" i="12"/>
  <c r="AD24" i="12" s="1"/>
  <c r="H25" i="12"/>
  <c r="AD25" i="12" s="1"/>
  <c r="H31" i="12"/>
  <c r="AD31" i="12" s="1"/>
  <c r="H32" i="12"/>
  <c r="AD32" i="12" s="1"/>
  <c r="H36" i="12"/>
  <c r="AD36" i="12" s="1"/>
  <c r="H44" i="12"/>
  <c r="AD44" i="12" s="1"/>
  <c r="H45" i="12"/>
  <c r="AD45" i="12" s="1"/>
  <c r="H46" i="12"/>
  <c r="AD46" i="12" s="1"/>
  <c r="H47" i="12"/>
  <c r="AD47" i="12" s="1"/>
  <c r="J12" i="12"/>
  <c r="AE12" i="12" s="1"/>
  <c r="J13" i="12"/>
  <c r="AE13" i="12" s="1"/>
  <c r="J14" i="12"/>
  <c r="J15" i="12"/>
  <c r="J16" i="12"/>
  <c r="AE16" i="12" s="1"/>
  <c r="J17" i="12"/>
  <c r="J19" i="12"/>
  <c r="AE19" i="12" s="1"/>
  <c r="J20" i="12"/>
  <c r="AE20" i="12" s="1"/>
  <c r="J21" i="12"/>
  <c r="J24" i="12"/>
  <c r="J25" i="12"/>
  <c r="J29" i="12"/>
  <c r="AE29" i="12" s="1"/>
  <c r="J30" i="12"/>
  <c r="AE30" i="12" s="1"/>
  <c r="J31" i="12"/>
  <c r="J32" i="12"/>
  <c r="J33" i="12"/>
  <c r="AE33" i="12" s="1"/>
  <c r="J34" i="12"/>
  <c r="AE34" i="12" s="1"/>
  <c r="J35" i="12"/>
  <c r="AE35" i="12" s="1"/>
  <c r="J36" i="12"/>
  <c r="J37" i="12"/>
  <c r="AE37" i="12" s="1"/>
  <c r="J38" i="12"/>
  <c r="J39" i="12"/>
  <c r="AE39" i="12" s="1"/>
  <c r="J40" i="12"/>
  <c r="J41" i="12"/>
  <c r="J42" i="12"/>
  <c r="AE42" i="12" s="1"/>
  <c r="J43" i="12"/>
  <c r="AE43" i="12" s="1"/>
  <c r="J44" i="12"/>
  <c r="J45" i="12"/>
  <c r="J46" i="12"/>
  <c r="J47" i="12"/>
  <c r="J49" i="12"/>
  <c r="J50" i="12"/>
  <c r="AE50" i="12" s="1"/>
  <c r="J51" i="12"/>
  <c r="AE51" i="12" s="1"/>
  <c r="J52" i="12"/>
  <c r="AE52" i="12" s="1"/>
  <c r="J53" i="12"/>
  <c r="AE53" i="12" s="1"/>
  <c r="J54" i="12"/>
  <c r="AE54" i="12" s="1"/>
  <c r="J55" i="12"/>
  <c r="AE55" i="12" s="1"/>
  <c r="J56" i="12"/>
  <c r="AE56" i="12" s="1"/>
  <c r="J58" i="12"/>
  <c r="AE58" i="12" s="1"/>
  <c r="J59" i="12"/>
  <c r="AE59" i="12" s="1"/>
  <c r="J60" i="12"/>
  <c r="AE60" i="12" s="1"/>
  <c r="J61" i="12"/>
  <c r="AE61" i="12" s="1"/>
  <c r="J62" i="12"/>
  <c r="AE62" i="12" s="1"/>
  <c r="J63" i="12"/>
  <c r="J64" i="12"/>
  <c r="AE64" i="12" s="1"/>
  <c r="AE65" i="12"/>
  <c r="J66" i="12"/>
  <c r="H11" i="12"/>
  <c r="AD11" i="12" s="1"/>
  <c r="J11" i="12"/>
  <c r="J26" i="12"/>
  <c r="AE26" i="12" s="1"/>
  <c r="H48" i="12"/>
  <c r="AD48" i="12" s="1"/>
  <c r="J48" i="12"/>
  <c r="J27" i="12"/>
  <c r="AE27" i="12" s="1"/>
  <c r="J22" i="12"/>
  <c r="J18" i="12"/>
  <c r="AE18" i="12" s="1"/>
  <c r="G17" i="28"/>
  <c r="G18" i="28"/>
  <c r="G12" i="21"/>
  <c r="L42" i="12" l="1"/>
  <c r="O42" i="12" s="1"/>
  <c r="AE47" i="12"/>
  <c r="AE46" i="12"/>
  <c r="AE32" i="12"/>
  <c r="AE31" i="12"/>
  <c r="AE24" i="12"/>
  <c r="AE21" i="12"/>
  <c r="AE15" i="12"/>
  <c r="AE45" i="12"/>
  <c r="AD26" i="12"/>
  <c r="AE44" i="12"/>
  <c r="AE25" i="12"/>
  <c r="AD27" i="12"/>
  <c r="H22" i="12"/>
  <c r="AD22" i="12" s="1"/>
  <c r="AE11" i="12"/>
  <c r="AE36" i="12"/>
  <c r="AE63" i="12"/>
  <c r="D71" i="37"/>
  <c r="I17" i="28"/>
  <c r="I18" i="28"/>
  <c r="AE48" i="12"/>
  <c r="AE22" i="12" l="1"/>
  <c r="Q39" i="12" l="1"/>
  <c r="N39" i="12"/>
  <c r="Q38" i="12"/>
  <c r="R38" i="12" s="1"/>
  <c r="N38" i="12"/>
  <c r="I3" i="33"/>
  <c r="K3" i="12"/>
  <c r="N3" i="35"/>
  <c r="D10" i="28"/>
  <c r="D10" i="39"/>
  <c r="D10" i="21"/>
  <c r="D10" i="37"/>
  <c r="A46" i="14"/>
  <c r="M17" i="3"/>
  <c r="H69" i="4"/>
  <c r="F69" i="4"/>
  <c r="R39" i="12" l="1"/>
  <c r="R29" i="5"/>
  <c r="R34" i="5" s="1"/>
  <c r="G20" i="28" l="1"/>
  <c r="I20" i="28" s="1"/>
  <c r="G87" i="2" l="1"/>
  <c r="D45" i="21"/>
  <c r="D22" i="21"/>
  <c r="G17" i="21"/>
  <c r="I17" i="21" s="1"/>
  <c r="G16" i="21"/>
  <c r="I16" i="21" s="1"/>
  <c r="D13" i="21"/>
  <c r="I12" i="21"/>
  <c r="I13" i="21" s="1"/>
  <c r="G63" i="37"/>
  <c r="I63" i="37" s="1"/>
  <c r="G50" i="37"/>
  <c r="I50" i="37" s="1"/>
  <c r="G45" i="37"/>
  <c r="I45" i="37" s="1"/>
  <c r="G43" i="37"/>
  <c r="I43" i="37" s="1"/>
  <c r="G34" i="37"/>
  <c r="I34" i="37" s="1"/>
  <c r="G33" i="37"/>
  <c r="I33" i="37" s="1"/>
  <c r="G32" i="37"/>
  <c r="I32" i="37" s="1"/>
  <c r="G25" i="37"/>
  <c r="I25" i="37" s="1"/>
  <c r="G24" i="37"/>
  <c r="I24" i="37" s="1"/>
  <c r="G16" i="37"/>
  <c r="I16" i="37" s="1"/>
  <c r="G14" i="37"/>
  <c r="I14" i="37" s="1"/>
  <c r="G13" i="37"/>
  <c r="I13" i="37" s="1"/>
  <c r="G12" i="37"/>
  <c r="I12" i="37" s="1"/>
  <c r="D47" i="21" l="1"/>
  <c r="G46" i="11" l="1"/>
  <c r="G56" i="36"/>
  <c r="G44" i="36"/>
  <c r="N42" i="12" l="1"/>
  <c r="N41" i="12"/>
  <c r="Q42" i="12" l="1"/>
  <c r="O23" i="12" s="1"/>
  <c r="U57" i="12" s="1"/>
  <c r="J57" i="12" s="1"/>
  <c r="AE57" i="12" s="1"/>
  <c r="O32" i="12"/>
  <c r="Q32" i="12" s="1"/>
  <c r="O30" i="12"/>
  <c r="Q30" i="12" s="1"/>
  <c r="R30" i="12" s="1"/>
  <c r="R20" i="5" l="1"/>
  <c r="R36" i="5" l="1"/>
  <c r="F19" i="5"/>
  <c r="F32" i="23"/>
  <c r="F33" i="23" l="1"/>
  <c r="F34" i="23"/>
  <c r="F31" i="23"/>
  <c r="F36" i="23" l="1"/>
  <c r="K29" i="8" l="1"/>
  <c r="N40" i="12" l="1"/>
  <c r="Q41" i="12"/>
  <c r="O31" i="12"/>
  <c r="Q31" i="12" s="1"/>
  <c r="R31" i="12" s="1"/>
  <c r="O19" i="12" s="1"/>
  <c r="X23" i="12" s="1"/>
  <c r="H23" i="12" s="1"/>
  <c r="AD23" i="12" s="1"/>
  <c r="Q40" i="12" l="1"/>
  <c r="R32" i="12"/>
  <c r="O20" i="12" s="1"/>
  <c r="U23" i="12" s="1"/>
  <c r="J23" i="12" s="1"/>
  <c r="AE23" i="12" s="1"/>
  <c r="R40" i="12" l="1"/>
  <c r="R41" i="12" s="1"/>
  <c r="R42" i="12" s="1"/>
  <c r="O22" i="12" s="1"/>
  <c r="U28" i="12" s="1"/>
  <c r="J28" i="12" s="1"/>
  <c r="AE28" i="12" s="1"/>
  <c r="M18" i="3"/>
  <c r="O21" i="12" l="1"/>
  <c r="U73" i="12" s="1"/>
  <c r="J73" i="12" s="1"/>
  <c r="AD28" i="12" s="1"/>
  <c r="G40" i="28"/>
  <c r="G39" i="28"/>
  <c r="G38" i="28"/>
  <c r="G33" i="28"/>
  <c r="G32" i="28"/>
  <c r="G31" i="28"/>
  <c r="G29" i="28"/>
  <c r="G28" i="28"/>
  <c r="G27" i="28"/>
  <c r="G26" i="28"/>
  <c r="G25" i="28"/>
  <c r="G24" i="28"/>
  <c r="G19" i="28"/>
  <c r="G16" i="28"/>
  <c r="G12" i="28"/>
  <c r="G63" i="39"/>
  <c r="G50" i="39"/>
  <c r="G43" i="39"/>
  <c r="G34" i="39"/>
  <c r="G33" i="39"/>
  <c r="G32" i="39"/>
  <c r="G25" i="39"/>
  <c r="G24" i="39"/>
  <c r="G16" i="39"/>
  <c r="G14" i="39"/>
  <c r="G13" i="39"/>
  <c r="G12" i="39"/>
  <c r="N20" i="3" l="1"/>
  <c r="I17" i="3" s="1"/>
  <c r="F42" i="5"/>
  <c r="G29" i="35" l="1"/>
  <c r="E29" i="35"/>
  <c r="I28" i="35"/>
  <c r="I24" i="35"/>
  <c r="I23" i="35"/>
  <c r="I22" i="35"/>
  <c r="I21" i="35"/>
  <c r="I20" i="35"/>
  <c r="I19" i="35"/>
  <c r="I18" i="35"/>
  <c r="I17" i="35"/>
  <c r="I16" i="35"/>
  <c r="I15" i="35"/>
  <c r="D46" i="28"/>
  <c r="I40" i="28"/>
  <c r="I39" i="28"/>
  <c r="I38" i="28"/>
  <c r="I33" i="28"/>
  <c r="I32" i="28"/>
  <c r="I31" i="28"/>
  <c r="I29" i="28"/>
  <c r="I28" i="28"/>
  <c r="I27" i="28"/>
  <c r="I26" i="28"/>
  <c r="I25" i="28"/>
  <c r="I24" i="28"/>
  <c r="D22" i="28"/>
  <c r="I19" i="28"/>
  <c r="I16" i="28"/>
  <c r="I12" i="28"/>
  <c r="D84" i="39"/>
  <c r="I63" i="39"/>
  <c r="I50" i="39"/>
  <c r="I43" i="39"/>
  <c r="I34" i="39"/>
  <c r="I33" i="39"/>
  <c r="I32" i="39"/>
  <c r="I25" i="39"/>
  <c r="I24" i="39"/>
  <c r="I16" i="39"/>
  <c r="I14" i="39"/>
  <c r="I13" i="39"/>
  <c r="I12" i="39"/>
  <c r="H85" i="26"/>
  <c r="F85" i="26"/>
  <c r="J83" i="26"/>
  <c r="J81" i="26"/>
  <c r="J79" i="26"/>
  <c r="J77" i="26"/>
  <c r="J75" i="26"/>
  <c r="G74" i="11"/>
  <c r="G53" i="11"/>
  <c r="G49" i="11"/>
  <c r="G40" i="11"/>
  <c r="G31" i="11"/>
  <c r="G23" i="11"/>
  <c r="G59" i="36"/>
  <c r="G40" i="36"/>
  <c r="G35" i="36"/>
  <c r="G28" i="36"/>
  <c r="G19" i="36"/>
  <c r="G14" i="36"/>
  <c r="D30" i="22"/>
  <c r="F24" i="22"/>
  <c r="F17" i="22"/>
  <c r="F16" i="22"/>
  <c r="F15" i="22"/>
  <c r="F13" i="22"/>
  <c r="F12" i="22"/>
  <c r="G50" i="14"/>
  <c r="I3" i="39"/>
  <c r="P3" i="8"/>
  <c r="P2" i="8"/>
  <c r="I3" i="37" l="1"/>
  <c r="I3" i="21"/>
  <c r="I25" i="35"/>
  <c r="I3" i="36"/>
  <c r="I3" i="28"/>
  <c r="G25" i="35"/>
  <c r="G31" i="35" s="1"/>
  <c r="H52" i="4" s="1"/>
  <c r="E25" i="35"/>
  <c r="E31" i="35" s="1"/>
  <c r="F52" i="4" s="1"/>
  <c r="I29" i="35"/>
  <c r="G70" i="11"/>
  <c r="G61" i="36"/>
  <c r="G77" i="11" s="1"/>
  <c r="G92" i="2"/>
  <c r="I31" i="35" l="1"/>
  <c r="J52" i="4"/>
  <c r="G66" i="11"/>
  <c r="G76" i="11" s="1"/>
  <c r="G79" i="11" l="1"/>
  <c r="I15" i="3" s="1"/>
  <c r="F46" i="4"/>
  <c r="C37" i="5"/>
  <c r="C19" i="5"/>
  <c r="C28" i="4"/>
  <c r="C16" i="4"/>
  <c r="I13" i="28"/>
  <c r="O47" i="4" s="1"/>
  <c r="D13" i="28"/>
  <c r="D48" i="28" s="1"/>
  <c r="G3" i="2"/>
  <c r="H27" i="33" l="1"/>
  <c r="H26" i="33"/>
  <c r="F38" i="5" s="1"/>
  <c r="H25" i="33"/>
  <c r="H17" i="33"/>
  <c r="H16" i="33"/>
  <c r="H15" i="33"/>
  <c r="H14" i="33"/>
  <c r="J3" i="26"/>
  <c r="I3" i="11"/>
  <c r="G3" i="22"/>
  <c r="K3" i="14"/>
  <c r="L3" i="23"/>
  <c r="J3" i="3"/>
  <c r="J3" i="5"/>
  <c r="N3" i="4"/>
  <c r="J6" i="8"/>
  <c r="I15" i="23"/>
  <c r="F15" i="5"/>
  <c r="F48" i="12"/>
  <c r="F47" i="12"/>
  <c r="D49" i="4" s="1"/>
  <c r="J69" i="4"/>
  <c r="A13" i="32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A53" i="32" s="1"/>
  <c r="A54" i="32" s="1"/>
  <c r="A55" i="32" s="1"/>
  <c r="A56" i="32" s="1"/>
  <c r="A57" i="32" s="1"/>
  <c r="A58" i="32" s="1"/>
  <c r="A59" i="32" s="1"/>
  <c r="A60" i="32" s="1"/>
  <c r="A61" i="32" s="1"/>
  <c r="A62" i="32" s="1"/>
  <c r="A63" i="32" s="1"/>
  <c r="A64" i="32" s="1"/>
  <c r="A65" i="32" s="1"/>
  <c r="A66" i="32" s="1"/>
  <c r="A67" i="32" s="1"/>
  <c r="A68" i="32" s="1"/>
  <c r="A69" i="32" s="1"/>
  <c r="A70" i="32" s="1"/>
  <c r="A71" i="32" s="1"/>
  <c r="A72" i="32" s="1"/>
  <c r="K30" i="32"/>
  <c r="K31" i="32"/>
  <c r="F32" i="32"/>
  <c r="G32" i="32"/>
  <c r="H32" i="32"/>
  <c r="I32" i="32"/>
  <c r="J32" i="32"/>
  <c r="F47" i="32"/>
  <c r="G47" i="32"/>
  <c r="H47" i="32"/>
  <c r="I47" i="32"/>
  <c r="J47" i="32"/>
  <c r="F48" i="32"/>
  <c r="G48" i="32"/>
  <c r="H48" i="32"/>
  <c r="I48" i="32"/>
  <c r="J48" i="32"/>
  <c r="F16" i="4"/>
  <c r="H16" i="4"/>
  <c r="F14" i="23"/>
  <c r="I22" i="23"/>
  <c r="F23" i="23" s="1"/>
  <c r="F24" i="23" s="1"/>
  <c r="F26" i="23"/>
  <c r="B26" i="23"/>
  <c r="B28" i="23" s="1"/>
  <c r="O14" i="4"/>
  <c r="O38" i="4" s="1"/>
  <c r="F28" i="4"/>
  <c r="H28" i="4"/>
  <c r="O20" i="4"/>
  <c r="O40" i="4" s="1"/>
  <c r="I33" i="3"/>
  <c r="I28" i="3"/>
  <c r="I29" i="3"/>
  <c r="H21" i="4"/>
  <c r="F33" i="4"/>
  <c r="H33" i="4"/>
  <c r="F22" i="4"/>
  <c r="H22" i="4"/>
  <c r="F34" i="4"/>
  <c r="H34" i="4"/>
  <c r="F32" i="4"/>
  <c r="H32" i="4"/>
  <c r="J85" i="26"/>
  <c r="I16" i="3" s="1"/>
  <c r="F65" i="12"/>
  <c r="F64" i="12"/>
  <c r="E33" i="23" s="1"/>
  <c r="F63" i="12"/>
  <c r="E32" i="23" s="1"/>
  <c r="E48" i="3"/>
  <c r="F11" i="12"/>
  <c r="D69" i="4" s="1"/>
  <c r="C22" i="4"/>
  <c r="C21" i="4"/>
  <c r="C20" i="4"/>
  <c r="C14" i="4"/>
  <c r="C34" i="4"/>
  <c r="C33" i="4"/>
  <c r="C32" i="4"/>
  <c r="C26" i="4"/>
  <c r="F35" i="12"/>
  <c r="E19" i="23" s="1"/>
  <c r="F13" i="23"/>
  <c r="F33" i="12"/>
  <c r="E13" i="23" s="1"/>
  <c r="F59" i="12"/>
  <c r="G33" i="3" s="1"/>
  <c r="E33" i="3"/>
  <c r="F60" i="12"/>
  <c r="G29" i="3" s="1"/>
  <c r="E29" i="3"/>
  <c r="F61" i="12"/>
  <c r="G28" i="3" s="1"/>
  <c r="E28" i="3"/>
  <c r="F61" i="5"/>
  <c r="C61" i="5"/>
  <c r="F43" i="12"/>
  <c r="D61" i="5" s="1"/>
  <c r="F47" i="5"/>
  <c r="F46" i="5"/>
  <c r="F41" i="5"/>
  <c r="F37" i="5"/>
  <c r="F56" i="12"/>
  <c r="D42" i="5" s="1"/>
  <c r="F58" i="12"/>
  <c r="D41" i="5" s="1"/>
  <c r="C42" i="5"/>
  <c r="C41" i="5"/>
  <c r="F57" i="12"/>
  <c r="D37" i="5" s="1"/>
  <c r="F26" i="5"/>
  <c r="F28" i="5" s="1"/>
  <c r="F51" i="12"/>
  <c r="D26" i="5" s="1"/>
  <c r="C26" i="5"/>
  <c r="F22" i="5"/>
  <c r="F21" i="5"/>
  <c r="F20" i="5"/>
  <c r="F53" i="12"/>
  <c r="D22" i="5" s="1"/>
  <c r="F52" i="12"/>
  <c r="D21" i="5" s="1"/>
  <c r="F54" i="12"/>
  <c r="D19" i="5" s="1"/>
  <c r="F23" i="5"/>
  <c r="C22" i="5"/>
  <c r="C21" i="5"/>
  <c r="C20" i="5"/>
  <c r="F16" i="5"/>
  <c r="F49" i="12"/>
  <c r="D16" i="5" s="1"/>
  <c r="F14" i="5"/>
  <c r="F50" i="12"/>
  <c r="D14" i="5" s="1"/>
  <c r="C14" i="5"/>
  <c r="A25" i="8"/>
  <c r="A27" i="8" s="1"/>
  <c r="K34" i="23"/>
  <c r="K33" i="23"/>
  <c r="K32" i="23"/>
  <c r="K31" i="23"/>
  <c r="D32" i="23"/>
  <c r="D34" i="23"/>
  <c r="D33" i="23"/>
  <c r="D31" i="23"/>
  <c r="F62" i="12"/>
  <c r="E31" i="23" s="1"/>
  <c r="F49" i="4"/>
  <c r="H49" i="4"/>
  <c r="F21" i="4"/>
  <c r="F14" i="4"/>
  <c r="H14" i="4"/>
  <c r="F26" i="4"/>
  <c r="H26" i="4"/>
  <c r="F20" i="4"/>
  <c r="H20" i="4"/>
  <c r="A16" i="4"/>
  <c r="A20" i="4" s="1"/>
  <c r="A21" i="4" s="1"/>
  <c r="A22" i="4" s="1"/>
  <c r="A23" i="4" s="1"/>
  <c r="A26" i="4" s="1"/>
  <c r="A28" i="4" s="1"/>
  <c r="A32" i="4" s="1"/>
  <c r="A33" i="4" s="1"/>
  <c r="A34" i="4" s="1"/>
  <c r="A35" i="4" s="1"/>
  <c r="A38" i="4" s="1"/>
  <c r="A39" i="4" s="1"/>
  <c r="A40" i="4" s="1"/>
  <c r="A41" i="4" s="1"/>
  <c r="A42" i="4" s="1"/>
  <c r="A43" i="4" s="1"/>
  <c r="F54" i="4"/>
  <c r="H54" i="4"/>
  <c r="K35" i="23"/>
  <c r="F56" i="4"/>
  <c r="H56" i="4"/>
  <c r="J61" i="4"/>
  <c r="O61" i="4" s="1"/>
  <c r="J62" i="4"/>
  <c r="O62" i="4" s="1"/>
  <c r="F32" i="5"/>
  <c r="K30" i="5"/>
  <c r="K31" i="5"/>
  <c r="F67" i="4"/>
  <c r="H67" i="4"/>
  <c r="F68" i="4"/>
  <c r="H68" i="4"/>
  <c r="F76" i="4"/>
  <c r="H76" i="4"/>
  <c r="F77" i="4"/>
  <c r="H77" i="4"/>
  <c r="F78" i="4"/>
  <c r="H78" i="4"/>
  <c r="J79" i="4"/>
  <c r="F82" i="4"/>
  <c r="F86" i="4" s="1"/>
  <c r="H82" i="4"/>
  <c r="H86" i="4" s="1"/>
  <c r="F85" i="4"/>
  <c r="H85" i="4"/>
  <c r="F87" i="4"/>
  <c r="H87" i="4"/>
  <c r="I41" i="3"/>
  <c r="I43" i="3" s="1"/>
  <c r="I45" i="3"/>
  <c r="F57" i="5"/>
  <c r="K17" i="8"/>
  <c r="C20" i="25"/>
  <c r="C34" i="25" s="1"/>
  <c r="C26" i="25"/>
  <c r="C35" i="25" s="1"/>
  <c r="D27" i="25"/>
  <c r="B43" i="25" s="1"/>
  <c r="F50" i="25"/>
  <c r="A15" i="5"/>
  <c r="A16" i="5" s="1"/>
  <c r="A17" i="5" s="1"/>
  <c r="C76" i="4"/>
  <c r="F19" i="12"/>
  <c r="G45" i="3" s="1"/>
  <c r="F18" i="12"/>
  <c r="G41" i="3" s="1"/>
  <c r="F32" i="12"/>
  <c r="D68" i="4" s="1"/>
  <c r="F31" i="12"/>
  <c r="D67" i="4" s="1"/>
  <c r="F55" i="12"/>
  <c r="F14" i="12"/>
  <c r="D87" i="4" s="1"/>
  <c r="F13" i="12"/>
  <c r="D82" i="4" s="1"/>
  <c r="D86" i="4" s="1"/>
  <c r="F15" i="12"/>
  <c r="D85" i="4" s="1"/>
  <c r="F17" i="12"/>
  <c r="D78" i="4" s="1"/>
  <c r="F12" i="12"/>
  <c r="D77" i="4" s="1"/>
  <c r="F16" i="12"/>
  <c r="D76" i="4" s="1"/>
  <c r="F48" i="4"/>
  <c r="H48" i="4"/>
  <c r="F47" i="4"/>
  <c r="H47" i="4"/>
  <c r="H46" i="4"/>
  <c r="F44" i="12"/>
  <c r="F46" i="12"/>
  <c r="D48" i="4" s="1"/>
  <c r="F45" i="12"/>
  <c r="D47" i="4" s="1"/>
  <c r="F36" i="12"/>
  <c r="D46" i="4" s="1"/>
  <c r="F26" i="12"/>
  <c r="D56" i="4" s="1"/>
  <c r="F76" i="12"/>
  <c r="F20" i="12"/>
  <c r="D34" i="4" s="1"/>
  <c r="F30" i="12"/>
  <c r="D33" i="4" s="1"/>
  <c r="F29" i="12"/>
  <c r="D32" i="4" s="1"/>
  <c r="F28" i="12"/>
  <c r="D28" i="4" s="1"/>
  <c r="F27" i="12"/>
  <c r="D26" i="4" s="1"/>
  <c r="F72" i="12"/>
  <c r="F75" i="12"/>
  <c r="F74" i="12"/>
  <c r="F73" i="12"/>
  <c r="F71" i="12"/>
  <c r="F21" i="12"/>
  <c r="D22" i="4" s="1"/>
  <c r="F25" i="12"/>
  <c r="D21" i="4" s="1"/>
  <c r="F24" i="12"/>
  <c r="D20" i="4" s="1"/>
  <c r="F23" i="12"/>
  <c r="D16" i="4" s="1"/>
  <c r="F22" i="12"/>
  <c r="D14" i="4" s="1"/>
  <c r="F70" i="12"/>
  <c r="F34" i="12"/>
  <c r="F66" i="12"/>
  <c r="F37" i="12"/>
  <c r="F38" i="12"/>
  <c r="F39" i="12"/>
  <c r="F40" i="12"/>
  <c r="F41" i="12"/>
  <c r="F42" i="12"/>
  <c r="O26" i="4"/>
  <c r="O32" i="4"/>
  <c r="K19" i="5"/>
  <c r="D54" i="4" l="1"/>
  <c r="B41" i="25"/>
  <c r="B48" i="25" s="1"/>
  <c r="B49" i="25" s="1"/>
  <c r="I19" i="23"/>
  <c r="I24" i="23" s="1"/>
  <c r="K24" i="23" s="1"/>
  <c r="F18" i="32" s="1"/>
  <c r="G49" i="32"/>
  <c r="I49" i="32"/>
  <c r="J49" i="32"/>
  <c r="H49" i="32"/>
  <c r="O63" i="4"/>
  <c r="J34" i="4"/>
  <c r="J54" i="4"/>
  <c r="F24" i="5"/>
  <c r="H28" i="33"/>
  <c r="H29" i="4" s="1"/>
  <c r="J16" i="4"/>
  <c r="J14" i="4"/>
  <c r="F17" i="5"/>
  <c r="D20" i="5"/>
  <c r="E34" i="23"/>
  <c r="J82" i="4"/>
  <c r="I48" i="3" s="1"/>
  <c r="G54" i="3" s="1"/>
  <c r="J78" i="4"/>
  <c r="J49" i="4"/>
  <c r="F48" i="5"/>
  <c r="J32" i="4"/>
  <c r="J33" i="4"/>
  <c r="J48" i="4"/>
  <c r="J85" i="4"/>
  <c r="J20" i="4"/>
  <c r="J40" i="4" s="1"/>
  <c r="J28" i="4"/>
  <c r="J21" i="4"/>
  <c r="D33" i="25"/>
  <c r="B45" i="25" s="1"/>
  <c r="B44" i="25"/>
  <c r="G50" i="25"/>
  <c r="G51" i="25" s="1"/>
  <c r="F15" i="23"/>
  <c r="K15" i="23" s="1"/>
  <c r="K48" i="32"/>
  <c r="K32" i="32"/>
  <c r="J34" i="32" s="1"/>
  <c r="F60" i="5"/>
  <c r="F64" i="5" s="1"/>
  <c r="K47" i="32"/>
  <c r="I31" i="3"/>
  <c r="I35" i="3" s="1"/>
  <c r="J22" i="4"/>
  <c r="H30" i="25"/>
  <c r="H36" i="25" s="1"/>
  <c r="A46" i="4"/>
  <c r="A47" i="4" s="1"/>
  <c r="A48" i="4" s="1"/>
  <c r="A49" i="4" s="1"/>
  <c r="A29" i="8"/>
  <c r="A31" i="8" s="1"/>
  <c r="B31" i="23"/>
  <c r="B32" i="23" s="1"/>
  <c r="B33" i="23" s="1"/>
  <c r="B34" i="23" s="1"/>
  <c r="B35" i="23" s="1"/>
  <c r="B36" i="23" s="1"/>
  <c r="D32" i="8"/>
  <c r="F34" i="32"/>
  <c r="A19" i="5"/>
  <c r="A20" i="5" s="1"/>
  <c r="A21" i="5" s="1"/>
  <c r="A22" i="5" s="1"/>
  <c r="A23" i="5" s="1"/>
  <c r="A24" i="5" s="1"/>
  <c r="A26" i="5" s="1"/>
  <c r="A27" i="5" s="1"/>
  <c r="A28" i="5" s="1"/>
  <c r="A30" i="5" s="1"/>
  <c r="A31" i="5" s="1"/>
  <c r="A32" i="5" s="1"/>
  <c r="A34" i="5" s="1"/>
  <c r="J68" i="4"/>
  <c r="F49" i="32"/>
  <c r="H18" i="33"/>
  <c r="H17" i="4" s="1"/>
  <c r="F17" i="4"/>
  <c r="F29" i="4"/>
  <c r="J47" i="4"/>
  <c r="J26" i="4"/>
  <c r="F39" i="5"/>
  <c r="F43" i="5" s="1"/>
  <c r="J77" i="4"/>
  <c r="J76" i="4"/>
  <c r="K36" i="23"/>
  <c r="K38" i="23" s="1"/>
  <c r="J46" i="4"/>
  <c r="J87" i="4"/>
  <c r="J86" i="4"/>
  <c r="J67" i="4"/>
  <c r="J56" i="4"/>
  <c r="O56" i="4" s="1"/>
  <c r="H30" i="33" l="1"/>
  <c r="K19" i="23"/>
  <c r="F17" i="32" s="1"/>
  <c r="F19" i="32" s="1"/>
  <c r="I26" i="23"/>
  <c r="K26" i="23" s="1"/>
  <c r="F22" i="32" s="1"/>
  <c r="J66" i="32" s="1"/>
  <c r="I34" i="32"/>
  <c r="G34" i="32"/>
  <c r="H34" i="32"/>
  <c r="K49" i="32"/>
  <c r="B46" i="25"/>
  <c r="B51" i="25" s="1"/>
  <c r="B52" i="25" s="1"/>
  <c r="B54" i="25" s="1"/>
  <c r="J29" i="4"/>
  <c r="J30" i="4" s="1"/>
  <c r="J17" i="4"/>
  <c r="J18" i="4" s="1"/>
  <c r="I14" i="3" s="1"/>
  <c r="I18" i="3" s="1"/>
  <c r="I20" i="3" s="1"/>
  <c r="R16" i="3" s="1"/>
  <c r="J23" i="4"/>
  <c r="J41" i="4"/>
  <c r="J42" i="4"/>
  <c r="M54" i="4"/>
  <c r="O54" i="4" s="1"/>
  <c r="A50" i="4"/>
  <c r="A52" i="4" s="1"/>
  <c r="A54" i="4" s="1"/>
  <c r="A56" i="4" s="1"/>
  <c r="A58" i="4" s="1"/>
  <c r="D46" i="25"/>
  <c r="D44" i="25"/>
  <c r="J80" i="4"/>
  <c r="I47" i="3" s="1"/>
  <c r="G53" i="3" s="1"/>
  <c r="J38" i="4"/>
  <c r="J35" i="4"/>
  <c r="G70" i="32"/>
  <c r="F70" i="32"/>
  <c r="J70" i="32"/>
  <c r="K70" i="32"/>
  <c r="I70" i="32"/>
  <c r="H70" i="32"/>
  <c r="A37" i="5"/>
  <c r="A41" i="5" s="1"/>
  <c r="A42" i="5" s="1"/>
  <c r="A43" i="5" s="1"/>
  <c r="A46" i="5" s="1"/>
  <c r="A47" i="5" s="1"/>
  <c r="A48" i="5" s="1"/>
  <c r="A51" i="5" s="1"/>
  <c r="D66" i="4"/>
  <c r="A32" i="8"/>
  <c r="A33" i="8" s="1"/>
  <c r="I31" i="25"/>
  <c r="B38" i="23"/>
  <c r="L54" i="4" s="1"/>
  <c r="D29" i="8"/>
  <c r="I51" i="25"/>
  <c r="G52" i="25"/>
  <c r="J88" i="4"/>
  <c r="J50" i="4"/>
  <c r="H20" i="33"/>
  <c r="B34" i="5"/>
  <c r="D31" i="8"/>
  <c r="K34" i="32" l="1"/>
  <c r="I66" i="32"/>
  <c r="D52" i="25"/>
  <c r="G66" i="32"/>
  <c r="F23" i="32"/>
  <c r="F25" i="32" s="1"/>
  <c r="I37" i="32" s="1"/>
  <c r="J39" i="4"/>
  <c r="J43" i="4" s="1"/>
  <c r="D54" i="25"/>
  <c r="F66" i="32"/>
  <c r="H66" i="32"/>
  <c r="I23" i="3"/>
  <c r="I37" i="3" s="1"/>
  <c r="R9" i="3" s="1"/>
  <c r="D33" i="8"/>
  <c r="J90" i="4"/>
  <c r="A61" i="4"/>
  <c r="A62" i="4" s="1"/>
  <c r="A63" i="4" s="1"/>
  <c r="A66" i="4" s="1"/>
  <c r="A67" i="4" s="1"/>
  <c r="A68" i="4" s="1"/>
  <c r="A69" i="4" s="1"/>
  <c r="A70" i="4" s="1"/>
  <c r="A72" i="4" s="1"/>
  <c r="I49" i="3"/>
  <c r="I50" i="3" s="1"/>
  <c r="F55" i="3" s="1"/>
  <c r="I55" i="3" s="1"/>
  <c r="I35" i="25"/>
  <c r="H37" i="25"/>
  <c r="I38" i="25" s="1"/>
  <c r="A55" i="5"/>
  <c r="A56" i="5" s="1"/>
  <c r="A57" i="5" s="1"/>
  <c r="A59" i="5" s="1"/>
  <c r="A60" i="5" s="1"/>
  <c r="I52" i="25"/>
  <c r="I53" i="25" s="1"/>
  <c r="G53" i="25"/>
  <c r="G54" i="25" s="1"/>
  <c r="A35" i="8"/>
  <c r="D35" i="8"/>
  <c r="I22" i="3"/>
  <c r="G30" i="21" l="1"/>
  <c r="I30" i="21" s="1"/>
  <c r="G62" i="37"/>
  <c r="I62" i="37" s="1"/>
  <c r="G39" i="37"/>
  <c r="I39" i="37" s="1"/>
  <c r="G23" i="37"/>
  <c r="I23" i="37" s="1"/>
  <c r="G60" i="37"/>
  <c r="I60" i="37" s="1"/>
  <c r="G59" i="37"/>
  <c r="I59" i="37" s="1"/>
  <c r="G61" i="37"/>
  <c r="I61" i="37" s="1"/>
  <c r="G49" i="37"/>
  <c r="I49" i="37" s="1"/>
  <c r="G38" i="37"/>
  <c r="I38" i="37" s="1"/>
  <c r="G27" i="37"/>
  <c r="I27" i="37" s="1"/>
  <c r="G21" i="37"/>
  <c r="I21" i="37" s="1"/>
  <c r="B72" i="4"/>
  <c r="G62" i="39"/>
  <c r="I62" i="39" s="1"/>
  <c r="G60" i="39"/>
  <c r="I60" i="39" s="1"/>
  <c r="G39" i="39"/>
  <c r="I39" i="39" s="1"/>
  <c r="G61" i="39"/>
  <c r="I61" i="39" s="1"/>
  <c r="G59" i="39"/>
  <c r="I59" i="39" s="1"/>
  <c r="G49" i="39"/>
  <c r="I49" i="39" s="1"/>
  <c r="G38" i="39"/>
  <c r="I38" i="39" s="1"/>
  <c r="G27" i="39"/>
  <c r="I27" i="39" s="1"/>
  <c r="G21" i="39"/>
  <c r="I21" i="39" s="1"/>
  <c r="G23" i="39"/>
  <c r="I23" i="39" s="1"/>
  <c r="F54" i="3"/>
  <c r="I54" i="3" s="1"/>
  <c r="G67" i="37"/>
  <c r="I67" i="37" s="1"/>
  <c r="G65" i="37"/>
  <c r="I65" i="37" s="1"/>
  <c r="G57" i="37"/>
  <c r="I57" i="37" s="1"/>
  <c r="G55" i="37"/>
  <c r="I55" i="37" s="1"/>
  <c r="G44" i="37"/>
  <c r="I44" i="37" s="1"/>
  <c r="G42" i="37"/>
  <c r="I42" i="37" s="1"/>
  <c r="G36" i="37"/>
  <c r="I36" i="37" s="1"/>
  <c r="G26" i="37"/>
  <c r="I26" i="37" s="1"/>
  <c r="G22" i="37"/>
  <c r="I22" i="37" s="1"/>
  <c r="G18" i="37"/>
  <c r="I18" i="37" s="1"/>
  <c r="G68" i="37"/>
  <c r="I68" i="37" s="1"/>
  <c r="G66" i="37"/>
  <c r="I66" i="37" s="1"/>
  <c r="G64" i="37"/>
  <c r="I64" i="37" s="1"/>
  <c r="G58" i="37"/>
  <c r="I58" i="37" s="1"/>
  <c r="G56" i="37"/>
  <c r="I56" i="37" s="1"/>
  <c r="G54" i="37"/>
  <c r="I54" i="37" s="1"/>
  <c r="G41" i="37"/>
  <c r="I41" i="37" s="1"/>
  <c r="G37" i="37"/>
  <c r="I37" i="37" s="1"/>
  <c r="G35" i="37"/>
  <c r="I35" i="37" s="1"/>
  <c r="G19" i="37"/>
  <c r="I19" i="37" s="1"/>
  <c r="G17" i="37"/>
  <c r="I17" i="37" s="1"/>
  <c r="G20" i="37"/>
  <c r="I20" i="37" s="1"/>
  <c r="C63" i="5"/>
  <c r="G37" i="32"/>
  <c r="G38" i="32"/>
  <c r="J38" i="32"/>
  <c r="F38" i="32"/>
  <c r="H37" i="32"/>
  <c r="I38" i="32"/>
  <c r="I39" i="32" s="1"/>
  <c r="H38" i="32"/>
  <c r="J37" i="32"/>
  <c r="F37" i="32"/>
  <c r="F27" i="22"/>
  <c r="G20" i="39"/>
  <c r="I20" i="39" s="1"/>
  <c r="G26" i="39"/>
  <c r="I26" i="39" s="1"/>
  <c r="G42" i="39"/>
  <c r="I42" i="39" s="1"/>
  <c r="G54" i="39"/>
  <c r="I54" i="39" s="1"/>
  <c r="G58" i="39"/>
  <c r="I58" i="39" s="1"/>
  <c r="G66" i="39"/>
  <c r="I66" i="39" s="1"/>
  <c r="G30" i="28"/>
  <c r="I30" i="28" s="1"/>
  <c r="L23" i="35"/>
  <c r="N23" i="35" s="1"/>
  <c r="L19" i="35"/>
  <c r="N19" i="35" s="1"/>
  <c r="L28" i="35"/>
  <c r="N28" i="35" s="1"/>
  <c r="N29" i="35" s="1"/>
  <c r="F26" i="22"/>
  <c r="G17" i="39"/>
  <c r="I17" i="39" s="1"/>
  <c r="G35" i="39"/>
  <c r="I35" i="39" s="1"/>
  <c r="G41" i="39"/>
  <c r="I41" i="39" s="1"/>
  <c r="G67" i="39"/>
  <c r="I67" i="39" s="1"/>
  <c r="L22" i="35"/>
  <c r="N22" i="35" s="1"/>
  <c r="G18" i="39"/>
  <c r="I18" i="39" s="1"/>
  <c r="G22" i="39"/>
  <c r="I22" i="39" s="1"/>
  <c r="G36" i="39"/>
  <c r="I36" i="39" s="1"/>
  <c r="G44" i="39"/>
  <c r="I44" i="39" s="1"/>
  <c r="G56" i="39"/>
  <c r="I56" i="39" s="1"/>
  <c r="G64" i="39"/>
  <c r="I64" i="39" s="1"/>
  <c r="G68" i="39"/>
  <c r="I68" i="39" s="1"/>
  <c r="L15" i="35"/>
  <c r="N15" i="35" s="1"/>
  <c r="L21" i="35"/>
  <c r="N21" i="35" s="1"/>
  <c r="L17" i="35"/>
  <c r="N17" i="35" s="1"/>
  <c r="F25" i="22"/>
  <c r="G19" i="39"/>
  <c r="I19" i="39" s="1"/>
  <c r="G37" i="39"/>
  <c r="I37" i="39" s="1"/>
  <c r="G55" i="39"/>
  <c r="I55" i="39" s="1"/>
  <c r="L24" i="35"/>
  <c r="N24" i="35" s="1"/>
  <c r="L20" i="35"/>
  <c r="N20" i="35" s="1"/>
  <c r="L16" i="35"/>
  <c r="N16" i="35" s="1"/>
  <c r="G57" i="39"/>
  <c r="I57" i="39" s="1"/>
  <c r="L18" i="35"/>
  <c r="N18" i="35" s="1"/>
  <c r="I25" i="3"/>
  <c r="R17" i="3" s="1"/>
  <c r="F53" i="3"/>
  <c r="I53" i="3" s="1"/>
  <c r="I56" i="3" s="1"/>
  <c r="A76" i="4"/>
  <c r="A77" i="4" s="1"/>
  <c r="A78" i="4" s="1"/>
  <c r="A79" i="4" s="1"/>
  <c r="A80" i="4" s="1"/>
  <c r="C51" i="5"/>
  <c r="A37" i="8"/>
  <c r="D37" i="8"/>
  <c r="A61" i="5"/>
  <c r="A63" i="5" s="1"/>
  <c r="A64" i="5" s="1"/>
  <c r="A65" i="5" s="1"/>
  <c r="I39" i="5"/>
  <c r="M30" i="4"/>
  <c r="M18" i="4"/>
  <c r="M67" i="4"/>
  <c r="O67" i="4" s="1"/>
  <c r="M33" i="4"/>
  <c r="I24" i="5"/>
  <c r="I41" i="5"/>
  <c r="K41" i="5" s="1"/>
  <c r="M68" i="4"/>
  <c r="O68" i="4" s="1"/>
  <c r="I46" i="5"/>
  <c r="K46" i="5" s="1"/>
  <c r="I32" i="5"/>
  <c r="K32" i="5" s="1"/>
  <c r="I42" i="5"/>
  <c r="K42" i="5" s="1"/>
  <c r="M21" i="4"/>
  <c r="J39" i="32" l="1"/>
  <c r="J65" i="32" s="1"/>
  <c r="K38" i="32"/>
  <c r="K37" i="32"/>
  <c r="K24" i="5"/>
  <c r="K39" i="5"/>
  <c r="F30" i="22"/>
  <c r="F19" i="8" s="1"/>
  <c r="K19" i="8" s="1"/>
  <c r="F39" i="32"/>
  <c r="F65" i="32" s="1"/>
  <c r="F68" i="32" s="1"/>
  <c r="G39" i="32"/>
  <c r="G65" i="32" s="1"/>
  <c r="J42" i="32"/>
  <c r="J52" i="32" s="1"/>
  <c r="H39" i="32"/>
  <c r="O18" i="4"/>
  <c r="I17" i="5"/>
  <c r="N25" i="35"/>
  <c r="N31" i="35" s="1"/>
  <c r="G47" i="3"/>
  <c r="A82" i="4"/>
  <c r="O30" i="4"/>
  <c r="G55" i="25"/>
  <c r="I54" i="25"/>
  <c r="D41" i="8"/>
  <c r="D40" i="8"/>
  <c r="A40" i="8"/>
  <c r="C64" i="5"/>
  <c r="I65" i="32"/>
  <c r="I42" i="32"/>
  <c r="A67" i="5"/>
  <c r="D16" i="8" s="1"/>
  <c r="B67" i="5"/>
  <c r="M22" i="4"/>
  <c r="O21" i="4"/>
  <c r="M34" i="4"/>
  <c r="O34" i="4" s="1"/>
  <c r="O33" i="4"/>
  <c r="F59" i="5" l="1"/>
  <c r="K43" i="5"/>
  <c r="F42" i="32"/>
  <c r="K28" i="23" s="1"/>
  <c r="K39" i="32"/>
  <c r="K42" i="32" s="1"/>
  <c r="K17" i="5"/>
  <c r="J53" i="32"/>
  <c r="J54" i="32" s="1"/>
  <c r="J57" i="32" s="1"/>
  <c r="G42" i="32"/>
  <c r="G52" i="32" s="1"/>
  <c r="O52" i="4"/>
  <c r="O39" i="4"/>
  <c r="H65" i="32"/>
  <c r="H42" i="32"/>
  <c r="O22" i="4"/>
  <c r="O23" i="4" s="1"/>
  <c r="O35" i="4"/>
  <c r="A85" i="4"/>
  <c r="A86" i="4" s="1"/>
  <c r="A87" i="4" s="1"/>
  <c r="A88" i="4" s="1"/>
  <c r="G48" i="3"/>
  <c r="F72" i="32"/>
  <c r="G63" i="32"/>
  <c r="G68" i="32" s="1"/>
  <c r="A41" i="8"/>
  <c r="D44" i="8"/>
  <c r="I55" i="25"/>
  <c r="I56" i="25" s="1"/>
  <c r="G56" i="25"/>
  <c r="G57" i="25" s="1"/>
  <c r="F52" i="32"/>
  <c r="I53" i="32"/>
  <c r="I52" i="32"/>
  <c r="O41" i="4"/>
  <c r="G53" i="32" l="1"/>
  <c r="M23" i="4"/>
  <c r="F53" i="32"/>
  <c r="F54" i="32" s="1"/>
  <c r="F57" i="32" s="1"/>
  <c r="O42" i="4"/>
  <c r="O43" i="4" s="1"/>
  <c r="M43" i="4" s="1"/>
  <c r="R10" i="3" s="1"/>
  <c r="G54" i="32"/>
  <c r="G57" i="32" s="1"/>
  <c r="H52" i="32"/>
  <c r="K52" i="32" s="1"/>
  <c r="H53" i="32"/>
  <c r="K53" i="32" s="1"/>
  <c r="A90" i="4"/>
  <c r="C90" i="4"/>
  <c r="G49" i="3"/>
  <c r="A44" i="8"/>
  <c r="A45" i="8" s="1"/>
  <c r="D45" i="8"/>
  <c r="I54" i="32"/>
  <c r="I57" i="32" s="1"/>
  <c r="G72" i="32"/>
  <c r="H63" i="32"/>
  <c r="H68" i="32" s="1"/>
  <c r="M69" i="4" l="1"/>
  <c r="O69" i="4" s="1"/>
  <c r="R8" i="3"/>
  <c r="G44" i="21"/>
  <c r="I44" i="21" s="1"/>
  <c r="G41" i="21"/>
  <c r="I41" i="21" s="1"/>
  <c r="G21" i="21"/>
  <c r="I21" i="21" s="1"/>
  <c r="G35" i="21"/>
  <c r="I35" i="21" s="1"/>
  <c r="G46" i="37"/>
  <c r="I46" i="37" s="1"/>
  <c r="G48" i="37"/>
  <c r="I48" i="37" s="1"/>
  <c r="G47" i="37"/>
  <c r="I47" i="37" s="1"/>
  <c r="G40" i="37"/>
  <c r="I40" i="37" s="1"/>
  <c r="G31" i="37"/>
  <c r="I31" i="37" s="1"/>
  <c r="G69" i="37"/>
  <c r="I69" i="37" s="1"/>
  <c r="I47" i="5"/>
  <c r="K47" i="5" s="1"/>
  <c r="K48" i="5" s="1"/>
  <c r="I28" i="5"/>
  <c r="G37" i="28"/>
  <c r="I37" i="28" s="1"/>
  <c r="G65" i="39"/>
  <c r="I65" i="39" s="1"/>
  <c r="G45" i="39"/>
  <c r="I45" i="39" s="1"/>
  <c r="G47" i="39"/>
  <c r="I47" i="39" s="1"/>
  <c r="G40" i="39"/>
  <c r="I40" i="39" s="1"/>
  <c r="G41" i="28"/>
  <c r="I41" i="28" s="1"/>
  <c r="G48" i="39"/>
  <c r="I48" i="39" s="1"/>
  <c r="G46" i="39"/>
  <c r="I46" i="39" s="1"/>
  <c r="G44" i="28"/>
  <c r="I44" i="28" s="1"/>
  <c r="G69" i="39"/>
  <c r="I69" i="39" s="1"/>
  <c r="G30" i="37"/>
  <c r="I30" i="37" s="1"/>
  <c r="G28" i="37"/>
  <c r="I28" i="37" s="1"/>
  <c r="G29" i="37"/>
  <c r="I29" i="37" s="1"/>
  <c r="G15" i="21"/>
  <c r="I15" i="21" s="1"/>
  <c r="G53" i="37"/>
  <c r="I53" i="37" s="1"/>
  <c r="G51" i="37"/>
  <c r="I51" i="37" s="1"/>
  <c r="G15" i="37"/>
  <c r="I15" i="37" s="1"/>
  <c r="G52" i="37"/>
  <c r="I52" i="37" s="1"/>
  <c r="H54" i="32"/>
  <c r="H57" i="32" s="1"/>
  <c r="K57" i="32" s="1"/>
  <c r="G43" i="28"/>
  <c r="I43" i="28" s="1"/>
  <c r="G35" i="28"/>
  <c r="I35" i="28" s="1"/>
  <c r="G15" i="28"/>
  <c r="I15" i="28" s="1"/>
  <c r="G52" i="39"/>
  <c r="I52" i="39" s="1"/>
  <c r="G30" i="39"/>
  <c r="I30" i="39" s="1"/>
  <c r="G28" i="39"/>
  <c r="I28" i="39" s="1"/>
  <c r="G42" i="28"/>
  <c r="I42" i="28" s="1"/>
  <c r="G36" i="28"/>
  <c r="I36" i="28" s="1"/>
  <c r="G34" i="28"/>
  <c r="I34" i="28" s="1"/>
  <c r="G21" i="28"/>
  <c r="I21" i="28" s="1"/>
  <c r="G53" i="39"/>
  <c r="I53" i="39" s="1"/>
  <c r="G51" i="39"/>
  <c r="I51" i="39" s="1"/>
  <c r="G31" i="39"/>
  <c r="I31" i="39" s="1"/>
  <c r="G29" i="39"/>
  <c r="I29" i="39" s="1"/>
  <c r="G15" i="39"/>
  <c r="I15" i="39" s="1"/>
  <c r="I63" i="32"/>
  <c r="I68" i="32" s="1"/>
  <c r="H72" i="32"/>
  <c r="I57" i="25"/>
  <c r="G58" i="25"/>
  <c r="K54" i="32"/>
  <c r="I64" i="5"/>
  <c r="K28" i="5" l="1"/>
  <c r="K64" i="5"/>
  <c r="I71" i="37"/>
  <c r="I45" i="21"/>
  <c r="I22" i="21"/>
  <c r="I46" i="28"/>
  <c r="I22" i="28"/>
  <c r="I84" i="39"/>
  <c r="I72" i="32"/>
  <c r="J63" i="32"/>
  <c r="J68" i="32" s="1"/>
  <c r="I58" i="25"/>
  <c r="I59" i="25" s="1"/>
  <c r="G59" i="25"/>
  <c r="G60" i="25" s="1"/>
  <c r="K34" i="5" l="1"/>
  <c r="O66" i="4" s="1"/>
  <c r="O70" i="4" s="1"/>
  <c r="O46" i="4"/>
  <c r="O48" i="4"/>
  <c r="O49" i="4"/>
  <c r="I47" i="21"/>
  <c r="I48" i="28"/>
  <c r="J72" i="32"/>
  <c r="K63" i="32"/>
  <c r="K68" i="32"/>
  <c r="K72" i="32" s="1"/>
  <c r="O50" i="4" l="1"/>
  <c r="I60" i="25"/>
  <c r="G61" i="25"/>
  <c r="I61" i="25" s="1"/>
  <c r="G62" i="25" l="1"/>
  <c r="G63" i="25" s="1"/>
  <c r="I62" i="25"/>
  <c r="G65" i="25" l="1"/>
  <c r="G64" i="25"/>
  <c r="I63" i="25"/>
  <c r="I64" i="25" l="1"/>
  <c r="I65" i="25" s="1"/>
  <c r="G66" i="25"/>
  <c r="I66" i="25" l="1"/>
  <c r="I44" i="25"/>
  <c r="H45" i="25" s="1"/>
  <c r="H42" i="25"/>
  <c r="I43" i="25" s="1"/>
  <c r="G97" i="2" l="1"/>
  <c r="F20" i="8" s="1"/>
  <c r="K20" i="8" l="1"/>
  <c r="K21" i="8" s="1"/>
  <c r="F21" i="8"/>
  <c r="J58" i="4" l="1"/>
  <c r="O58" i="4" s="1"/>
  <c r="O72" i="4" l="1"/>
  <c r="K51" i="5" l="1"/>
  <c r="K63" i="5" l="1"/>
  <c r="K65" i="5" s="1"/>
  <c r="K67" i="5" l="1"/>
  <c r="K16" i="8" l="1"/>
  <c r="K27" i="8" s="1"/>
  <c r="K31" i="8" s="1"/>
  <c r="K33" i="8" s="1"/>
  <c r="K35" i="8" l="1"/>
  <c r="K37" i="8" s="1"/>
  <c r="K41" i="8" l="1"/>
  <c r="K45" i="8" s="1"/>
  <c r="K40" i="8"/>
  <c r="K44" i="8" s="1"/>
</calcChain>
</file>

<file path=xl/sharedStrings.xml><?xml version="1.0" encoding="utf-8"?>
<sst xmlns="http://schemas.openxmlformats.org/spreadsheetml/2006/main" count="1790" uniqueCount="1027">
  <si>
    <t>Page</t>
  </si>
  <si>
    <t>Row</t>
  </si>
  <si>
    <t>Column</t>
  </si>
  <si>
    <t>Description</t>
  </si>
  <si>
    <t>Reference</t>
  </si>
  <si>
    <t>Total Direct Payroll - O&amp;M Labor</t>
  </si>
  <si>
    <t>Transmission O&amp;M Labor</t>
  </si>
  <si>
    <t>(565) Transmission of Electricity by Others</t>
  </si>
  <si>
    <t xml:space="preserve">Total Admin &amp; General Expenses </t>
  </si>
  <si>
    <t>(928) Regulatory Commission Expenses</t>
  </si>
  <si>
    <t>(930.1) General Advertising Expenses</t>
  </si>
  <si>
    <t>Plant Held for Future Use (Trans. Only)</t>
  </si>
  <si>
    <t>c</t>
  </si>
  <si>
    <t>b</t>
  </si>
  <si>
    <t>g</t>
  </si>
  <si>
    <t>d</t>
  </si>
  <si>
    <t>230a</t>
  </si>
  <si>
    <t>e</t>
  </si>
  <si>
    <t>ADIT - 190</t>
  </si>
  <si>
    <t>ADIT - 281 (Negative)</t>
  </si>
  <si>
    <t>ADIT - 282 (Negative)</t>
  </si>
  <si>
    <t>Line</t>
  </si>
  <si>
    <t>Total</t>
  </si>
  <si>
    <t>Allocator</t>
  </si>
  <si>
    <t>OATT Transmission</t>
  </si>
  <si>
    <t>RATE BASE:</t>
  </si>
  <si>
    <t>N/A</t>
  </si>
  <si>
    <t>GP =</t>
  </si>
  <si>
    <t>Total Gross Plant</t>
  </si>
  <si>
    <t>Total Accumulated Depr.</t>
  </si>
  <si>
    <t>Net Plant in Service</t>
  </si>
  <si>
    <t>Total Net Plant</t>
  </si>
  <si>
    <t>NP =</t>
  </si>
  <si>
    <t>Accum Deferred ITC - 255 (Negative)</t>
  </si>
  <si>
    <t>h</t>
  </si>
  <si>
    <t>f</t>
  </si>
  <si>
    <t>Amortized ITC (Negative)</t>
  </si>
  <si>
    <t>NP</t>
  </si>
  <si>
    <t>Plant Held for Future Use</t>
  </si>
  <si>
    <t>Working Capital:</t>
  </si>
  <si>
    <t>Prepayments</t>
  </si>
  <si>
    <t>GP</t>
  </si>
  <si>
    <t>Line 1 - Line 7</t>
  </si>
  <si>
    <t>Line 3 - Line 9</t>
  </si>
  <si>
    <t>Line 4 - Line 10</t>
  </si>
  <si>
    <t>Line 5 - Line 11</t>
  </si>
  <si>
    <t>Total Working Capital</t>
  </si>
  <si>
    <t>O&amp;M Expense</t>
  </si>
  <si>
    <t xml:space="preserve">  Less Account 565</t>
  </si>
  <si>
    <t xml:space="preserve">Net Transmission O&amp;M </t>
  </si>
  <si>
    <t>TOTAL Transmission Expenses</t>
  </si>
  <si>
    <t>TP</t>
  </si>
  <si>
    <t>(924) Property Insurance</t>
  </si>
  <si>
    <t>Net Labor Related A&amp;G</t>
  </si>
  <si>
    <t>Trans. Related Regulatory Expense</t>
  </si>
  <si>
    <t>D/A</t>
  </si>
  <si>
    <t>Trans. Related Advertising Exp.</t>
  </si>
  <si>
    <t>Depreciation Expense</t>
  </si>
  <si>
    <t>Transmission Depr. Expense</t>
  </si>
  <si>
    <t>General Depr. Expense</t>
  </si>
  <si>
    <t>Total Depreciation</t>
  </si>
  <si>
    <t>Property Related</t>
  </si>
  <si>
    <t>Total Other Taxes</t>
  </si>
  <si>
    <t>263.i</t>
  </si>
  <si>
    <t>Cash Working Capital (1/8 O&amp;M)</t>
  </si>
  <si>
    <t>M&amp;S - Transmission</t>
  </si>
  <si>
    <t>M&amp;S - Stores Expense</t>
  </si>
  <si>
    <t>Return:</t>
  </si>
  <si>
    <t>Less Gen. Step-up Transformers in 353</t>
  </si>
  <si>
    <t>Labor Allocation Factor</t>
  </si>
  <si>
    <t>Preferred Dividends (positive)</t>
  </si>
  <si>
    <t xml:space="preserve">  Less Loss on Reacquired Debt</t>
  </si>
  <si>
    <t xml:space="preserve">  Plus Gain on Reacquired Debt</t>
  </si>
  <si>
    <t xml:space="preserve">  Less Interest on Securitization Bonds</t>
  </si>
  <si>
    <t xml:space="preserve">  Less Securitization Bonds</t>
  </si>
  <si>
    <t>Net Long Term Debt</t>
  </si>
  <si>
    <t>Preferred Stock</t>
  </si>
  <si>
    <t xml:space="preserve">  Less Preferred Stock</t>
  </si>
  <si>
    <t xml:space="preserve">  Less Account 216.1</t>
  </si>
  <si>
    <t xml:space="preserve">  Proprietary Capital</t>
  </si>
  <si>
    <t>Common Stock Development:</t>
  </si>
  <si>
    <t xml:space="preserve">Common Stock </t>
  </si>
  <si>
    <t>Weight</t>
  </si>
  <si>
    <t>Cost</t>
  </si>
  <si>
    <t>Weighted Cost</t>
  </si>
  <si>
    <t>Common Equity</t>
  </si>
  <si>
    <t>Income Taxes:</t>
  </si>
  <si>
    <t>State of Florida</t>
  </si>
  <si>
    <t>Federal</t>
  </si>
  <si>
    <t xml:space="preserve">   Composite  T = State + Federal * (1 - State)</t>
  </si>
  <si>
    <t>ITC Gross Up Factor = 1 / (1 -T)</t>
  </si>
  <si>
    <t>Total Income Taxes</t>
  </si>
  <si>
    <t>EXPENSES:</t>
  </si>
  <si>
    <t>Denominator for Wholesale Transmission:</t>
  </si>
  <si>
    <t>i</t>
  </si>
  <si>
    <t>Firm Network Service for Others</t>
  </si>
  <si>
    <t>Firm Network Service for Self</t>
  </si>
  <si>
    <t>Note A:</t>
  </si>
  <si>
    <t>Note B:</t>
  </si>
  <si>
    <t>Note C:</t>
  </si>
  <si>
    <t>Note D:</t>
  </si>
  <si>
    <t>Note E:</t>
  </si>
  <si>
    <t>Total Revenue Credits</t>
  </si>
  <si>
    <t>Storm Reserve Adder</t>
  </si>
  <si>
    <t>On-Peak Days</t>
  </si>
  <si>
    <t>Off-Peak Days</t>
  </si>
  <si>
    <t>On-Peak Hours</t>
  </si>
  <si>
    <t>Off-Peak Hours</t>
  </si>
  <si>
    <t>Revenue Credits:</t>
  </si>
  <si>
    <t>Annual Firm Trans $/MW-year</t>
  </si>
  <si>
    <t xml:space="preserve">Trans. Rev Req't Rate $/MW-Mon.     </t>
  </si>
  <si>
    <t>Form 1 Reference</t>
  </si>
  <si>
    <t>Payment by</t>
  </si>
  <si>
    <t>Classification</t>
  </si>
  <si>
    <t>Rate Schedule</t>
  </si>
  <si>
    <t>(Column (b))</t>
  </si>
  <si>
    <t>(Col (d))</t>
  </si>
  <si>
    <t>(Col (e))</t>
  </si>
  <si>
    <t>Total Revenues</t>
  </si>
  <si>
    <t>(Column (n))</t>
  </si>
  <si>
    <t>Total Transmission for Others</t>
  </si>
  <si>
    <t xml:space="preserve">FERC Form 1 page 214 excluding non-transmission related items </t>
  </si>
  <si>
    <t>Note F:</t>
  </si>
  <si>
    <t xml:space="preserve">Labor Related </t>
  </si>
  <si>
    <t>Taxes Other Than Income (Note F)</t>
  </si>
  <si>
    <t>Note G:</t>
  </si>
  <si>
    <t>Note G</t>
  </si>
  <si>
    <t>Summary of Rates</t>
  </si>
  <si>
    <t>OATT Transmission Non-Levelized Rate Formula Template Using Form-1 Data</t>
  </si>
  <si>
    <t>Development of Revenue Requirements</t>
  </si>
  <si>
    <t>Supporting Allocation Factor and Return Calculations</t>
  </si>
  <si>
    <r>
      <t xml:space="preserve">     Overall Return:  R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=</t>
    </r>
  </si>
  <si>
    <t>Wholesale Storm Reserve Funding and Explanatory Notes</t>
  </si>
  <si>
    <t>Peaker/</t>
  </si>
  <si>
    <t>Plant</t>
  </si>
  <si>
    <t>Book Cost</t>
  </si>
  <si>
    <t>Bayboro Pk</t>
  </si>
  <si>
    <t>Suwannee 230kv</t>
  </si>
  <si>
    <t>Bartow</t>
  </si>
  <si>
    <t>Higgins Pk</t>
  </si>
  <si>
    <t>Suwannee Plant</t>
  </si>
  <si>
    <t>Rio Pinar</t>
  </si>
  <si>
    <t>Intercession City</t>
  </si>
  <si>
    <t>P11 Seimens</t>
  </si>
  <si>
    <t>Crystal River</t>
  </si>
  <si>
    <t>Vintage</t>
  </si>
  <si>
    <t>Transmission Rate Formula Support - Account 353 Generator Step-up Transformers</t>
  </si>
  <si>
    <t>Other Long-Term Firm Service</t>
  </si>
  <si>
    <t>Other Taxes - FICA</t>
  </si>
  <si>
    <t>Other Taxes - Federal Unemployment</t>
  </si>
  <si>
    <t>Other Taxes - State Unemployment</t>
  </si>
  <si>
    <t>Other Taxes - Intangibles</t>
  </si>
  <si>
    <t>Other Taxes - Highway Use</t>
  </si>
  <si>
    <t>Other Taxes - Property County &amp; Local</t>
  </si>
  <si>
    <t>A&amp;G Labor</t>
  </si>
  <si>
    <t>Intangible Plant</t>
  </si>
  <si>
    <t>Transmission Plant</t>
  </si>
  <si>
    <t>Distribution Plant</t>
  </si>
  <si>
    <t>General Plant</t>
  </si>
  <si>
    <t>Intangible Amort. Reserve</t>
  </si>
  <si>
    <t>Production Depr. Reserve</t>
  </si>
  <si>
    <t>Transmission Depr. Reserve</t>
  </si>
  <si>
    <t>Distribution Depr. Reserve</t>
  </si>
  <si>
    <t>General Depr. Reserve</t>
  </si>
  <si>
    <t>Note H</t>
  </si>
  <si>
    <t>Note H:</t>
  </si>
  <si>
    <t>Investment in Transmission Energy Control Center included in Schedule 1 Ancillary Service cost</t>
  </si>
  <si>
    <t>Intangible Amortization</t>
  </si>
  <si>
    <t xml:space="preserve">Trans. Related Pct of Whlse Loss </t>
  </si>
  <si>
    <t>Total Extraordniary Property Loss - Wholesale</t>
  </si>
  <si>
    <t>Extraordinary Property Losses - Balance</t>
  </si>
  <si>
    <t xml:space="preserve">Whlse Extraordinary Property Loss </t>
  </si>
  <si>
    <t xml:space="preserve">Whlse Trans. Extraordinary Propery Loss </t>
  </si>
  <si>
    <t>WEPL-T</t>
  </si>
  <si>
    <t>Rebuild Reserve Equivalent to $130MM Retail:</t>
  </si>
  <si>
    <t xml:space="preserve">    Whlse Portion of $6MM Funding</t>
  </si>
  <si>
    <t xml:space="preserve">    System Total Reserve Req't = 130MM/(1 - Line 5 %)</t>
  </si>
  <si>
    <t>Net Production Plant</t>
  </si>
  <si>
    <t>Net Transmission Plant</t>
  </si>
  <si>
    <t>Net Distribution Plant</t>
  </si>
  <si>
    <t>Net General Plant</t>
  </si>
  <si>
    <t>Net Intangible Plant</t>
  </si>
  <si>
    <t>ADIT - 283  Excluding FAS 109 (Neg.)</t>
  </si>
  <si>
    <t>OATT LABOR</t>
  </si>
  <si>
    <t>Page 1 of 2</t>
  </si>
  <si>
    <t>Page 2 of 2</t>
  </si>
  <si>
    <t>Note I</t>
  </si>
  <si>
    <t>Note I:</t>
  </si>
  <si>
    <t>Total Firm Monthly Trans. $/MW-Month</t>
  </si>
  <si>
    <t>Preferred Stock Issued</t>
  </si>
  <si>
    <t>Loss on Reacquired Debt</t>
  </si>
  <si>
    <t>Account 216.1</t>
  </si>
  <si>
    <t>Proprietary Capital</t>
  </si>
  <si>
    <t>Gain on Reacquired Debt</t>
  </si>
  <si>
    <t>Transmission Rate Formula Support - List of Inputs from FERC Form-1</t>
  </si>
  <si>
    <t>Note J</t>
  </si>
  <si>
    <t>Note J:</t>
  </si>
  <si>
    <t>Note K:</t>
  </si>
  <si>
    <t>Total Classified as Non-Firm = Revenue Credit</t>
  </si>
  <si>
    <t>Includes Network Integration Service and Network Contract Demand Service</t>
  </si>
  <si>
    <t>Unit</t>
  </si>
  <si>
    <t>Bank</t>
  </si>
  <si>
    <t xml:space="preserve">Page 6 </t>
  </si>
  <si>
    <t>Adj. to Imputed Whlse PBOP Exp. - System</t>
  </si>
  <si>
    <t>Page 5 of 6</t>
  </si>
  <si>
    <t>Page 6 of 6</t>
  </si>
  <si>
    <t>Adjustment to Per Books PBOP Expenses</t>
  </si>
  <si>
    <t>vs. Imputed Amount</t>
  </si>
  <si>
    <t xml:space="preserve">Reference for System Amount Basis in Wholesale Rates: </t>
  </si>
  <si>
    <t>Page 3 of 6</t>
  </si>
  <si>
    <t>Page 1 of 6</t>
  </si>
  <si>
    <t>Page 2 of 6</t>
  </si>
  <si>
    <t>Page 4 of 6</t>
  </si>
  <si>
    <t xml:space="preserve"> ==&gt; PBOP Expense Adjustment</t>
  </si>
  <si>
    <t>Prepayments (Note L)</t>
  </si>
  <si>
    <t>335.1-3.b</t>
  </si>
  <si>
    <t xml:space="preserve"> Less Industry Dues and R&amp;D Expense</t>
  </si>
  <si>
    <t xml:space="preserve">  Less Account 561</t>
  </si>
  <si>
    <t>Less Interconnection Facilities (Order 2003)</t>
  </si>
  <si>
    <t>321.84-92.b</t>
  </si>
  <si>
    <t>TExp</t>
  </si>
  <si>
    <t>Accumulated Deferred</t>
  </si>
  <si>
    <t>Factor</t>
  </si>
  <si>
    <t>Result</t>
  </si>
  <si>
    <t>Account</t>
  </si>
  <si>
    <t>Retail</t>
  </si>
  <si>
    <t>LABOR</t>
  </si>
  <si>
    <t>PROD</t>
  </si>
  <si>
    <t>DIST</t>
  </si>
  <si>
    <t>Other</t>
  </si>
  <si>
    <t xml:space="preserve">  Total Accumulated Deferred Income Tax</t>
  </si>
  <si>
    <t>Divisor - Sum of Monthly MW Transmission System Peaks (Excludes STF)</t>
  </si>
  <si>
    <t>Less system storm reserve funding</t>
  </si>
  <si>
    <t>Adj. - RCO Labor in A&amp;G Labor</t>
  </si>
  <si>
    <t xml:space="preserve">  Total 456 NF + STF Revenue </t>
  </si>
  <si>
    <t>Contract Demand Adjustment</t>
  </si>
  <si>
    <t xml:space="preserve">  Net OATT Revenue Credit</t>
  </si>
  <si>
    <t xml:space="preserve"> </t>
  </si>
  <si>
    <t>b&amp;g</t>
  </si>
  <si>
    <t>Beginning Balance</t>
  </si>
  <si>
    <t>Ending Balance</t>
  </si>
  <si>
    <t>Ending Balance or Annual Value</t>
  </si>
  <si>
    <t>c&amp;d</t>
  </si>
  <si>
    <t>Rate Base Items from Prior Year Form 1 (Year End Value Where Not Available as Beginning Balance Above)</t>
  </si>
  <si>
    <t xml:space="preserve">Production Plant </t>
  </si>
  <si>
    <t>B/E Average</t>
  </si>
  <si>
    <t>Return and Average Capitalization:</t>
  </si>
  <si>
    <t>Plant Held for Future Use (Trans Only)</t>
  </si>
  <si>
    <t>b&amp;h</t>
  </si>
  <si>
    <t>b&amp;k</t>
  </si>
  <si>
    <t>b&amp;c</t>
  </si>
  <si>
    <t>AVERAGE CAPITALIZATION:</t>
  </si>
  <si>
    <t>Development of Rate Base and Capital Structure</t>
  </si>
  <si>
    <t>Industry Association Dues</t>
  </si>
  <si>
    <t>ER95-469</t>
  </si>
  <si>
    <t>Interest Accrued/Capitalized on Network Prepayments</t>
  </si>
  <si>
    <t>Interest Disbursed with Network Prepayment Refunds</t>
  </si>
  <si>
    <t>Adjustments to Rate Base - Deferred Taxes</t>
  </si>
  <si>
    <t>Total Deferred Tax Adjustments</t>
  </si>
  <si>
    <t>Total Network Upgrade Prepayment Adjustments</t>
  </si>
  <si>
    <t>Transmission</t>
  </si>
  <si>
    <t xml:space="preserve">   Total Account 454</t>
  </si>
  <si>
    <t>Acct 456 - NF + STF Service (x/ Ancillaries)</t>
  </si>
  <si>
    <t>Acct 454 - Transmission Related</t>
  </si>
  <si>
    <r>
      <t>Tax Rev.Req't Factor  = T / (1 -T) * (1 - Wtd.Debt.Cost/R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</t>
    </r>
  </si>
  <si>
    <t>Adjusted Labor w/o A&amp;G (Line 9 - Line 10 + Line 11)</t>
  </si>
  <si>
    <t>Trans Labor Factor (Line 13 / Line 12)</t>
  </si>
  <si>
    <t>B/E Avg. Transmission Plant Included in OATT Rate:</t>
  </si>
  <si>
    <t xml:space="preserve">Less Energy Control Center </t>
  </si>
  <si>
    <t xml:space="preserve">Avg.Trans Plant for OATT Rate </t>
  </si>
  <si>
    <t>TP Allocator (Line 5 / Line 1)</t>
  </si>
  <si>
    <t xml:space="preserve">  Less Associated Ancillaries</t>
  </si>
  <si>
    <t>Short Term Firm  -  Revenue Credit</t>
  </si>
  <si>
    <t>Excludes Asset Retirement Obligations from plant balances</t>
  </si>
  <si>
    <t>Gross Plant in Service (Note A):</t>
  </si>
  <si>
    <t>Accumulated Depreciation:</t>
  </si>
  <si>
    <t>Net 182.1 (+) / Storm Reserve (-) - Wholesale Transmission (Note B)</t>
  </si>
  <si>
    <t>Note C</t>
  </si>
  <si>
    <t>Excludes Retail ECCR and Sebring amortizations from Form-1 reported value</t>
  </si>
  <si>
    <t>Whlse Reserve Needed = Line 6 - $130MM</t>
  </si>
  <si>
    <t xml:space="preserve">Balance 2004 Loss as of  Jan 1, 2008 </t>
  </si>
  <si>
    <t>Line No.</t>
  </si>
  <si>
    <t>Amortize Existing Loss</t>
  </si>
  <si>
    <t>Rebuild Reserve</t>
  </si>
  <si>
    <t xml:space="preserve">  Total</t>
  </si>
  <si>
    <t>Revenue Req't - Customer Owned Facilities</t>
  </si>
  <si>
    <t>Note L:</t>
  </si>
  <si>
    <t>Note D</t>
  </si>
  <si>
    <t xml:space="preserve">Analysis of Company books. Regulatory expense excludes charges by FERC pursuant to 18 CFR § 382.201  </t>
  </si>
  <si>
    <t>PREPAYMENTS FOR NETWORK UPGRADES</t>
  </si>
  <si>
    <t>252 Customer advances for construction.</t>
  </si>
  <si>
    <t>This account shall include advances by customers for construction which are to be</t>
  </si>
  <si>
    <t>refunded either wholly or in part. When a customer is refunded the entire amount to</t>
  </si>
  <si>
    <t>which he is entitled, according to the agreement or rule under which the advance was</t>
  </si>
  <si>
    <t>made the balance, if any, remaining in this account shall be credited to the respective</t>
  </si>
  <si>
    <t>plant account.</t>
  </si>
  <si>
    <t>EXAMPLE</t>
  </si>
  <si>
    <t>NETWORK UPGRADE COST</t>
  </si>
  <si>
    <t>DEPRECIABLE LIFE</t>
  </si>
  <si>
    <t>40-YRS</t>
  </si>
  <si>
    <t>ANNUAL FERC INTEREST RATE</t>
  </si>
  <si>
    <t>ANNUALLY</t>
  </si>
  <si>
    <t>REFUND OVER 5 -YRS</t>
  </si>
  <si>
    <t>SCENARIO 1:</t>
  </si>
  <si>
    <t>SCENARIO 2:</t>
  </si>
  <si>
    <t>RECOVERY OF INTEREST:  PER AGREEMENT WITH CUSTOMERS, INTEREST</t>
  </si>
  <si>
    <t>YEAR OF IN-SERVICE:</t>
  </si>
  <si>
    <t>WILL BE RECOVERED UPON PAYMENT AND NOT AS ACCRUED.  THIS WILL</t>
  </si>
  <si>
    <t>DESCRIPTION</t>
  </si>
  <si>
    <t>FERC</t>
  </si>
  <si>
    <t>DEBIT</t>
  </si>
  <si>
    <t>CREDIT</t>
  </si>
  <si>
    <t>CREATE A REGULATORY ASSET TO RECOGNIZE THE DEFERRED COST</t>
  </si>
  <si>
    <t>ELEC. PLNT IN-SVC</t>
  </si>
  <si>
    <t>RECOVERY.</t>
  </si>
  <si>
    <t>CUSTOMER ADVANCES</t>
  </si>
  <si>
    <t>1st REFUND:</t>
  </si>
  <si>
    <t>CASH</t>
  </si>
  <si>
    <t>YR-1 NO REFUND:</t>
  </si>
  <si>
    <t>INTEREST EXP</t>
  </si>
  <si>
    <t>INTEREST ACCRUED</t>
  </si>
  <si>
    <r>
      <t xml:space="preserve">REG ASSET </t>
    </r>
    <r>
      <rPr>
        <sz val="8"/>
        <rFont val="Arial"/>
        <family val="2"/>
      </rPr>
      <t>(INTEREST ACCRUED)</t>
    </r>
  </si>
  <si>
    <t>RATE BASE</t>
  </si>
  <si>
    <t>EXPENSE</t>
  </si>
  <si>
    <t>INTEREST ACCRUED DEFERRAL</t>
  </si>
  <si>
    <t>YR-5 WITH REFUND:</t>
  </si>
  <si>
    <r>
      <t xml:space="preserve">FORMULA INPUT - EPIS </t>
    </r>
    <r>
      <rPr>
        <b/>
        <vertAlign val="subscript"/>
        <sz val="10"/>
        <rFont val="Arial"/>
        <family val="2"/>
      </rPr>
      <t>YR-1</t>
    </r>
  </si>
  <si>
    <t>BEGINNING BAL.</t>
  </si>
  <si>
    <r>
      <t xml:space="preserve">FORMULA INPUT </t>
    </r>
    <r>
      <rPr>
        <b/>
        <vertAlign val="subscript"/>
        <sz val="10"/>
        <rFont val="Arial"/>
        <family val="2"/>
      </rPr>
      <t>YR-1</t>
    </r>
  </si>
  <si>
    <r>
      <t xml:space="preserve">FORMULA INPUT - EPIS </t>
    </r>
    <r>
      <rPr>
        <b/>
        <vertAlign val="subscript"/>
        <sz val="10"/>
        <rFont val="Arial"/>
        <family val="2"/>
      </rPr>
      <t>YR-2</t>
    </r>
  </si>
  <si>
    <r>
      <t xml:space="preserve">FORMULA ACCUM. DEP </t>
    </r>
    <r>
      <rPr>
        <b/>
        <vertAlign val="subscript"/>
        <sz val="10"/>
        <rFont val="Arial"/>
        <family val="2"/>
      </rPr>
      <t>YR-2</t>
    </r>
  </si>
  <si>
    <t>IF NOT REFUNDED UNTIL YR 5, THAN:</t>
  </si>
  <si>
    <r>
      <t xml:space="preserve">FORMULA INPUT </t>
    </r>
    <r>
      <rPr>
        <b/>
        <vertAlign val="subscript"/>
        <sz val="10"/>
        <rFont val="Arial"/>
        <family val="2"/>
      </rPr>
      <t>YR-2</t>
    </r>
  </si>
  <si>
    <r>
      <t xml:space="preserve">FORMULA INPUT </t>
    </r>
    <r>
      <rPr>
        <b/>
        <vertAlign val="subscript"/>
        <sz val="10"/>
        <rFont val="Arial"/>
        <family val="2"/>
      </rPr>
      <t>YR-3</t>
    </r>
  </si>
  <si>
    <r>
      <t xml:space="preserve">FORMULA INPUT </t>
    </r>
    <r>
      <rPr>
        <b/>
        <vertAlign val="subscript"/>
        <sz val="10"/>
        <rFont val="Arial"/>
        <family val="2"/>
      </rPr>
      <t>YR-4</t>
    </r>
  </si>
  <si>
    <r>
      <t xml:space="preserve">FORMULA INPUT </t>
    </r>
    <r>
      <rPr>
        <b/>
        <vertAlign val="subscript"/>
        <sz val="10"/>
        <rFont val="Arial"/>
        <family val="2"/>
      </rPr>
      <t>YR-5</t>
    </r>
  </si>
  <si>
    <r>
      <t xml:space="preserve">INTEREST EXPENSE </t>
    </r>
    <r>
      <rPr>
        <vertAlign val="subscript"/>
        <sz val="10"/>
        <rFont val="Arial"/>
        <family val="2"/>
      </rPr>
      <t>YR-1</t>
    </r>
  </si>
  <si>
    <r>
      <t xml:space="preserve">REFUND </t>
    </r>
    <r>
      <rPr>
        <vertAlign val="subscript"/>
        <sz val="10"/>
        <rFont val="Arial"/>
        <family val="2"/>
      </rPr>
      <t>YR-1</t>
    </r>
  </si>
  <si>
    <r>
      <t xml:space="preserve">INTEREST ACCRUED </t>
    </r>
    <r>
      <rPr>
        <vertAlign val="subscript"/>
        <sz val="10"/>
        <rFont val="Arial"/>
        <family val="2"/>
      </rPr>
      <t>YR-1</t>
    </r>
  </si>
  <si>
    <r>
      <t xml:space="preserve">INTEREST EXPENSE </t>
    </r>
    <r>
      <rPr>
        <vertAlign val="subscript"/>
        <sz val="10"/>
        <rFont val="Arial"/>
        <family val="2"/>
      </rPr>
      <t>YR-2</t>
    </r>
  </si>
  <si>
    <r>
      <t>REG. ASSET</t>
    </r>
    <r>
      <rPr>
        <sz val="8"/>
        <rFont val="Arial"/>
        <family val="2"/>
      </rPr>
      <t xml:space="preserve"> (INTEREST ACCRUED) </t>
    </r>
    <r>
      <rPr>
        <vertAlign val="subscript"/>
        <sz val="10"/>
        <rFont val="Arial"/>
        <family val="2"/>
      </rPr>
      <t>YR-1</t>
    </r>
  </si>
  <si>
    <r>
      <t xml:space="preserve">REFUND </t>
    </r>
    <r>
      <rPr>
        <vertAlign val="subscript"/>
        <sz val="10"/>
        <rFont val="Arial"/>
        <family val="2"/>
      </rPr>
      <t>YR-2</t>
    </r>
  </si>
  <si>
    <r>
      <t xml:space="preserve">INTEREST ACCRUED </t>
    </r>
    <r>
      <rPr>
        <vertAlign val="subscript"/>
        <sz val="10"/>
        <rFont val="Arial"/>
        <family val="2"/>
      </rPr>
      <t>YR-2</t>
    </r>
  </si>
  <si>
    <r>
      <t>REG. ASSET</t>
    </r>
    <r>
      <rPr>
        <sz val="8"/>
        <rFont val="Arial"/>
        <family val="2"/>
      </rPr>
      <t xml:space="preserve"> (INTEREST ACCRUED) </t>
    </r>
    <r>
      <rPr>
        <vertAlign val="subscript"/>
        <sz val="10"/>
        <rFont val="Arial"/>
        <family val="2"/>
      </rPr>
      <t>YR-2</t>
    </r>
  </si>
  <si>
    <r>
      <t xml:space="preserve">INTEREST ACCRUED </t>
    </r>
    <r>
      <rPr>
        <vertAlign val="subscript"/>
        <sz val="10"/>
        <rFont val="Arial"/>
        <family val="2"/>
      </rPr>
      <t>YR-3</t>
    </r>
  </si>
  <si>
    <r>
      <t>REG. ASSET</t>
    </r>
    <r>
      <rPr>
        <sz val="8"/>
        <rFont val="Arial"/>
        <family val="2"/>
      </rPr>
      <t xml:space="preserve"> (INTEREST ACCRUED) </t>
    </r>
    <r>
      <rPr>
        <vertAlign val="subscript"/>
        <sz val="10"/>
        <rFont val="Arial"/>
        <family val="2"/>
      </rPr>
      <t>YR-3</t>
    </r>
  </si>
  <si>
    <r>
      <t xml:space="preserve">INTEREST ACCRUED </t>
    </r>
    <r>
      <rPr>
        <vertAlign val="subscript"/>
        <sz val="10"/>
        <rFont val="Arial"/>
        <family val="2"/>
      </rPr>
      <t>YR-4</t>
    </r>
  </si>
  <si>
    <r>
      <t>REG. ASSET</t>
    </r>
    <r>
      <rPr>
        <sz val="8"/>
        <rFont val="Arial"/>
        <family val="2"/>
      </rPr>
      <t xml:space="preserve"> (INTEREST ACCRUED) </t>
    </r>
    <r>
      <rPr>
        <vertAlign val="subscript"/>
        <sz val="10"/>
        <rFont val="Arial"/>
        <family val="2"/>
      </rPr>
      <t>YR-4</t>
    </r>
  </si>
  <si>
    <r>
      <t xml:space="preserve">INTEREST ACCRUED </t>
    </r>
    <r>
      <rPr>
        <vertAlign val="subscript"/>
        <sz val="10"/>
        <rFont val="Arial"/>
        <family val="2"/>
      </rPr>
      <t>YR-5</t>
    </r>
  </si>
  <si>
    <r>
      <t>REG. ASSET</t>
    </r>
    <r>
      <rPr>
        <sz val="8"/>
        <rFont val="Arial"/>
        <family val="2"/>
      </rPr>
      <t xml:space="preserve"> (INTEREST ACCRUED) </t>
    </r>
    <r>
      <rPr>
        <vertAlign val="subscript"/>
        <sz val="10"/>
        <rFont val="Arial"/>
        <family val="2"/>
      </rPr>
      <t>YR-5</t>
    </r>
  </si>
  <si>
    <r>
      <t xml:space="preserve">REFUND </t>
    </r>
    <r>
      <rPr>
        <vertAlign val="subscript"/>
        <sz val="10"/>
        <rFont val="Arial"/>
        <family val="2"/>
      </rPr>
      <t>YR-5</t>
    </r>
  </si>
  <si>
    <t>Transmission Rate Formula Support - Interconnection Facilities</t>
  </si>
  <si>
    <t>Generation In-Service After March 15, 2000 per FERC Order 2003</t>
  </si>
  <si>
    <t>Unit(s)</t>
  </si>
  <si>
    <t>Beginning</t>
  </si>
  <si>
    <t>Balance</t>
  </si>
  <si>
    <t>Ending</t>
  </si>
  <si>
    <t>Net Allocated Property Insurance</t>
  </si>
  <si>
    <r>
      <t xml:space="preserve">Net Revenue Requirements </t>
    </r>
    <r>
      <rPr>
        <sz val="10"/>
        <rFont val="Arial"/>
        <family val="2"/>
      </rPr>
      <t>(Line 1 - Line 4 + Line 5 + Line 6)</t>
    </r>
  </si>
  <si>
    <t xml:space="preserve">Transmission Rate Formula Support -  Revenue Credits </t>
  </si>
  <si>
    <t>Account 454</t>
  </si>
  <si>
    <t>Transmission Rate Formula Support - Revenue Credits</t>
  </si>
  <si>
    <t>Page 1 of 3</t>
  </si>
  <si>
    <t>Page 2 of 3</t>
  </si>
  <si>
    <t>Page 3 of 3</t>
  </si>
  <si>
    <t>Note M</t>
  </si>
  <si>
    <t>Note M:</t>
  </si>
  <si>
    <t>Accumulated Deferred Tax Detail - Prior Year</t>
  </si>
  <si>
    <t>Accumulated Deferred Tax Detail - Current Year</t>
  </si>
  <si>
    <t>Fixed</t>
  </si>
  <si>
    <t>Note N:</t>
  </si>
  <si>
    <t xml:space="preserve">  Total Interconnection Facilities </t>
  </si>
  <si>
    <t>ADIT - 283  (Negative)</t>
  </si>
  <si>
    <t>Total Capitalization (sum Lines 20, 21, 22)</t>
  </si>
  <si>
    <t>SUMMARY CAP STRUCTURE</t>
  </si>
  <si>
    <t>Rate Base Adjustments -  Network Upgrade Prepayments (Note O):</t>
  </si>
  <si>
    <t>Note O:</t>
  </si>
  <si>
    <t xml:space="preserve">  Total 2008-2012</t>
  </si>
  <si>
    <t>STF/Non-Firm on OATT</t>
  </si>
  <si>
    <t>Storm Reserve Balance Tracking:</t>
  </si>
  <si>
    <t>Adjustment:</t>
  </si>
  <si>
    <t>2013 'til  Extraordinary Loss</t>
  </si>
  <si>
    <t>Maximum Reserve per Settlement</t>
  </si>
  <si>
    <t xml:space="preserve">LTF on OATT </t>
  </si>
  <si>
    <t>Components of Storm Amortization/Reserve Funding Adder (2008-2012 Rate Years only - Note N):</t>
  </si>
  <si>
    <t>Whlse Portion of Existing Storm Accrual</t>
  </si>
  <si>
    <t>OATT Settlement - 2004 Storm Treatment</t>
  </si>
  <si>
    <t>LEVELIZED RATE, FUNDING ADJUSTED FOR RESERVE MAXIMUM per NOTE N</t>
  </si>
  <si>
    <t xml:space="preserve">Note P:  </t>
  </si>
  <si>
    <t>Note Q:</t>
  </si>
  <si>
    <t xml:space="preserve">Note R:  </t>
  </si>
  <si>
    <t>Existing Wholesale Accrual         (Line 9)</t>
  </si>
  <si>
    <r>
      <t>Gross-up Factor for OATT Wholesale Reserve - System Basis</t>
    </r>
    <r>
      <rPr>
        <sz val="10"/>
        <rFont val="Arial"/>
        <family val="2"/>
      </rPr>
      <t xml:space="preserve"> (Total Load/Whlse Load * 0.84987)</t>
    </r>
  </si>
  <si>
    <t>Determination of Levelized Storm Damage Recovery Adder</t>
  </si>
  <si>
    <t>Total Funding Requirements</t>
  </si>
  <si>
    <t>Less:</t>
  </si>
  <si>
    <t>Amount assumed to be collected from non-OATT service:</t>
  </si>
  <si>
    <t>Annual Amount</t>
  </si>
  <si>
    <t>Five-Year Total</t>
  </si>
  <si>
    <t xml:space="preserve"> (Line 11 * 5)</t>
  </si>
  <si>
    <t>Net 5-Year Requirement</t>
  </si>
  <si>
    <t xml:space="preserve"> (Line 8 - Line 12)</t>
  </si>
  <si>
    <t>Annual Recovery Requirements</t>
  </si>
  <si>
    <t>Projected Billing Units (MW-months)</t>
  </si>
  <si>
    <t>(Projected and Fixed)</t>
  </si>
  <si>
    <t xml:space="preserve">  Total Projected Billing Units</t>
  </si>
  <si>
    <t>Annual Percentages</t>
  </si>
  <si>
    <t>(Ln 23 * Ln 6 / Ln 8 * Ln 14)</t>
  </si>
  <si>
    <t>(Ln 23 * Ln 7 / Ln 8 * Ln 14)</t>
  </si>
  <si>
    <t>Levelized Storm Damage Recovery</t>
  </si>
  <si>
    <t>Adder ($/MW-mo)</t>
  </si>
  <si>
    <t>(Line 28 / Line 21)</t>
  </si>
  <si>
    <t>Example Application of Levelized Adder and Annual True-Up</t>
  </si>
  <si>
    <t>(Actual MW-Months)</t>
  </si>
  <si>
    <t>(Actual Equiv. MW-Months)</t>
  </si>
  <si>
    <t xml:space="preserve">  Total Billing Units</t>
  </si>
  <si>
    <t>(Line 36 + Line 37)</t>
  </si>
  <si>
    <t>Actual Recoveries of Existing Loss &amp; Reserve Replenishment</t>
  </si>
  <si>
    <t>(Line 31 * Line 36)</t>
  </si>
  <si>
    <t>(Line 31 * Line 37)</t>
  </si>
  <si>
    <t xml:space="preserve">  Total Collections</t>
  </si>
  <si>
    <t>(Line 41 + Line 42)</t>
  </si>
  <si>
    <t>Over(Under) Recovery to Be Reflected</t>
  </si>
  <si>
    <t>In Annual True-Ups</t>
  </si>
  <si>
    <t>(Line 43 - Line 28)</t>
  </si>
  <si>
    <t>Funding From OATT Adder</t>
  </si>
  <si>
    <t>(Line 28)</t>
  </si>
  <si>
    <t>(Line 11)</t>
  </si>
  <si>
    <t>(Fixed - Note P)</t>
  </si>
  <si>
    <t>Actual Billing Units (MW-months) (Notes Q and R)</t>
  </si>
  <si>
    <t>62 thru 67</t>
  </si>
  <si>
    <t>20 thru 24</t>
  </si>
  <si>
    <t>84 thru 92</t>
  </si>
  <si>
    <t>(561) Transmission of Electricity by Others</t>
  </si>
  <si>
    <t>TP2006</t>
  </si>
  <si>
    <t>Account 456.1</t>
  </si>
  <si>
    <t>Page 1 of 1</t>
  </si>
  <si>
    <t>Gross Plant in Service:</t>
  </si>
  <si>
    <t>B/E Balance</t>
  </si>
  <si>
    <t>Total Projects</t>
  </si>
  <si>
    <t xml:space="preserve">  Additions</t>
  </si>
  <si>
    <t xml:space="preserve">  Retirements</t>
  </si>
  <si>
    <t xml:space="preserve">  Adjustments</t>
  </si>
  <si>
    <t xml:space="preserve">  Annual Deprecation Expense</t>
  </si>
  <si>
    <t xml:space="preserve">   Project Description:</t>
  </si>
  <si>
    <t>2A</t>
  </si>
  <si>
    <t>2B</t>
  </si>
  <si>
    <t xml:space="preserve">  Less Direct Assign Radials</t>
  </si>
  <si>
    <t>Trans. Plant w/o Direct Assign Radials</t>
  </si>
  <si>
    <t>8A</t>
  </si>
  <si>
    <t>8B</t>
  </si>
  <si>
    <t>18A</t>
  </si>
  <si>
    <t>18B</t>
  </si>
  <si>
    <t xml:space="preserve">  Less Direct Assign Radial Depr Exp</t>
  </si>
  <si>
    <t>Trans. Reserve w/o Direct Assign Radials</t>
  </si>
  <si>
    <t>Trans Depr. w/o Direct Assign Radials</t>
  </si>
  <si>
    <t>7A</t>
  </si>
  <si>
    <t>Add back D/A Radials to Total Trans Plt (line 1 + p2, l 2A)</t>
  </si>
  <si>
    <t>Note T:</t>
  </si>
  <si>
    <t>Note S:</t>
  </si>
  <si>
    <t>Transmission Rate Formula Support - Direct Assignment Retail Radials in Accordance with OATT Attachment U</t>
  </si>
  <si>
    <t xml:space="preserve">  Description</t>
  </si>
  <si>
    <t>Ending
 Balance</t>
  </si>
  <si>
    <t>Network prepayments include interest that has been accrued but not yet refunded.</t>
  </si>
  <si>
    <t>Note U:</t>
  </si>
  <si>
    <t>Note V:</t>
  </si>
  <si>
    <t>Note W:</t>
  </si>
  <si>
    <r>
      <t xml:space="preserve">Beginning balance excludes $0 </t>
    </r>
    <r>
      <rPr>
        <sz val="10"/>
        <rFont val="Arial"/>
        <family val="2"/>
      </rPr>
      <t>and ending balance excludes $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for prepaid pensions from Form-1 A/C 165 balances.</t>
    </r>
  </si>
  <si>
    <t>Line 2 - Line 8</t>
  </si>
  <si>
    <t>Transmission Related CWIP - Identified Projects (Note V):</t>
  </si>
  <si>
    <t>Outstanding Balance - Network Prepayments (Note T)</t>
  </si>
  <si>
    <r>
      <t xml:space="preserve">Unfunded </t>
    </r>
    <r>
      <rPr>
        <sz val="11"/>
        <rFont val="Calibri"/>
        <family val="2"/>
        <scheme val="minor"/>
      </rPr>
      <t xml:space="preserve"> Reserves</t>
    </r>
  </si>
  <si>
    <t>Value</t>
  </si>
  <si>
    <t>Identified Reserves:</t>
  </si>
  <si>
    <t xml:space="preserve">   Total Reserves</t>
  </si>
  <si>
    <t>Less Externally Funded Amounts:</t>
  </si>
  <si>
    <t xml:space="preserve">  Total Externally Funded Amounts</t>
  </si>
  <si>
    <t>Net Unfunded Reserves</t>
  </si>
  <si>
    <t>Note U</t>
  </si>
  <si>
    <t>Unfunded Reserves</t>
  </si>
  <si>
    <r>
      <t xml:space="preserve">Total Transmission Plant </t>
    </r>
    <r>
      <rPr>
        <sz val="10"/>
        <rFont val="Arial"/>
        <family val="2"/>
      </rPr>
      <t>w/o D/A Radials</t>
    </r>
  </si>
  <si>
    <r>
      <t>p 2, line 2</t>
    </r>
    <r>
      <rPr>
        <sz val="10"/>
        <rFont val="Arial"/>
        <family val="2"/>
      </rPr>
      <t>B</t>
    </r>
  </si>
  <si>
    <t>Add Back ECC to OATT Plant (Line 4 + Line 5)</t>
  </si>
  <si>
    <t>TExp Allocator (Expenses excluding 561 and 565) (Line 7 / Line 7A)</t>
  </si>
  <si>
    <t>OATT LABOR Allocator (Line 5 / Line 7A * Line 14)</t>
  </si>
  <si>
    <t>Year</t>
  </si>
  <si>
    <t>YR</t>
  </si>
  <si>
    <t>L_YR</t>
  </si>
  <si>
    <t>L_YR_P</t>
  </si>
  <si>
    <t>Notes</t>
  </si>
  <si>
    <t>Joint Use Pole Attachments - Distrib</t>
  </si>
  <si>
    <t>Joint Use Transmission Portion</t>
  </si>
  <si>
    <t>Transmission Tower Attachments</t>
  </si>
  <si>
    <t>Lighting Fixtures &amp; Poles</t>
  </si>
  <si>
    <t>SECI Equip Rental</t>
  </si>
  <si>
    <t>Cogen Equip Rental</t>
  </si>
  <si>
    <t>Wheelabrator Pinellas Cogen (non-CSS)</t>
  </si>
  <si>
    <t>Primary Metering &amp; Prem Distb Svc</t>
  </si>
  <si>
    <t>Premier Power Service</t>
  </si>
  <si>
    <t>Georgia Power Joint Owner-11 Rent Common Plant</t>
  </si>
  <si>
    <t>Telemetering - Miami Dade Equipment Rental</t>
  </si>
  <si>
    <t>Nuclear Participants Rent</t>
  </si>
  <si>
    <t>Lease Agreement for Antennae Use at Anclote</t>
  </si>
  <si>
    <t>Rent - Transmission - Level 3 &amp; Tower Lease</t>
  </si>
  <si>
    <t>Corporate Allocation Sublease Revenue</t>
  </si>
  <si>
    <t xml:space="preserve"> Allocated by LABOR</t>
  </si>
  <si>
    <t>General Leases - Real Estate</t>
  </si>
  <si>
    <t>Parking Lot Rent &amp; Building Rent</t>
  </si>
  <si>
    <t>328-330, line1</t>
  </si>
  <si>
    <t>LFP</t>
  </si>
  <si>
    <t>T6/72</t>
  </si>
  <si>
    <t>328-330, line2</t>
  </si>
  <si>
    <t>City of Bartow</t>
  </si>
  <si>
    <t>FNO</t>
  </si>
  <si>
    <t>T6/136</t>
  </si>
  <si>
    <t>328-330, line3</t>
  </si>
  <si>
    <t>Calpine Energy Services</t>
  </si>
  <si>
    <t>NF</t>
  </si>
  <si>
    <t>T6/106</t>
  </si>
  <si>
    <t>328-330, line4</t>
  </si>
  <si>
    <t>Cargill Power Markets, LLC.</t>
  </si>
  <si>
    <t>T6/230C</t>
  </si>
  <si>
    <t>328-330, line5</t>
  </si>
  <si>
    <t>Central Power and Lime</t>
  </si>
  <si>
    <t>T6/141</t>
  </si>
  <si>
    <t>328-330, line6</t>
  </si>
  <si>
    <t>Cobb Electric Membership</t>
  </si>
  <si>
    <t>T6/114</t>
  </si>
  <si>
    <t>328-330, line7</t>
  </si>
  <si>
    <t>Conoco, Inc.</t>
  </si>
  <si>
    <t>T6/232C</t>
  </si>
  <si>
    <t>328-330, line8</t>
  </si>
  <si>
    <t>Constellation Energy</t>
  </si>
  <si>
    <t>T6/63C</t>
  </si>
  <si>
    <t>328-330, line9</t>
  </si>
  <si>
    <t>Eagle Energy Partners</t>
  </si>
  <si>
    <t>T6/257C</t>
  </si>
  <si>
    <t>328-330, line10</t>
  </si>
  <si>
    <t>Florida Municipal Power Authorty</t>
  </si>
  <si>
    <t>T6/31</t>
  </si>
  <si>
    <t>328-330, line11</t>
  </si>
  <si>
    <t>Florida Power &amp; Light Co.</t>
  </si>
  <si>
    <t>T6/7C</t>
  </si>
  <si>
    <t>328-330, line12</t>
  </si>
  <si>
    <t>Fortis Energy Marketing Trading</t>
  </si>
  <si>
    <t>T6/285C</t>
  </si>
  <si>
    <t>328-330, line13</t>
  </si>
  <si>
    <t>Gainesville Regional Utilities</t>
  </si>
  <si>
    <t>T6/73</t>
  </si>
  <si>
    <t>328-330, line14</t>
  </si>
  <si>
    <t>Georgia Power Company</t>
  </si>
  <si>
    <t>OLF</t>
  </si>
  <si>
    <t>FERC No. 105</t>
  </si>
  <si>
    <t>328-330, line15</t>
  </si>
  <si>
    <t>City of Homestead</t>
  </si>
  <si>
    <t>T6/130</t>
  </si>
  <si>
    <t>328-330, line16</t>
  </si>
  <si>
    <t>T6/52</t>
  </si>
  <si>
    <t>328-330, line17</t>
  </si>
  <si>
    <t>SFP</t>
  </si>
  <si>
    <t>T6/53</t>
  </si>
  <si>
    <t>328-330, line18</t>
  </si>
  <si>
    <t>Kissimmee Utility Auth</t>
  </si>
  <si>
    <t>T6/74</t>
  </si>
  <si>
    <t>328-330, line19</t>
  </si>
  <si>
    <t>Lakeland Utilites</t>
  </si>
  <si>
    <t>T6/56</t>
  </si>
  <si>
    <t>328-330, line20</t>
  </si>
  <si>
    <t>City of Mt. Dora</t>
  </si>
  <si>
    <t>T6/133</t>
  </si>
  <si>
    <t>328-330, line21</t>
  </si>
  <si>
    <t>JP Morgan Ventures</t>
  </si>
  <si>
    <t>T6/132</t>
  </si>
  <si>
    <t>328-330, line22</t>
  </si>
  <si>
    <t>Utilities Comm of New Smyrna Beach</t>
  </si>
  <si>
    <t>T6/75</t>
  </si>
  <si>
    <t>328-330, line23</t>
  </si>
  <si>
    <t>T6/138</t>
  </si>
  <si>
    <t>328-330, line24</t>
  </si>
  <si>
    <t>T6/12</t>
  </si>
  <si>
    <t>328-330, line25</t>
  </si>
  <si>
    <t>Oglethorpe Power Corp</t>
  </si>
  <si>
    <t>T6/187C</t>
  </si>
  <si>
    <t>328-330, line26</t>
  </si>
  <si>
    <t>Orange Cogen LP</t>
  </si>
  <si>
    <t>T6/77</t>
  </si>
  <si>
    <t>328-330, line27</t>
  </si>
  <si>
    <t>Orlando Utilities Commission</t>
  </si>
  <si>
    <t>T6/76</t>
  </si>
  <si>
    <t>328-330, line28</t>
  </si>
  <si>
    <t>T6/10</t>
  </si>
  <si>
    <t>328-330, line29</t>
  </si>
  <si>
    <t>T6/137</t>
  </si>
  <si>
    <t>328-330, line30</t>
  </si>
  <si>
    <t>Rainbow Energy Marketing Corp.</t>
  </si>
  <si>
    <t>T6/35C</t>
  </si>
  <si>
    <t>328-330, line31</t>
  </si>
  <si>
    <t>Reedy Creek Improvement Dist.</t>
  </si>
  <si>
    <t>T6/14</t>
  </si>
  <si>
    <t>328-330, line32</t>
  </si>
  <si>
    <t>Reliant Energy Services</t>
  </si>
  <si>
    <t>T6/92</t>
  </si>
  <si>
    <t>328-330, line33</t>
  </si>
  <si>
    <t>T6/3</t>
  </si>
  <si>
    <t>328-330, line34</t>
  </si>
  <si>
    <t>Seminole Electric Coop</t>
  </si>
  <si>
    <t>T6/24</t>
  </si>
  <si>
    <t>328.1-330.1, line1</t>
  </si>
  <si>
    <t>T6/23</t>
  </si>
  <si>
    <t>328.1-330.1, line2</t>
  </si>
  <si>
    <t>T6/143</t>
  </si>
  <si>
    <t>328.1-330.1, line3</t>
  </si>
  <si>
    <t>Southern Company of Florida</t>
  </si>
  <si>
    <t>T6/29C</t>
  </si>
  <si>
    <t>328.1-330.1, line4</t>
  </si>
  <si>
    <t>City of Tallahassee</t>
  </si>
  <si>
    <t>T6/96</t>
  </si>
  <si>
    <t>328.1-330.1, line5</t>
  </si>
  <si>
    <t>T6/97</t>
  </si>
  <si>
    <t>328.1-330.1, line6</t>
  </si>
  <si>
    <t>T6/19</t>
  </si>
  <si>
    <t>328.1-330.1, line7</t>
  </si>
  <si>
    <t>Tampa Electric Company</t>
  </si>
  <si>
    <t>T6/134</t>
  </si>
  <si>
    <t>328.1-330.1, line8</t>
  </si>
  <si>
    <t>T6/160C</t>
  </si>
  <si>
    <t>328.1-330.1, line9</t>
  </si>
  <si>
    <t>328.1-330.1, line10</t>
  </si>
  <si>
    <t>T6/25</t>
  </si>
  <si>
    <t>328.1-330.1, line11</t>
  </si>
  <si>
    <t>Tennessee Valley Authoritty</t>
  </si>
  <si>
    <t>T6/21C</t>
  </si>
  <si>
    <t>328.1-330.1, line12</t>
  </si>
  <si>
    <t>The Energy Authority</t>
  </si>
  <si>
    <t>T6/140</t>
  </si>
  <si>
    <t>328.1-330.1, line13</t>
  </si>
  <si>
    <t>T6/139</t>
  </si>
  <si>
    <t>328.1-330.1, line14</t>
  </si>
  <si>
    <t>328.1-330.1, line15</t>
  </si>
  <si>
    <t>T6/62</t>
  </si>
  <si>
    <t>328.1-330.1, line16</t>
  </si>
  <si>
    <t>T6/68C</t>
  </si>
  <si>
    <t>328.1-330.1, line17</t>
  </si>
  <si>
    <t>City of Williston</t>
  </si>
  <si>
    <t>T6/125</t>
  </si>
  <si>
    <t>328.1-330.1, line18</t>
  </si>
  <si>
    <t>City of Winter Park</t>
  </si>
  <si>
    <t>T6/124</t>
  </si>
  <si>
    <t>328.1-330.1, line19</t>
  </si>
  <si>
    <t>T6/76C</t>
  </si>
  <si>
    <t>328.1-330.1, line20</t>
  </si>
  <si>
    <t>Florida Municipal Power Auth-OS</t>
  </si>
  <si>
    <t>OS</t>
  </si>
  <si>
    <t>328.1-330.1, line21</t>
  </si>
  <si>
    <t>Reedy Creek-OS</t>
  </si>
  <si>
    <t>T6</t>
  </si>
  <si>
    <t>328.1-330.1, line22</t>
  </si>
  <si>
    <t>Seminole Electric Cooperative Inc.</t>
  </si>
  <si>
    <t>328.1-330.1, line23</t>
  </si>
  <si>
    <t>Southeastern Power Admin-OS</t>
  </si>
  <si>
    <t>328.1-330.1, line24</t>
  </si>
  <si>
    <t>Constellation Power Source</t>
  </si>
  <si>
    <t>T8</t>
  </si>
  <si>
    <t>328.1-330.1, line25</t>
  </si>
  <si>
    <t>Alabama Electric Coop</t>
  </si>
  <si>
    <t>328.1-330.1, line26</t>
  </si>
  <si>
    <t>City of New Symrna</t>
  </si>
  <si>
    <t>328.1-330.1, line27</t>
  </si>
  <si>
    <t>Pa-NJ-Maryland Int (PJM)</t>
  </si>
  <si>
    <t>328.1-330.1, line28</t>
  </si>
  <si>
    <t>Tennessee Valley Authority</t>
  </si>
  <si>
    <t>T6/70</t>
  </si>
  <si>
    <t>328.1-330.1, line29</t>
  </si>
  <si>
    <t>Carolina Power &amp; Light</t>
  </si>
  <si>
    <t>T8/76</t>
  </si>
  <si>
    <t>328.1-330.1, line30</t>
  </si>
  <si>
    <t>Duke Power</t>
  </si>
  <si>
    <t>Bartow CC</t>
  </si>
  <si>
    <t>Anclote</t>
  </si>
  <si>
    <t>Debary</t>
  </si>
  <si>
    <t>Turner Pk</t>
  </si>
  <si>
    <t>Avon Park Pk</t>
  </si>
  <si>
    <t xml:space="preserve">Univ of Fla </t>
  </si>
  <si>
    <t xml:space="preserve">Hines PB1 </t>
  </si>
  <si>
    <t>Hines PB2</t>
  </si>
  <si>
    <t xml:space="preserve">Hines PB3 </t>
  </si>
  <si>
    <t>Hines PB4</t>
  </si>
  <si>
    <t>Tiger Bay</t>
  </si>
  <si>
    <t>CC/CT System Spares</t>
  </si>
  <si>
    <t>Subtotal (p2)</t>
  </si>
  <si>
    <t>Intercession City P12-P14</t>
  </si>
  <si>
    <t>Breaker and 1/2 Scheme</t>
  </si>
  <si>
    <t>Hines 2</t>
  </si>
  <si>
    <t>HInes 3</t>
  </si>
  <si>
    <t>HInes 4</t>
  </si>
  <si>
    <t>Salary Continuation</t>
  </si>
  <si>
    <t>Salary Continuation Loading</t>
  </si>
  <si>
    <t>Page 1 of 4</t>
  </si>
  <si>
    <t>Page 2 of 4</t>
  </si>
  <si>
    <t>OATT</t>
  </si>
  <si>
    <t>Page 3 of 4</t>
  </si>
  <si>
    <t>Medical/Life Res Postemp Retail</t>
  </si>
  <si>
    <t>Medical/Life Res Postemp Whlse</t>
  </si>
  <si>
    <t>Funded Med/Life Res Postemp -W</t>
  </si>
  <si>
    <t>Medical/Dental/Life</t>
  </si>
  <si>
    <t>Medical/Dental/Life Loading</t>
  </si>
  <si>
    <t>Workman's Comp</t>
  </si>
  <si>
    <t>Claims</t>
  </si>
  <si>
    <t>Environmental Cleanup</t>
  </si>
  <si>
    <t>Self Insured Medical Subaccounts</t>
  </si>
  <si>
    <t>$</t>
  </si>
  <si>
    <t>9200REC</t>
  </si>
  <si>
    <t>9210REC</t>
  </si>
  <si>
    <t>9230REC</t>
  </si>
  <si>
    <t>9260REC</t>
  </si>
  <si>
    <t>9350REC</t>
  </si>
  <si>
    <t>Surveillance - Manual Entry File</t>
  </si>
  <si>
    <t>AVG</t>
  </si>
  <si>
    <t>Summary of Allocation Factors:</t>
  </si>
  <si>
    <t>STORM</t>
  </si>
  <si>
    <t>Subtotal</t>
  </si>
  <si>
    <t>Subtotal from prior page</t>
  </si>
  <si>
    <t>Page 4 of 4</t>
  </si>
  <si>
    <t>EPIS</t>
  </si>
  <si>
    <t>Adjustment</t>
  </si>
  <si>
    <t>323.197.b</t>
  </si>
  <si>
    <t>Subtotal Adjustments</t>
  </si>
  <si>
    <t>Adjusted A&amp;G Expense per Line 5</t>
  </si>
  <si>
    <t>A&amp;G Expense per FF1 Input</t>
  </si>
  <si>
    <t>335.6.b</t>
  </si>
  <si>
    <t>included in 323.(misc)</t>
  </si>
  <si>
    <t>included in 323.184.b</t>
  </si>
  <si>
    <t>included in 323.182,184.b</t>
  </si>
  <si>
    <t>FF1 Page</t>
  </si>
  <si>
    <t>A&amp;G Reconciliation to FF1:</t>
  </si>
  <si>
    <t>9302REC</t>
  </si>
  <si>
    <t>FMPA/City of Quincy</t>
  </si>
  <si>
    <t>328.1-330.1, line31</t>
  </si>
  <si>
    <t>328.1-330.1, line32</t>
  </si>
  <si>
    <t>City of Wauchula</t>
  </si>
  <si>
    <t>T6/147</t>
  </si>
  <si>
    <t>T6/148</t>
  </si>
  <si>
    <t>T6/150</t>
  </si>
  <si>
    <t>In Service Date</t>
  </si>
  <si>
    <r>
      <t xml:space="preserve">CLARCONA - Crown Point
</t>
    </r>
    <r>
      <rPr>
        <sz val="8"/>
        <rFont val="Arial"/>
        <family val="2"/>
      </rPr>
      <t>#20017130</t>
    </r>
  </si>
  <si>
    <r>
      <t xml:space="preserve">Barnum City/ Northridge
</t>
    </r>
    <r>
      <rPr>
        <sz val="8"/>
        <rFont val="Arial"/>
        <family val="2"/>
      </rPr>
      <t>#20077448</t>
    </r>
  </si>
  <si>
    <t>Total AFUDC</t>
  </si>
  <si>
    <t>Cumulative</t>
  </si>
  <si>
    <t>Total Dep Exp</t>
  </si>
  <si>
    <t>on AFUDC</t>
  </si>
  <si>
    <t>50% Recovered</t>
  </si>
  <si>
    <t>thru OATT</t>
  </si>
  <si>
    <t>in Acct 101</t>
  </si>
  <si>
    <t>Reduce by</t>
  </si>
  <si>
    <t xml:space="preserve">Remaining </t>
  </si>
  <si>
    <t xml:space="preserve">Adj needed to </t>
  </si>
  <si>
    <t>Deprec Exp</t>
  </si>
  <si>
    <t>Accum Deprec</t>
  </si>
  <si>
    <t>Deprec Expense (Acct 407) &amp; Accumulated Depreciation (Acct 108):</t>
  </si>
  <si>
    <t>Electric Plant in Service (Acct 101):</t>
  </si>
  <si>
    <t>207.58b</t>
  </si>
  <si>
    <t>207.58g</t>
  </si>
  <si>
    <t>219.25.c</t>
  </si>
  <si>
    <t>336.7.f</t>
  </si>
  <si>
    <t>Amount</t>
  </si>
  <si>
    <t>Summary</t>
  </si>
  <si>
    <t xml:space="preserve">Remove Environmental Resrv. - manufactured gas plant exps in acct 930.2 </t>
  </si>
  <si>
    <t>Remove Tax Gross-up from Service Co. for Permanent Tax Items</t>
  </si>
  <si>
    <t>OATT Contra CWIP Adjs to Reduce AFUDC Closed to Electric Plant in Service</t>
  </si>
  <si>
    <t>Less Whls</t>
  </si>
  <si>
    <t>to Acct 101 in G/L</t>
  </si>
  <si>
    <t>Portion Credited</t>
  </si>
  <si>
    <t>to EPIS</t>
  </si>
  <si>
    <t>Adj needed</t>
  </si>
  <si>
    <t>to Acct 407 in G/L</t>
  </si>
  <si>
    <t>Because the Page 2 Rate Base amounts are total system numbers, the wholesale specific loss/reserve balance is grossed up using the relationship</t>
  </si>
  <si>
    <t>between system and wholesale only transmission demands times the percent of the balance applicable to the OATT. See also Notes H and J.</t>
  </si>
  <si>
    <t>Excludes all income and gross receipts taxes.  Labor related other taxes include FICA and unemployment taxes.  Property related taxes include county</t>
  </si>
  <si>
    <t>and local property, highway use, and intangible taxes.</t>
  </si>
  <si>
    <t>The allocator "TP" is the percent of allocated gross transmission plant that is OATT related, i.e., after removal of ECC, interconnections and generator</t>
  </si>
  <si>
    <t xml:space="preserve">step-up transformer investment. </t>
  </si>
  <si>
    <t xml:space="preserve">extraordinary property losses, associated principal and interest expense are excluded in capitalization and return basis.  </t>
  </si>
  <si>
    <t>Functionalized Transmission part 182.1 Extraordinary Property Losses balance only, "WEPL-T."  Consistent with the process described in Note H above,</t>
  </si>
  <si>
    <t>the OATT-related amount of the transmission loss is then derived using the TP allocation factor</t>
  </si>
  <si>
    <t>If income tax rates change during a calendar year, the income tax rates will be pro-rated based on the number of days each income tax rate was in effect.</t>
  </si>
  <si>
    <t>Pursuant to the settlement agreement, annual amounts included in line 11 will be adjusted and reversed as necessary to ensure no overfunding of the</t>
  </si>
  <si>
    <t xml:space="preserve">wholesale reserve; i.e., the year-end reserve balance for OATT rates will not exceed the $8,614,774 shown on line 7 </t>
  </si>
  <si>
    <t>regardless of the accounting.</t>
  </si>
  <si>
    <t>Target percentages are fixed for 2008 - 2012 and were derived from projected OATT LTF billing MW-months and the MW-month equivalent  billings for STF</t>
  </si>
  <si>
    <t>Actual LTF OATT MW-Months are the sum of Lines 11 and 12 above, as reported in Form-1 for Firm Network Service for Others and  Long Term Firm</t>
  </si>
  <si>
    <t>Point-to-Point Service</t>
  </si>
  <si>
    <t>Actual STF/Non-Firm equivalent "MW-Months" are equal to monthly STF/Non-firm transmission service revenue divided by the same "Total Firm Monthly</t>
  </si>
  <si>
    <t xml:space="preserve">Trans. $/MW-Month" rate (Page 1, Line 11) from which the STF/Non-firm billing rates were derived  </t>
  </si>
  <si>
    <t>Section 2.12 of Schedule 10.3 states “The Formula Rate excludes all costs that are properly directly assigned or assignable to one or more particular</t>
  </si>
  <si>
    <t>assignable retail costs/credits booked to Account 935 and retail sales tax portion of Florida sales tax audit expense booked to Account 930.2 from Form-1</t>
  </si>
  <si>
    <t>reported value.</t>
  </si>
  <si>
    <t>The inclusion of Line 24, "Unfunded Reserves," ensures that identified "Unfunded Reserves" are appropriately excluded from rate base in the Formula Rate</t>
  </si>
  <si>
    <t>calculations.  The specific treatment of these "Unfunded Reserves" in no way precludes the Transmission Provider or interested parties from making any</t>
  </si>
  <si>
    <t>argument in any proceeding at the Commission or in any review or challenge proceeding under the Formula Rate as to the appropriate accounting or</t>
  </si>
  <si>
    <t>ratemaking treatment in the Formula Rate of any unfunded reserve.</t>
  </si>
  <si>
    <t>Adjusted to remove ADUFC accruals from CWIP projects that were included in rate base.  Qualifying CWIP excludes CWIP associated with direct</t>
  </si>
  <si>
    <t>assignment radials</t>
  </si>
  <si>
    <t>Template to remove the costs associated with wholesale direct assignment radials from the calculation of the OATT base rates.  A new attachment (e.g.,</t>
  </si>
  <si>
    <t>balances for gross plant and accumulated depreciation reserves separately by project.  The intent is that the accumulated depreciation reserves be</t>
  </si>
  <si>
    <t>maintained separately by customer and by project to capture the associated costs by customer and to reflect the appropriate effect of the vintage of each</t>
  </si>
  <si>
    <t>be further modified to set forth separately the costs allocated to each wholesale customer's direct assignment radials in the aggregate in separate</t>
  </si>
  <si>
    <t>columns.  Such Section 205 filing shall be made sufficiently in advance of the first occurrence of a direct assignment wholesale transmission radial to</t>
  </si>
  <si>
    <t>permit the requisite modifications to the Formula Rate Template to become effective with the in-servie date of the associated facility.</t>
  </si>
  <si>
    <t>Balance in Account 190</t>
  </si>
  <si>
    <t>Balance in Account 281</t>
  </si>
  <si>
    <t>Balance in Account 282</t>
  </si>
  <si>
    <t>Balance in Account 283</t>
  </si>
  <si>
    <t>Total Accumulated Deferred Income Tax</t>
  </si>
  <si>
    <t>BB</t>
  </si>
  <si>
    <t>EB</t>
  </si>
  <si>
    <t>EB Adjust</t>
  </si>
  <si>
    <t>Desc</t>
  </si>
  <si>
    <t>BB Adjust</t>
  </si>
  <si>
    <t>Remove ARO in lines 15,24,34,44</t>
  </si>
  <si>
    <t>remove aro in line 98</t>
  </si>
  <si>
    <t>Adjust for OATT Contra CWIP</t>
  </si>
  <si>
    <t>adjustment for OATT Contra CWIP Depreciation for CY</t>
  </si>
  <si>
    <t>BB-EB Delta</t>
  </si>
  <si>
    <t>TY %change</t>
  </si>
  <si>
    <t>LY% Change</t>
  </si>
  <si>
    <t>PY</t>
  </si>
  <si>
    <r>
      <t xml:space="preserve">St. Marks Trans Sub to Dis Sub
</t>
    </r>
    <r>
      <rPr>
        <sz val="8"/>
        <rFont val="Arial"/>
        <family val="2"/>
      </rPr>
      <t>#20082836</t>
    </r>
  </si>
  <si>
    <t>328.1-330.1, line33</t>
  </si>
  <si>
    <t>328.1-330.1, line34</t>
  </si>
  <si>
    <t>328.1-330.2, line1</t>
  </si>
  <si>
    <t>Morgan Stanley Capiral Group</t>
  </si>
  <si>
    <t>Southern Company</t>
  </si>
  <si>
    <t>EDF Trading</t>
  </si>
  <si>
    <t>Exhibit DEF - 2</t>
  </si>
  <si>
    <t>Gross DEF Revenue Requirement</t>
  </si>
  <si>
    <t>Exhibit DEF - 3</t>
  </si>
  <si>
    <t>Exhibit DEF - 5</t>
  </si>
  <si>
    <t>Exhibit DEF-5A</t>
  </si>
  <si>
    <t>Exhibit DEF - 4</t>
  </si>
  <si>
    <t>To the extent DEF is authorized by the Florida Public Service Commission and issues bonds for distribution facilities to securitize retail recovery of</t>
  </si>
  <si>
    <t>Payments by DEF to an Affected System Operator pursuant to Orders 2003 or 2006 (including rehearing orders) are not to be included in the formula rate</t>
  </si>
  <si>
    <t xml:space="preserve">and non-firm transmission revenues in the September 2007 DEF financial forecast. </t>
  </si>
  <si>
    <t>customers, including costs directly assigned or assignable to DEF.”  Per Settlement of 2008 Annual Update, the amount specified excludes directly</t>
  </si>
  <si>
    <t>Should DEF construct and own radials directly assignable to wholesale customers, DEF shall make a Section 205 filing to amend its Formula Rate</t>
  </si>
  <si>
    <t>Exhibit DEF-x) shall be added to the template that sets forth the direct assignment radials by customer and by facility, showing the associated monthly</t>
  </si>
  <si>
    <t>project.  Such Exhibit DEF-x shall be structured to accommodate direct assignments to multiple wholesale customers. Exhibit DEF-2 shall be modified to</t>
  </si>
  <si>
    <t>remove the direct assignment wholesale radials from the base rate calculations in a manner consistent with retail radials, except that Exhibit DEF-2 shall</t>
  </si>
  <si>
    <t>Exhibit DEF - 5A</t>
  </si>
  <si>
    <t>Exhibit DEF - 6</t>
  </si>
  <si>
    <t>Exhibit DEF - 7</t>
  </si>
  <si>
    <t>DUKE ENERGY FLORIDA, INC.</t>
  </si>
  <si>
    <t>DUKE ENERGY FLORIDA</t>
  </si>
  <si>
    <t>Remove expense recoverable through Clauses</t>
  </si>
  <si>
    <t>Remove Integration Costs (in acct 920, 921, 923, 925, 926, 930.2, 931, 935)</t>
  </si>
  <si>
    <t>Remove Florida Rate Case Expenses (In account 930.2)</t>
  </si>
  <si>
    <t>Removes Integration Costs</t>
  </si>
  <si>
    <t>328.1-330.2, line2</t>
  </si>
  <si>
    <t>328.1-330.2, line3</t>
  </si>
  <si>
    <t>328.1-330.2, line4</t>
  </si>
  <si>
    <t>328.1-330.2, line5</t>
  </si>
  <si>
    <t>Exelon Generation Company, LLC</t>
  </si>
  <si>
    <t>FPC Power Marketing</t>
  </si>
  <si>
    <t>Georgia Transmission Corp</t>
  </si>
  <si>
    <t>T6/156</t>
  </si>
  <si>
    <t>Include Perry, High Springs, Central Florida, and the Transmission component of Levy</t>
  </si>
  <si>
    <t>City of Alachua-Gainesville</t>
  </si>
  <si>
    <t>Weekly Firm/Non-Firm PTP Rate $/MW-Week</t>
  </si>
  <si>
    <t>Daily Firm/Non-Firm PTP Rates ($/MW):</t>
  </si>
  <si>
    <t>Non-Firm Hourly PTP Rates ($/MWh):</t>
  </si>
  <si>
    <t>DEF - 7, ll 1&amp;5</t>
  </si>
  <si>
    <t>DEF - 7, ll 7&amp;10</t>
  </si>
  <si>
    <t>DEF-7, line 8</t>
  </si>
  <si>
    <t>Levelized Storm Reserve Funding Rate $/MW-Month (DEF - 6, Page 2)</t>
  </si>
  <si>
    <t xml:space="preserve"> (DEF-2, Page 5, Line 4)</t>
  </si>
  <si>
    <t xml:space="preserve"> (DEF-2, Page 5, Line 7)</t>
  </si>
  <si>
    <t xml:space="preserve"> (DEF-2, Page 5, Line 8)</t>
  </si>
  <si>
    <t>Long-Term Firm PTP Reservations</t>
  </si>
  <si>
    <t>Short-Term Firm PTP Reservations</t>
  </si>
  <si>
    <t xml:space="preserve">  Less Imputed Storm Adder Ancillaries</t>
  </si>
  <si>
    <t>Adjusted per terms of 2012 settlement, Account 2281500 from BS</t>
  </si>
  <si>
    <t>Remove Intercompany Moneypool</t>
  </si>
  <si>
    <t>Remove WH Marketing Labor Costs</t>
  </si>
  <si>
    <t>Removed State &amp; Federal Tax Prepayments, &amp; Bartow &amp; Hines LTSAs</t>
  </si>
  <si>
    <t>Adjustment for losses for POD Service (SECI/Hardee/Vandolah)</t>
  </si>
  <si>
    <t>Adjustment for losses for POD Service (SEPA)</t>
  </si>
  <si>
    <t>Long-Term Interest Expense</t>
  </si>
  <si>
    <t>Net-Long Term Interest Expense</t>
  </si>
  <si>
    <t>Long-Term Debt</t>
  </si>
  <si>
    <r>
      <t xml:space="preserve">  Total System </t>
    </r>
    <r>
      <rPr>
        <sz val="10"/>
        <rFont val="Arial"/>
        <family val="2"/>
      </rPr>
      <t>Long-Term Firm Transmission Load</t>
    </r>
  </si>
  <si>
    <t>Account 1285000 - Funded Wholesale OPEBs</t>
  </si>
  <si>
    <t>YE ECC EPIS</t>
  </si>
  <si>
    <t>Accumulated Provision for Uncollect Accounts FPC</t>
  </si>
  <si>
    <t>Accumulated Provision for Uncollect Accounts-Non Elec</t>
  </si>
  <si>
    <t>Accumulated Provision for Uncollect Accounts-Whlsl</t>
  </si>
  <si>
    <t>Inventory Reserve</t>
  </si>
  <si>
    <t>CR3 M&amp;S Inventory/Prepayments</t>
  </si>
  <si>
    <t>Interest On Income Tax Deficiency</t>
  </si>
  <si>
    <t>Curr &amp; Accr Liab - FPC LTD</t>
  </si>
  <si>
    <t>Curr &amp; Accr Liab - Severance</t>
  </si>
  <si>
    <t>Curr &amp; Accr Liab Workers Comp</t>
  </si>
  <si>
    <t>FPC LT Diability Plan</t>
  </si>
  <si>
    <t>IRU Indemnification - ST</t>
  </si>
  <si>
    <t>OTHER</t>
  </si>
  <si>
    <t>Accrued Bonuses</t>
  </si>
  <si>
    <t>Emission Allowances</t>
  </si>
  <si>
    <t>Unbilled Revenue - Service Charge /Equip Rent</t>
  </si>
  <si>
    <t>Unbilled Revenue - Recovery Clauses</t>
  </si>
  <si>
    <t>Accrued Vacation Pay</t>
  </si>
  <si>
    <t>Sales Tax Reserve - Audit reserves</t>
  </si>
  <si>
    <t>State Net Operating Loss</t>
  </si>
  <si>
    <t xml:space="preserve">State Income Tax </t>
  </si>
  <si>
    <t>Federal Net Operating Loss</t>
  </si>
  <si>
    <t>Charitable Contribution Carryover</t>
  </si>
  <si>
    <t>Regulatory Liability - Fuel</t>
  </si>
  <si>
    <t xml:space="preserve">Retail Unfunded - Storm Damage </t>
  </si>
  <si>
    <t>Workman's Comp Reserve</t>
  </si>
  <si>
    <t>Claims Reserve</t>
  </si>
  <si>
    <t>Supplemental Executive Retirement Plan</t>
  </si>
  <si>
    <t>2000 Class Deferred Compensation</t>
  </si>
  <si>
    <t>Perferred  Shared Sub Plan</t>
  </si>
  <si>
    <t>Environmental Cleanup Reserve</t>
  </si>
  <si>
    <t>Mngmnt Incntv Award Deferred Comp</t>
  </si>
  <si>
    <t>IRU Indemnification - LT</t>
  </si>
  <si>
    <t>Reg Liab Nuc Decom Trust Ureal Gains</t>
  </si>
  <si>
    <t>Wholesale QF Energy</t>
  </si>
  <si>
    <t>Regulatory Liability FAS 109</t>
  </si>
  <si>
    <t>Unamortized Investment Tax Credit</t>
  </si>
  <si>
    <t>Federal Credits</t>
  </si>
  <si>
    <t xml:space="preserve">Interest Rate Hedge </t>
  </si>
  <si>
    <t>Pension</t>
  </si>
  <si>
    <t>2009 Pension Regulatory Asset</t>
  </si>
  <si>
    <t>Regulatory Liability Asbestos SFAS 143</t>
  </si>
  <si>
    <t>Derivative Asset/Liabilities</t>
  </si>
  <si>
    <t>Health &amp; Life Loading</t>
  </si>
  <si>
    <t>Medical/Dental Life</t>
  </si>
  <si>
    <t>Bargaining Unit Dental Reserve</t>
  </si>
  <si>
    <t>Cur &amp; Accr Liab Medi/Detl Ins Act</t>
  </si>
  <si>
    <t>Funded Med/Life Res Post Emp</t>
  </si>
  <si>
    <t>Med/Life Res Post Emp Retail</t>
  </si>
  <si>
    <t>Med/Life Res PostEmp Whls</t>
  </si>
  <si>
    <t>OPEB Contributions to Whsl Fund</t>
  </si>
  <si>
    <t>Accrued Liability ARO</t>
  </si>
  <si>
    <t>Imputed Interest Income-City of Zephryhills loan</t>
  </si>
  <si>
    <t>Wholesale Storm Reserve</t>
  </si>
  <si>
    <t>CR3 Joint Owner Indemnification Reserve</t>
  </si>
  <si>
    <t>Rabbi Trust</t>
  </si>
  <si>
    <t>Asset Retirement Obligation offset to FERC 282</t>
  </si>
  <si>
    <t>Tie in to Financials</t>
  </si>
  <si>
    <t>Electric Plant - Pollution Control</t>
  </si>
  <si>
    <t>Electric Plant - Utility</t>
  </si>
  <si>
    <t>Electric Plant -Nuclear Cost Recovery</t>
  </si>
  <si>
    <t>Asset Retirement Obligation reclass offset to FERC 190</t>
  </si>
  <si>
    <t>Electric Plant-Nuc Decommissioning</t>
  </si>
  <si>
    <t>Deferred Depreciation - Nuclear</t>
  </si>
  <si>
    <t>Reg Asset - Cost of Removal &amp; Depreciation</t>
  </si>
  <si>
    <t>Tie to Balance Sheet</t>
  </si>
  <si>
    <t>Derivative Asset/Liability - PEF - MTM Oil</t>
  </si>
  <si>
    <t>Recovery Clause -  Nuclear</t>
  </si>
  <si>
    <t>Recovery Clause - Fuel</t>
  </si>
  <si>
    <t>Recovery Clause - Capacity</t>
  </si>
  <si>
    <t>Nuclear Decommissioning Unrealized Gains/Losses</t>
  </si>
  <si>
    <t>Reg Asset - Derivative MTM</t>
  </si>
  <si>
    <t>Reg Asset - Minimum Pension Liab</t>
  </si>
  <si>
    <t>Regulatory Asset - CR3 Rate Base</t>
  </si>
  <si>
    <t>Deferred GPIF Asset</t>
  </si>
  <si>
    <t>Accrued ECRC  - Deferred Expense Bk</t>
  </si>
  <si>
    <t>Proceeds from Auctioned SO2 Allowances</t>
  </si>
  <si>
    <t>Amort Loss Reacquired Debt</t>
  </si>
  <si>
    <t>Regulatory Asset FAS 109</t>
  </si>
  <si>
    <t>Deferred Storm Cost -Wholesale</t>
  </si>
  <si>
    <t>FAS 143 ARO Liability - LandFill</t>
  </si>
  <si>
    <t>FAS 143 - NUC DECOM</t>
  </si>
  <si>
    <t>Regulatory Asset Asbestos</t>
  </si>
  <si>
    <t>Investments</t>
  </si>
  <si>
    <t>Deferred Rate Case Expense</t>
  </si>
  <si>
    <t>CR3 PS&amp;I Fukishima and Nuclear Fire Protection</t>
  </si>
  <si>
    <t>0.00</t>
  </si>
  <si>
    <t>BK 5</t>
  </si>
  <si>
    <t>Peaker #1,3</t>
  </si>
  <si>
    <t>BK 6</t>
  </si>
  <si>
    <t>Peaker #2,4</t>
  </si>
  <si>
    <t>Peaker #1</t>
  </si>
  <si>
    <t>Peaker #1,2</t>
  </si>
  <si>
    <t>Peaker #3</t>
  </si>
  <si>
    <t>ST1S</t>
  </si>
  <si>
    <t>CT1A</t>
  </si>
  <si>
    <t>CT1B</t>
  </si>
  <si>
    <t>CT1C</t>
  </si>
  <si>
    <t>CT1D</t>
  </si>
  <si>
    <t>BK 4</t>
  </si>
  <si>
    <t>Peaker #3,4</t>
  </si>
  <si>
    <t>Spare</t>
  </si>
  <si>
    <t>BK 1</t>
  </si>
  <si>
    <t>Unit #1</t>
  </si>
  <si>
    <t>BK 2</t>
  </si>
  <si>
    <t>Unit #2</t>
  </si>
  <si>
    <t>BK 3</t>
  </si>
  <si>
    <t>Unit #3</t>
  </si>
  <si>
    <t>BK 7</t>
  </si>
  <si>
    <t>Peaker #5,6</t>
  </si>
  <si>
    <t>BK 8</t>
  </si>
  <si>
    <t>Peaker #7</t>
  </si>
  <si>
    <t>BK 9</t>
  </si>
  <si>
    <t>Peaker #9</t>
  </si>
  <si>
    <t>BK 10</t>
  </si>
  <si>
    <t>Peaker #8</t>
  </si>
  <si>
    <t>BK 11</t>
  </si>
  <si>
    <t>Peaker #10</t>
  </si>
  <si>
    <t>Peaker #12-14</t>
  </si>
  <si>
    <t>BK 12</t>
  </si>
  <si>
    <t>Peaker #11</t>
  </si>
  <si>
    <t>BK 1b</t>
  </si>
  <si>
    <t>Unit #4</t>
  </si>
  <si>
    <t>Unit #5</t>
  </si>
  <si>
    <t>Peaker #4,6</t>
  </si>
  <si>
    <t>Peaker #3,5</t>
  </si>
  <si>
    <t>ST2S</t>
  </si>
  <si>
    <t>CT2A</t>
  </si>
  <si>
    <t>CT2B</t>
  </si>
  <si>
    <t>ST3S</t>
  </si>
  <si>
    <t>CT3A</t>
  </si>
  <si>
    <t>CT3B</t>
  </si>
  <si>
    <t>All</t>
  </si>
  <si>
    <t>CT1</t>
  </si>
  <si>
    <t>ST1</t>
  </si>
  <si>
    <t>CT's</t>
  </si>
  <si>
    <t>CC's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</si>
</sst>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;\(0.00000\)"/>
    <numFmt numFmtId="165" formatCode="#,##0.00000_);\(#,##0.00000\)"/>
    <numFmt numFmtId="166" formatCode="#,##0.000_);\(#,##0.000\)"/>
    <numFmt numFmtId="167" formatCode="0.0%"/>
    <numFmt numFmtId="168" formatCode="0%_);\(0%\)"/>
    <numFmt numFmtId="169" formatCode="_(&quot;$&quot;* #,##0_);_(&quot;$&quot;* \(#,##0\);_(&quot;$&quot;* &quot;-&quot;??_);_(@_)"/>
    <numFmt numFmtId="170" formatCode="_(* #,##0_);_(* \(#,##0\);_(* &quot;-&quot;??_);_(@_)"/>
    <numFmt numFmtId="171" formatCode="General_)"/>
    <numFmt numFmtId="172" formatCode="_(* #,##0.00000_);_(* \(#,##0.00000\);_(* &quot;-&quot;??_);_(@_)"/>
    <numFmt numFmtId="173" formatCode="0.000000000_);\(0.000000000\)"/>
    <numFmt numFmtId="174" formatCode="#,##0.0000000000_);\(#,##0.0000000000\)"/>
    <numFmt numFmtId="175" formatCode="0.0000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Tahoma"/>
      <family val="2"/>
    </font>
    <font>
      <sz val="8"/>
      <name val="Arial Narrow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trike/>
      <sz val="10"/>
      <name val="Arial"/>
      <family val="2"/>
    </font>
    <font>
      <b/>
      <sz val="8"/>
      <name val="Arial"/>
      <family val="2"/>
    </font>
    <font>
      <vertAlign val="subscript"/>
      <sz val="10"/>
      <name val="Arial"/>
      <family val="2"/>
    </font>
    <font>
      <b/>
      <u/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2"/>
      <name val="Arial"/>
      <family val="2"/>
    </font>
    <font>
      <sz val="12"/>
      <color theme="9" tint="-0.499984740745262"/>
      <name val="Arial"/>
      <family val="2"/>
    </font>
    <font>
      <b/>
      <sz val="11"/>
      <color theme="1"/>
      <name val="Calibri"/>
      <family val="2"/>
      <scheme val="minor"/>
    </font>
    <font>
      <b/>
      <u/>
      <sz val="8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27"/>
        <bgColor indexed="64"/>
      </patternFill>
    </fill>
    <fill>
      <patternFill patternType="mediumGray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7" fillId="0" borderId="0" applyNumberFormat="0"/>
    <xf numFmtId="43" fontId="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0" fontId="18" fillId="2" borderId="0">
      <alignment horizontal="right"/>
    </xf>
    <xf numFmtId="14" fontId="4" fillId="3" borderId="1">
      <alignment horizontal="center" vertical="center" wrapText="1"/>
    </xf>
    <xf numFmtId="0" fontId="5" fillId="0" borderId="0"/>
    <xf numFmtId="0" fontId="3" fillId="0" borderId="0"/>
    <xf numFmtId="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9" fillId="0" borderId="0" applyNumberFormat="0" applyFont="0" applyFill="0" applyBorder="0" applyAlignment="0" applyProtection="0">
      <alignment horizontal="left"/>
    </xf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20" fillId="0" borderId="1">
      <alignment horizontal="center"/>
    </xf>
    <xf numFmtId="3" fontId="21" fillId="0" borderId="0" applyFill="0" applyBorder="0" applyAlignment="0" applyProtection="0"/>
    <xf numFmtId="0" fontId="19" fillId="4" borderId="0" applyNumberFormat="0" applyFont="0" applyBorder="0" applyAlignment="0" applyProtection="0"/>
    <xf numFmtId="39" fontId="22" fillId="0" borderId="0"/>
    <xf numFmtId="0" fontId="3" fillId="0" borderId="0" applyNumberFormat="0" applyFill="0" applyBorder="0" applyAlignment="0" applyProtection="0"/>
    <xf numFmtId="0" fontId="23" fillId="0" borderId="0" applyFill="0" applyBorder="0" applyProtection="0">
      <alignment horizontal="left" vertical="top"/>
    </xf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8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5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12" fillId="0" borderId="0" xfId="0" applyFont="1"/>
    <xf numFmtId="0" fontId="0" fillId="0" borderId="0" xfId="0" applyFill="1"/>
    <xf numFmtId="0" fontId="5" fillId="0" borderId="0" xfId="0" applyFont="1" applyFill="1" applyAlignment="1">
      <alignment horizontal="left" vertical="center"/>
    </xf>
    <xf numFmtId="37" fontId="0" fillId="0" borderId="0" xfId="0" applyNumberFormat="1" applyFill="1"/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4" fillId="0" borderId="0" xfId="0" applyFont="1" applyFill="1"/>
    <xf numFmtId="37" fontId="3" fillId="0" borderId="0" xfId="0" applyNumberFormat="1" applyFont="1" applyFill="1"/>
    <xf numFmtId="44" fontId="0" fillId="0" borderId="0" xfId="0" applyNumberFormat="1" applyFill="1" applyAlignment="1">
      <alignment horizontal="center"/>
    </xf>
    <xf numFmtId="37" fontId="0" fillId="0" borderId="0" xfId="0" applyNumberFormat="1" applyFill="1" applyAlignment="1">
      <alignment horizontal="right"/>
    </xf>
    <xf numFmtId="37" fontId="0" fillId="0" borderId="2" xfId="0" applyNumberFormat="1" applyFill="1" applyBorder="1"/>
    <xf numFmtId="165" fontId="0" fillId="0" borderId="0" xfId="0" applyNumberFormat="1" applyFill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10" fontId="0" fillId="0" borderId="0" xfId="0" applyNumberFormat="1" applyFill="1"/>
    <xf numFmtId="10" fontId="4" fillId="0" borderId="0" xfId="0" applyNumberFormat="1" applyFont="1" applyFill="1"/>
    <xf numFmtId="0" fontId="0" fillId="0" borderId="0" xfId="0" applyFill="1" applyAlignment="1">
      <alignment horizontal="center" vertical="center"/>
    </xf>
    <xf numFmtId="37" fontId="0" fillId="0" borderId="0" xfId="0" applyNumberFormat="1" applyFill="1" applyAlignment="1">
      <alignment horizontal="center" vertical="center"/>
    </xf>
    <xf numFmtId="37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3" fillId="0" borderId="0" xfId="0" applyFont="1" applyFill="1" applyAlignment="1">
      <alignment horizontal="center"/>
    </xf>
    <xf numFmtId="0" fontId="25" fillId="0" borderId="0" xfId="0" applyFont="1" applyFill="1"/>
    <xf numFmtId="0" fontId="3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37" fontId="0" fillId="0" borderId="0" xfId="0" applyNumberFormat="1" applyFill="1" applyAlignment="1">
      <alignment horizontal="left"/>
    </xf>
    <xf numFmtId="37" fontId="16" fillId="0" borderId="0" xfId="0" applyNumberFormat="1" applyFont="1" applyFill="1"/>
    <xf numFmtId="37" fontId="24" fillId="0" borderId="0" xfId="0" applyNumberFormat="1" applyFont="1" applyFill="1"/>
    <xf numFmtId="37" fontId="15" fillId="0" borderId="0" xfId="0" applyNumberFormat="1" applyFont="1" applyFill="1"/>
    <xf numFmtId="37" fontId="4" fillId="0" borderId="0" xfId="0" applyNumberFormat="1" applyFont="1" applyFill="1" applyAlignment="1">
      <alignment horizontal="center" vertical="center"/>
    </xf>
    <xf numFmtId="37" fontId="16" fillId="0" borderId="0" xfId="0" applyNumberFormat="1" applyFont="1" applyFill="1" applyAlignment="1">
      <alignment horizontal="center"/>
    </xf>
    <xf numFmtId="37" fontId="0" fillId="0" borderId="0" xfId="0" applyNumberFormat="1" applyFill="1" applyAlignment="1">
      <alignment horizontal="center"/>
    </xf>
    <xf numFmtId="37" fontId="16" fillId="0" borderId="6" xfId="0" applyNumberFormat="1" applyFont="1" applyFill="1" applyBorder="1"/>
    <xf numFmtId="37" fontId="16" fillId="0" borderId="0" xfId="0" applyNumberFormat="1" applyFont="1" applyFill="1" applyBorder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0" xfId="0" quotePrefix="1" applyFill="1" applyAlignment="1">
      <alignment horizontal="center"/>
    </xf>
    <xf numFmtId="2" fontId="0" fillId="0" borderId="0" xfId="0" applyNumberFormat="1" applyFill="1" applyBorder="1"/>
    <xf numFmtId="2" fontId="0" fillId="0" borderId="0" xfId="0" applyNumberFormat="1" applyFill="1" applyBorder="1" applyAlignment="1">
      <alignment horizontal="center"/>
    </xf>
    <xf numFmtId="39" fontId="0" fillId="0" borderId="0" xfId="0" applyNumberFormat="1" applyFill="1"/>
    <xf numFmtId="0" fontId="0" fillId="0" borderId="0" xfId="0" applyFill="1" applyAlignment="1">
      <alignment horizontal="left" vertical="center"/>
    </xf>
    <xf numFmtId="39" fontId="0" fillId="0" borderId="0" xfId="0" applyNumberFormat="1" applyFill="1" applyAlignment="1">
      <alignment vertical="center"/>
    </xf>
    <xf numFmtId="37" fontId="0" fillId="0" borderId="0" xfId="0" applyNumberFormat="1" applyFill="1" applyBorder="1"/>
    <xf numFmtId="37" fontId="0" fillId="0" borderId="7" xfId="0" applyNumberFormat="1" applyFill="1" applyBorder="1"/>
    <xf numFmtId="37" fontId="24" fillId="0" borderId="0" xfId="0" applyNumberFormat="1" applyFont="1" applyFill="1" applyAlignment="1">
      <alignment horizontal="center"/>
    </xf>
    <xf numFmtId="38" fontId="0" fillId="0" borderId="0" xfId="0" applyNumberFormat="1" applyFill="1"/>
    <xf numFmtId="37" fontId="4" fillId="0" borderId="2" xfId="0" applyNumberFormat="1" applyFont="1" applyFill="1" applyBorder="1"/>
    <xf numFmtId="37" fontId="4" fillId="0" borderId="0" xfId="0" applyNumberFormat="1" applyFont="1" applyFill="1"/>
    <xf numFmtId="166" fontId="0" fillId="0" borderId="0" xfId="0" applyNumberFormat="1" applyFill="1"/>
    <xf numFmtId="0" fontId="5" fillId="0" borderId="0" xfId="0" applyFont="1" applyFill="1"/>
    <xf numFmtId="0" fontId="0" fillId="0" borderId="0" xfId="0" applyFill="1" applyAlignment="1">
      <alignment horizontal="center" vertical="center" wrapText="1"/>
    </xf>
    <xf numFmtId="0" fontId="28" fillId="0" borderId="0" xfId="0" applyFont="1"/>
    <xf numFmtId="169" fontId="3" fillId="0" borderId="0" xfId="6" applyNumberFormat="1"/>
    <xf numFmtId="0" fontId="0" fillId="0" borderId="0" xfId="0" applyNumberFormat="1"/>
    <xf numFmtId="9" fontId="3" fillId="0" borderId="0" xfId="11"/>
    <xf numFmtId="0" fontId="4" fillId="5" borderId="0" xfId="0" applyFont="1" applyFill="1" applyBorder="1"/>
    <xf numFmtId="0" fontId="0" fillId="5" borderId="0" xfId="0" applyFill="1"/>
    <xf numFmtId="0" fontId="29" fillId="0" borderId="0" xfId="0" applyFont="1" applyFill="1"/>
    <xf numFmtId="0" fontId="0" fillId="0" borderId="3" xfId="0" applyBorder="1" applyAlignment="1">
      <alignment horizontal="center"/>
    </xf>
    <xf numFmtId="169" fontId="0" fillId="0" borderId="0" xfId="0" applyNumberFormat="1"/>
    <xf numFmtId="0" fontId="0" fillId="0" borderId="1" xfId="0" applyBorder="1"/>
    <xf numFmtId="0" fontId="4" fillId="0" borderId="1" xfId="0" applyFont="1" applyBorder="1" applyAlignment="1">
      <alignment horizontal="center"/>
    </xf>
    <xf numFmtId="169" fontId="0" fillId="0" borderId="0" xfId="0" applyNumberFormat="1" applyFill="1"/>
    <xf numFmtId="0" fontId="4" fillId="0" borderId="0" xfId="0" applyFont="1" applyBorder="1"/>
    <xf numFmtId="169" fontId="4" fillId="0" borderId="6" xfId="0" applyNumberFormat="1" applyFont="1" applyBorder="1"/>
    <xf numFmtId="0" fontId="4" fillId="0" borderId="1" xfId="0" applyFont="1" applyBorder="1"/>
    <xf numFmtId="0" fontId="3" fillId="0" borderId="0" xfId="10" applyFill="1"/>
    <xf numFmtId="0" fontId="5" fillId="0" borderId="0" xfId="0" applyFont="1" applyFill="1" applyAlignment="1">
      <alignment horizontal="center"/>
    </xf>
    <xf numFmtId="37" fontId="5" fillId="0" borderId="0" xfId="0" applyNumberFormat="1" applyFont="1" applyFill="1"/>
    <xf numFmtId="37" fontId="3" fillId="0" borderId="0" xfId="10" applyNumberFormat="1" applyFill="1"/>
    <xf numFmtId="37" fontId="6" fillId="0" borderId="0" xfId="10" applyNumberFormat="1" applyFont="1" applyFill="1"/>
    <xf numFmtId="169" fontId="3" fillId="6" borderId="0" xfId="6" applyNumberFormat="1" applyFont="1" applyFill="1" applyAlignment="1">
      <alignment horizontal="right"/>
    </xf>
    <xf numFmtId="5" fontId="3" fillId="0" borderId="0" xfId="10" applyNumberFormat="1" applyFill="1"/>
    <xf numFmtId="37" fontId="4" fillId="0" borderId="0" xfId="10" applyNumberFormat="1" applyFont="1" applyFill="1" applyAlignment="1">
      <alignment horizontal="center" vertical="center"/>
    </xf>
    <xf numFmtId="37" fontId="14" fillId="0" borderId="0" xfId="10" applyNumberFormat="1" applyFont="1" applyFill="1"/>
    <xf numFmtId="169" fontId="5" fillId="6" borderId="0" xfId="0" applyNumberFormat="1" applyFont="1" applyFill="1"/>
    <xf numFmtId="37" fontId="4" fillId="0" borderId="0" xfId="5" applyNumberFormat="1" applyFont="1" applyFill="1"/>
    <xf numFmtId="37" fontId="0" fillId="0" borderId="0" xfId="0" applyNumberFormat="1" applyFill="1" applyAlignment="1">
      <alignment horizontal="right" vertical="center"/>
    </xf>
    <xf numFmtId="37" fontId="11" fillId="0" borderId="0" xfId="0" applyNumberFormat="1" applyFont="1" applyFill="1" applyBorder="1"/>
    <xf numFmtId="37" fontId="5" fillId="0" borderId="0" xfId="0" applyNumberFormat="1" applyFont="1" applyFill="1" applyBorder="1"/>
    <xf numFmtId="0" fontId="3" fillId="0" borderId="0" xfId="0" applyFont="1"/>
    <xf numFmtId="0" fontId="3" fillId="0" borderId="0" xfId="0" applyFont="1" applyFill="1"/>
    <xf numFmtId="37" fontId="6" fillId="0" borderId="0" xfId="0" applyNumberFormat="1" applyFont="1" applyFill="1"/>
    <xf numFmtId="0" fontId="28" fillId="0" borderId="0" xfId="0" applyFont="1" applyFill="1"/>
    <xf numFmtId="37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/>
    <xf numFmtId="0" fontId="25" fillId="0" borderId="0" xfId="0" applyFont="1" applyFill="1" applyAlignment="1">
      <alignment horizontal="center"/>
    </xf>
    <xf numFmtId="164" fontId="25" fillId="0" borderId="0" xfId="0" applyNumberFormat="1" applyFont="1" applyFill="1"/>
    <xf numFmtId="37" fontId="25" fillId="0" borderId="0" xfId="0" applyNumberFormat="1" applyFont="1" applyFill="1"/>
    <xf numFmtId="37" fontId="3" fillId="0" borderId="3" xfId="0" applyNumberFormat="1" applyFont="1" applyFill="1" applyBorder="1"/>
    <xf numFmtId="164" fontId="3" fillId="0" borderId="0" xfId="0" applyNumberFormat="1" applyFont="1" applyFill="1"/>
    <xf numFmtId="0" fontId="3" fillId="0" borderId="0" xfId="0" applyFont="1" applyFill="1" applyAlignment="1">
      <alignment horizontal="left"/>
    </xf>
    <xf numFmtId="42" fontId="4" fillId="0" borderId="3" xfId="0" applyNumberFormat="1" applyFont="1" applyFill="1" applyBorder="1"/>
    <xf numFmtId="0" fontId="4" fillId="0" borderId="3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37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3" fillId="0" borderId="0" xfId="22" applyNumberFormat="1" applyFont="1" applyFill="1"/>
    <xf numFmtId="5" fontId="3" fillId="0" borderId="0" xfId="22" applyNumberFormat="1" applyFont="1" applyFill="1"/>
    <xf numFmtId="0" fontId="3" fillId="0" borderId="0" xfId="22" applyNumberFormat="1" applyFont="1" applyFill="1" applyAlignment="1">
      <alignment horizontal="center"/>
    </xf>
    <xf numFmtId="37" fontId="3" fillId="0" borderId="0" xfId="22" applyNumberFormat="1" applyFont="1" applyFill="1"/>
    <xf numFmtId="37" fontId="9" fillId="0" borderId="11" xfId="22" applyNumberFormat="1" applyFont="1" applyFill="1" applyBorder="1"/>
    <xf numFmtId="37" fontId="9" fillId="0" borderId="0" xfId="22" applyNumberFormat="1" applyFont="1" applyFill="1" applyBorder="1"/>
    <xf numFmtId="0" fontId="3" fillId="0" borderId="0" xfId="22" quotePrefix="1" applyNumberFormat="1" applyFont="1" applyFill="1" applyAlignment="1">
      <alignment horizontal="left"/>
    </xf>
    <xf numFmtId="37" fontId="9" fillId="0" borderId="13" xfId="22" applyNumberFormat="1" applyFont="1" applyFill="1" applyBorder="1"/>
    <xf numFmtId="0" fontId="3" fillId="0" borderId="0" xfId="22" applyFont="1" applyFill="1"/>
    <xf numFmtId="0" fontId="3" fillId="0" borderId="0" xfId="22" applyNumberFormat="1" applyFont="1" applyFill="1" applyBorder="1"/>
    <xf numFmtId="0" fontId="3" fillId="0" borderId="0" xfId="22" applyNumberFormat="1" applyFont="1" applyFill="1" applyBorder="1" applyAlignment="1">
      <alignment horizontal="left"/>
    </xf>
    <xf numFmtId="0" fontId="3" fillId="0" borderId="0" xfId="22" quotePrefix="1" applyNumberFormat="1" applyFont="1" applyFill="1" applyBorder="1" applyAlignment="1">
      <alignment horizontal="left"/>
    </xf>
    <xf numFmtId="37" fontId="3" fillId="0" borderId="0" xfId="22" applyNumberFormat="1" applyFont="1" applyFill="1" applyBorder="1" applyAlignment="1">
      <alignment horizontal="center"/>
    </xf>
    <xf numFmtId="37" fontId="3" fillId="0" borderId="0" xfId="22" applyNumberFormat="1" applyFont="1" applyFill="1" applyBorder="1"/>
    <xf numFmtId="37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37" fontId="6" fillId="0" borderId="0" xfId="0" applyNumberFormat="1" applyFont="1" applyFill="1" applyAlignment="1">
      <alignment vertical="center"/>
    </xf>
    <xf numFmtId="170" fontId="3" fillId="0" borderId="0" xfId="2" applyNumberFormat="1" applyFont="1" applyFill="1"/>
    <xf numFmtId="0" fontId="3" fillId="0" borderId="0" xfId="0" applyFont="1" applyFill="1" applyBorder="1"/>
    <xf numFmtId="0" fontId="3" fillId="0" borderId="0" xfId="0" applyNumberFormat="1" applyFont="1" applyFill="1"/>
    <xf numFmtId="0" fontId="17" fillId="0" borderId="0" xfId="0" applyNumberFormat="1" applyFont="1" applyFill="1" applyAlignment="1">
      <alignment horizontal="center"/>
    </xf>
    <xf numFmtId="170" fontId="0" fillId="0" borderId="0" xfId="0" applyNumberFormat="1"/>
    <xf numFmtId="0" fontId="42" fillId="0" borderId="0" xfId="0" applyFont="1" applyFill="1"/>
    <xf numFmtId="37" fontId="4" fillId="0" borderId="0" xfId="0" applyNumberFormat="1" applyFont="1" applyFill="1" applyBorder="1"/>
    <xf numFmtId="0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right" wrapText="1"/>
    </xf>
    <xf numFmtId="0" fontId="0" fillId="0" borderId="0" xfId="0" applyFill="1" applyBorder="1"/>
    <xf numFmtId="0" fontId="44" fillId="0" borderId="0" xfId="0" applyFont="1" applyFill="1" applyBorder="1"/>
    <xf numFmtId="0" fontId="17" fillId="0" borderId="0" xfId="0" applyFont="1" applyFill="1" applyBorder="1"/>
    <xf numFmtId="170" fontId="45" fillId="0" borderId="0" xfId="2" quotePrefix="1" applyNumberFormat="1" applyFont="1" applyFill="1" applyBorder="1"/>
    <xf numFmtId="0" fontId="3" fillId="0" borderId="21" xfId="0" applyFont="1" applyFill="1" applyBorder="1" applyAlignment="1">
      <alignment horizontal="center" wrapText="1"/>
    </xf>
    <xf numFmtId="170" fontId="3" fillId="0" borderId="0" xfId="0" applyNumberFormat="1" applyFont="1" applyFill="1" applyBorder="1"/>
    <xf numFmtId="0" fontId="4" fillId="6" borderId="22" xfId="0" applyFont="1" applyFill="1" applyBorder="1" applyAlignment="1">
      <alignment horizontal="left"/>
    </xf>
    <xf numFmtId="0" fontId="4" fillId="6" borderId="23" xfId="0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/>
    </xf>
    <xf numFmtId="170" fontId="0" fillId="0" borderId="18" xfId="2" applyNumberFormat="1" applyFont="1" applyFill="1" applyBorder="1"/>
    <xf numFmtId="0" fontId="3" fillId="0" borderId="17" xfId="0" applyFont="1" applyFill="1" applyBorder="1" applyAlignment="1">
      <alignment horizontal="left" indent="3"/>
    </xf>
    <xf numFmtId="170" fontId="3" fillId="0" borderId="0" xfId="2" applyNumberFormat="1" applyFont="1" applyFill="1" applyBorder="1"/>
    <xf numFmtId="0" fontId="3" fillId="0" borderId="17" xfId="0" applyFont="1" applyFill="1" applyBorder="1"/>
    <xf numFmtId="0" fontId="3" fillId="0" borderId="0" xfId="0" applyFont="1" applyFill="1" applyBorder="1" applyAlignment="1">
      <alignment horizontal="center"/>
    </xf>
    <xf numFmtId="37" fontId="4" fillId="0" borderId="0" xfId="0" applyNumberFormat="1" applyFont="1" applyFill="1" applyAlignment="1">
      <alignment horizontal="centerContinuous"/>
    </xf>
    <xf numFmtId="37" fontId="4" fillId="0" borderId="0" xfId="0" applyNumberFormat="1" applyFont="1" applyFill="1" applyAlignment="1">
      <alignment horizontal="left" indent="1"/>
    </xf>
    <xf numFmtId="37" fontId="4" fillId="0" borderId="6" xfId="0" applyNumberFormat="1" applyFont="1" applyFill="1" applyBorder="1" applyAlignment="1">
      <alignment horizontal="left" indent="1"/>
    </xf>
    <xf numFmtId="0" fontId="0" fillId="0" borderId="0" xfId="0" applyFill="1" applyAlignment="1">
      <alignment horizontal="center"/>
    </xf>
    <xf numFmtId="0" fontId="0" fillId="0" borderId="1" xfId="0" applyFill="1" applyBorder="1"/>
    <xf numFmtId="169" fontId="3" fillId="0" borderId="0" xfId="6" applyNumberFormat="1" applyFill="1"/>
    <xf numFmtId="169" fontId="4" fillId="0" borderId="6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center"/>
    </xf>
    <xf numFmtId="169" fontId="4" fillId="0" borderId="0" xfId="6" applyNumberFormat="1" applyFont="1" applyFill="1"/>
    <xf numFmtId="0" fontId="4" fillId="0" borderId="0" xfId="0" applyFont="1" applyFill="1" applyBorder="1"/>
    <xf numFmtId="170" fontId="3" fillId="0" borderId="0" xfId="3" applyNumberFormat="1" applyFont="1" applyFill="1"/>
    <xf numFmtId="170" fontId="0" fillId="0" borderId="0" xfId="2" applyNumberFormat="1" applyFont="1" applyFill="1"/>
    <xf numFmtId="0" fontId="0" fillId="0" borderId="21" xfId="0" applyFill="1" applyBorder="1" applyAlignment="1">
      <alignment horizontal="center" wrapText="1"/>
    </xf>
    <xf numFmtId="0" fontId="4" fillId="0" borderId="3" xfId="10" applyFont="1" applyFill="1" applyBorder="1" applyAlignment="1">
      <alignment horizontal="center"/>
    </xf>
    <xf numFmtId="0" fontId="4" fillId="0" borderId="17" xfId="0" applyFont="1" applyFill="1" applyBorder="1"/>
    <xf numFmtId="0" fontId="0" fillId="0" borderId="19" xfId="0" applyFill="1" applyBorder="1"/>
    <xf numFmtId="0" fontId="4" fillId="0" borderId="14" xfId="0" applyFont="1" applyFill="1" applyBorder="1"/>
    <xf numFmtId="0" fontId="0" fillId="0" borderId="15" xfId="0" applyFill="1" applyBorder="1"/>
    <xf numFmtId="0" fontId="0" fillId="0" borderId="16" xfId="0" applyFill="1" applyBorder="1"/>
    <xf numFmtId="0" fontId="28" fillId="0" borderId="14" xfId="0" applyFont="1" applyFill="1" applyBorder="1" applyAlignment="1">
      <alignment horizontal="left"/>
    </xf>
    <xf numFmtId="0" fontId="28" fillId="0" borderId="15" xfId="0" applyFont="1" applyFill="1" applyBorder="1" applyAlignment="1">
      <alignment horizontal="right"/>
    </xf>
    <xf numFmtId="0" fontId="28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3"/>
    </xf>
    <xf numFmtId="0" fontId="0" fillId="0" borderId="18" xfId="0" applyFill="1" applyBorder="1"/>
    <xf numFmtId="170" fontId="0" fillId="0" borderId="0" xfId="0" applyNumberFormat="1" applyFill="1" applyBorder="1"/>
    <xf numFmtId="0" fontId="3" fillId="0" borderId="3" xfId="0" applyFont="1" applyFill="1" applyBorder="1" applyAlignment="1">
      <alignment horizontal="left" indent="3"/>
    </xf>
    <xf numFmtId="0" fontId="24" fillId="0" borderId="0" xfId="0" applyFont="1" applyFill="1" applyBorder="1" applyAlignment="1">
      <alignment horizontal="center"/>
    </xf>
    <xf numFmtId="0" fontId="0" fillId="0" borderId="25" xfId="0" applyFill="1" applyBorder="1"/>
    <xf numFmtId="0" fontId="24" fillId="0" borderId="18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center"/>
    </xf>
    <xf numFmtId="170" fontId="4" fillId="0" borderId="18" xfId="0" applyNumberFormat="1" applyFont="1" applyFill="1" applyBorder="1"/>
    <xf numFmtId="0" fontId="0" fillId="0" borderId="3" xfId="0" applyFill="1" applyBorder="1"/>
    <xf numFmtId="0" fontId="0" fillId="0" borderId="20" xfId="0" applyFill="1" applyBorder="1"/>
    <xf numFmtId="0" fontId="28" fillId="0" borderId="0" xfId="0" applyFont="1" applyFill="1" applyBorder="1" applyAlignment="1">
      <alignment horizontal="center"/>
    </xf>
    <xf numFmtId="0" fontId="4" fillId="0" borderId="18" xfId="0" applyFont="1" applyFill="1" applyBorder="1"/>
    <xf numFmtId="0" fontId="0" fillId="0" borderId="17" xfId="0" applyFill="1" applyBorder="1"/>
    <xf numFmtId="170" fontId="4" fillId="0" borderId="20" xfId="0" applyNumberFormat="1" applyFont="1" applyFill="1" applyBorder="1"/>
    <xf numFmtId="0" fontId="17" fillId="0" borderId="0" xfId="0" applyFont="1" applyFill="1"/>
    <xf numFmtId="0" fontId="37" fillId="0" borderId="0" xfId="0" applyFont="1" applyFill="1"/>
    <xf numFmtId="170" fontId="17" fillId="0" borderId="0" xfId="2" applyNumberFormat="1" applyFont="1" applyFill="1"/>
    <xf numFmtId="0" fontId="4" fillId="0" borderId="0" xfId="2" applyNumberFormat="1" applyFont="1" applyFill="1" applyBorder="1"/>
    <xf numFmtId="165" fontId="8" fillId="0" borderId="0" xfId="0" applyNumberFormat="1" applyFont="1" applyFill="1"/>
    <xf numFmtId="0" fontId="0" fillId="0" borderId="0" xfId="0" applyNumberFormat="1" applyFont="1" applyFill="1" applyBorder="1"/>
    <xf numFmtId="170" fontId="4" fillId="0" borderId="0" xfId="0" applyNumberFormat="1" applyFont="1" applyFill="1" applyBorder="1"/>
    <xf numFmtId="0" fontId="3" fillId="0" borderId="0" xfId="0" applyNumberFormat="1" applyFont="1" applyFill="1" applyBorder="1"/>
    <xf numFmtId="37" fontId="17" fillId="0" borderId="0" xfId="0" applyNumberFormat="1" applyFont="1" applyFill="1" applyAlignment="1">
      <alignment horizontal="center"/>
    </xf>
    <xf numFmtId="170" fontId="4" fillId="0" borderId="0" xfId="2" applyNumberFormat="1" applyFont="1" applyFill="1" applyBorder="1"/>
    <xf numFmtId="170" fontId="4" fillId="0" borderId="3" xfId="2" applyNumberFormat="1" applyFont="1" applyFill="1" applyBorder="1"/>
    <xf numFmtId="170" fontId="4" fillId="0" borderId="27" xfId="2" applyNumberFormat="1" applyFont="1" applyFill="1" applyBorder="1"/>
    <xf numFmtId="0" fontId="4" fillId="0" borderId="27" xfId="0" applyFont="1" applyFill="1" applyBorder="1"/>
    <xf numFmtId="164" fontId="3" fillId="0" borderId="0" xfId="23" applyNumberFormat="1" applyFont="1" applyFill="1"/>
    <xf numFmtId="0" fontId="3" fillId="0" borderId="0" xfId="23" applyFill="1"/>
    <xf numFmtId="0" fontId="48" fillId="0" borderId="0" xfId="0" applyFont="1" applyFill="1"/>
    <xf numFmtId="175" fontId="48" fillId="0" borderId="0" xfId="0" applyNumberFormat="1" applyFont="1" applyFill="1" applyBorder="1"/>
    <xf numFmtId="175" fontId="48" fillId="0" borderId="18" xfId="0" applyNumberFormat="1" applyFont="1" applyFill="1" applyBorder="1"/>
    <xf numFmtId="0" fontId="12" fillId="0" borderId="0" xfId="10" applyFont="1" applyFill="1"/>
    <xf numFmtId="0" fontId="4" fillId="0" borderId="3" xfId="10" applyFont="1" applyFill="1" applyBorder="1"/>
    <xf numFmtId="0" fontId="3" fillId="0" borderId="3" xfId="10" applyFill="1" applyBorder="1"/>
    <xf numFmtId="0" fontId="4" fillId="0" borderId="0" xfId="10" applyFont="1" applyFill="1" applyAlignment="1">
      <alignment horizontal="center"/>
    </xf>
    <xf numFmtId="0" fontId="28" fillId="0" borderId="0" xfId="10" applyFont="1" applyFill="1" applyAlignment="1">
      <alignment horizontal="left"/>
    </xf>
    <xf numFmtId="0" fontId="3" fillId="0" borderId="0" xfId="10" applyFill="1" applyAlignment="1">
      <alignment horizontal="left" indent="1"/>
    </xf>
    <xf numFmtId="0" fontId="3" fillId="0" borderId="0" xfId="10" applyFill="1" applyAlignment="1">
      <alignment horizontal="left"/>
    </xf>
    <xf numFmtId="0" fontId="5" fillId="0" borderId="0" xfId="10" applyFont="1" applyFill="1"/>
    <xf numFmtId="0" fontId="4" fillId="0" borderId="0" xfId="10" applyFont="1" applyFill="1"/>
    <xf numFmtId="0" fontId="3" fillId="0" borderId="0" xfId="10" applyFill="1" applyAlignment="1">
      <alignment horizontal="left" indent="2"/>
    </xf>
    <xf numFmtId="0" fontId="28" fillId="0" borderId="0" xfId="10" applyFont="1" applyFill="1"/>
    <xf numFmtId="0" fontId="3" fillId="0" borderId="0" xfId="10" applyFont="1" applyFill="1" applyAlignment="1">
      <alignment horizontal="left" indent="1"/>
    </xf>
    <xf numFmtId="10" fontId="3" fillId="0" borderId="0" xfId="11" applyNumberFormat="1" applyFill="1"/>
    <xf numFmtId="167" fontId="3" fillId="0" borderId="0" xfId="10" applyNumberFormat="1" applyFill="1"/>
    <xf numFmtId="0" fontId="4" fillId="0" borderId="0" xfId="10" applyFont="1" applyFill="1" applyAlignment="1">
      <alignment horizontal="left" indent="1"/>
    </xf>
    <xf numFmtId="0" fontId="3" fillId="0" borderId="0" xfId="10" applyFont="1" applyFill="1"/>
    <xf numFmtId="169" fontId="3" fillId="0" borderId="0" xfId="6" applyNumberFormat="1" applyFont="1" applyFill="1"/>
    <xf numFmtId="37" fontId="4" fillId="0" borderId="0" xfId="10" applyNumberFormat="1" applyFont="1" applyFill="1"/>
    <xf numFmtId="10" fontId="4" fillId="0" borderId="2" xfId="0" applyNumberFormat="1" applyFont="1" applyFill="1" applyBorder="1"/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12" fillId="0" borderId="0" xfId="0" applyFont="1" applyFill="1" applyAlignment="1"/>
    <xf numFmtId="0" fontId="12" fillId="0" borderId="0" xfId="0" applyFont="1" applyFill="1" applyAlignment="1">
      <alignment horizontal="left"/>
    </xf>
    <xf numFmtId="37" fontId="4" fillId="0" borderId="0" xfId="0" applyNumberFormat="1" applyFont="1" applyFill="1" applyAlignment="1">
      <alignment horizontal="center"/>
    </xf>
    <xf numFmtId="37" fontId="3" fillId="6" borderId="0" xfId="10" applyNumberFormat="1" applyFill="1"/>
    <xf numFmtId="37" fontId="16" fillId="6" borderId="9" xfId="10" applyNumberFormat="1" applyFont="1" applyFill="1" applyBorder="1"/>
    <xf numFmtId="37" fontId="16" fillId="6" borderId="8" xfId="10" applyNumberFormat="1" applyFont="1" applyFill="1" applyBorder="1"/>
    <xf numFmtId="37" fontId="16" fillId="6" borderId="10" xfId="10" applyNumberFormat="1" applyFont="1" applyFill="1" applyBorder="1"/>
    <xf numFmtId="0" fontId="4" fillId="6" borderId="8" xfId="10" applyFont="1" applyFill="1" applyBorder="1"/>
    <xf numFmtId="5" fontId="4" fillId="7" borderId="8" xfId="10" applyNumberFormat="1" applyFont="1" applyFill="1" applyBorder="1"/>
    <xf numFmtId="0" fontId="4" fillId="7" borderId="8" xfId="10" applyFont="1" applyFill="1" applyBorder="1"/>
    <xf numFmtId="169" fontId="3" fillId="6" borderId="0" xfId="6" applyNumberFormat="1" applyFill="1"/>
    <xf numFmtId="9" fontId="3" fillId="6" borderId="0" xfId="11" applyFill="1"/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12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37" fontId="4" fillId="0" borderId="0" xfId="0" applyNumberFormat="1" applyFont="1" applyFill="1" applyAlignment="1">
      <alignment horizontal="center"/>
    </xf>
    <xf numFmtId="0" fontId="3" fillId="0" borderId="0" xfId="10" applyFill="1" applyAlignment="1">
      <alignment horizontal="left"/>
    </xf>
    <xf numFmtId="0" fontId="4" fillId="0" borderId="0" xfId="10" applyFont="1" applyFill="1" applyAlignment="1">
      <alignment horizontal="center"/>
    </xf>
    <xf numFmtId="0" fontId="3" fillId="0" borderId="0" xfId="10" applyFill="1" applyAlignment="1">
      <alignment horizontal="center"/>
    </xf>
    <xf numFmtId="0" fontId="3" fillId="0" borderId="0" xfId="0" applyFont="1" applyFill="1" applyAlignment="1">
      <alignment vertical="center" wrapText="1"/>
    </xf>
    <xf numFmtId="37" fontId="3" fillId="0" borderId="0" xfId="0" applyNumberFormat="1" applyFont="1" applyFill="1" applyAlignment="1">
      <alignment horizontal="right" vertical="center"/>
    </xf>
    <xf numFmtId="37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72" fontId="0" fillId="0" borderId="0" xfId="2" applyNumberFormat="1" applyFont="1" applyFill="1"/>
    <xf numFmtId="170" fontId="0" fillId="0" borderId="0" xfId="0" applyNumberFormat="1" applyFill="1"/>
    <xf numFmtId="37" fontId="3" fillId="0" borderId="0" xfId="0" applyNumberFormat="1" applyFont="1" applyFill="1" applyAlignment="1">
      <alignment horizontal="right"/>
    </xf>
    <xf numFmtId="174" fontId="0" fillId="0" borderId="0" xfId="0" applyNumberFormat="1" applyFill="1"/>
    <xf numFmtId="10" fontId="6" fillId="0" borderId="0" xfId="0" applyNumberFormat="1" applyFont="1" applyFill="1"/>
    <xf numFmtId="0" fontId="0" fillId="0" borderId="0" xfId="0" applyFill="1" applyBorder="1" applyAlignment="1">
      <alignment horizontal="center"/>
    </xf>
    <xf numFmtId="170" fontId="3" fillId="0" borderId="3" xfId="2" applyNumberFormat="1" applyFont="1" applyFill="1" applyBorder="1"/>
    <xf numFmtId="170" fontId="0" fillId="0" borderId="18" xfId="0" applyNumberFormat="1" applyFill="1" applyBorder="1"/>
    <xf numFmtId="0" fontId="0" fillId="0" borderId="17" xfId="0" applyFill="1" applyBorder="1" applyAlignment="1">
      <alignment horizontal="right"/>
    </xf>
    <xf numFmtId="170" fontId="0" fillId="0" borderId="25" xfId="0" applyNumberFormat="1" applyFill="1" applyBorder="1"/>
    <xf numFmtId="170" fontId="0" fillId="0" borderId="26" xfId="0" applyNumberFormat="1" applyFill="1" applyBorder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/>
    <xf numFmtId="0" fontId="4" fillId="0" borderId="0" xfId="0" quotePrefix="1" applyFont="1" applyFill="1"/>
    <xf numFmtId="0" fontId="15" fillId="0" borderId="0" xfId="0" applyFont="1" applyFill="1"/>
    <xf numFmtId="0" fontId="26" fillId="0" borderId="0" xfId="0" applyFont="1" applyFill="1"/>
    <xf numFmtId="37" fontId="4" fillId="0" borderId="6" xfId="6" applyNumberFormat="1" applyFont="1" applyFill="1" applyBorder="1"/>
    <xf numFmtId="0" fontId="39" fillId="0" borderId="0" xfId="0" applyFont="1" applyFill="1" applyBorder="1"/>
    <xf numFmtId="0" fontId="40" fillId="0" borderId="0" xfId="0" applyFont="1" applyFill="1" applyBorder="1"/>
    <xf numFmtId="170" fontId="40" fillId="0" borderId="0" xfId="2" applyNumberFormat="1" applyFont="1" applyFill="1" applyBorder="1"/>
    <xf numFmtId="170" fontId="40" fillId="0" borderId="0" xfId="2" quotePrefix="1" applyNumberFormat="1" applyFont="1" applyFill="1" applyBorder="1"/>
    <xf numFmtId="170" fontId="40" fillId="0" borderId="0" xfId="2" applyNumberFormat="1" applyFont="1" applyFill="1"/>
    <xf numFmtId="0" fontId="41" fillId="0" borderId="0" xfId="0" applyFont="1" applyFill="1" applyBorder="1"/>
    <xf numFmtId="0" fontId="46" fillId="0" borderId="0" xfId="0" applyFont="1" applyFill="1" applyBorder="1"/>
    <xf numFmtId="170" fontId="41" fillId="0" borderId="0" xfId="2" applyNumberFormat="1" applyFont="1" applyFill="1" applyBorder="1"/>
    <xf numFmtId="0" fontId="43" fillId="0" borderId="0" xfId="0" applyFont="1" applyFill="1" applyBorder="1"/>
    <xf numFmtId="0" fontId="42" fillId="0" borderId="0" xfId="0" applyFont="1" applyFill="1" applyBorder="1"/>
    <xf numFmtId="170" fontId="41" fillId="0" borderId="0" xfId="0" applyNumberFormat="1" applyFont="1" applyFill="1" applyBorder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37" fontId="32" fillId="0" borderId="0" xfId="0" applyNumberFormat="1" applyFont="1" applyFill="1" applyBorder="1"/>
    <xf numFmtId="37" fontId="4" fillId="0" borderId="1" xfId="0" applyNumberFormat="1" applyFont="1" applyFill="1" applyBorder="1"/>
    <xf numFmtId="0" fontId="3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/>
    <xf numFmtId="0" fontId="3" fillId="0" borderId="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37" fontId="3" fillId="0" borderId="27" xfId="22" applyNumberFormat="1" applyFont="1" applyFill="1" applyBorder="1"/>
    <xf numFmtId="37" fontId="9" fillId="0" borderId="4" xfId="0" applyNumberFormat="1" applyFont="1" applyFill="1" applyBorder="1"/>
    <xf numFmtId="37" fontId="9" fillId="0" borderId="0" xfId="0" applyNumberFormat="1" applyFont="1" applyFill="1" applyBorder="1"/>
    <xf numFmtId="5" fontId="9" fillId="0" borderId="12" xfId="0" applyNumberFormat="1" applyFont="1" applyFill="1" applyBorder="1"/>
    <xf numFmtId="5" fontId="9" fillId="0" borderId="0" xfId="0" applyNumberFormat="1" applyFont="1" applyFill="1" applyBorder="1"/>
    <xf numFmtId="5" fontId="9" fillId="0" borderId="5" xfId="0" applyNumberFormat="1" applyFont="1" applyFill="1" applyBorder="1"/>
    <xf numFmtId="0" fontId="5" fillId="0" borderId="0" xfId="0" applyFont="1" applyFill="1" applyAlignment="1">
      <alignment vertical="center"/>
    </xf>
    <xf numFmtId="0" fontId="5" fillId="0" borderId="0" xfId="0" applyNumberFormat="1" applyFont="1" applyFill="1"/>
    <xf numFmtId="0" fontId="5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14" fillId="0" borderId="0" xfId="0" applyNumberFormat="1" applyFont="1" applyFill="1" applyBorder="1"/>
    <xf numFmtId="0" fontId="14" fillId="0" borderId="0" xfId="0" applyNumberFormat="1" applyFont="1" applyFill="1" applyBorder="1" applyAlignment="1">
      <alignment horizontal="center"/>
    </xf>
    <xf numFmtId="5" fontId="5" fillId="0" borderId="0" xfId="0" applyNumberFormat="1" applyFont="1" applyFill="1" applyBorder="1"/>
    <xf numFmtId="0" fontId="5" fillId="0" borderId="0" xfId="0" quotePrefix="1" applyNumberFormat="1" applyFont="1" applyFill="1" applyBorder="1" applyAlignment="1">
      <alignment horizontal="left"/>
    </xf>
    <xf numFmtId="0" fontId="10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left"/>
    </xf>
    <xf numFmtId="37" fontId="0" fillId="0" borderId="0" xfId="0" applyNumberForma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Continuous"/>
    </xf>
    <xf numFmtId="0" fontId="8" fillId="0" borderId="0" xfId="0" applyFont="1" applyFill="1"/>
    <xf numFmtId="0" fontId="4" fillId="0" borderId="0" xfId="0" applyFont="1" applyFill="1" applyAlignment="1">
      <alignment horizontal="center"/>
    </xf>
    <xf numFmtId="171" fontId="3" fillId="0" borderId="0" xfId="0" applyNumberFormat="1" applyFont="1" applyFill="1" applyBorder="1" applyAlignment="1" applyProtection="1">
      <alignment horizontal="left"/>
    </xf>
    <xf numFmtId="0" fontId="31" fillId="0" borderId="0" xfId="22" applyFont="1" applyFill="1" applyAlignment="1">
      <alignment horizontal="left"/>
    </xf>
    <xf numFmtId="0" fontId="31" fillId="0" borderId="0" xfId="22" applyFont="1" applyFill="1" applyAlignment="1">
      <alignment horizontal="left"/>
    </xf>
    <xf numFmtId="0" fontId="32" fillId="0" borderId="0" xfId="22" applyFont="1" applyFill="1" applyAlignment="1">
      <alignment horizontal="left"/>
    </xf>
    <xf numFmtId="0" fontId="33" fillId="0" borderId="0" xfId="0" applyFont="1" applyFill="1" applyAlignment="1">
      <alignment horizontal="center"/>
    </xf>
    <xf numFmtId="0" fontId="34" fillId="0" borderId="0" xfId="0" applyFont="1" applyFill="1"/>
    <xf numFmtId="0" fontId="32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33" fillId="0" borderId="0" xfId="0" applyFont="1" applyFill="1"/>
    <xf numFmtId="1" fontId="3" fillId="0" borderId="0" xfId="2" applyNumberFormat="1" applyFont="1" applyFill="1" applyAlignment="1">
      <alignment horizontal="right" vertical="center"/>
    </xf>
    <xf numFmtId="0" fontId="34" fillId="0" borderId="0" xfId="0" applyFont="1" applyFill="1" applyAlignment="1">
      <alignment vertical="center"/>
    </xf>
    <xf numFmtId="37" fontId="3" fillId="0" borderId="0" xfId="0" applyNumberFormat="1" applyFont="1" applyFill="1" applyBorder="1"/>
    <xf numFmtId="37" fontId="3" fillId="0" borderId="2" xfId="0" applyNumberFormat="1" applyFont="1" applyFill="1" applyBorder="1"/>
    <xf numFmtId="37" fontId="35" fillId="0" borderId="0" xfId="0" applyNumberFormat="1" applyFont="1" applyFill="1"/>
    <xf numFmtId="37" fontId="34" fillId="0" borderId="0" xfId="0" applyNumberFormat="1" applyFont="1" applyFill="1"/>
    <xf numFmtId="0" fontId="1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9" fontId="0" fillId="0" borderId="0" xfId="11" applyFont="1" applyFill="1"/>
    <xf numFmtId="43" fontId="0" fillId="0" borderId="0" xfId="0" applyNumberFormat="1" applyFill="1"/>
    <xf numFmtId="0" fontId="0" fillId="0" borderId="0" xfId="11" applyNumberFormat="1" applyFont="1" applyFill="1"/>
    <xf numFmtId="3" fontId="0" fillId="0" borderId="0" xfId="0" applyNumberFormat="1" applyFill="1"/>
    <xf numFmtId="170" fontId="0" fillId="0" borderId="0" xfId="2" applyNumberFormat="1" applyFont="1" applyFill="1" applyBorder="1"/>
    <xf numFmtId="175" fontId="0" fillId="0" borderId="0" xfId="0" applyNumberFormat="1" applyFill="1" applyBorder="1"/>
    <xf numFmtId="14" fontId="0" fillId="0" borderId="0" xfId="0" applyNumberFormat="1" applyFill="1"/>
    <xf numFmtId="0" fontId="5" fillId="0" borderId="0" xfId="0" applyFont="1" applyFill="1" applyAlignment="1"/>
    <xf numFmtId="165" fontId="0" fillId="0" borderId="0" xfId="0" applyNumberFormat="1" applyFill="1" applyAlignment="1">
      <alignment horizontal="right"/>
    </xf>
    <xf numFmtId="0" fontId="0" fillId="0" borderId="0" xfId="0" quotePrefix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37" fontId="4" fillId="0" borderId="0" xfId="0" applyNumberFormat="1" applyFont="1" applyFill="1" applyAlignment="1">
      <alignment horizontal="right"/>
    </xf>
    <xf numFmtId="173" fontId="0" fillId="0" borderId="0" xfId="0" applyNumberFormat="1" applyFill="1"/>
    <xf numFmtId="0" fontId="0" fillId="0" borderId="0" xfId="0" applyFill="1" applyAlignment="1">
      <alignment horizontal="right"/>
    </xf>
  </cellXfs>
  <cellStyles count="34">
    <cellStyle name="_x0013_" xfId="1"/>
    <cellStyle name="Comma" xfId="2" builtinId="3"/>
    <cellStyle name="Comma 2" xfId="3"/>
    <cellStyle name="Comma 2 2" xfId="30"/>
    <cellStyle name="Comma 3" xfId="29"/>
    <cellStyle name="Comma 3 2" xfId="33"/>
    <cellStyle name="Comma(1)" xfId="4"/>
    <cellStyle name="Comma_rev456" xfId="5"/>
    <cellStyle name="Currency" xfId="6" builtinId="4"/>
    <cellStyle name="Currency 2" xfId="24"/>
    <cellStyle name="Detail" xfId="7"/>
    <cellStyle name="Heading" xfId="8"/>
    <cellStyle name="Normal" xfId="0" builtinId="0"/>
    <cellStyle name="Normal 2" xfId="9"/>
    <cellStyle name="Normal 2 3" xfId="23"/>
    <cellStyle name="Normal 3" xfId="22"/>
    <cellStyle name="Normal 3 2" xfId="25"/>
    <cellStyle name="Normal 4" xfId="26"/>
    <cellStyle name="Normal 4 2" xfId="31"/>
    <cellStyle name="Normal 5" xfId="28"/>
    <cellStyle name="Normal 5 2" xfId="32"/>
    <cellStyle name="Normal_Linxwiler Blank OATT Formula Template 10-25-07 Revision 2" xfId="10"/>
    <cellStyle name="Percent" xfId="11" builtinId="5"/>
    <cellStyle name="Percent (0)" xfId="12"/>
    <cellStyle name="Percent 2" xfId="27"/>
    <cellStyle name="PSChar" xfId="13"/>
    <cellStyle name="PSDate" xfId="14"/>
    <cellStyle name="PSDec" xfId="15"/>
    <cellStyle name="PSHeading" xfId="16"/>
    <cellStyle name="PSInt" xfId="17"/>
    <cellStyle name="PSSpacer" xfId="18"/>
    <cellStyle name="robyn" xfId="19"/>
    <cellStyle name="Style 1" xfId="20"/>
    <cellStyle name="Tickmark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14</xdr:row>
      <xdr:rowOff>95250</xdr:rowOff>
    </xdr:from>
    <xdr:to>
      <xdr:col>11</xdr:col>
      <xdr:colOff>154190</xdr:colOff>
      <xdr:row>42</xdr:row>
      <xdr:rowOff>66675</xdr:rowOff>
    </xdr:to>
    <xdr:pic>
      <xdr:nvPicPr>
        <xdr:cNvPr id="32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" y="2419350"/>
          <a:ext cx="5050040" cy="450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a168\complian\federal\fpc\acct\2000\00_pbc\pbcqtr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ov%20GFF%20Database%20(FL)\Database\Nov%20GFF%20FL%20Database%20-%20Version%203%20with%20smoothed%20reg%20capaci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R"/>
      <sheetName val="236 Reconciliation (2)"/>
      <sheetName val="236 Reconciliation"/>
      <sheetName val="Provision"/>
    </sheetNames>
    <sheetDataSet>
      <sheetData sheetId="0" refreshError="1"/>
      <sheetData sheetId="1" refreshError="1"/>
      <sheetData sheetId="2">
        <row r="68">
          <cell r="A68" t="str">
            <v>Florida Power Corporation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Tracking"/>
      <sheetName val="Analysis - Value Summary"/>
      <sheetName val="Analysis - Sensitivities"/>
      <sheetName val="Analysis - Capacity $"/>
      <sheetName val="Analysis - Capacity $kwm"/>
      <sheetName val="Port Value - Cust Summ"/>
      <sheetName val="Port Value - Annual"/>
      <sheetName val="Port Value - Monthly"/>
      <sheetName val="Customer Info"/>
      <sheetName val="MW &amp; MWh"/>
      <sheetName val="Capacity ECC"/>
      <sheetName val="Fuel by LF"/>
      <sheetName val="VOM by LF"/>
      <sheetName val="Emissions by LF"/>
      <sheetName val="Credit"/>
      <sheetName val="FERC Cap. &amp; Energy"/>
      <sheetName val="Negotiated Capacity Revenue"/>
      <sheetName val="Negotiated Fuel Revenue"/>
      <sheetName val="Negotiated VOM Revenue"/>
      <sheetName val="Retail Capacity Impact"/>
      <sheetName val="Retail Energy Impact"/>
      <sheetName val="Fuel Revenue by Contract"/>
      <sheetName val="CR-1 tariff"/>
      <sheetName val="Docum - Interrelationships"/>
      <sheetName val="Docum - Named Ranges"/>
      <sheetName val="Docum - Gener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>
            <v>8.1563040000000003E-2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tabSelected="1" zoomScaleNormal="100" workbookViewId="0"/>
  </sheetViews>
  <sheetFormatPr defaultRowHeight="12.75" x14ac:dyDescent="0.2"/>
  <cols>
    <col min="1" max="1" width="4.7109375" style="4" customWidth="1"/>
    <col min="2" max="2" width="2.7109375" style="4" customWidth="1"/>
    <col min="3" max="3" width="39.28515625" style="4" customWidth="1"/>
    <col min="4" max="4" width="14.85546875" style="4" bestFit="1" customWidth="1"/>
    <col min="5" max="5" width="2.7109375" style="4" customWidth="1"/>
    <col min="6" max="6" width="10.7109375" style="4" bestFit="1" customWidth="1"/>
    <col min="7" max="7" width="2.7109375" style="4" customWidth="1"/>
    <col min="8" max="8" width="4.140625" style="4" bestFit="1" customWidth="1"/>
    <col min="9" max="9" width="8.140625" style="4" bestFit="1" customWidth="1"/>
    <col min="10" max="10" width="2.7109375" style="4" customWidth="1"/>
    <col min="11" max="11" width="12.85546875" style="4" bestFit="1" customWidth="1"/>
    <col min="12" max="12" width="5.140625" style="4" customWidth="1"/>
    <col min="13" max="15" width="9.140625" style="4"/>
    <col min="16" max="16" width="10.42578125" style="4" customWidth="1"/>
    <col min="17" max="16384" width="9.140625" style="4"/>
  </cols>
  <sheetData>
    <row r="1" spans="1:17" x14ac:dyDescent="0.2">
      <c r="O1" s="85" t="s">
        <v>485</v>
      </c>
      <c r="P1" s="85">
        <v>2013</v>
      </c>
      <c r="Q1" s="85" t="s">
        <v>486</v>
      </c>
    </row>
    <row r="2" spans="1:17" x14ac:dyDescent="0.2">
      <c r="O2" s="85"/>
      <c r="P2" s="85" t="str">
        <f>"12/31/"&amp;P1</f>
        <v>12/31/2013</v>
      </c>
      <c r="Q2" s="85" t="s">
        <v>487</v>
      </c>
    </row>
    <row r="3" spans="1:17" x14ac:dyDescent="0.2">
      <c r="O3" s="85"/>
      <c r="P3" s="85" t="str">
        <f>"12/31/"&amp;P1-1</f>
        <v>12/31/2012</v>
      </c>
      <c r="Q3" s="85" t="s">
        <v>488</v>
      </c>
    </row>
    <row r="4" spans="1:17" ht="15" x14ac:dyDescent="0.25">
      <c r="J4" s="245" t="s">
        <v>833</v>
      </c>
      <c r="K4" s="245"/>
      <c r="L4" s="245"/>
    </row>
    <row r="5" spans="1:17" ht="15" x14ac:dyDescent="0.25">
      <c r="J5" s="246" t="s">
        <v>210</v>
      </c>
      <c r="K5" s="246"/>
      <c r="L5" s="247"/>
    </row>
    <row r="6" spans="1:17" x14ac:dyDescent="0.2">
      <c r="J6" s="238" t="str">
        <f>FF1_Year</f>
        <v>Year Ending 12/31/2013</v>
      </c>
      <c r="K6" s="239"/>
      <c r="L6" s="239"/>
    </row>
    <row r="8" spans="1:17" x14ac:dyDescent="0.2">
      <c r="A8" s="240" t="s">
        <v>850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</row>
    <row r="9" spans="1:17" x14ac:dyDescent="0.2">
      <c r="A9" s="240" t="s">
        <v>128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</row>
    <row r="10" spans="1:17" x14ac:dyDescent="0.2">
      <c r="A10" s="222"/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</row>
    <row r="11" spans="1:17" x14ac:dyDescent="0.2">
      <c r="A11" s="240" t="s">
        <v>127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</row>
    <row r="12" spans="1:17" x14ac:dyDescent="0.2">
      <c r="A12" s="222"/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</row>
    <row r="13" spans="1:17" x14ac:dyDescent="0.2">
      <c r="A13" s="224"/>
    </row>
    <row r="14" spans="1:17" ht="25.5" x14ac:dyDescent="0.2">
      <c r="A14" s="222" t="s">
        <v>21</v>
      </c>
      <c r="B14" s="37"/>
      <c r="C14" s="22"/>
      <c r="D14" s="222" t="s">
        <v>4</v>
      </c>
      <c r="E14" s="222"/>
      <c r="F14" s="222" t="s">
        <v>22</v>
      </c>
      <c r="G14" s="222"/>
      <c r="H14" s="240" t="s">
        <v>23</v>
      </c>
      <c r="I14" s="240"/>
      <c r="J14" s="222"/>
      <c r="K14" s="38" t="s">
        <v>24</v>
      </c>
      <c r="L14" s="39"/>
    </row>
    <row r="15" spans="1:17" x14ac:dyDescent="0.2">
      <c r="A15" s="224"/>
    </row>
    <row r="16" spans="1:17" x14ac:dyDescent="0.2">
      <c r="A16" s="224">
        <v>1</v>
      </c>
      <c r="B16" s="9" t="s">
        <v>834</v>
      </c>
      <c r="D16" s="4" t="str">
        <f>"Page 3, Line "&amp;'DEF - 2 - Page 3 Rev Reqt'!A67</f>
        <v>Page 3, Line 35</v>
      </c>
      <c r="K16" s="6">
        <f>'DEF - 2 - Page 3 Rev Reqt'!K67</f>
        <v>282741422.93329751</v>
      </c>
    </row>
    <row r="17" spans="1:11" x14ac:dyDescent="0.2">
      <c r="A17" s="40"/>
      <c r="B17" s="9"/>
      <c r="D17" s="224"/>
      <c r="E17" s="224"/>
      <c r="F17" s="6"/>
      <c r="H17" s="224"/>
      <c r="K17" s="4" t="str">
        <f>IF(ISNUMBER(I17),F17*I17,"")</f>
        <v/>
      </c>
    </row>
    <row r="18" spans="1:11" x14ac:dyDescent="0.2">
      <c r="B18" s="9" t="s">
        <v>108</v>
      </c>
      <c r="D18" s="224"/>
      <c r="E18" s="224"/>
      <c r="F18" s="6"/>
      <c r="H18" s="224"/>
      <c r="I18" s="7"/>
      <c r="J18" s="7"/>
      <c r="K18" s="6"/>
    </row>
    <row r="19" spans="1:11" x14ac:dyDescent="0.2">
      <c r="A19" s="224">
        <v>2</v>
      </c>
      <c r="B19" s="9"/>
      <c r="C19" s="4" t="s">
        <v>263</v>
      </c>
      <c r="D19" s="224" t="s">
        <v>835</v>
      </c>
      <c r="E19" s="224"/>
      <c r="F19" s="6">
        <f>'DEF - 3, p1, 454 Rev Credits'!$F$30</f>
        <v>3785900.2165115653</v>
      </c>
      <c r="H19" s="224" t="s">
        <v>55</v>
      </c>
      <c r="I19" s="7">
        <v>1</v>
      </c>
      <c r="J19" s="7"/>
      <c r="K19" s="6">
        <f>IF(ISNUMBER(I19),F19*I19,"")</f>
        <v>3785900.2165115653</v>
      </c>
    </row>
    <row r="20" spans="1:11" ht="13.5" thickBot="1" x14ac:dyDescent="0.25">
      <c r="A20" s="224">
        <v>3</v>
      </c>
      <c r="B20" s="9"/>
      <c r="C20" s="4" t="s">
        <v>262</v>
      </c>
      <c r="D20" s="224" t="s">
        <v>835</v>
      </c>
      <c r="E20" s="224"/>
      <c r="F20" s="6">
        <f>'DEF - 3,  p2, 456 Rev Credits'!G97</f>
        <v>765791.3137072965</v>
      </c>
      <c r="H20" s="224" t="s">
        <v>55</v>
      </c>
      <c r="I20" s="7">
        <v>1</v>
      </c>
      <c r="J20" s="7"/>
      <c r="K20" s="6">
        <f>IF(ISNUMBER(I20),F20*I20,"")</f>
        <v>765791.3137072965</v>
      </c>
    </row>
    <row r="21" spans="1:11" ht="15" customHeight="1" thickTop="1" x14ac:dyDescent="0.2">
      <c r="A21" s="224">
        <v>4</v>
      </c>
      <c r="B21" s="9" t="s">
        <v>102</v>
      </c>
      <c r="D21" s="224"/>
      <c r="E21" s="224"/>
      <c r="F21" s="13">
        <f>SUM(F17:F20)</f>
        <v>4551691.530218862</v>
      </c>
      <c r="H21" s="224"/>
      <c r="I21" s="7"/>
      <c r="J21" s="7"/>
      <c r="K21" s="13">
        <f>SUM(K17:K20)</f>
        <v>4551691.530218862</v>
      </c>
    </row>
    <row r="22" spans="1:11" x14ac:dyDescent="0.2">
      <c r="A22" s="224"/>
      <c r="B22" s="9"/>
      <c r="D22" s="224"/>
      <c r="E22" s="224"/>
      <c r="H22" s="224"/>
    </row>
    <row r="23" spans="1:11" x14ac:dyDescent="0.2">
      <c r="A23" s="224">
        <v>5</v>
      </c>
      <c r="B23" s="9" t="s">
        <v>256</v>
      </c>
      <c r="D23" s="224"/>
      <c r="E23" s="224"/>
      <c r="F23" s="6"/>
      <c r="H23" s="224"/>
      <c r="K23" s="6">
        <v>0</v>
      </c>
    </row>
    <row r="24" spans="1:11" x14ac:dyDescent="0.2">
      <c r="A24" s="224"/>
      <c r="B24" s="9"/>
      <c r="D24" s="224"/>
      <c r="E24" s="224"/>
      <c r="H24" s="224"/>
    </row>
    <row r="25" spans="1:11" x14ac:dyDescent="0.2">
      <c r="A25" s="224">
        <f>A23+1</f>
        <v>6</v>
      </c>
      <c r="B25" s="9" t="s">
        <v>285</v>
      </c>
      <c r="D25" s="224"/>
      <c r="E25" s="224"/>
      <c r="H25" s="224"/>
      <c r="K25" s="6">
        <v>0</v>
      </c>
    </row>
    <row r="26" spans="1:11" x14ac:dyDescent="0.2">
      <c r="A26" s="224"/>
      <c r="B26" s="9"/>
      <c r="D26" s="224"/>
      <c r="E26" s="224"/>
      <c r="H26" s="224"/>
    </row>
    <row r="27" spans="1:11" x14ac:dyDescent="0.2">
      <c r="A27" s="224">
        <f>+A25+1</f>
        <v>7</v>
      </c>
      <c r="B27" s="9" t="s">
        <v>358</v>
      </c>
      <c r="D27" s="224"/>
      <c r="E27" s="224"/>
      <c r="H27" s="224"/>
      <c r="K27" s="6">
        <f>K16-K21+K23+K25</f>
        <v>278189731.40307868</v>
      </c>
    </row>
    <row r="28" spans="1:11" x14ac:dyDescent="0.2">
      <c r="A28" s="224"/>
      <c r="B28" s="9"/>
      <c r="D28" s="224"/>
      <c r="E28" s="224"/>
      <c r="H28" s="224"/>
    </row>
    <row r="29" spans="1:11" ht="30" customHeight="1" x14ac:dyDescent="0.2">
      <c r="A29" s="19">
        <f>A27+1</f>
        <v>8</v>
      </c>
      <c r="B29" s="241" t="s">
        <v>231</v>
      </c>
      <c r="C29" s="242"/>
      <c r="D29" s="19" t="str">
        <f>"p.5, line "&amp;'DEF - 2 - Page 5 Storm, Notes'!B36&amp;" Total"</f>
        <v>p.5, line 15 Total</v>
      </c>
      <c r="E29" s="19"/>
      <c r="F29" s="22"/>
      <c r="G29" s="22"/>
      <c r="H29" s="19"/>
      <c r="I29" s="22"/>
      <c r="J29" s="22"/>
      <c r="K29" s="21">
        <f>+'DEF - 2 - Page 5 Storm, Notes'!F36</f>
        <v>119483</v>
      </c>
    </row>
    <row r="30" spans="1:11" x14ac:dyDescent="0.2">
      <c r="A30" s="224"/>
      <c r="B30" s="9"/>
      <c r="D30" s="224"/>
      <c r="E30" s="224"/>
      <c r="F30" s="6"/>
      <c r="H30" s="224"/>
    </row>
    <row r="31" spans="1:11" x14ac:dyDescent="0.2">
      <c r="A31" s="224">
        <f>A29+1</f>
        <v>9</v>
      </c>
      <c r="B31" s="9" t="s">
        <v>110</v>
      </c>
      <c r="D31" s="224" t="str">
        <f>"Line "&amp;A27&amp;" / Line "&amp;A29</f>
        <v>Line 7 / Line 8</v>
      </c>
      <c r="E31" s="224"/>
      <c r="F31" s="6"/>
      <c r="H31" s="224"/>
      <c r="K31" s="6">
        <f>IF(K29&lt;&gt;0,K27/K29,0)</f>
        <v>2328.278762694933</v>
      </c>
    </row>
    <row r="32" spans="1:11" ht="13.5" thickBot="1" x14ac:dyDescent="0.25">
      <c r="A32" s="224">
        <f>A31+1</f>
        <v>10</v>
      </c>
      <c r="B32" s="9" t="s">
        <v>103</v>
      </c>
      <c r="D32" s="224" t="str">
        <f>"Page 5, Line "&amp;'DEF - 2 - Page 5 Storm, Notes'!B28</f>
        <v>Page 5, Line 9</v>
      </c>
      <c r="E32" s="224"/>
      <c r="F32" s="6"/>
      <c r="H32" s="224"/>
      <c r="K32" s="6">
        <v>0</v>
      </c>
    </row>
    <row r="33" spans="1:11" ht="13.5" thickTop="1" x14ac:dyDescent="0.2">
      <c r="A33" s="224">
        <f>A32+1</f>
        <v>11</v>
      </c>
      <c r="B33" s="9" t="s">
        <v>188</v>
      </c>
      <c r="D33" s="224" t="str">
        <f>"Line "&amp;A31&amp;" + Line "&amp;A32</f>
        <v>Line 9 + Line 10</v>
      </c>
      <c r="E33" s="224"/>
      <c r="F33" s="41"/>
      <c r="G33" s="41"/>
      <c r="H33" s="42"/>
      <c r="I33" s="41"/>
      <c r="J33" s="7"/>
      <c r="K33" s="13">
        <f>ROUND(IF(K31&lt;&gt;0,K31+K32,0), 0)</f>
        <v>2328</v>
      </c>
    </row>
    <row r="34" spans="1:11" ht="7.5" customHeight="1" x14ac:dyDescent="0.2">
      <c r="A34" s="224"/>
      <c r="B34" s="9"/>
      <c r="D34" s="224"/>
      <c r="E34" s="224"/>
      <c r="H34" s="224"/>
      <c r="K34" s="6"/>
    </row>
    <row r="35" spans="1:11" ht="25.5" customHeight="1" x14ac:dyDescent="0.2">
      <c r="A35" s="19">
        <f>A33+1</f>
        <v>12</v>
      </c>
      <c r="B35" s="241" t="s">
        <v>109</v>
      </c>
      <c r="C35" s="242"/>
      <c r="D35" s="19" t="str">
        <f>"Line "&amp;A33&amp;" * 12"</f>
        <v>Line 11 * 12</v>
      </c>
      <c r="E35" s="19"/>
      <c r="F35" s="21"/>
      <c r="G35" s="22"/>
      <c r="H35" s="19"/>
      <c r="I35" s="23"/>
      <c r="J35" s="22"/>
      <c r="K35" s="21">
        <f>K33*12</f>
        <v>27936</v>
      </c>
    </row>
    <row r="36" spans="1:11" x14ac:dyDescent="0.2">
      <c r="A36" s="224"/>
      <c r="B36" s="9"/>
      <c r="D36" s="224"/>
      <c r="E36" s="224"/>
      <c r="H36" s="224"/>
      <c r="K36" s="6"/>
    </row>
    <row r="37" spans="1:11" x14ac:dyDescent="0.2">
      <c r="A37" s="224">
        <f>A35+1</f>
        <v>13</v>
      </c>
      <c r="B37" s="9" t="s">
        <v>866</v>
      </c>
      <c r="D37" s="224" t="str">
        <f>"Line "&amp;A35&amp;" / 52"</f>
        <v>Line 12 / 52</v>
      </c>
      <c r="E37" s="224"/>
      <c r="F37" s="6"/>
      <c r="H37" s="224"/>
      <c r="K37" s="43">
        <f>K35/52</f>
        <v>537.23076923076928</v>
      </c>
    </row>
    <row r="38" spans="1:11" x14ac:dyDescent="0.2">
      <c r="A38" s="224"/>
      <c r="B38" s="9"/>
      <c r="H38" s="224"/>
      <c r="K38" s="43"/>
    </row>
    <row r="39" spans="1:11" x14ac:dyDescent="0.2">
      <c r="A39" s="224"/>
      <c r="B39" s="9" t="s">
        <v>867</v>
      </c>
      <c r="H39" s="224"/>
      <c r="K39" s="43"/>
    </row>
    <row r="40" spans="1:11" ht="12.75" customHeight="1" x14ac:dyDescent="0.2">
      <c r="A40" s="19">
        <f>A37+1</f>
        <v>14</v>
      </c>
      <c r="B40" s="222"/>
      <c r="C40" s="44" t="s">
        <v>104</v>
      </c>
      <c r="D40" s="224" t="str">
        <f>"Line "&amp;A37&amp;" / 5"</f>
        <v>Line 13 / 5</v>
      </c>
      <c r="E40" s="19"/>
      <c r="F40" s="22"/>
      <c r="G40" s="22"/>
      <c r="H40" s="19"/>
      <c r="I40" s="22"/>
      <c r="J40" s="22"/>
      <c r="K40" s="45">
        <f>K37/5</f>
        <v>107.44615384615386</v>
      </c>
    </row>
    <row r="41" spans="1:11" x14ac:dyDescent="0.2">
      <c r="A41" s="224">
        <f>A40+1</f>
        <v>15</v>
      </c>
      <c r="B41" s="9"/>
      <c r="C41" s="4" t="s">
        <v>105</v>
      </c>
      <c r="D41" s="224" t="str">
        <f>"Line "&amp;A37&amp;" / 7"</f>
        <v>Line 13 / 7</v>
      </c>
      <c r="E41" s="19"/>
      <c r="F41" s="22"/>
      <c r="G41" s="22"/>
      <c r="H41" s="19"/>
      <c r="I41" s="22"/>
      <c r="J41" s="22"/>
      <c r="K41" s="45">
        <f>K37/7</f>
        <v>76.747252747252759</v>
      </c>
    </row>
    <row r="42" spans="1:11" x14ac:dyDescent="0.2">
      <c r="B42" s="9"/>
      <c r="K42" s="43"/>
    </row>
    <row r="43" spans="1:11" x14ac:dyDescent="0.2">
      <c r="B43" s="9" t="s">
        <v>868</v>
      </c>
      <c r="K43" s="43"/>
    </row>
    <row r="44" spans="1:11" x14ac:dyDescent="0.2">
      <c r="A44" s="19">
        <f>A41+1</f>
        <v>16</v>
      </c>
      <c r="B44" s="222"/>
      <c r="C44" s="44" t="s">
        <v>106</v>
      </c>
      <c r="D44" s="224" t="str">
        <f>"Line "&amp;A40&amp;" / 16"</f>
        <v>Line 14 / 16</v>
      </c>
      <c r="E44" s="19"/>
      <c r="F44" s="22"/>
      <c r="G44" s="22"/>
      <c r="H44" s="19"/>
      <c r="I44" s="22"/>
      <c r="J44" s="22"/>
      <c r="K44" s="45">
        <f>K40/16</f>
        <v>6.7153846153846164</v>
      </c>
    </row>
    <row r="45" spans="1:11" x14ac:dyDescent="0.2">
      <c r="A45" s="224">
        <f>A44+1</f>
        <v>17</v>
      </c>
      <c r="B45" s="9"/>
      <c r="C45" s="4" t="s">
        <v>107</v>
      </c>
      <c r="D45" s="224" t="str">
        <f>"Line "&amp;A41&amp;" / 24"</f>
        <v>Line 15 / 24</v>
      </c>
      <c r="E45" s="19"/>
      <c r="F45" s="22"/>
      <c r="G45" s="22"/>
      <c r="H45" s="19"/>
      <c r="I45" s="22"/>
      <c r="J45" s="22"/>
      <c r="K45" s="45">
        <f>K41/24</f>
        <v>3.1978021978021984</v>
      </c>
    </row>
    <row r="46" spans="1:11" x14ac:dyDescent="0.2">
      <c r="B46" s="9"/>
    </row>
    <row r="47" spans="1:11" x14ac:dyDescent="0.2">
      <c r="B47" s="9"/>
    </row>
    <row r="48" spans="1:11" x14ac:dyDescent="0.2">
      <c r="B48" s="9"/>
    </row>
    <row r="49" spans="2:2" x14ac:dyDescent="0.2">
      <c r="B49" s="9"/>
    </row>
    <row r="50" spans="2:2" x14ac:dyDescent="0.2">
      <c r="B50" s="9"/>
    </row>
    <row r="51" spans="2:2" x14ac:dyDescent="0.2">
      <c r="B51" s="9"/>
    </row>
    <row r="52" spans="2:2" x14ac:dyDescent="0.2">
      <c r="B52" s="9"/>
    </row>
    <row r="53" spans="2:2" x14ac:dyDescent="0.2">
      <c r="B53" s="9"/>
    </row>
    <row r="54" spans="2:2" x14ac:dyDescent="0.2">
      <c r="B54" s="9"/>
    </row>
    <row r="55" spans="2:2" x14ac:dyDescent="0.2">
      <c r="B55" s="9"/>
    </row>
    <row r="56" spans="2:2" x14ac:dyDescent="0.2">
      <c r="B56" s="9"/>
    </row>
    <row r="57" spans="2:2" x14ac:dyDescent="0.2">
      <c r="B57" s="9"/>
    </row>
    <row r="58" spans="2:2" x14ac:dyDescent="0.2">
      <c r="B58" s="9"/>
    </row>
    <row r="59" spans="2:2" x14ac:dyDescent="0.2">
      <c r="B59" s="9"/>
    </row>
    <row r="60" spans="2:2" x14ac:dyDescent="0.2">
      <c r="B60" s="9"/>
    </row>
    <row r="61" spans="2:2" x14ac:dyDescent="0.2">
      <c r="B61" s="9"/>
    </row>
    <row r="62" spans="2:2" x14ac:dyDescent="0.2">
      <c r="B62" s="9"/>
    </row>
    <row r="63" spans="2:2" x14ac:dyDescent="0.2">
      <c r="B63" s="9"/>
    </row>
  </sheetData>
  <mergeCells count="9">
    <mergeCell ref="J4:L4"/>
    <mergeCell ref="J5:L5"/>
    <mergeCell ref="J6:L6"/>
    <mergeCell ref="H14:I14"/>
    <mergeCell ref="B35:C35"/>
    <mergeCell ref="B29:C29"/>
    <mergeCell ref="A8:L8"/>
    <mergeCell ref="A9:L9"/>
    <mergeCell ref="A11:L11"/>
  </mergeCells>
  <phoneticPr fontId="0" type="noConversion"/>
  <printOptions horizontalCentered="1"/>
  <pageMargins left="0.5" right="0.5" top="0.5" bottom="0.5" header="0.5" footer="0.5"/>
  <pageSetup scale="8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workbookViewId="0"/>
  </sheetViews>
  <sheetFormatPr defaultColWidth="9.140625" defaultRowHeight="12.75" x14ac:dyDescent="0.2"/>
  <cols>
    <col min="1" max="1" width="5.7109375" style="85" customWidth="1"/>
    <col min="2" max="2" width="18.7109375" style="85" customWidth="1"/>
    <col min="3" max="3" width="9.140625" style="85"/>
    <col min="4" max="4" width="4.7109375" style="85" customWidth="1"/>
    <col min="5" max="5" width="15.7109375" style="85" customWidth="1"/>
    <col min="6" max="6" width="4.7109375" style="85" customWidth="1"/>
    <col min="7" max="7" width="15.7109375" style="85" customWidth="1"/>
    <col min="8" max="8" width="4.7109375" style="85" customWidth="1"/>
    <col min="9" max="9" width="15.7109375" style="85" customWidth="1"/>
    <col min="10" max="10" width="5.7109375" style="85" customWidth="1"/>
    <col min="11" max="16384" width="9.140625" style="85"/>
  </cols>
  <sheetData>
    <row r="1" spans="1:10" ht="15" x14ac:dyDescent="0.25">
      <c r="I1" s="246" t="s">
        <v>838</v>
      </c>
      <c r="J1" s="246"/>
    </row>
    <row r="2" spans="1:10" ht="15" x14ac:dyDescent="0.25">
      <c r="I2" s="227" t="s">
        <v>363</v>
      </c>
      <c r="J2" s="227"/>
    </row>
    <row r="3" spans="1:10" x14ac:dyDescent="0.2">
      <c r="I3" s="286" t="str">
        <f>FF1_Year</f>
        <v>Year Ending 12/31/2013</v>
      </c>
      <c r="J3" s="286"/>
    </row>
    <row r="4" spans="1:10" ht="24.75" customHeight="1" x14ac:dyDescent="0.2"/>
    <row r="5" spans="1:10" x14ac:dyDescent="0.2">
      <c r="A5" s="240" t="s">
        <v>850</v>
      </c>
      <c r="B5" s="240"/>
      <c r="C5" s="240"/>
      <c r="D5" s="240"/>
      <c r="E5" s="240"/>
      <c r="F5" s="240"/>
      <c r="G5" s="240"/>
      <c r="H5" s="240"/>
      <c r="I5" s="240"/>
      <c r="J5" s="240"/>
    </row>
    <row r="6" spans="1:10" x14ac:dyDescent="0.2">
      <c r="A6" s="255" t="s">
        <v>146</v>
      </c>
      <c r="B6" s="255"/>
      <c r="C6" s="255"/>
      <c r="D6" s="255"/>
      <c r="E6" s="255"/>
      <c r="F6" s="255"/>
      <c r="G6" s="255"/>
      <c r="H6" s="255"/>
      <c r="I6" s="255"/>
      <c r="J6" s="255"/>
    </row>
    <row r="7" spans="1:10" ht="17.25" customHeight="1" x14ac:dyDescent="0.2"/>
    <row r="8" spans="1:10" ht="17.25" customHeight="1" x14ac:dyDescent="0.2">
      <c r="B8" s="121"/>
      <c r="C8" s="121"/>
      <c r="D8" s="121"/>
      <c r="E8" s="121"/>
      <c r="F8" s="121"/>
      <c r="G8" s="121"/>
      <c r="H8" s="121"/>
      <c r="I8" s="121"/>
      <c r="J8" s="121"/>
    </row>
    <row r="9" spans="1:10" x14ac:dyDescent="0.2">
      <c r="B9" s="121"/>
      <c r="C9" s="121"/>
      <c r="D9" s="121"/>
      <c r="E9" s="290" t="s">
        <v>133</v>
      </c>
      <c r="F9" s="290"/>
      <c r="G9" s="290"/>
      <c r="H9" s="290"/>
      <c r="I9" s="121"/>
      <c r="J9" s="121"/>
    </row>
    <row r="10" spans="1:10" x14ac:dyDescent="0.2">
      <c r="B10" s="291" t="s">
        <v>134</v>
      </c>
      <c r="C10" s="292" t="s">
        <v>201</v>
      </c>
      <c r="D10" s="121"/>
      <c r="E10" s="293" t="s">
        <v>200</v>
      </c>
      <c r="F10" s="128"/>
      <c r="G10" s="294" t="s">
        <v>135</v>
      </c>
      <c r="H10" s="294"/>
      <c r="I10" s="294" t="s">
        <v>145</v>
      </c>
    </row>
    <row r="11" spans="1:10" x14ac:dyDescent="0.2">
      <c r="B11" s="291"/>
      <c r="C11" s="292"/>
      <c r="D11" s="121"/>
      <c r="E11" s="128"/>
      <c r="F11" s="128"/>
      <c r="G11" s="128"/>
      <c r="H11" s="128"/>
      <c r="I11" s="128"/>
    </row>
    <row r="12" spans="1:10" x14ac:dyDescent="0.2">
      <c r="B12" s="102" t="s">
        <v>144</v>
      </c>
      <c r="C12" s="102" t="s">
        <v>1011</v>
      </c>
      <c r="D12" s="102"/>
      <c r="E12" s="102" t="s">
        <v>993</v>
      </c>
      <c r="F12" s="102"/>
      <c r="G12" s="105">
        <v>963490.78</v>
      </c>
      <c r="H12" s="105"/>
      <c r="I12" s="104">
        <v>1992</v>
      </c>
    </row>
    <row r="13" spans="1:10" x14ac:dyDescent="0.2">
      <c r="B13" s="102"/>
      <c r="C13" s="102"/>
      <c r="D13" s="102"/>
      <c r="E13" s="102"/>
      <c r="F13" s="102"/>
      <c r="G13" s="105">
        <v>569297.26</v>
      </c>
      <c r="H13" s="105"/>
      <c r="I13" s="104">
        <v>2010</v>
      </c>
    </row>
    <row r="14" spans="1:10" x14ac:dyDescent="0.2">
      <c r="B14" s="102"/>
      <c r="C14" s="102"/>
      <c r="D14" s="102"/>
      <c r="E14" s="102"/>
      <c r="F14" s="102"/>
      <c r="G14" s="105">
        <v>3046800.04</v>
      </c>
      <c r="H14" s="105"/>
      <c r="I14" s="104">
        <v>2012</v>
      </c>
    </row>
    <row r="15" spans="1:10" x14ac:dyDescent="0.2">
      <c r="B15" s="102"/>
      <c r="C15" s="102" t="s">
        <v>994</v>
      </c>
      <c r="D15" s="102"/>
      <c r="E15" s="102" t="s">
        <v>995</v>
      </c>
      <c r="F15" s="102"/>
      <c r="G15" s="105">
        <v>541256</v>
      </c>
      <c r="H15" s="105"/>
      <c r="I15" s="104">
        <v>1969</v>
      </c>
    </row>
    <row r="16" spans="1:10" x14ac:dyDescent="0.2">
      <c r="B16" s="102"/>
      <c r="C16" s="102"/>
      <c r="D16" s="102"/>
      <c r="E16" s="102"/>
      <c r="F16" s="102"/>
      <c r="G16" s="105">
        <v>2905468.47</v>
      </c>
      <c r="H16" s="105"/>
      <c r="I16" s="104">
        <v>2001</v>
      </c>
    </row>
    <row r="17" spans="2:9" x14ac:dyDescent="0.2">
      <c r="B17" s="102"/>
      <c r="C17" s="102" t="s">
        <v>989</v>
      </c>
      <c r="D17" s="102"/>
      <c r="E17" s="102" t="s">
        <v>1012</v>
      </c>
      <c r="F17" s="102"/>
      <c r="G17" s="105">
        <v>1753172.37</v>
      </c>
      <c r="H17" s="105"/>
      <c r="I17" s="104">
        <v>1982</v>
      </c>
    </row>
    <row r="18" spans="2:9" x14ac:dyDescent="0.2">
      <c r="B18" s="102"/>
      <c r="C18" s="102"/>
      <c r="D18" s="102"/>
      <c r="E18" s="102"/>
      <c r="F18" s="102"/>
      <c r="G18" s="105">
        <v>145500</v>
      </c>
      <c r="H18" s="105"/>
      <c r="I18" s="104">
        <v>1997</v>
      </c>
    </row>
    <row r="19" spans="2:9" x14ac:dyDescent="0.2">
      <c r="B19" s="102"/>
      <c r="C19" s="102"/>
      <c r="D19" s="102"/>
      <c r="E19" s="102"/>
      <c r="F19" s="102"/>
      <c r="G19" s="105">
        <v>6602729.9199999999</v>
      </c>
      <c r="H19" s="105"/>
      <c r="I19" s="104">
        <v>2012</v>
      </c>
    </row>
    <row r="20" spans="2:9" x14ac:dyDescent="0.2">
      <c r="B20" s="102"/>
      <c r="C20" s="102" t="s">
        <v>977</v>
      </c>
      <c r="D20" s="102"/>
      <c r="E20" s="102" t="s">
        <v>1013</v>
      </c>
      <c r="F20" s="102"/>
      <c r="G20" s="105">
        <v>887077</v>
      </c>
      <c r="H20" s="105"/>
      <c r="I20" s="104">
        <v>1984</v>
      </c>
    </row>
    <row r="21" spans="2:9" x14ac:dyDescent="0.2">
      <c r="B21" s="102"/>
      <c r="C21" s="102"/>
      <c r="D21" s="102"/>
      <c r="E21" s="102"/>
      <c r="F21" s="102"/>
      <c r="G21" s="105">
        <v>11682</v>
      </c>
      <c r="H21" s="105"/>
      <c r="I21" s="104">
        <v>1993</v>
      </c>
    </row>
    <row r="22" spans="2:9" x14ac:dyDescent="0.2">
      <c r="B22" s="102"/>
      <c r="C22" s="102"/>
      <c r="D22" s="102"/>
      <c r="E22" s="102" t="s">
        <v>991</v>
      </c>
      <c r="F22" s="102"/>
      <c r="G22" s="105">
        <v>3430323</v>
      </c>
      <c r="H22" s="105"/>
      <c r="I22" s="104">
        <v>1998</v>
      </c>
    </row>
    <row r="23" spans="2:9" x14ac:dyDescent="0.2">
      <c r="B23" s="102"/>
      <c r="C23" s="102"/>
      <c r="D23" s="102"/>
      <c r="E23" s="104"/>
      <c r="F23" s="102"/>
      <c r="G23" s="106">
        <f>SUM(G12:G22)</f>
        <v>20856796.840000004</v>
      </c>
      <c r="H23" s="107"/>
      <c r="I23" s="104"/>
    </row>
    <row r="24" spans="2:9" x14ac:dyDescent="0.2">
      <c r="B24" s="102"/>
      <c r="C24" s="102"/>
      <c r="D24" s="102"/>
      <c r="E24" s="104"/>
      <c r="F24" s="102"/>
      <c r="G24" s="105"/>
      <c r="H24" s="105"/>
      <c r="I24" s="104"/>
    </row>
    <row r="25" spans="2:9" x14ac:dyDescent="0.2">
      <c r="B25" s="102" t="s">
        <v>678</v>
      </c>
      <c r="C25" s="102" t="s">
        <v>992</v>
      </c>
      <c r="D25" s="102"/>
      <c r="E25" s="102" t="s">
        <v>993</v>
      </c>
      <c r="F25" s="102"/>
      <c r="G25" s="105">
        <v>509319.35</v>
      </c>
      <c r="H25" s="105"/>
      <c r="I25" s="104">
        <v>1974</v>
      </c>
    </row>
    <row r="26" spans="2:9" x14ac:dyDescent="0.2">
      <c r="B26" s="102"/>
      <c r="C26" s="102" t="s">
        <v>992</v>
      </c>
      <c r="D26" s="102"/>
      <c r="E26" s="102" t="s">
        <v>993</v>
      </c>
      <c r="F26" s="102"/>
      <c r="G26" s="105">
        <v>15319</v>
      </c>
      <c r="H26" s="105"/>
      <c r="I26" s="104">
        <v>1984</v>
      </c>
    </row>
    <row r="27" spans="2:9" x14ac:dyDescent="0.2">
      <c r="B27" s="102"/>
      <c r="C27" s="102" t="s">
        <v>992</v>
      </c>
      <c r="D27" s="102"/>
      <c r="E27" s="102" t="s">
        <v>993</v>
      </c>
      <c r="F27" s="102"/>
      <c r="G27" s="105">
        <v>149851</v>
      </c>
      <c r="H27" s="105"/>
      <c r="I27" s="104">
        <v>1991</v>
      </c>
    </row>
    <row r="28" spans="2:9" x14ac:dyDescent="0.2">
      <c r="B28" s="102"/>
      <c r="C28" s="102" t="s">
        <v>992</v>
      </c>
      <c r="D28" s="102"/>
      <c r="E28" s="102" t="s">
        <v>993</v>
      </c>
      <c r="F28" s="102"/>
      <c r="G28" s="105">
        <v>566429.68999999994</v>
      </c>
      <c r="H28" s="105"/>
      <c r="I28" s="104">
        <v>2008</v>
      </c>
    </row>
    <row r="29" spans="2:9" x14ac:dyDescent="0.2">
      <c r="B29" s="102"/>
      <c r="C29" s="102" t="s">
        <v>994</v>
      </c>
      <c r="D29" s="102"/>
      <c r="E29" s="102" t="s">
        <v>995</v>
      </c>
      <c r="F29" s="102"/>
      <c r="G29" s="105">
        <v>477904</v>
      </c>
      <c r="H29" s="105"/>
      <c r="I29" s="104">
        <v>1981</v>
      </c>
    </row>
    <row r="30" spans="2:9" x14ac:dyDescent="0.2">
      <c r="B30" s="102"/>
      <c r="C30" s="102" t="s">
        <v>994</v>
      </c>
      <c r="D30" s="102"/>
      <c r="E30" s="102" t="s">
        <v>995</v>
      </c>
      <c r="F30" s="102"/>
      <c r="G30" s="105">
        <v>479418</v>
      </c>
      <c r="H30" s="105"/>
      <c r="I30" s="104">
        <v>1981</v>
      </c>
    </row>
    <row r="31" spans="2:9" x14ac:dyDescent="0.2">
      <c r="B31" s="102"/>
      <c r="C31" s="102"/>
      <c r="D31" s="102"/>
      <c r="E31" s="104"/>
      <c r="F31" s="102"/>
      <c r="G31" s="106">
        <f>SUM(G25:G30)</f>
        <v>2198241.04</v>
      </c>
      <c r="H31" s="107"/>
      <c r="I31" s="104"/>
    </row>
    <row r="32" spans="2:9" x14ac:dyDescent="0.2">
      <c r="B32" s="102"/>
      <c r="C32" s="102"/>
      <c r="D32" s="102"/>
      <c r="E32" s="104"/>
      <c r="F32" s="102"/>
      <c r="G32" s="105"/>
      <c r="H32" s="105"/>
      <c r="I32" s="104"/>
    </row>
    <row r="33" spans="2:9" x14ac:dyDescent="0.2">
      <c r="B33" s="102" t="s">
        <v>679</v>
      </c>
      <c r="C33" s="102" t="s">
        <v>992</v>
      </c>
      <c r="D33" s="102"/>
      <c r="E33" s="102" t="s">
        <v>982</v>
      </c>
      <c r="F33" s="102"/>
      <c r="G33" s="105">
        <v>364638</v>
      </c>
      <c r="H33" s="105"/>
      <c r="I33" s="104">
        <v>1975</v>
      </c>
    </row>
    <row r="34" spans="2:9" x14ac:dyDescent="0.2">
      <c r="B34" s="102"/>
      <c r="C34" s="102" t="s">
        <v>994</v>
      </c>
      <c r="D34" s="102"/>
      <c r="E34" s="102" t="s">
        <v>1014</v>
      </c>
      <c r="F34" s="102"/>
      <c r="G34" s="105">
        <v>364638</v>
      </c>
      <c r="H34" s="105"/>
      <c r="I34" s="104">
        <v>1975</v>
      </c>
    </row>
    <row r="35" spans="2:9" x14ac:dyDescent="0.2">
      <c r="B35" s="102"/>
      <c r="C35" s="102" t="s">
        <v>996</v>
      </c>
      <c r="D35" s="102"/>
      <c r="E35" s="102" t="s">
        <v>1015</v>
      </c>
      <c r="F35" s="102"/>
      <c r="G35" s="105">
        <v>364639</v>
      </c>
      <c r="H35" s="105"/>
      <c r="I35" s="104">
        <v>1975</v>
      </c>
    </row>
    <row r="36" spans="2:9" x14ac:dyDescent="0.2">
      <c r="B36" s="102"/>
      <c r="C36" s="102" t="s">
        <v>998</v>
      </c>
      <c r="D36" s="102"/>
      <c r="E36" s="102" t="s">
        <v>1001</v>
      </c>
      <c r="F36" s="102"/>
      <c r="G36" s="105">
        <v>847435.91</v>
      </c>
      <c r="H36" s="105"/>
      <c r="I36" s="104">
        <v>1992</v>
      </c>
    </row>
    <row r="37" spans="2:9" x14ac:dyDescent="0.2">
      <c r="B37" s="102"/>
      <c r="C37" s="102" t="s">
        <v>1000</v>
      </c>
      <c r="D37" s="102"/>
      <c r="E37" s="102" t="s">
        <v>1005</v>
      </c>
      <c r="F37" s="102"/>
      <c r="G37" s="105">
        <v>847435.91</v>
      </c>
      <c r="H37" s="105"/>
      <c r="I37" s="104">
        <v>1992</v>
      </c>
    </row>
    <row r="38" spans="2:9" x14ac:dyDescent="0.2">
      <c r="B38" s="102"/>
      <c r="C38" s="102" t="s">
        <v>1002</v>
      </c>
      <c r="D38" s="102"/>
      <c r="E38" s="102" t="s">
        <v>1003</v>
      </c>
      <c r="F38" s="102"/>
      <c r="G38" s="105">
        <v>847435.91</v>
      </c>
      <c r="H38" s="105"/>
      <c r="I38" s="104">
        <v>1992</v>
      </c>
    </row>
    <row r="39" spans="2:9" x14ac:dyDescent="0.2">
      <c r="B39" s="102"/>
      <c r="C39" s="102" t="s">
        <v>1004</v>
      </c>
      <c r="D39" s="102"/>
      <c r="E39" s="102" t="s">
        <v>1007</v>
      </c>
      <c r="F39" s="102"/>
      <c r="G39" s="105">
        <v>847435.91</v>
      </c>
      <c r="H39" s="105"/>
      <c r="I39" s="104">
        <v>1992</v>
      </c>
    </row>
    <row r="40" spans="2:9" x14ac:dyDescent="0.2">
      <c r="B40" s="102"/>
      <c r="C40" s="102"/>
      <c r="D40" s="102"/>
      <c r="E40" s="104"/>
      <c r="F40" s="102"/>
      <c r="G40" s="106">
        <f>SUM(G33:G39)</f>
        <v>4483658.6400000006</v>
      </c>
      <c r="H40" s="107"/>
      <c r="I40" s="104"/>
    </row>
    <row r="41" spans="2:9" x14ac:dyDescent="0.2">
      <c r="B41" s="102"/>
      <c r="C41" s="102"/>
      <c r="D41" s="102"/>
      <c r="E41" s="104"/>
      <c r="F41" s="102"/>
      <c r="G41" s="105"/>
      <c r="H41" s="105"/>
      <c r="I41" s="104"/>
    </row>
    <row r="42" spans="2:9" x14ac:dyDescent="0.2">
      <c r="B42" s="102" t="s">
        <v>680</v>
      </c>
      <c r="C42" s="102" t="s">
        <v>977</v>
      </c>
      <c r="D42" s="102"/>
      <c r="E42" s="102" t="s">
        <v>982</v>
      </c>
      <c r="F42" s="102"/>
      <c r="G42" s="105">
        <v>113598</v>
      </c>
      <c r="H42" s="105"/>
      <c r="I42" s="104">
        <v>1970</v>
      </c>
    </row>
    <row r="43" spans="2:9" x14ac:dyDescent="0.2">
      <c r="B43" s="102"/>
      <c r="C43" s="102"/>
      <c r="D43" s="102"/>
      <c r="E43" s="102"/>
      <c r="F43" s="102"/>
      <c r="G43" s="105">
        <v>45831</v>
      </c>
      <c r="H43" s="105"/>
      <c r="I43" s="104">
        <v>1991</v>
      </c>
    </row>
    <row r="44" spans="2:9" x14ac:dyDescent="0.2">
      <c r="B44" s="102"/>
      <c r="C44" s="102" t="s">
        <v>979</v>
      </c>
      <c r="D44" s="102"/>
      <c r="E44" s="102" t="s">
        <v>990</v>
      </c>
      <c r="F44" s="102"/>
      <c r="G44" s="105">
        <v>292778</v>
      </c>
      <c r="H44" s="105"/>
      <c r="I44" s="104">
        <v>1970</v>
      </c>
    </row>
    <row r="45" spans="2:9" x14ac:dyDescent="0.2">
      <c r="B45" s="102"/>
      <c r="C45" s="102" t="s">
        <v>1004</v>
      </c>
      <c r="D45" s="102"/>
      <c r="E45" s="102" t="s">
        <v>991</v>
      </c>
      <c r="F45" s="102"/>
      <c r="G45" s="105">
        <v>258092</v>
      </c>
      <c r="H45" s="105"/>
      <c r="I45" s="104">
        <v>1990</v>
      </c>
    </row>
    <row r="46" spans="2:9" x14ac:dyDescent="0.2">
      <c r="B46" s="102"/>
      <c r="C46" s="102"/>
      <c r="D46" s="102"/>
      <c r="E46" s="104"/>
      <c r="F46" s="102"/>
      <c r="G46" s="106">
        <f>SUM(G42:G45)</f>
        <v>710299</v>
      </c>
      <c r="H46" s="107"/>
      <c r="I46" s="104"/>
    </row>
    <row r="47" spans="2:9" x14ac:dyDescent="0.2">
      <c r="B47" s="102"/>
      <c r="C47" s="102"/>
      <c r="D47" s="102"/>
      <c r="E47" s="104"/>
      <c r="F47" s="102"/>
      <c r="G47" s="105"/>
      <c r="H47" s="105"/>
      <c r="I47" s="104"/>
    </row>
    <row r="48" spans="2:9" x14ac:dyDescent="0.2">
      <c r="B48" s="102" t="s">
        <v>681</v>
      </c>
      <c r="C48" s="102" t="s">
        <v>979</v>
      </c>
      <c r="D48" s="102"/>
      <c r="E48" s="102" t="s">
        <v>982</v>
      </c>
      <c r="F48" s="102"/>
      <c r="G48" s="105">
        <v>158609</v>
      </c>
      <c r="H48" s="105"/>
      <c r="I48" s="104">
        <v>1968</v>
      </c>
    </row>
    <row r="49" spans="2:9" x14ac:dyDescent="0.2">
      <c r="B49" s="102"/>
      <c r="C49" s="102"/>
      <c r="D49" s="102"/>
      <c r="E49" s="104"/>
      <c r="F49" s="102"/>
      <c r="G49" s="106">
        <f>SUM(G48:G48)</f>
        <v>158609</v>
      </c>
      <c r="H49" s="107"/>
      <c r="I49" s="104"/>
    </row>
    <row r="50" spans="2:9" x14ac:dyDescent="0.2">
      <c r="B50" s="102"/>
      <c r="C50" s="102"/>
      <c r="D50" s="102"/>
      <c r="E50" s="104"/>
      <c r="F50" s="102"/>
      <c r="G50" s="105"/>
      <c r="H50" s="105"/>
      <c r="I50" s="104"/>
    </row>
    <row r="51" spans="2:9" x14ac:dyDescent="0.2">
      <c r="B51" s="102" t="s">
        <v>682</v>
      </c>
      <c r="C51" s="102" t="s">
        <v>989</v>
      </c>
      <c r="D51" s="102"/>
      <c r="E51" s="102" t="s">
        <v>981</v>
      </c>
      <c r="F51" s="102"/>
      <c r="G51" s="105">
        <v>448997.23</v>
      </c>
      <c r="H51" s="105"/>
      <c r="I51" s="104">
        <v>1994</v>
      </c>
    </row>
    <row r="52" spans="2:9" x14ac:dyDescent="0.2">
      <c r="B52" s="102"/>
      <c r="C52" s="102"/>
      <c r="D52" s="102"/>
      <c r="E52" s="102"/>
      <c r="F52" s="102"/>
      <c r="G52" s="105">
        <v>100499</v>
      </c>
      <c r="H52" s="105"/>
      <c r="I52" s="104">
        <v>1994</v>
      </c>
    </row>
    <row r="53" spans="2:9" x14ac:dyDescent="0.2">
      <c r="B53" s="102"/>
      <c r="C53" s="102"/>
      <c r="D53" s="102"/>
      <c r="E53" s="104"/>
      <c r="F53" s="102"/>
      <c r="G53" s="106">
        <f>SUM(G51:G52)</f>
        <v>549496.23</v>
      </c>
      <c r="H53" s="107"/>
      <c r="I53" s="104"/>
    </row>
    <row r="54" spans="2:9" x14ac:dyDescent="0.2">
      <c r="B54" s="102"/>
      <c r="C54" s="102"/>
      <c r="D54" s="102"/>
      <c r="E54" s="104"/>
      <c r="F54" s="102"/>
      <c r="G54" s="107"/>
      <c r="H54" s="107"/>
      <c r="I54" s="104"/>
    </row>
    <row r="55" spans="2:9" x14ac:dyDescent="0.2">
      <c r="B55" s="102" t="s">
        <v>683</v>
      </c>
      <c r="C55" s="102"/>
      <c r="D55" s="102"/>
      <c r="E55" s="102" t="s">
        <v>984</v>
      </c>
      <c r="F55" s="102"/>
      <c r="G55" s="105">
        <v>3202449</v>
      </c>
      <c r="H55" s="105"/>
      <c r="I55" s="104">
        <v>1999</v>
      </c>
    </row>
    <row r="56" spans="2:9" x14ac:dyDescent="0.2">
      <c r="B56" s="102"/>
      <c r="C56" s="102"/>
      <c r="D56" s="102"/>
      <c r="E56" s="102" t="s">
        <v>985</v>
      </c>
      <c r="F56" s="102"/>
      <c r="G56" s="105">
        <v>1601225</v>
      </c>
      <c r="H56" s="105"/>
      <c r="I56" s="104">
        <v>1999</v>
      </c>
    </row>
    <row r="57" spans="2:9" x14ac:dyDescent="0.2">
      <c r="B57" s="102"/>
      <c r="C57" s="102"/>
      <c r="D57" s="102"/>
      <c r="E57" s="102" t="s">
        <v>986</v>
      </c>
      <c r="F57" s="102"/>
      <c r="G57" s="105">
        <v>1601225</v>
      </c>
      <c r="H57" s="105"/>
      <c r="I57" s="104">
        <v>1999</v>
      </c>
    </row>
    <row r="58" spans="2:9" x14ac:dyDescent="0.2">
      <c r="B58" s="102" t="s">
        <v>684</v>
      </c>
      <c r="C58" s="102"/>
      <c r="D58" s="102"/>
      <c r="E58" s="102" t="s">
        <v>1016</v>
      </c>
      <c r="F58" s="102"/>
      <c r="G58" s="105">
        <v>2959349.6949999998</v>
      </c>
      <c r="H58" s="105"/>
      <c r="I58" s="104">
        <v>2003</v>
      </c>
    </row>
    <row r="59" spans="2:9" x14ac:dyDescent="0.2">
      <c r="B59" s="102"/>
      <c r="C59" s="102"/>
      <c r="D59" s="102"/>
      <c r="E59" s="102" t="s">
        <v>1017</v>
      </c>
      <c r="F59" s="102"/>
      <c r="G59" s="105">
        <v>1479674.8474999999</v>
      </c>
      <c r="H59" s="105"/>
      <c r="I59" s="104">
        <v>2003</v>
      </c>
    </row>
    <row r="60" spans="2:9" x14ac:dyDescent="0.2">
      <c r="B60" s="102"/>
      <c r="C60" s="102"/>
      <c r="D60" s="102"/>
      <c r="E60" s="102" t="s">
        <v>1018</v>
      </c>
      <c r="F60" s="102"/>
      <c r="G60" s="105">
        <v>1479674.8474999999</v>
      </c>
      <c r="H60" s="105"/>
      <c r="I60" s="104">
        <v>2003</v>
      </c>
    </row>
    <row r="61" spans="2:9" x14ac:dyDescent="0.2">
      <c r="B61" s="102" t="s">
        <v>685</v>
      </c>
      <c r="C61" s="102"/>
      <c r="D61" s="102"/>
      <c r="E61" s="102" t="s">
        <v>1019</v>
      </c>
      <c r="F61" s="102"/>
      <c r="G61" s="105">
        <v>3626553</v>
      </c>
      <c r="H61" s="105"/>
      <c r="I61" s="104">
        <v>2005</v>
      </c>
    </row>
    <row r="62" spans="2:9" x14ac:dyDescent="0.2">
      <c r="B62" s="102"/>
      <c r="C62" s="102"/>
      <c r="D62" s="102"/>
      <c r="E62" s="102" t="s">
        <v>1020</v>
      </c>
      <c r="F62" s="102"/>
      <c r="G62" s="105">
        <v>1799069</v>
      </c>
      <c r="H62" s="105"/>
      <c r="I62" s="104">
        <v>2005</v>
      </c>
    </row>
    <row r="63" spans="2:9" x14ac:dyDescent="0.2">
      <c r="B63" s="102"/>
      <c r="C63" s="102"/>
      <c r="D63" s="102"/>
      <c r="E63" s="102" t="s">
        <v>1021</v>
      </c>
      <c r="F63" s="102"/>
      <c r="G63" s="105">
        <v>1830092</v>
      </c>
      <c r="H63" s="105"/>
      <c r="I63" s="104">
        <v>2005</v>
      </c>
    </row>
    <row r="64" spans="2:9" x14ac:dyDescent="0.2">
      <c r="B64" s="102" t="s">
        <v>686</v>
      </c>
      <c r="C64" s="102"/>
      <c r="D64" s="102"/>
      <c r="E64" s="102" t="s">
        <v>1022</v>
      </c>
      <c r="F64" s="102"/>
      <c r="G64" s="105">
        <v>5336479</v>
      </c>
      <c r="H64" s="105"/>
      <c r="I64" s="104">
        <v>2007</v>
      </c>
    </row>
    <row r="65" spans="2:9" x14ac:dyDescent="0.2">
      <c r="B65" s="102"/>
      <c r="C65" s="102"/>
      <c r="D65" s="102"/>
      <c r="E65" s="102" t="s">
        <v>991</v>
      </c>
      <c r="F65" s="102"/>
      <c r="G65" s="105">
        <v>816533</v>
      </c>
      <c r="H65" s="105"/>
      <c r="I65" s="104">
        <v>2002</v>
      </c>
    </row>
    <row r="66" spans="2:9" x14ac:dyDescent="0.2">
      <c r="B66" s="102"/>
      <c r="C66" s="102"/>
      <c r="D66" s="102"/>
      <c r="E66" s="104"/>
      <c r="F66" s="102"/>
      <c r="G66" s="109">
        <f>SUM(G55:G65)</f>
        <v>25732324.390000001</v>
      </c>
      <c r="H66" s="107"/>
      <c r="I66" s="104"/>
    </row>
    <row r="67" spans="2:9" x14ac:dyDescent="0.2">
      <c r="B67" s="102"/>
      <c r="C67" s="102"/>
      <c r="D67" s="102"/>
      <c r="E67" s="104"/>
      <c r="F67" s="102"/>
      <c r="G67" s="107"/>
      <c r="H67" s="107"/>
      <c r="I67" s="104"/>
    </row>
    <row r="68" spans="2:9" x14ac:dyDescent="0.2">
      <c r="B68" s="102" t="s">
        <v>687</v>
      </c>
      <c r="C68" s="102"/>
      <c r="D68" s="102"/>
      <c r="E68" s="102" t="s">
        <v>1023</v>
      </c>
      <c r="F68" s="102"/>
      <c r="G68" s="105">
        <v>971486</v>
      </c>
      <c r="H68" s="105"/>
      <c r="I68" s="104">
        <v>1997</v>
      </c>
    </row>
    <row r="69" spans="2:9" x14ac:dyDescent="0.2">
      <c r="B69" s="102"/>
      <c r="C69" s="102"/>
      <c r="D69" s="102"/>
      <c r="E69" s="102" t="s">
        <v>1024</v>
      </c>
      <c r="F69" s="102"/>
      <c r="G69" s="105">
        <v>971486</v>
      </c>
      <c r="H69" s="105"/>
      <c r="I69" s="104">
        <v>1997</v>
      </c>
    </row>
    <row r="70" spans="2:9" x14ac:dyDescent="0.2">
      <c r="B70" s="102"/>
      <c r="C70" s="102"/>
      <c r="D70" s="102"/>
      <c r="E70" s="104"/>
      <c r="F70" s="102"/>
      <c r="G70" s="109">
        <f>SUM(G68:G69)</f>
        <v>1942972</v>
      </c>
      <c r="H70" s="107"/>
      <c r="I70" s="104"/>
    </row>
    <row r="71" spans="2:9" x14ac:dyDescent="0.2">
      <c r="B71" s="102"/>
      <c r="C71" s="102"/>
      <c r="D71" s="102"/>
      <c r="E71" s="104"/>
      <c r="F71" s="102"/>
      <c r="G71" s="107"/>
      <c r="H71" s="107"/>
      <c r="I71" s="104"/>
    </row>
    <row r="72" spans="2:9" x14ac:dyDescent="0.2">
      <c r="B72" s="102" t="s">
        <v>688</v>
      </c>
      <c r="C72" s="102"/>
      <c r="D72" s="102"/>
      <c r="E72" s="102" t="s">
        <v>1025</v>
      </c>
      <c r="F72" s="102"/>
      <c r="G72" s="105">
        <v>689047.29</v>
      </c>
      <c r="H72" s="105"/>
      <c r="I72" s="104">
        <v>2003</v>
      </c>
    </row>
    <row r="73" spans="2:9" x14ac:dyDescent="0.2">
      <c r="B73" s="102"/>
      <c r="C73" s="102"/>
      <c r="D73" s="102"/>
      <c r="E73" s="102" t="s">
        <v>1026</v>
      </c>
      <c r="F73" s="102"/>
      <c r="G73" s="105">
        <v>1872609.6099999999</v>
      </c>
      <c r="H73" s="105"/>
      <c r="I73" s="104">
        <v>2002</v>
      </c>
    </row>
    <row r="74" spans="2:9" x14ac:dyDescent="0.2">
      <c r="B74" s="102"/>
      <c r="C74" s="102"/>
      <c r="D74" s="102"/>
      <c r="E74" s="104"/>
      <c r="F74" s="102"/>
      <c r="G74" s="109">
        <f>SUM(G72:G73)</f>
        <v>2561656.9</v>
      </c>
      <c r="H74" s="107"/>
      <c r="I74" s="110"/>
    </row>
    <row r="75" spans="2:9" ht="6" customHeight="1" x14ac:dyDescent="0.2">
      <c r="B75" s="121"/>
      <c r="C75" s="121"/>
      <c r="D75" s="121"/>
      <c r="E75" s="121"/>
      <c r="F75" s="121"/>
      <c r="G75" s="82"/>
      <c r="H75" s="82"/>
      <c r="I75" s="290"/>
    </row>
    <row r="76" spans="2:9" x14ac:dyDescent="0.2">
      <c r="B76" s="121" t="s">
        <v>689</v>
      </c>
      <c r="C76" s="121"/>
      <c r="D76" s="121"/>
      <c r="E76" s="121"/>
      <c r="F76" s="121"/>
      <c r="G76" s="299">
        <f>SUM(G12:G74)/2</f>
        <v>59194054.039999992</v>
      </c>
      <c r="H76" s="82"/>
      <c r="I76" s="290"/>
    </row>
    <row r="77" spans="2:9" x14ac:dyDescent="0.2">
      <c r="B77" s="121" t="s">
        <v>721</v>
      </c>
      <c r="C77" s="121"/>
      <c r="D77" s="121"/>
      <c r="E77" s="121"/>
      <c r="F77" s="121"/>
      <c r="G77" s="299">
        <f>'DEF - 4, p1 Step Ups'!G61</f>
        <v>34955062.399999991</v>
      </c>
      <c r="H77" s="82"/>
      <c r="I77" s="290"/>
    </row>
    <row r="78" spans="2:9" ht="6" customHeight="1" x14ac:dyDescent="0.2">
      <c r="B78" s="121"/>
      <c r="C78" s="121"/>
      <c r="D78" s="121"/>
      <c r="E78" s="121"/>
      <c r="F78" s="121"/>
      <c r="G78" s="296"/>
      <c r="H78" s="297"/>
    </row>
    <row r="79" spans="2:9" ht="13.5" thickBot="1" x14ac:dyDescent="0.25">
      <c r="B79" s="121" t="s">
        <v>22</v>
      </c>
      <c r="C79" s="121"/>
      <c r="D79" s="121"/>
      <c r="E79" s="121"/>
      <c r="F79" s="121"/>
      <c r="G79" s="300">
        <f>+G77+G76</f>
        <v>94149116.439999983</v>
      </c>
      <c r="H79" s="299"/>
    </row>
    <row r="80" spans="2:9" ht="13.5" thickTop="1" x14ac:dyDescent="0.2"/>
  </sheetData>
  <mergeCells count="4">
    <mergeCell ref="I1:J1"/>
    <mergeCell ref="I3:J3"/>
    <mergeCell ref="A5:J5"/>
    <mergeCell ref="A6:J6"/>
  </mergeCells>
  <phoneticPr fontId="0" type="noConversion"/>
  <printOptions horizontalCentered="1"/>
  <pageMargins left="0.5" right="0.5" top="0.5" bottom="0.5" header="0.5" footer="0.5"/>
  <pageSetup scale="7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zoomScaleNormal="100" workbookViewId="0">
      <selection activeCell="H92" sqref="H92"/>
    </sheetView>
  </sheetViews>
  <sheetFormatPr defaultRowHeight="12.75" x14ac:dyDescent="0.2"/>
  <cols>
    <col min="1" max="1" width="5.7109375" style="4" customWidth="1"/>
    <col min="2" max="2" width="18.7109375" style="4" customWidth="1"/>
    <col min="3" max="3" width="9.140625" style="4"/>
    <col min="4" max="4" width="22" style="4" customWidth="1"/>
    <col min="5" max="5" width="5.7109375" style="4" customWidth="1"/>
    <col min="6" max="6" width="13.7109375" style="4" customWidth="1"/>
    <col min="7" max="7" width="4.7109375" style="4" customWidth="1"/>
    <col min="8" max="8" width="13.7109375" style="4" customWidth="1"/>
    <col min="9" max="9" width="4.7109375" style="4" customWidth="1"/>
    <col min="10" max="10" width="14.85546875" style="4" customWidth="1"/>
    <col min="11" max="11" width="5.7109375" style="4" customWidth="1"/>
    <col min="12" max="16384" width="9.140625" style="4"/>
  </cols>
  <sheetData>
    <row r="1" spans="1:11" ht="15" x14ac:dyDescent="0.25">
      <c r="J1" s="246" t="s">
        <v>838</v>
      </c>
      <c r="K1" s="246"/>
    </row>
    <row r="2" spans="1:11" ht="15" x14ac:dyDescent="0.25">
      <c r="J2" s="227" t="s">
        <v>364</v>
      </c>
      <c r="K2" s="227"/>
    </row>
    <row r="3" spans="1:11" x14ac:dyDescent="0.2">
      <c r="J3" s="238" t="str">
        <f>FF1_Year</f>
        <v>Year Ending 12/31/2013</v>
      </c>
      <c r="K3" s="239"/>
    </row>
    <row r="5" spans="1:11" x14ac:dyDescent="0.2">
      <c r="A5" s="240" t="s">
        <v>850</v>
      </c>
      <c r="B5" s="240"/>
      <c r="C5" s="240"/>
      <c r="D5" s="240"/>
      <c r="E5" s="240"/>
      <c r="F5" s="240"/>
      <c r="G5" s="240"/>
      <c r="H5" s="240"/>
      <c r="I5" s="240"/>
      <c r="J5" s="240"/>
      <c r="K5" s="37"/>
    </row>
    <row r="6" spans="1:11" x14ac:dyDescent="0.2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</row>
    <row r="7" spans="1:11" x14ac:dyDescent="0.2">
      <c r="A7" s="269" t="s">
        <v>351</v>
      </c>
      <c r="B7" s="269"/>
      <c r="C7" s="269"/>
      <c r="D7" s="269"/>
      <c r="E7" s="269"/>
      <c r="F7" s="269"/>
      <c r="G7" s="269"/>
      <c r="H7" s="269"/>
      <c r="I7" s="269"/>
      <c r="J7" s="269"/>
      <c r="K7" s="301"/>
    </row>
    <row r="8" spans="1:11" x14ac:dyDescent="0.2">
      <c r="A8" s="269" t="s">
        <v>352</v>
      </c>
      <c r="B8" s="269"/>
      <c r="C8" s="269"/>
      <c r="D8" s="269"/>
      <c r="E8" s="269"/>
      <c r="F8" s="269"/>
      <c r="G8" s="269"/>
      <c r="H8" s="269"/>
      <c r="I8" s="269"/>
      <c r="J8" s="269"/>
      <c r="K8" s="301"/>
    </row>
    <row r="9" spans="1:11" x14ac:dyDescent="0.2">
      <c r="B9" s="302"/>
      <c r="C9" s="302"/>
      <c r="D9" s="302"/>
      <c r="E9" s="302"/>
      <c r="F9" s="302"/>
      <c r="G9" s="302"/>
      <c r="H9" s="302"/>
      <c r="I9" s="302"/>
      <c r="J9" s="302"/>
      <c r="K9" s="302"/>
    </row>
    <row r="10" spans="1:11" x14ac:dyDescent="0.2">
      <c r="B10" s="302"/>
      <c r="C10" s="303"/>
      <c r="D10" s="304"/>
      <c r="E10" s="304"/>
      <c r="F10" s="304" t="s">
        <v>354</v>
      </c>
      <c r="G10" s="304"/>
      <c r="H10" s="304" t="s">
        <v>356</v>
      </c>
      <c r="I10" s="304"/>
      <c r="J10" s="303"/>
      <c r="K10" s="302"/>
    </row>
    <row r="11" spans="1:11" x14ac:dyDescent="0.2">
      <c r="B11" s="305" t="s">
        <v>353</v>
      </c>
      <c r="C11" s="306"/>
      <c r="D11" s="307" t="s">
        <v>3</v>
      </c>
      <c r="E11" s="304"/>
      <c r="F11" s="307" t="s">
        <v>355</v>
      </c>
      <c r="G11" s="307"/>
      <c r="H11" s="307" t="s">
        <v>355</v>
      </c>
      <c r="I11" s="307"/>
      <c r="J11" s="307" t="s">
        <v>245</v>
      </c>
    </row>
    <row r="12" spans="1:11" hidden="1" x14ac:dyDescent="0.2">
      <c r="B12" s="302" t="s">
        <v>136</v>
      </c>
      <c r="C12" s="303"/>
      <c r="D12" s="303"/>
      <c r="E12" s="303"/>
      <c r="F12" s="308"/>
      <c r="G12" s="308"/>
      <c r="H12" s="308"/>
      <c r="I12" s="308"/>
      <c r="J12" s="304"/>
    </row>
    <row r="13" spans="1:11" hidden="1" x14ac:dyDescent="0.2">
      <c r="B13" s="302"/>
      <c r="C13" s="303"/>
      <c r="D13" s="303"/>
      <c r="E13" s="303"/>
      <c r="F13" s="83"/>
      <c r="G13" s="83"/>
      <c r="H13" s="83"/>
      <c r="I13" s="83"/>
      <c r="J13" s="304"/>
    </row>
    <row r="14" spans="1:11" hidden="1" x14ac:dyDescent="0.2">
      <c r="B14" s="302"/>
      <c r="C14" s="303"/>
      <c r="D14" s="303"/>
      <c r="E14" s="303"/>
      <c r="F14" s="83"/>
      <c r="G14" s="83"/>
      <c r="H14" s="83"/>
      <c r="I14" s="83"/>
      <c r="J14" s="304"/>
    </row>
    <row r="15" spans="1:11" hidden="1" x14ac:dyDescent="0.2">
      <c r="B15" s="302"/>
      <c r="C15" s="303"/>
      <c r="D15" s="303"/>
      <c r="E15" s="303"/>
      <c r="F15" s="83"/>
      <c r="G15" s="83"/>
      <c r="H15" s="83"/>
      <c r="I15" s="83"/>
      <c r="J15" s="304"/>
    </row>
    <row r="16" spans="1:11" hidden="1" x14ac:dyDescent="0.2">
      <c r="B16" s="302"/>
      <c r="C16" s="303"/>
      <c r="D16" s="303"/>
      <c r="E16" s="303"/>
      <c r="F16" s="297"/>
      <c r="G16" s="297"/>
      <c r="H16" s="297"/>
      <c r="I16" s="297"/>
      <c r="J16" s="304"/>
    </row>
    <row r="17" spans="2:10" hidden="1" x14ac:dyDescent="0.2">
      <c r="B17" s="302"/>
      <c r="C17" s="303"/>
      <c r="D17" s="303"/>
      <c r="E17" s="303"/>
      <c r="F17" s="83"/>
      <c r="G17" s="83"/>
      <c r="H17" s="83"/>
      <c r="I17" s="83"/>
      <c r="J17" s="304"/>
    </row>
    <row r="18" spans="2:10" hidden="1" x14ac:dyDescent="0.2">
      <c r="B18" s="302" t="s">
        <v>137</v>
      </c>
      <c r="C18" s="303"/>
      <c r="D18" s="309"/>
      <c r="E18" s="309"/>
      <c r="F18" s="83"/>
      <c r="G18" s="83"/>
      <c r="H18" s="83"/>
      <c r="I18" s="83"/>
      <c r="J18" s="304"/>
    </row>
    <row r="19" spans="2:10" hidden="1" x14ac:dyDescent="0.2">
      <c r="B19" s="302"/>
      <c r="C19" s="303"/>
      <c r="D19" s="309"/>
      <c r="E19" s="309"/>
      <c r="F19" s="83"/>
      <c r="G19" s="83"/>
      <c r="H19" s="83"/>
      <c r="I19" s="83"/>
      <c r="J19" s="304"/>
    </row>
    <row r="20" spans="2:10" hidden="1" x14ac:dyDescent="0.2">
      <c r="B20" s="302"/>
      <c r="C20" s="303"/>
      <c r="D20" s="303"/>
      <c r="E20" s="303"/>
      <c r="F20" s="297"/>
      <c r="G20" s="297"/>
      <c r="H20" s="297"/>
      <c r="I20" s="297"/>
      <c r="J20" s="304"/>
    </row>
    <row r="21" spans="2:10" hidden="1" x14ac:dyDescent="0.2">
      <c r="B21" s="302"/>
      <c r="C21" s="303"/>
      <c r="D21" s="303"/>
      <c r="E21" s="303"/>
      <c r="F21" s="83"/>
      <c r="G21" s="83"/>
      <c r="H21" s="83"/>
      <c r="I21" s="83"/>
      <c r="J21" s="304"/>
    </row>
    <row r="22" spans="2:10" hidden="1" x14ac:dyDescent="0.2">
      <c r="B22" s="302" t="s">
        <v>138</v>
      </c>
      <c r="C22" s="303"/>
      <c r="D22" s="303"/>
      <c r="E22" s="303"/>
      <c r="F22" s="83"/>
      <c r="G22" s="83"/>
      <c r="H22" s="83"/>
      <c r="I22" s="83"/>
      <c r="J22" s="304"/>
    </row>
    <row r="23" spans="2:10" hidden="1" x14ac:dyDescent="0.2">
      <c r="B23" s="302"/>
      <c r="C23" s="303"/>
      <c r="D23" s="310"/>
      <c r="E23" s="310"/>
      <c r="F23" s="83"/>
      <c r="G23" s="83"/>
      <c r="H23" s="83"/>
      <c r="I23" s="83"/>
      <c r="J23" s="304"/>
    </row>
    <row r="24" spans="2:10" hidden="1" x14ac:dyDescent="0.2">
      <c r="B24" s="302"/>
      <c r="C24" s="303"/>
      <c r="D24" s="310"/>
      <c r="E24" s="310"/>
      <c r="F24" s="83"/>
      <c r="G24" s="83"/>
      <c r="H24" s="83"/>
      <c r="I24" s="83"/>
      <c r="J24" s="304"/>
    </row>
    <row r="25" spans="2:10" hidden="1" x14ac:dyDescent="0.2">
      <c r="B25" s="302"/>
      <c r="C25" s="303"/>
      <c r="D25" s="309"/>
      <c r="E25" s="309"/>
      <c r="F25" s="83"/>
      <c r="G25" s="83"/>
      <c r="H25" s="83"/>
      <c r="I25" s="83"/>
      <c r="J25" s="304"/>
    </row>
    <row r="26" spans="2:10" hidden="1" x14ac:dyDescent="0.2">
      <c r="B26" s="302"/>
      <c r="C26" s="303"/>
      <c r="D26" s="303"/>
      <c r="E26" s="303"/>
      <c r="F26" s="83"/>
      <c r="G26" s="83"/>
      <c r="H26" s="83"/>
      <c r="I26" s="83"/>
      <c r="J26" s="304"/>
    </row>
    <row r="27" spans="2:10" hidden="1" x14ac:dyDescent="0.2">
      <c r="B27" s="302"/>
      <c r="C27" s="303"/>
      <c r="D27" s="309"/>
      <c r="E27" s="309"/>
      <c r="F27" s="83"/>
      <c r="G27" s="83"/>
      <c r="H27" s="83"/>
      <c r="I27" s="83"/>
      <c r="J27" s="304"/>
    </row>
    <row r="28" spans="2:10" hidden="1" x14ac:dyDescent="0.2">
      <c r="B28" s="302"/>
      <c r="C28" s="303"/>
      <c r="D28" s="303"/>
      <c r="E28" s="303"/>
      <c r="F28" s="83"/>
      <c r="G28" s="83"/>
      <c r="H28" s="83"/>
      <c r="I28" s="83"/>
      <c r="J28" s="304"/>
    </row>
    <row r="29" spans="2:10" hidden="1" x14ac:dyDescent="0.2">
      <c r="B29" s="302"/>
      <c r="C29" s="303"/>
      <c r="D29" s="309"/>
      <c r="E29" s="309"/>
      <c r="F29" s="83"/>
      <c r="G29" s="83"/>
      <c r="H29" s="83"/>
      <c r="I29" s="83"/>
      <c r="J29" s="304"/>
    </row>
    <row r="30" spans="2:10" hidden="1" x14ac:dyDescent="0.2">
      <c r="B30" s="302"/>
      <c r="C30" s="303"/>
      <c r="D30" s="303"/>
      <c r="E30" s="303"/>
      <c r="F30" s="83"/>
      <c r="G30" s="83"/>
      <c r="H30" s="83"/>
      <c r="I30" s="83"/>
      <c r="J30" s="304"/>
    </row>
    <row r="31" spans="2:10" hidden="1" x14ac:dyDescent="0.2">
      <c r="B31" s="302"/>
      <c r="C31" s="303"/>
      <c r="D31" s="309"/>
      <c r="E31" s="309"/>
      <c r="F31" s="83"/>
      <c r="G31" s="83"/>
      <c r="H31" s="83"/>
      <c r="I31" s="83"/>
      <c r="J31" s="304"/>
    </row>
    <row r="32" spans="2:10" hidden="1" x14ac:dyDescent="0.2">
      <c r="B32" s="302"/>
      <c r="C32" s="303"/>
      <c r="D32" s="303"/>
      <c r="E32" s="303"/>
      <c r="F32" s="83"/>
      <c r="G32" s="83"/>
      <c r="H32" s="83"/>
      <c r="I32" s="83"/>
      <c r="J32" s="304"/>
    </row>
    <row r="33" spans="2:10" hidden="1" x14ac:dyDescent="0.2">
      <c r="B33" s="302"/>
      <c r="C33" s="303"/>
      <c r="D33" s="309"/>
      <c r="E33" s="309"/>
      <c r="F33" s="83"/>
      <c r="G33" s="83"/>
      <c r="H33" s="83"/>
      <c r="I33" s="83"/>
      <c r="J33" s="304"/>
    </row>
    <row r="34" spans="2:10" hidden="1" x14ac:dyDescent="0.2">
      <c r="B34" s="302"/>
      <c r="C34" s="303"/>
      <c r="D34" s="303"/>
      <c r="E34" s="303"/>
      <c r="F34" s="83"/>
      <c r="G34" s="83"/>
      <c r="H34" s="83"/>
      <c r="I34" s="83"/>
      <c r="J34" s="304"/>
    </row>
    <row r="35" spans="2:10" hidden="1" x14ac:dyDescent="0.2">
      <c r="B35" s="302"/>
      <c r="C35" s="303"/>
      <c r="D35" s="303"/>
      <c r="E35" s="303"/>
      <c r="F35" s="83"/>
      <c r="G35" s="83"/>
      <c r="H35" s="83"/>
      <c r="I35" s="83"/>
      <c r="J35" s="304"/>
    </row>
    <row r="36" spans="2:10" hidden="1" x14ac:dyDescent="0.2">
      <c r="B36" s="302"/>
      <c r="C36" s="303"/>
      <c r="D36" s="309"/>
      <c r="E36" s="309"/>
      <c r="F36" s="83"/>
      <c r="G36" s="83"/>
      <c r="H36" s="83"/>
      <c r="I36" s="83"/>
      <c r="J36" s="304"/>
    </row>
    <row r="37" spans="2:10" hidden="1" x14ac:dyDescent="0.2">
      <c r="B37" s="302"/>
      <c r="C37" s="303"/>
      <c r="D37" s="309"/>
      <c r="E37" s="309"/>
      <c r="F37" s="83"/>
      <c r="G37" s="83"/>
      <c r="H37" s="83"/>
      <c r="I37" s="83"/>
      <c r="J37" s="304"/>
    </row>
    <row r="38" spans="2:10" hidden="1" x14ac:dyDescent="0.2">
      <c r="B38" s="302"/>
      <c r="C38" s="303"/>
      <c r="D38" s="303"/>
      <c r="E38" s="303"/>
      <c r="F38" s="297"/>
      <c r="G38" s="297"/>
      <c r="H38" s="297"/>
      <c r="I38" s="297"/>
      <c r="J38" s="304"/>
    </row>
    <row r="39" spans="2:10" hidden="1" x14ac:dyDescent="0.2">
      <c r="B39" s="302"/>
      <c r="C39" s="303"/>
      <c r="D39" s="303"/>
      <c r="E39" s="303"/>
      <c r="F39" s="83"/>
      <c r="G39" s="83"/>
      <c r="H39" s="83"/>
      <c r="I39" s="83"/>
      <c r="J39" s="304"/>
    </row>
    <row r="40" spans="2:10" hidden="1" x14ac:dyDescent="0.2">
      <c r="B40" s="302" t="s">
        <v>139</v>
      </c>
      <c r="C40" s="303"/>
      <c r="D40" s="309"/>
      <c r="E40" s="309"/>
      <c r="F40" s="83"/>
      <c r="G40" s="83"/>
      <c r="H40" s="83"/>
      <c r="I40" s="83"/>
      <c r="J40" s="304"/>
    </row>
    <row r="41" spans="2:10" hidden="1" x14ac:dyDescent="0.2">
      <c r="B41" s="302"/>
      <c r="C41" s="303"/>
      <c r="D41" s="303"/>
      <c r="E41" s="303"/>
      <c r="F41" s="83"/>
      <c r="G41" s="83"/>
      <c r="H41" s="83"/>
      <c r="I41" s="83"/>
      <c r="J41" s="304"/>
    </row>
    <row r="42" spans="2:10" hidden="1" x14ac:dyDescent="0.2">
      <c r="B42" s="302"/>
      <c r="C42" s="303"/>
      <c r="D42" s="309"/>
      <c r="E42" s="309"/>
      <c r="F42" s="83"/>
      <c r="G42" s="83"/>
      <c r="H42" s="83"/>
      <c r="I42" s="83"/>
      <c r="J42" s="304"/>
    </row>
    <row r="43" spans="2:10" hidden="1" x14ac:dyDescent="0.2">
      <c r="B43" s="302"/>
      <c r="C43" s="303"/>
      <c r="D43" s="303"/>
      <c r="E43" s="303"/>
      <c r="F43" s="83"/>
      <c r="G43" s="83"/>
      <c r="H43" s="83"/>
      <c r="I43" s="83"/>
      <c r="J43" s="304"/>
    </row>
    <row r="44" spans="2:10" hidden="1" x14ac:dyDescent="0.2">
      <c r="B44" s="302"/>
      <c r="C44" s="303"/>
      <c r="D44" s="303"/>
      <c r="E44" s="303"/>
      <c r="F44" s="83"/>
      <c r="G44" s="83"/>
      <c r="H44" s="83"/>
      <c r="I44" s="83"/>
      <c r="J44" s="304"/>
    </row>
    <row r="45" spans="2:10" hidden="1" x14ac:dyDescent="0.2">
      <c r="B45" s="302"/>
      <c r="C45" s="303"/>
      <c r="D45" s="303"/>
      <c r="E45" s="303"/>
      <c r="F45" s="297"/>
      <c r="G45" s="297"/>
      <c r="H45" s="297"/>
      <c r="I45" s="297"/>
      <c r="J45" s="304"/>
    </row>
    <row r="46" spans="2:10" hidden="1" x14ac:dyDescent="0.2">
      <c r="B46" s="302"/>
      <c r="C46" s="303"/>
      <c r="D46" s="303"/>
      <c r="E46" s="303"/>
      <c r="F46" s="83"/>
      <c r="G46" s="83"/>
      <c r="H46" s="83"/>
      <c r="I46" s="83"/>
      <c r="J46" s="304"/>
    </row>
    <row r="47" spans="2:10" hidden="1" x14ac:dyDescent="0.2">
      <c r="B47" s="302" t="s">
        <v>140</v>
      </c>
      <c r="C47" s="303"/>
      <c r="D47" s="309"/>
      <c r="E47" s="309"/>
      <c r="F47" s="83"/>
      <c r="G47" s="83"/>
      <c r="H47" s="83"/>
      <c r="I47" s="83"/>
      <c r="J47" s="304"/>
    </row>
    <row r="48" spans="2:10" hidden="1" x14ac:dyDescent="0.2">
      <c r="B48" s="302"/>
      <c r="C48" s="303"/>
      <c r="D48" s="309"/>
      <c r="E48" s="309"/>
      <c r="F48" s="83"/>
      <c r="G48" s="83"/>
      <c r="H48" s="83"/>
      <c r="I48" s="83"/>
      <c r="J48" s="304"/>
    </row>
    <row r="49" spans="2:10" hidden="1" x14ac:dyDescent="0.2">
      <c r="B49" s="302"/>
      <c r="C49" s="303"/>
      <c r="D49" s="309"/>
      <c r="E49" s="309"/>
      <c r="F49" s="83"/>
      <c r="G49" s="83"/>
      <c r="H49" s="83"/>
      <c r="I49" s="83"/>
      <c r="J49" s="304"/>
    </row>
    <row r="50" spans="2:10" hidden="1" x14ac:dyDescent="0.2">
      <c r="B50" s="302"/>
      <c r="C50" s="303"/>
      <c r="D50" s="303"/>
      <c r="E50" s="303"/>
      <c r="F50" s="297"/>
      <c r="G50" s="297"/>
      <c r="H50" s="297"/>
      <c r="I50" s="297"/>
      <c r="J50" s="304"/>
    </row>
    <row r="51" spans="2:10" hidden="1" x14ac:dyDescent="0.2">
      <c r="B51" s="302"/>
      <c r="C51" s="303"/>
      <c r="D51" s="303"/>
      <c r="E51" s="303"/>
      <c r="F51" s="83"/>
      <c r="G51" s="83"/>
      <c r="H51" s="83"/>
      <c r="I51" s="83"/>
      <c r="J51" s="304"/>
    </row>
    <row r="52" spans="2:10" hidden="1" x14ac:dyDescent="0.2">
      <c r="B52" s="302"/>
      <c r="C52" s="303"/>
      <c r="D52" s="303"/>
      <c r="E52" s="303"/>
      <c r="F52" s="83"/>
      <c r="G52" s="83"/>
      <c r="H52" s="83"/>
      <c r="I52" s="83"/>
      <c r="J52" s="304"/>
    </row>
    <row r="53" spans="2:10" hidden="1" x14ac:dyDescent="0.2">
      <c r="B53" s="302" t="s">
        <v>141</v>
      </c>
      <c r="C53" s="303"/>
      <c r="D53" s="303"/>
      <c r="E53" s="303"/>
      <c r="F53" s="83"/>
      <c r="G53" s="83"/>
      <c r="H53" s="83"/>
      <c r="I53" s="83"/>
      <c r="J53" s="304"/>
    </row>
    <row r="54" spans="2:10" hidden="1" x14ac:dyDescent="0.2">
      <c r="B54" s="302"/>
      <c r="C54" s="303"/>
      <c r="D54" s="303"/>
      <c r="E54" s="303"/>
      <c r="F54" s="297"/>
      <c r="G54" s="297"/>
      <c r="H54" s="297"/>
      <c r="I54" s="297"/>
      <c r="J54" s="304"/>
    </row>
    <row r="55" spans="2:10" hidden="1" x14ac:dyDescent="0.2">
      <c r="B55" s="302"/>
      <c r="C55" s="303"/>
      <c r="D55" s="303"/>
      <c r="E55" s="303"/>
      <c r="F55" s="83"/>
      <c r="G55" s="83"/>
      <c r="H55" s="83"/>
      <c r="I55" s="83"/>
      <c r="J55" s="304"/>
    </row>
    <row r="56" spans="2:10" hidden="1" x14ac:dyDescent="0.2">
      <c r="B56" s="302" t="s">
        <v>142</v>
      </c>
      <c r="C56" s="303"/>
      <c r="D56" s="309"/>
      <c r="E56" s="309"/>
      <c r="F56" s="83"/>
      <c r="G56" s="83"/>
      <c r="H56" s="83"/>
      <c r="I56" s="83"/>
      <c r="J56" s="304"/>
    </row>
    <row r="57" spans="2:10" hidden="1" x14ac:dyDescent="0.2">
      <c r="B57" s="302"/>
      <c r="C57" s="303"/>
      <c r="D57" s="303"/>
      <c r="E57" s="303"/>
      <c r="F57" s="83"/>
      <c r="G57" s="83"/>
      <c r="H57" s="83"/>
      <c r="I57" s="83"/>
      <c r="J57" s="304"/>
    </row>
    <row r="58" spans="2:10" hidden="1" x14ac:dyDescent="0.2">
      <c r="B58" s="302"/>
      <c r="C58" s="303"/>
      <c r="D58" s="309"/>
      <c r="E58" s="309"/>
      <c r="F58" s="83"/>
      <c r="G58" s="83"/>
      <c r="H58" s="83"/>
      <c r="I58" s="83"/>
      <c r="J58" s="304"/>
    </row>
    <row r="59" spans="2:10" hidden="1" x14ac:dyDescent="0.2">
      <c r="B59" s="302"/>
      <c r="C59" s="303"/>
      <c r="D59" s="309"/>
      <c r="E59" s="309"/>
      <c r="F59" s="83"/>
      <c r="G59" s="83"/>
      <c r="H59" s="83"/>
      <c r="I59" s="83"/>
      <c r="J59" s="304"/>
    </row>
    <row r="60" spans="2:10" hidden="1" x14ac:dyDescent="0.2">
      <c r="B60" s="302"/>
      <c r="C60" s="303"/>
      <c r="D60" s="309"/>
      <c r="E60" s="309"/>
      <c r="F60" s="83"/>
      <c r="G60" s="83"/>
      <c r="H60" s="83"/>
      <c r="I60" s="83"/>
      <c r="J60" s="304"/>
    </row>
    <row r="61" spans="2:10" hidden="1" x14ac:dyDescent="0.2">
      <c r="B61" s="302"/>
      <c r="C61" s="303"/>
      <c r="D61" s="309"/>
      <c r="E61" s="309"/>
      <c r="F61" s="83"/>
      <c r="G61" s="83"/>
      <c r="H61" s="83"/>
      <c r="I61" s="83"/>
      <c r="J61" s="304"/>
    </row>
    <row r="62" spans="2:10" hidden="1" x14ac:dyDescent="0.2">
      <c r="B62" s="302"/>
      <c r="C62" s="303"/>
      <c r="D62" s="309"/>
      <c r="E62" s="309"/>
      <c r="F62" s="83"/>
      <c r="G62" s="83"/>
      <c r="H62" s="83"/>
      <c r="I62" s="83"/>
      <c r="J62" s="304"/>
    </row>
    <row r="63" spans="2:10" hidden="1" x14ac:dyDescent="0.2">
      <c r="B63" s="302"/>
      <c r="C63" s="303"/>
      <c r="D63" s="309"/>
      <c r="E63" s="309"/>
      <c r="F63" s="83"/>
      <c r="G63" s="83"/>
      <c r="H63" s="83"/>
      <c r="I63" s="83"/>
      <c r="J63" s="304"/>
    </row>
    <row r="64" spans="2:10" hidden="1" x14ac:dyDescent="0.2">
      <c r="B64" s="302"/>
      <c r="C64" s="303"/>
      <c r="D64" s="311"/>
      <c r="E64" s="309"/>
      <c r="F64" s="83"/>
      <c r="G64" s="83"/>
      <c r="H64" s="83"/>
      <c r="I64" s="83"/>
      <c r="J64" s="304"/>
    </row>
    <row r="65" spans="2:10" hidden="1" x14ac:dyDescent="0.2">
      <c r="B65" s="302"/>
      <c r="C65" s="303"/>
      <c r="D65" s="303"/>
      <c r="E65" s="303"/>
      <c r="F65" s="297"/>
      <c r="G65" s="297"/>
      <c r="H65" s="297"/>
      <c r="I65" s="297"/>
      <c r="J65" s="304"/>
    </row>
    <row r="66" spans="2:10" hidden="1" x14ac:dyDescent="0.2">
      <c r="B66" s="302"/>
      <c r="C66" s="303"/>
      <c r="D66" s="303"/>
      <c r="E66" s="303"/>
      <c r="F66" s="83"/>
      <c r="G66" s="83"/>
      <c r="H66" s="83"/>
      <c r="I66" s="83"/>
      <c r="J66" s="304"/>
    </row>
    <row r="67" spans="2:10" hidden="1" x14ac:dyDescent="0.2">
      <c r="B67" s="302" t="s">
        <v>143</v>
      </c>
      <c r="C67" s="303"/>
      <c r="D67" s="309"/>
      <c r="E67" s="309"/>
      <c r="F67" s="83"/>
      <c r="G67" s="83"/>
      <c r="H67" s="83"/>
      <c r="I67" s="83"/>
      <c r="J67" s="304"/>
    </row>
    <row r="68" spans="2:10" hidden="1" x14ac:dyDescent="0.2">
      <c r="B68" s="302"/>
      <c r="C68" s="303"/>
      <c r="D68" s="303"/>
      <c r="E68" s="303"/>
      <c r="F68" s="297"/>
      <c r="G68" s="297"/>
      <c r="H68" s="297"/>
      <c r="I68" s="297"/>
      <c r="J68" s="304"/>
    </row>
    <row r="69" spans="2:10" hidden="1" x14ac:dyDescent="0.2">
      <c r="B69" s="302"/>
      <c r="C69" s="303"/>
      <c r="D69" s="303"/>
      <c r="E69" s="303"/>
      <c r="F69" s="83"/>
      <c r="G69" s="83"/>
      <c r="H69" s="83"/>
      <c r="I69" s="83"/>
      <c r="J69" s="304"/>
    </row>
    <row r="70" spans="2:10" hidden="1" x14ac:dyDescent="0.2">
      <c r="B70" s="302" t="s">
        <v>144</v>
      </c>
      <c r="C70" s="303"/>
      <c r="D70" s="303"/>
      <c r="E70" s="303"/>
      <c r="F70" s="83"/>
      <c r="G70" s="83"/>
      <c r="H70" s="83"/>
      <c r="I70" s="83"/>
      <c r="J70" s="304"/>
    </row>
    <row r="71" spans="2:10" hidden="1" x14ac:dyDescent="0.2">
      <c r="B71" s="302"/>
      <c r="C71" s="303"/>
      <c r="D71" s="303"/>
      <c r="E71" s="303"/>
      <c r="F71" s="83"/>
      <c r="G71" s="83"/>
      <c r="H71" s="83"/>
      <c r="I71" s="83"/>
      <c r="J71" s="304"/>
    </row>
    <row r="72" spans="2:10" hidden="1" x14ac:dyDescent="0.2">
      <c r="B72" s="302"/>
      <c r="C72" s="303"/>
      <c r="D72" s="303"/>
      <c r="E72" s="303"/>
      <c r="F72" s="83"/>
      <c r="G72" s="83"/>
      <c r="H72" s="83"/>
      <c r="I72" s="83"/>
      <c r="J72" s="304"/>
    </row>
    <row r="73" spans="2:10" hidden="1" x14ac:dyDescent="0.2">
      <c r="B73" s="302"/>
      <c r="C73" s="303"/>
      <c r="D73" s="303"/>
      <c r="E73" s="303"/>
      <c r="F73" s="83"/>
      <c r="G73" s="83"/>
      <c r="H73" s="83"/>
      <c r="I73" s="83"/>
      <c r="J73" s="304"/>
    </row>
    <row r="74" spans="2:10" x14ac:dyDescent="0.2">
      <c r="B74" s="302"/>
      <c r="C74" s="303"/>
      <c r="D74" s="309"/>
      <c r="E74" s="309"/>
      <c r="F74" s="83"/>
      <c r="G74" s="83"/>
      <c r="H74" s="83"/>
      <c r="I74" s="83"/>
      <c r="J74" s="304"/>
    </row>
    <row r="75" spans="2:10" x14ac:dyDescent="0.2">
      <c r="B75" s="102" t="s">
        <v>690</v>
      </c>
      <c r="C75" s="111"/>
      <c r="D75" s="112" t="s">
        <v>691</v>
      </c>
      <c r="E75" s="113"/>
      <c r="F75" s="114">
        <v>445684</v>
      </c>
      <c r="G75" s="115"/>
      <c r="H75" s="114">
        <v>445684</v>
      </c>
      <c r="I75" s="115"/>
      <c r="J75" s="114">
        <f>(F75+H75)/2</f>
        <v>445684</v>
      </c>
    </row>
    <row r="76" spans="2:10" x14ac:dyDescent="0.2">
      <c r="B76" s="102"/>
      <c r="C76" s="111"/>
      <c r="D76" s="113"/>
      <c r="E76" s="113"/>
      <c r="F76" s="115"/>
      <c r="G76" s="115"/>
      <c r="H76" s="115"/>
      <c r="I76" s="115"/>
      <c r="J76" s="115"/>
    </row>
    <row r="77" spans="2:10" x14ac:dyDescent="0.2">
      <c r="B77" s="102" t="s">
        <v>692</v>
      </c>
      <c r="C77" s="111"/>
      <c r="D77" s="112" t="s">
        <v>691</v>
      </c>
      <c r="E77" s="113"/>
      <c r="F77" s="114">
        <v>1094758</v>
      </c>
      <c r="G77" s="115"/>
      <c r="H77" s="114">
        <v>1094758</v>
      </c>
      <c r="I77" s="115"/>
      <c r="J77" s="114">
        <f>(F77+H77)/2</f>
        <v>1094758</v>
      </c>
    </row>
    <row r="78" spans="2:10" x14ac:dyDescent="0.2">
      <c r="B78" s="102"/>
      <c r="C78" s="111"/>
      <c r="D78" s="113"/>
      <c r="E78" s="113"/>
      <c r="F78" s="115"/>
      <c r="G78" s="115"/>
      <c r="H78" s="115"/>
      <c r="I78" s="115"/>
      <c r="J78" s="115"/>
    </row>
    <row r="79" spans="2:10" x14ac:dyDescent="0.2">
      <c r="B79" s="102" t="s">
        <v>693</v>
      </c>
      <c r="C79" s="111"/>
      <c r="D79" s="112" t="s">
        <v>691</v>
      </c>
      <c r="E79" s="111"/>
      <c r="F79" s="114">
        <v>1094758</v>
      </c>
      <c r="G79" s="115"/>
      <c r="H79" s="114">
        <v>1094758</v>
      </c>
      <c r="I79" s="115"/>
      <c r="J79" s="114">
        <f>(F79+H79)/2</f>
        <v>1094758</v>
      </c>
    </row>
    <row r="80" spans="2:10" x14ac:dyDescent="0.2">
      <c r="B80" s="102"/>
      <c r="C80" s="111"/>
      <c r="D80" s="113"/>
      <c r="E80" s="113"/>
      <c r="F80" s="115"/>
      <c r="G80" s="115"/>
      <c r="H80" s="115"/>
      <c r="I80" s="115"/>
      <c r="J80" s="115"/>
    </row>
    <row r="81" spans="2:10" x14ac:dyDescent="0.2">
      <c r="B81" s="102" t="s">
        <v>694</v>
      </c>
      <c r="C81" s="111"/>
      <c r="D81" s="112" t="s">
        <v>691</v>
      </c>
      <c r="E81" s="111"/>
      <c r="F81" s="114">
        <v>1094758</v>
      </c>
      <c r="G81" s="115"/>
      <c r="H81" s="114">
        <v>1094758</v>
      </c>
      <c r="I81" s="115"/>
      <c r="J81" s="114">
        <f>(F81+H81)/2</f>
        <v>1094758</v>
      </c>
    </row>
    <row r="82" spans="2:10" x14ac:dyDescent="0.2">
      <c r="B82" s="102"/>
      <c r="C82" s="111"/>
      <c r="D82" s="112"/>
      <c r="E82" s="111"/>
      <c r="F82" s="114"/>
      <c r="G82" s="115"/>
      <c r="H82" s="114"/>
      <c r="I82" s="115"/>
      <c r="J82" s="114"/>
    </row>
    <row r="83" spans="2:10" x14ac:dyDescent="0.2">
      <c r="B83" s="102" t="s">
        <v>677</v>
      </c>
      <c r="C83" s="111"/>
      <c r="D83" s="112"/>
      <c r="E83" s="111"/>
      <c r="F83" s="114">
        <v>3836955</v>
      </c>
      <c r="G83" s="115"/>
      <c r="H83" s="114">
        <v>3836955</v>
      </c>
      <c r="I83" s="115"/>
      <c r="J83" s="114">
        <f>(F83+H83)/2</f>
        <v>3836955</v>
      </c>
    </row>
    <row r="84" spans="2:10" ht="12" customHeight="1" x14ac:dyDescent="0.2">
      <c r="B84" s="302"/>
      <c r="C84" s="303"/>
      <c r="D84" s="303"/>
      <c r="E84" s="303"/>
      <c r="F84" s="83"/>
      <c r="G84" s="83"/>
      <c r="H84" s="83"/>
      <c r="I84" s="83"/>
      <c r="J84" s="304"/>
    </row>
    <row r="85" spans="2:10" x14ac:dyDescent="0.2">
      <c r="B85" s="9" t="s">
        <v>371</v>
      </c>
      <c r="C85" s="130"/>
      <c r="D85" s="130"/>
      <c r="E85" s="130"/>
      <c r="F85" s="312">
        <f>SUM(F75:F83)</f>
        <v>7566913</v>
      </c>
      <c r="G85" s="312"/>
      <c r="H85" s="312">
        <f>SUM(H75:H83)</f>
        <v>7566913</v>
      </c>
      <c r="I85" s="312"/>
      <c r="J85" s="313">
        <f>(F85+H85)/2</f>
        <v>7566913</v>
      </c>
    </row>
    <row r="86" spans="2:10" x14ac:dyDescent="0.2">
      <c r="C86" s="130"/>
      <c r="D86" s="130"/>
      <c r="E86" s="130"/>
      <c r="F86" s="130"/>
      <c r="G86" s="130"/>
      <c r="H86" s="130"/>
      <c r="I86" s="130"/>
      <c r="J86" s="130"/>
    </row>
    <row r="87" spans="2:10" x14ac:dyDescent="0.2">
      <c r="C87" s="130"/>
      <c r="D87" s="130"/>
      <c r="E87" s="130"/>
      <c r="F87" s="130"/>
      <c r="G87" s="130"/>
      <c r="H87" s="130"/>
      <c r="I87" s="130"/>
      <c r="J87" s="130"/>
    </row>
    <row r="88" spans="2:10" x14ac:dyDescent="0.2">
      <c r="C88" s="130"/>
      <c r="D88" s="130"/>
      <c r="E88" s="130"/>
      <c r="F88" s="130"/>
      <c r="G88" s="130"/>
      <c r="H88" s="130"/>
      <c r="I88" s="130"/>
      <c r="J88" s="130"/>
    </row>
    <row r="89" spans="2:10" x14ac:dyDescent="0.2">
      <c r="C89" s="130"/>
      <c r="D89" s="130"/>
      <c r="E89" s="130"/>
      <c r="F89" s="130"/>
      <c r="G89" s="130"/>
      <c r="H89" s="130"/>
      <c r="I89" s="130"/>
      <c r="J89" s="130"/>
    </row>
    <row r="90" spans="2:10" x14ac:dyDescent="0.2">
      <c r="C90" s="130"/>
      <c r="D90" s="130"/>
      <c r="E90" s="130"/>
      <c r="F90" s="130"/>
      <c r="G90" s="130"/>
      <c r="H90" s="130"/>
      <c r="I90" s="130"/>
      <c r="J90" s="130"/>
    </row>
  </sheetData>
  <mergeCells count="5">
    <mergeCell ref="J1:K1"/>
    <mergeCell ref="J3:K3"/>
    <mergeCell ref="A5:J5"/>
    <mergeCell ref="A7:J7"/>
    <mergeCell ref="A8:J8"/>
  </mergeCells>
  <phoneticPr fontId="0" type="noConversion"/>
  <printOptions horizontalCentered="1"/>
  <pageMargins left="0.5" right="0.5" top="0.75" bottom="0.5" header="0.5" footer="0.5"/>
  <pageSetup scale="8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workbookViewId="0">
      <selection activeCell="K48" sqref="K48"/>
    </sheetView>
  </sheetViews>
  <sheetFormatPr defaultRowHeight="12.75" x14ac:dyDescent="0.2"/>
  <cols>
    <col min="1" max="1" width="8.85546875" style="4" customWidth="1"/>
    <col min="2" max="2" width="47.140625" style="4" customWidth="1"/>
    <col min="3" max="3" width="3.7109375" style="4" customWidth="1"/>
    <col min="4" max="4" width="21.7109375" style="4" bestFit="1" customWidth="1"/>
    <col min="5" max="5" width="3.7109375" style="4" customWidth="1"/>
    <col min="6" max="7" width="9.140625" style="4"/>
    <col min="8" max="8" width="3.7109375" style="4" customWidth="1"/>
    <col min="9" max="9" width="11.28515625" style="4" bestFit="1" customWidth="1"/>
    <col min="10" max="16384" width="9.140625" style="4"/>
  </cols>
  <sheetData>
    <row r="1" spans="1:10" ht="15" x14ac:dyDescent="0.25">
      <c r="A1" s="6"/>
      <c r="B1" s="6"/>
      <c r="C1" s="6"/>
      <c r="D1" s="6"/>
      <c r="E1" s="6"/>
      <c r="F1" s="6"/>
      <c r="G1" s="6"/>
      <c r="H1" s="6"/>
      <c r="I1" s="246" t="s">
        <v>836</v>
      </c>
      <c r="J1" s="246"/>
    </row>
    <row r="2" spans="1:10" ht="15" x14ac:dyDescent="0.25">
      <c r="A2" s="6"/>
      <c r="B2" s="6"/>
      <c r="C2" s="6"/>
      <c r="D2" s="6"/>
      <c r="E2" s="6"/>
      <c r="F2" s="6"/>
      <c r="G2" s="6"/>
      <c r="H2" s="6"/>
      <c r="I2" s="227" t="s">
        <v>697</v>
      </c>
      <c r="J2" s="227"/>
    </row>
    <row r="3" spans="1:10" x14ac:dyDescent="0.2">
      <c r="A3" s="6"/>
      <c r="B3" s="28"/>
      <c r="C3" s="28"/>
      <c r="D3" s="6"/>
      <c r="E3" s="6"/>
      <c r="F3" s="6"/>
      <c r="G3" s="6"/>
      <c r="H3" s="6"/>
      <c r="I3" s="286" t="str">
        <f>"Year Ending "&amp;L_YR_P</f>
        <v>Year Ending 12/31/2012</v>
      </c>
      <c r="J3" s="239"/>
    </row>
    <row r="4" spans="1:10" x14ac:dyDescent="0.2">
      <c r="A4" s="6"/>
      <c r="B4" s="28"/>
      <c r="C4" s="28"/>
      <c r="D4" s="6"/>
      <c r="E4" s="6"/>
      <c r="F4" s="6"/>
      <c r="G4" s="6"/>
      <c r="H4" s="6"/>
      <c r="I4" s="221"/>
      <c r="J4" s="221"/>
    </row>
    <row r="5" spans="1:10" x14ac:dyDescent="0.2">
      <c r="A5" s="144" t="s">
        <v>850</v>
      </c>
      <c r="B5" s="314"/>
      <c r="C5" s="314"/>
      <c r="D5" s="314"/>
      <c r="E5" s="314"/>
      <c r="F5" s="314"/>
      <c r="G5" s="314"/>
      <c r="H5" s="314"/>
      <c r="I5" s="314"/>
      <c r="J5" s="221"/>
    </row>
    <row r="6" spans="1:10" x14ac:dyDescent="0.2">
      <c r="A6" s="144" t="s">
        <v>367</v>
      </c>
      <c r="B6" s="314"/>
      <c r="C6" s="314"/>
      <c r="D6" s="314"/>
      <c r="E6" s="314"/>
      <c r="F6" s="314"/>
      <c r="G6" s="314"/>
      <c r="H6" s="314"/>
      <c r="I6" s="314"/>
      <c r="J6" s="221"/>
    </row>
    <row r="7" spans="1:10" x14ac:dyDescent="0.2">
      <c r="A7" s="6"/>
      <c r="B7" s="28"/>
      <c r="C7" s="28"/>
      <c r="D7" s="6"/>
      <c r="E7" s="6"/>
      <c r="F7" s="6"/>
      <c r="G7" s="6"/>
      <c r="H7" s="6"/>
      <c r="I7" s="6"/>
      <c r="J7" s="6"/>
    </row>
    <row r="8" spans="1:10" x14ac:dyDescent="0.2">
      <c r="A8" s="29"/>
      <c r="B8" s="30"/>
      <c r="C8" s="30"/>
      <c r="D8" s="30"/>
      <c r="E8" s="31"/>
      <c r="F8" s="31"/>
      <c r="G8" s="31"/>
      <c r="H8" s="31"/>
      <c r="I8" s="31"/>
      <c r="J8" s="31"/>
    </row>
    <row r="9" spans="1:10" x14ac:dyDescent="0.2">
      <c r="A9" s="29"/>
      <c r="B9" s="30"/>
      <c r="C9" s="30"/>
      <c r="D9" s="228" t="s">
        <v>221</v>
      </c>
      <c r="E9" s="31"/>
      <c r="F9" s="32" t="s">
        <v>23</v>
      </c>
      <c r="G9" s="32" t="s">
        <v>222</v>
      </c>
      <c r="H9" s="32"/>
      <c r="I9" s="32" t="s">
        <v>223</v>
      </c>
      <c r="J9" s="31"/>
    </row>
    <row r="10" spans="1:10" x14ac:dyDescent="0.2">
      <c r="A10" s="29" t="s">
        <v>224</v>
      </c>
      <c r="B10" s="29" t="s">
        <v>3</v>
      </c>
      <c r="C10" s="33"/>
      <c r="D10" s="228" t="str">
        <f>"Tax at 12/31/"&amp;YR-1</f>
        <v>Tax at 12/31/2012</v>
      </c>
      <c r="E10" s="6"/>
      <c r="F10" s="6"/>
      <c r="G10" s="6"/>
      <c r="H10" s="6"/>
      <c r="I10" s="6"/>
      <c r="J10" s="6"/>
    </row>
    <row r="11" spans="1:10" x14ac:dyDescent="0.2">
      <c r="A11" s="29"/>
      <c r="B11" s="29"/>
      <c r="C11" s="33"/>
      <c r="D11" s="228"/>
      <c r="E11" s="6"/>
      <c r="F11" s="6"/>
      <c r="G11" s="6"/>
      <c r="H11" s="6"/>
      <c r="I11" s="6"/>
      <c r="J11" s="6"/>
    </row>
    <row r="12" spans="1:10" x14ac:dyDescent="0.2">
      <c r="A12" s="116">
        <v>190</v>
      </c>
      <c r="B12" s="10" t="s">
        <v>891</v>
      </c>
      <c r="C12" s="10"/>
      <c r="D12" s="10">
        <v>1218584</v>
      </c>
      <c r="E12" s="10"/>
      <c r="F12" s="10" t="s">
        <v>225</v>
      </c>
      <c r="G12" s="94">
        <f t="shared" ref="G12:G69" si="0">VLOOKUP(F12,ALLOCATORS,2,FALSE)</f>
        <v>0</v>
      </c>
      <c r="H12" s="85"/>
      <c r="I12" s="10">
        <f>D12*G12</f>
        <v>0</v>
      </c>
      <c r="J12" s="6"/>
    </row>
    <row r="13" spans="1:10" x14ac:dyDescent="0.2">
      <c r="A13" s="116">
        <v>190</v>
      </c>
      <c r="B13" s="10" t="s">
        <v>892</v>
      </c>
      <c r="C13" s="10"/>
      <c r="D13" s="10">
        <v>1525070</v>
      </c>
      <c r="E13" s="10"/>
      <c r="F13" s="10" t="s">
        <v>229</v>
      </c>
      <c r="G13" s="94">
        <f t="shared" si="0"/>
        <v>0</v>
      </c>
      <c r="H13" s="85"/>
      <c r="I13" s="10">
        <f t="shared" ref="I13:I69" si="1">D13*G13</f>
        <v>0</v>
      </c>
      <c r="J13" s="6"/>
    </row>
    <row r="14" spans="1:10" x14ac:dyDescent="0.2">
      <c r="A14" s="116">
        <v>190</v>
      </c>
      <c r="B14" s="10" t="s">
        <v>893</v>
      </c>
      <c r="C14" s="10"/>
      <c r="D14" s="10">
        <v>8101</v>
      </c>
      <c r="E14" s="10"/>
      <c r="F14" s="10" t="s">
        <v>227</v>
      </c>
      <c r="G14" s="94">
        <f t="shared" si="0"/>
        <v>0</v>
      </c>
      <c r="H14" s="85"/>
      <c r="I14" s="10">
        <f t="shared" si="1"/>
        <v>0</v>
      </c>
      <c r="J14" s="6"/>
    </row>
    <row r="15" spans="1:10" x14ac:dyDescent="0.2">
      <c r="A15" s="116">
        <v>190</v>
      </c>
      <c r="B15" s="10" t="s">
        <v>894</v>
      </c>
      <c r="C15" s="10"/>
      <c r="D15" s="10">
        <v>655775</v>
      </c>
      <c r="E15" s="10"/>
      <c r="F15" s="10" t="s">
        <v>37</v>
      </c>
      <c r="G15" s="94">
        <f t="shared" si="0"/>
        <v>0.19710219182042119</v>
      </c>
      <c r="H15" s="85"/>
      <c r="I15" s="10">
        <f t="shared" si="1"/>
        <v>129254.6898410367</v>
      </c>
      <c r="J15" s="6"/>
    </row>
    <row r="16" spans="1:10" x14ac:dyDescent="0.2">
      <c r="A16" s="116">
        <v>190</v>
      </c>
      <c r="B16" s="10" t="s">
        <v>895</v>
      </c>
      <c r="C16" s="10"/>
      <c r="D16" s="10">
        <v>21112397</v>
      </c>
      <c r="E16" s="10"/>
      <c r="F16" s="10" t="s">
        <v>227</v>
      </c>
      <c r="G16" s="94">
        <f t="shared" si="0"/>
        <v>0</v>
      </c>
      <c r="H16" s="85"/>
      <c r="I16" s="10">
        <f t="shared" si="1"/>
        <v>0</v>
      </c>
      <c r="J16" s="6"/>
    </row>
    <row r="17" spans="1:10" x14ac:dyDescent="0.2">
      <c r="A17" s="116">
        <v>190</v>
      </c>
      <c r="B17" s="10" t="s">
        <v>896</v>
      </c>
      <c r="C17" s="10"/>
      <c r="D17" s="10">
        <v>2346334</v>
      </c>
      <c r="E17" s="10"/>
      <c r="F17" s="10" t="s">
        <v>225</v>
      </c>
      <c r="G17" s="94">
        <f t="shared" si="0"/>
        <v>0</v>
      </c>
      <c r="H17" s="85"/>
      <c r="I17" s="10">
        <f t="shared" si="1"/>
        <v>0</v>
      </c>
      <c r="J17" s="6"/>
    </row>
    <row r="18" spans="1:10" x14ac:dyDescent="0.2">
      <c r="A18" s="116">
        <v>190</v>
      </c>
      <c r="B18" s="10" t="s">
        <v>897</v>
      </c>
      <c r="C18" s="10"/>
      <c r="D18" s="10">
        <v>277879</v>
      </c>
      <c r="E18" s="10"/>
      <c r="F18" s="10" t="s">
        <v>226</v>
      </c>
      <c r="G18" s="94">
        <f t="shared" si="0"/>
        <v>7.8086404382281052E-2</v>
      </c>
      <c r="H18" s="85"/>
      <c r="I18" s="10">
        <f t="shared" si="1"/>
        <v>21698.571963343875</v>
      </c>
      <c r="J18" s="6"/>
    </row>
    <row r="19" spans="1:10" x14ac:dyDescent="0.2">
      <c r="A19" s="116">
        <v>190</v>
      </c>
      <c r="B19" s="10" t="s">
        <v>898</v>
      </c>
      <c r="C19" s="10"/>
      <c r="D19" s="10">
        <v>2279256</v>
      </c>
      <c r="E19" s="10"/>
      <c r="F19" s="10" t="s">
        <v>226</v>
      </c>
      <c r="G19" s="94">
        <f t="shared" si="0"/>
        <v>7.8086404382281052E-2</v>
      </c>
      <c r="H19" s="85"/>
      <c r="I19" s="10">
        <f t="shared" si="1"/>
        <v>177978.90570674039</v>
      </c>
      <c r="J19" s="6"/>
    </row>
    <row r="20" spans="1:10" x14ac:dyDescent="0.2">
      <c r="A20" s="116">
        <v>190</v>
      </c>
      <c r="B20" s="10" t="s">
        <v>899</v>
      </c>
      <c r="C20" s="10"/>
      <c r="D20" s="10">
        <v>1122165</v>
      </c>
      <c r="E20" s="10"/>
      <c r="F20" s="10" t="s">
        <v>226</v>
      </c>
      <c r="G20" s="94">
        <f t="shared" si="0"/>
        <v>7.8086404382281052E-2</v>
      </c>
      <c r="H20" s="85"/>
      <c r="I20" s="10">
        <f t="shared" si="1"/>
        <v>87625.829973642423</v>
      </c>
      <c r="J20" s="6"/>
    </row>
    <row r="21" spans="1:10" x14ac:dyDescent="0.2">
      <c r="A21" s="116">
        <v>190</v>
      </c>
      <c r="B21" s="10" t="s">
        <v>900</v>
      </c>
      <c r="C21" s="10"/>
      <c r="D21" s="10">
        <v>2008549</v>
      </c>
      <c r="E21" s="10"/>
      <c r="F21" s="10" t="s">
        <v>226</v>
      </c>
      <c r="G21" s="94">
        <f t="shared" si="0"/>
        <v>7.8086404382281052E-2</v>
      </c>
      <c r="H21" s="85"/>
      <c r="I21" s="10">
        <f t="shared" si="1"/>
        <v>156840.36943562623</v>
      </c>
      <c r="J21" s="6"/>
    </row>
    <row r="22" spans="1:10" x14ac:dyDescent="0.2">
      <c r="A22" s="116">
        <v>190</v>
      </c>
      <c r="B22" s="10" t="s">
        <v>901</v>
      </c>
      <c r="C22" s="10"/>
      <c r="D22" s="10">
        <v>335015</v>
      </c>
      <c r="E22" s="10"/>
      <c r="F22" s="10" t="s">
        <v>902</v>
      </c>
      <c r="G22" s="94">
        <f t="shared" si="0"/>
        <v>0</v>
      </c>
      <c r="H22" s="85"/>
      <c r="I22" s="10">
        <f t="shared" si="1"/>
        <v>0</v>
      </c>
      <c r="J22" s="6"/>
    </row>
    <row r="23" spans="1:10" x14ac:dyDescent="0.2">
      <c r="A23" s="116">
        <v>190</v>
      </c>
      <c r="B23" s="10" t="s">
        <v>903</v>
      </c>
      <c r="C23" s="10"/>
      <c r="D23" s="10">
        <v>9814936</v>
      </c>
      <c r="E23" s="10"/>
      <c r="F23" s="10" t="s">
        <v>226</v>
      </c>
      <c r="G23" s="94">
        <f t="shared" si="0"/>
        <v>7.8086404382281052E-2</v>
      </c>
      <c r="H23" s="85"/>
      <c r="I23" s="10">
        <f t="shared" si="1"/>
        <v>766413.06148220808</v>
      </c>
      <c r="J23" s="6"/>
    </row>
    <row r="24" spans="1:10" x14ac:dyDescent="0.2">
      <c r="A24" s="116">
        <v>190</v>
      </c>
      <c r="B24" s="10" t="s">
        <v>904</v>
      </c>
      <c r="C24" s="10"/>
      <c r="D24" s="10">
        <v>-1183834</v>
      </c>
      <c r="E24" s="10"/>
      <c r="F24" s="10" t="s">
        <v>227</v>
      </c>
      <c r="G24" s="94">
        <f t="shared" si="0"/>
        <v>0</v>
      </c>
      <c r="H24" s="85"/>
      <c r="I24" s="10">
        <f t="shared" si="1"/>
        <v>0</v>
      </c>
      <c r="J24" s="6"/>
    </row>
    <row r="25" spans="1:10" x14ac:dyDescent="0.2">
      <c r="A25" s="116">
        <v>190</v>
      </c>
      <c r="B25" s="10" t="s">
        <v>905</v>
      </c>
      <c r="C25" s="10"/>
      <c r="D25" s="10">
        <v>1660659</v>
      </c>
      <c r="E25" s="10"/>
      <c r="F25" s="10" t="s">
        <v>225</v>
      </c>
      <c r="G25" s="94">
        <f t="shared" si="0"/>
        <v>0</v>
      </c>
      <c r="H25" s="85"/>
      <c r="I25" s="10">
        <f t="shared" si="1"/>
        <v>0</v>
      </c>
      <c r="J25" s="6"/>
    </row>
    <row r="26" spans="1:10" x14ac:dyDescent="0.2">
      <c r="A26" s="116">
        <v>190</v>
      </c>
      <c r="B26" s="10" t="s">
        <v>906</v>
      </c>
      <c r="C26" s="10"/>
      <c r="D26" s="10">
        <v>48697971</v>
      </c>
      <c r="E26" s="10"/>
      <c r="F26" s="10" t="s">
        <v>225</v>
      </c>
      <c r="G26" s="94">
        <f t="shared" si="0"/>
        <v>0</v>
      </c>
      <c r="H26" s="85"/>
      <c r="I26" s="10">
        <f t="shared" si="1"/>
        <v>0</v>
      </c>
      <c r="J26" s="6"/>
    </row>
    <row r="27" spans="1:10" x14ac:dyDescent="0.2">
      <c r="A27" s="116">
        <v>190</v>
      </c>
      <c r="B27" s="10" t="s">
        <v>907</v>
      </c>
      <c r="C27" s="10"/>
      <c r="D27" s="10">
        <v>12746264</v>
      </c>
      <c r="E27" s="10"/>
      <c r="F27" s="10" t="s">
        <v>226</v>
      </c>
      <c r="G27" s="94">
        <f t="shared" si="0"/>
        <v>7.8086404382281052E-2</v>
      </c>
      <c r="H27" s="85"/>
      <c r="I27" s="10">
        <f t="shared" si="1"/>
        <v>995309.92506731127</v>
      </c>
      <c r="J27" s="6"/>
    </row>
    <row r="28" spans="1:10" x14ac:dyDescent="0.2">
      <c r="A28" s="116">
        <v>190</v>
      </c>
      <c r="B28" s="10" t="s">
        <v>908</v>
      </c>
      <c r="C28" s="10"/>
      <c r="D28" s="10">
        <v>231001</v>
      </c>
      <c r="E28" s="10"/>
      <c r="F28" s="10" t="s">
        <v>229</v>
      </c>
      <c r="G28" s="94">
        <f t="shared" si="0"/>
        <v>0</v>
      </c>
      <c r="H28" s="85"/>
      <c r="I28" s="10">
        <f t="shared" si="1"/>
        <v>0</v>
      </c>
      <c r="J28" s="6"/>
    </row>
    <row r="29" spans="1:10" x14ac:dyDescent="0.2">
      <c r="A29" s="116">
        <v>190</v>
      </c>
      <c r="B29" s="10" t="s">
        <v>909</v>
      </c>
      <c r="C29" s="10"/>
      <c r="D29" s="10">
        <v>1547448</v>
      </c>
      <c r="E29" s="10"/>
      <c r="F29" s="10" t="s">
        <v>37</v>
      </c>
      <c r="G29" s="94">
        <f t="shared" si="0"/>
        <v>0.19710219182042119</v>
      </c>
      <c r="H29" s="85"/>
      <c r="I29" s="10">
        <f t="shared" si="1"/>
        <v>305005.39252812712</v>
      </c>
      <c r="J29" s="6"/>
    </row>
    <row r="30" spans="1:10" x14ac:dyDescent="0.2">
      <c r="A30" s="116">
        <v>190</v>
      </c>
      <c r="B30" s="10" t="s">
        <v>910</v>
      </c>
      <c r="C30" s="10"/>
      <c r="D30" s="10">
        <v>40872</v>
      </c>
      <c r="E30" s="10"/>
      <c r="F30" s="10" t="s">
        <v>37</v>
      </c>
      <c r="G30" s="94">
        <f t="shared" si="0"/>
        <v>0.19710219182042119</v>
      </c>
      <c r="H30" s="85"/>
      <c r="I30" s="10">
        <f t="shared" si="1"/>
        <v>8055.9607840842546</v>
      </c>
      <c r="J30" s="6"/>
    </row>
    <row r="31" spans="1:10" x14ac:dyDescent="0.2">
      <c r="A31" s="116">
        <v>190</v>
      </c>
      <c r="B31" s="10" t="s">
        <v>911</v>
      </c>
      <c r="C31" s="10"/>
      <c r="D31" s="10">
        <v>87368337</v>
      </c>
      <c r="E31" s="10"/>
      <c r="F31" s="10" t="s">
        <v>37</v>
      </c>
      <c r="G31" s="94">
        <f t="shared" si="0"/>
        <v>0.19710219182042119</v>
      </c>
      <c r="H31" s="85"/>
      <c r="I31" s="10">
        <f t="shared" si="1"/>
        <v>17220490.718405202</v>
      </c>
      <c r="J31" s="6"/>
    </row>
    <row r="32" spans="1:10" x14ac:dyDescent="0.2">
      <c r="A32" s="116">
        <v>190</v>
      </c>
      <c r="B32" s="10" t="s">
        <v>912</v>
      </c>
      <c r="C32" s="10"/>
      <c r="D32" s="10">
        <v>3231609</v>
      </c>
      <c r="E32" s="10"/>
      <c r="F32" s="10" t="s">
        <v>229</v>
      </c>
      <c r="G32" s="94">
        <f t="shared" si="0"/>
        <v>0</v>
      </c>
      <c r="H32" s="85"/>
      <c r="I32" s="10">
        <f t="shared" si="1"/>
        <v>0</v>
      </c>
      <c r="J32" s="6"/>
    </row>
    <row r="33" spans="1:10" x14ac:dyDescent="0.2">
      <c r="A33" s="116">
        <v>190</v>
      </c>
      <c r="B33" s="10" t="s">
        <v>913</v>
      </c>
      <c r="C33" s="10"/>
      <c r="D33" s="10">
        <v>171115575</v>
      </c>
      <c r="E33" s="10"/>
      <c r="F33" s="10" t="s">
        <v>227</v>
      </c>
      <c r="G33" s="94">
        <f t="shared" si="0"/>
        <v>0</v>
      </c>
      <c r="H33" s="85"/>
      <c r="I33" s="10">
        <f t="shared" si="1"/>
        <v>0</v>
      </c>
      <c r="J33" s="6"/>
    </row>
    <row r="34" spans="1:10" x14ac:dyDescent="0.2">
      <c r="A34" s="116">
        <v>190</v>
      </c>
      <c r="B34" s="10" t="s">
        <v>914</v>
      </c>
      <c r="C34" s="10"/>
      <c r="D34" s="10">
        <v>44420474</v>
      </c>
      <c r="E34" s="10"/>
      <c r="F34" s="10" t="s">
        <v>225</v>
      </c>
      <c r="G34" s="94">
        <f t="shared" si="0"/>
        <v>0</v>
      </c>
      <c r="H34" s="85"/>
      <c r="I34" s="10">
        <f t="shared" si="1"/>
        <v>0</v>
      </c>
      <c r="J34" s="6"/>
    </row>
    <row r="35" spans="1:10" x14ac:dyDescent="0.2">
      <c r="A35" s="116">
        <v>190</v>
      </c>
      <c r="B35" s="10" t="s">
        <v>915</v>
      </c>
      <c r="C35" s="10"/>
      <c r="D35" s="10">
        <v>7842063</v>
      </c>
      <c r="E35" s="10"/>
      <c r="F35" s="10" t="s">
        <v>226</v>
      </c>
      <c r="G35" s="94">
        <f t="shared" si="0"/>
        <v>7.8086404382281052E-2</v>
      </c>
      <c r="H35" s="85"/>
      <c r="I35" s="10">
        <f t="shared" si="1"/>
        <v>612358.50260932406</v>
      </c>
      <c r="J35" s="6"/>
    </row>
    <row r="36" spans="1:10" x14ac:dyDescent="0.2">
      <c r="A36" s="116">
        <v>190</v>
      </c>
      <c r="B36" s="10" t="s">
        <v>916</v>
      </c>
      <c r="C36" s="10"/>
      <c r="D36" s="10">
        <v>485621</v>
      </c>
      <c r="E36" s="10"/>
      <c r="F36" s="10" t="s">
        <v>226</v>
      </c>
      <c r="G36" s="94">
        <f t="shared" si="0"/>
        <v>7.8086404382281052E-2</v>
      </c>
      <c r="H36" s="85"/>
      <c r="I36" s="10">
        <f t="shared" si="1"/>
        <v>37920.397782527703</v>
      </c>
      <c r="J36" s="6"/>
    </row>
    <row r="37" spans="1:10" x14ac:dyDescent="0.2">
      <c r="A37" s="116">
        <v>190</v>
      </c>
      <c r="B37" s="10" t="s">
        <v>917</v>
      </c>
      <c r="C37" s="10"/>
      <c r="D37" s="10">
        <v>17146976</v>
      </c>
      <c r="E37" s="10"/>
      <c r="F37" s="10" t="s">
        <v>226</v>
      </c>
      <c r="G37" s="94">
        <f t="shared" si="0"/>
        <v>7.8086404382281052E-2</v>
      </c>
      <c r="H37" s="85"/>
      <c r="I37" s="10">
        <f t="shared" si="1"/>
        <v>1338945.701869268</v>
      </c>
      <c r="J37" s="6"/>
    </row>
    <row r="38" spans="1:10" x14ac:dyDescent="0.2">
      <c r="A38" s="116">
        <v>190</v>
      </c>
      <c r="B38" s="10" t="s">
        <v>918</v>
      </c>
      <c r="C38" s="10"/>
      <c r="D38" s="10">
        <v>590350</v>
      </c>
      <c r="E38" s="10"/>
      <c r="F38" s="10" t="s">
        <v>226</v>
      </c>
      <c r="G38" s="94">
        <f t="shared" si="0"/>
        <v>7.8086404382281052E-2</v>
      </c>
      <c r="H38" s="85"/>
      <c r="I38" s="10">
        <f t="shared" si="1"/>
        <v>46098.308827079622</v>
      </c>
      <c r="J38" s="6"/>
    </row>
    <row r="39" spans="1:10" x14ac:dyDescent="0.2">
      <c r="A39" s="116">
        <v>190</v>
      </c>
      <c r="B39" s="10" t="s">
        <v>919</v>
      </c>
      <c r="C39" s="10"/>
      <c r="D39" s="10">
        <v>294477</v>
      </c>
      <c r="E39" s="10"/>
      <c r="F39" s="10" t="s">
        <v>226</v>
      </c>
      <c r="G39" s="94">
        <f t="shared" si="0"/>
        <v>7.8086404382281052E-2</v>
      </c>
      <c r="H39" s="85"/>
      <c r="I39" s="10">
        <f t="shared" si="1"/>
        <v>22994.650103280976</v>
      </c>
      <c r="J39" s="6"/>
    </row>
    <row r="40" spans="1:10" x14ac:dyDescent="0.2">
      <c r="A40" s="116">
        <v>190</v>
      </c>
      <c r="B40" s="10" t="s">
        <v>920</v>
      </c>
      <c r="C40" s="10"/>
      <c r="D40" s="10">
        <v>7255343</v>
      </c>
      <c r="E40" s="10"/>
      <c r="F40" s="10" t="s">
        <v>37</v>
      </c>
      <c r="G40" s="94">
        <f t="shared" si="0"/>
        <v>0.19710219182042119</v>
      </c>
      <c r="H40" s="85"/>
      <c r="I40" s="10">
        <f t="shared" si="1"/>
        <v>1430044.0077089502</v>
      </c>
      <c r="J40" s="6"/>
    </row>
    <row r="41" spans="1:10" x14ac:dyDescent="0.2">
      <c r="A41" s="116">
        <v>190</v>
      </c>
      <c r="B41" s="10" t="s">
        <v>921</v>
      </c>
      <c r="C41" s="10"/>
      <c r="D41" s="10">
        <v>1019150</v>
      </c>
      <c r="E41" s="10"/>
      <c r="F41" s="10" t="s">
        <v>226</v>
      </c>
      <c r="G41" s="94">
        <f t="shared" si="0"/>
        <v>7.8086404382281052E-2</v>
      </c>
      <c r="H41" s="85"/>
      <c r="I41" s="10">
        <f t="shared" si="1"/>
        <v>79581.759026201733</v>
      </c>
      <c r="J41" s="6"/>
    </row>
    <row r="42" spans="1:10" x14ac:dyDescent="0.2">
      <c r="A42" s="116">
        <v>190</v>
      </c>
      <c r="B42" s="10" t="s">
        <v>922</v>
      </c>
      <c r="C42" s="10"/>
      <c r="D42" s="10">
        <v>1151535</v>
      </c>
      <c r="E42" s="10"/>
      <c r="F42" s="10" t="s">
        <v>229</v>
      </c>
      <c r="G42" s="94">
        <f t="shared" si="0"/>
        <v>0</v>
      </c>
      <c r="H42" s="85"/>
      <c r="I42" s="10">
        <f t="shared" si="1"/>
        <v>0</v>
      </c>
      <c r="J42" s="6"/>
    </row>
    <row r="43" spans="1:10" x14ac:dyDescent="0.2">
      <c r="A43" s="116">
        <v>190</v>
      </c>
      <c r="B43" s="10" t="s">
        <v>923</v>
      </c>
      <c r="C43" s="10"/>
      <c r="D43" s="10">
        <v>76963509</v>
      </c>
      <c r="E43" s="10"/>
      <c r="F43" s="10" t="s">
        <v>227</v>
      </c>
      <c r="G43" s="94">
        <f t="shared" si="0"/>
        <v>0</v>
      </c>
      <c r="H43" s="85"/>
      <c r="I43" s="10">
        <f t="shared" si="1"/>
        <v>0</v>
      </c>
      <c r="J43" s="6"/>
    </row>
    <row r="44" spans="1:10" x14ac:dyDescent="0.2">
      <c r="A44" s="116">
        <v>190</v>
      </c>
      <c r="B44" s="10" t="s">
        <v>924</v>
      </c>
      <c r="C44" s="10"/>
      <c r="D44" s="10">
        <v>16789</v>
      </c>
      <c r="E44" s="10"/>
      <c r="F44" s="10" t="s">
        <v>227</v>
      </c>
      <c r="G44" s="94">
        <f t="shared" si="0"/>
        <v>0</v>
      </c>
      <c r="H44" s="85"/>
      <c r="I44" s="10">
        <f t="shared" si="1"/>
        <v>0</v>
      </c>
      <c r="J44" s="6"/>
    </row>
    <row r="45" spans="1:10" x14ac:dyDescent="0.2">
      <c r="A45" s="116">
        <v>190</v>
      </c>
      <c r="B45" s="10" t="s">
        <v>925</v>
      </c>
      <c r="C45" s="10"/>
      <c r="D45" s="10">
        <v>6039742</v>
      </c>
      <c r="E45" s="10"/>
      <c r="F45" s="10" t="s">
        <v>229</v>
      </c>
      <c r="G45" s="94">
        <f t="shared" si="0"/>
        <v>0</v>
      </c>
      <c r="H45" s="85"/>
      <c r="I45" s="10">
        <f t="shared" si="1"/>
        <v>0</v>
      </c>
      <c r="J45" s="6"/>
    </row>
    <row r="46" spans="1:10" x14ac:dyDescent="0.2">
      <c r="A46" s="116">
        <v>190</v>
      </c>
      <c r="B46" s="10" t="s">
        <v>926</v>
      </c>
      <c r="C46" s="10"/>
      <c r="D46" s="10">
        <v>1172490</v>
      </c>
      <c r="E46" s="10"/>
      <c r="F46" s="10" t="s">
        <v>37</v>
      </c>
      <c r="G46" s="94">
        <f t="shared" si="0"/>
        <v>0.19710219182042119</v>
      </c>
      <c r="H46" s="85"/>
      <c r="I46" s="10">
        <f t="shared" si="1"/>
        <v>231100.34888752564</v>
      </c>
      <c r="J46" s="6"/>
    </row>
    <row r="47" spans="1:10" x14ac:dyDescent="0.2">
      <c r="A47" s="116">
        <v>190</v>
      </c>
      <c r="B47" s="10" t="s">
        <v>927</v>
      </c>
      <c r="C47" s="10"/>
      <c r="D47" s="10">
        <v>2154791</v>
      </c>
      <c r="E47" s="10"/>
      <c r="F47" s="10" t="s">
        <v>37</v>
      </c>
      <c r="G47" s="94">
        <f t="shared" si="0"/>
        <v>0.19710219182042119</v>
      </c>
      <c r="H47" s="85"/>
      <c r="I47" s="10">
        <f t="shared" si="1"/>
        <v>424714.02901491721</v>
      </c>
      <c r="J47" s="6"/>
    </row>
    <row r="48" spans="1:10" x14ac:dyDescent="0.2">
      <c r="A48" s="116">
        <v>190</v>
      </c>
      <c r="B48" s="10" t="s">
        <v>928</v>
      </c>
      <c r="C48" s="10"/>
      <c r="D48" s="10">
        <v>-187293</v>
      </c>
      <c r="E48" s="10"/>
      <c r="F48" s="10" t="s">
        <v>37</v>
      </c>
      <c r="G48" s="94">
        <f t="shared" si="0"/>
        <v>0.19710219182042119</v>
      </c>
      <c r="H48" s="85"/>
      <c r="I48" s="10">
        <f t="shared" si="1"/>
        <v>-36915.860812622144</v>
      </c>
      <c r="J48" s="6"/>
    </row>
    <row r="49" spans="1:10" x14ac:dyDescent="0.2">
      <c r="A49" s="116">
        <v>190</v>
      </c>
      <c r="B49" s="10" t="s">
        <v>929</v>
      </c>
      <c r="C49" s="10"/>
      <c r="D49" s="10">
        <v>44247118</v>
      </c>
      <c r="E49" s="10"/>
      <c r="F49" s="10" t="s">
        <v>226</v>
      </c>
      <c r="G49" s="94">
        <f t="shared" si="0"/>
        <v>7.8086404382281052E-2</v>
      </c>
      <c r="H49" s="85"/>
      <c r="I49" s="10">
        <f t="shared" si="1"/>
        <v>3455098.3488985067</v>
      </c>
      <c r="J49" s="6"/>
    </row>
    <row r="50" spans="1:10" x14ac:dyDescent="0.2">
      <c r="A50" s="116">
        <v>190</v>
      </c>
      <c r="B50" s="10" t="s">
        <v>930</v>
      </c>
      <c r="C50" s="10"/>
      <c r="D50" s="10">
        <v>-13040506</v>
      </c>
      <c r="E50" s="10"/>
      <c r="F50" s="10" t="s">
        <v>225</v>
      </c>
      <c r="G50" s="94">
        <f t="shared" si="0"/>
        <v>0</v>
      </c>
      <c r="H50" s="85"/>
      <c r="I50" s="10">
        <f t="shared" si="1"/>
        <v>0</v>
      </c>
      <c r="J50" s="6"/>
    </row>
    <row r="51" spans="1:10" x14ac:dyDescent="0.2">
      <c r="A51" s="116">
        <v>190</v>
      </c>
      <c r="B51" s="10" t="s">
        <v>931</v>
      </c>
      <c r="C51" s="10"/>
      <c r="D51" s="10">
        <v>1185734</v>
      </c>
      <c r="E51" s="10"/>
      <c r="F51" s="10" t="s">
        <v>227</v>
      </c>
      <c r="G51" s="94">
        <f t="shared" si="0"/>
        <v>0</v>
      </c>
      <c r="H51" s="85"/>
      <c r="I51" s="10">
        <f t="shared" si="1"/>
        <v>0</v>
      </c>
      <c r="J51" s="6"/>
    </row>
    <row r="52" spans="1:10" x14ac:dyDescent="0.2">
      <c r="A52" s="116">
        <v>190</v>
      </c>
      <c r="B52" s="10" t="s">
        <v>932</v>
      </c>
      <c r="C52" s="10"/>
      <c r="D52" s="10">
        <v>104123187</v>
      </c>
      <c r="E52" s="10"/>
      <c r="F52" s="10" t="s">
        <v>227</v>
      </c>
      <c r="G52" s="94">
        <f t="shared" si="0"/>
        <v>0</v>
      </c>
      <c r="H52" s="85"/>
      <c r="I52" s="10">
        <f t="shared" si="1"/>
        <v>0</v>
      </c>
      <c r="J52" s="6"/>
    </row>
    <row r="53" spans="1:10" x14ac:dyDescent="0.2">
      <c r="A53" s="116">
        <v>190</v>
      </c>
      <c r="B53" s="10" t="s">
        <v>933</v>
      </c>
      <c r="C53" s="10"/>
      <c r="D53" s="10">
        <v>2123147</v>
      </c>
      <c r="E53" s="10"/>
      <c r="F53" s="10" t="s">
        <v>226</v>
      </c>
      <c r="G53" s="94">
        <f t="shared" si="0"/>
        <v>7.8086404382281052E-2</v>
      </c>
      <c r="H53" s="85"/>
      <c r="I53" s="10">
        <f t="shared" si="1"/>
        <v>165788.91520502686</v>
      </c>
      <c r="J53" s="6"/>
    </row>
    <row r="54" spans="1:10" x14ac:dyDescent="0.2">
      <c r="A54" s="116">
        <v>190</v>
      </c>
      <c r="B54" s="10" t="s">
        <v>934</v>
      </c>
      <c r="C54" s="10"/>
      <c r="D54" s="10">
        <v>-605740</v>
      </c>
      <c r="E54" s="10"/>
      <c r="F54" s="10" t="s">
        <v>226</v>
      </c>
      <c r="G54" s="94">
        <f t="shared" si="0"/>
        <v>7.8086404382281052E-2</v>
      </c>
      <c r="H54" s="85"/>
      <c r="I54" s="10">
        <f t="shared" si="1"/>
        <v>-47300.058590522924</v>
      </c>
      <c r="J54" s="6"/>
    </row>
    <row r="55" spans="1:10" x14ac:dyDescent="0.2">
      <c r="A55" s="116">
        <v>190</v>
      </c>
      <c r="B55" s="10" t="s">
        <v>695</v>
      </c>
      <c r="C55" s="10"/>
      <c r="D55" s="10">
        <v>-724653</v>
      </c>
      <c r="E55" s="10"/>
      <c r="F55" s="10" t="s">
        <v>226</v>
      </c>
      <c r="G55" s="94">
        <f t="shared" si="0"/>
        <v>7.8086404382281052E-2</v>
      </c>
      <c r="H55" s="85"/>
      <c r="I55" s="10">
        <f t="shared" si="1"/>
        <v>-56585.547194833111</v>
      </c>
      <c r="J55" s="6"/>
    </row>
    <row r="56" spans="1:10" x14ac:dyDescent="0.2">
      <c r="A56" s="116">
        <v>190</v>
      </c>
      <c r="B56" s="10" t="s">
        <v>696</v>
      </c>
      <c r="C56" s="10"/>
      <c r="D56" s="10">
        <v>2263180</v>
      </c>
      <c r="E56" s="10"/>
      <c r="F56" s="10" t="s">
        <v>226</v>
      </c>
      <c r="G56" s="94">
        <f t="shared" si="0"/>
        <v>7.8086404382281052E-2</v>
      </c>
      <c r="H56" s="85"/>
      <c r="I56" s="10">
        <f t="shared" si="1"/>
        <v>176723.58866989083</v>
      </c>
      <c r="J56" s="6"/>
    </row>
    <row r="57" spans="1:10" x14ac:dyDescent="0.2">
      <c r="A57" s="116">
        <v>190</v>
      </c>
      <c r="B57" s="10" t="s">
        <v>935</v>
      </c>
      <c r="C57" s="10"/>
      <c r="D57" s="10">
        <v>49995</v>
      </c>
      <c r="E57" s="10"/>
      <c r="F57" s="10" t="s">
        <v>226</v>
      </c>
      <c r="G57" s="94">
        <f t="shared" si="0"/>
        <v>7.8086404382281052E-2</v>
      </c>
      <c r="H57" s="85"/>
      <c r="I57" s="10">
        <f t="shared" si="1"/>
        <v>3903.9297870921414</v>
      </c>
      <c r="J57" s="6"/>
    </row>
    <row r="58" spans="1:10" x14ac:dyDescent="0.2">
      <c r="A58" s="116">
        <v>190</v>
      </c>
      <c r="B58" s="10" t="s">
        <v>936</v>
      </c>
      <c r="C58" s="10"/>
      <c r="D58" s="10">
        <v>994509</v>
      </c>
      <c r="E58" s="10"/>
      <c r="F58" s="10" t="s">
        <v>226</v>
      </c>
      <c r="G58" s="94">
        <f t="shared" si="0"/>
        <v>7.8086404382281052E-2</v>
      </c>
      <c r="H58" s="85"/>
      <c r="I58" s="10">
        <f t="shared" si="1"/>
        <v>77657.631935817946</v>
      </c>
      <c r="J58" s="6"/>
    </row>
    <row r="59" spans="1:10" x14ac:dyDescent="0.2">
      <c r="A59" s="116">
        <v>190</v>
      </c>
      <c r="B59" s="10" t="s">
        <v>937</v>
      </c>
      <c r="C59" s="10"/>
      <c r="D59" s="10">
        <v>13101805</v>
      </c>
      <c r="E59" s="10"/>
      <c r="F59" s="10" t="s">
        <v>226</v>
      </c>
      <c r="G59" s="94">
        <f t="shared" si="0"/>
        <v>7.8086404382281052E-2</v>
      </c>
      <c r="H59" s="85"/>
      <c r="I59" s="10">
        <f t="shared" si="1"/>
        <v>1023072.8433677919</v>
      </c>
      <c r="J59" s="6"/>
    </row>
    <row r="60" spans="1:10" x14ac:dyDescent="0.2">
      <c r="A60" s="116">
        <v>190</v>
      </c>
      <c r="B60" s="10" t="s">
        <v>938</v>
      </c>
      <c r="C60" s="10"/>
      <c r="D60" s="10">
        <v>154100476</v>
      </c>
      <c r="E60" s="10"/>
      <c r="F60" s="10" t="s">
        <v>226</v>
      </c>
      <c r="G60" s="94">
        <f t="shared" si="0"/>
        <v>7.8086404382281052E-2</v>
      </c>
      <c r="H60" s="85"/>
      <c r="I60" s="10">
        <f t="shared" si="1"/>
        <v>12033152.084437996</v>
      </c>
      <c r="J60" s="6"/>
    </row>
    <row r="61" spans="1:10" x14ac:dyDescent="0.2">
      <c r="A61" s="116">
        <v>190</v>
      </c>
      <c r="B61" s="10" t="s">
        <v>939</v>
      </c>
      <c r="C61" s="10"/>
      <c r="D61" s="10">
        <v>-7534260</v>
      </c>
      <c r="E61" s="10"/>
      <c r="F61" s="10" t="s">
        <v>226</v>
      </c>
      <c r="G61" s="94">
        <f t="shared" si="0"/>
        <v>7.8086404382281052E-2</v>
      </c>
      <c r="H61" s="85"/>
      <c r="I61" s="10">
        <f t="shared" si="1"/>
        <v>-588323.27308124478</v>
      </c>
      <c r="J61" s="6"/>
    </row>
    <row r="62" spans="1:10" x14ac:dyDescent="0.2">
      <c r="A62" s="116">
        <v>190</v>
      </c>
      <c r="B62" s="10" t="s">
        <v>940</v>
      </c>
      <c r="C62" s="10"/>
      <c r="D62" s="10">
        <v>9103393</v>
      </c>
      <c r="E62" s="10"/>
      <c r="F62" s="10" t="s">
        <v>226</v>
      </c>
      <c r="G62" s="94">
        <f t="shared" si="0"/>
        <v>7.8086404382281052E-2</v>
      </c>
      <c r="H62" s="85"/>
      <c r="I62" s="10">
        <f t="shared" si="1"/>
        <v>710851.22704882664</v>
      </c>
      <c r="J62" s="6"/>
    </row>
    <row r="63" spans="1:10" x14ac:dyDescent="0.2">
      <c r="A63" s="116">
        <v>190</v>
      </c>
      <c r="B63" s="10" t="s">
        <v>941</v>
      </c>
      <c r="C63" s="10"/>
      <c r="D63" s="10">
        <v>137452029</v>
      </c>
      <c r="E63" s="10"/>
      <c r="F63" s="10" t="s">
        <v>227</v>
      </c>
      <c r="G63" s="94">
        <f t="shared" si="0"/>
        <v>0</v>
      </c>
      <c r="H63" s="85"/>
      <c r="I63" s="10">
        <f t="shared" si="1"/>
        <v>0</v>
      </c>
      <c r="J63" s="6"/>
    </row>
    <row r="64" spans="1:10" x14ac:dyDescent="0.2">
      <c r="A64" s="116">
        <v>190</v>
      </c>
      <c r="B64" s="10" t="s">
        <v>942</v>
      </c>
      <c r="C64" s="10"/>
      <c r="D64" s="10">
        <v>13642</v>
      </c>
      <c r="E64" s="10"/>
      <c r="F64" s="10" t="s">
        <v>229</v>
      </c>
      <c r="G64" s="94">
        <f t="shared" si="0"/>
        <v>0</v>
      </c>
      <c r="H64" s="85"/>
      <c r="I64" s="10">
        <f t="shared" si="1"/>
        <v>0</v>
      </c>
      <c r="J64" s="6"/>
    </row>
    <row r="65" spans="1:10" x14ac:dyDescent="0.2">
      <c r="A65" s="116">
        <v>190</v>
      </c>
      <c r="B65" s="10" t="s">
        <v>943</v>
      </c>
      <c r="C65" s="10"/>
      <c r="D65" s="10">
        <v>3563412</v>
      </c>
      <c r="E65" s="10"/>
      <c r="F65" s="10" t="s">
        <v>51</v>
      </c>
      <c r="G65" s="94">
        <f t="shared" si="0"/>
        <v>0.93711905393061146</v>
      </c>
      <c r="H65" s="85"/>
      <c r="I65" s="10">
        <f t="shared" si="1"/>
        <v>3339341.2822049879</v>
      </c>
      <c r="J65" s="6"/>
    </row>
    <row r="66" spans="1:10" x14ac:dyDescent="0.2">
      <c r="A66" s="116">
        <v>190</v>
      </c>
      <c r="B66" s="10" t="s">
        <v>944</v>
      </c>
      <c r="C66" s="10"/>
      <c r="D66" s="10">
        <v>22397437</v>
      </c>
      <c r="E66" s="10"/>
      <c r="F66" s="10" t="s">
        <v>227</v>
      </c>
      <c r="G66" s="94">
        <f t="shared" si="0"/>
        <v>0</v>
      </c>
      <c r="H66" s="85"/>
      <c r="I66" s="10">
        <f t="shared" si="1"/>
        <v>0</v>
      </c>
      <c r="J66" s="6"/>
    </row>
    <row r="67" spans="1:10" x14ac:dyDescent="0.2">
      <c r="A67" s="116">
        <v>190</v>
      </c>
      <c r="B67" s="10" t="s">
        <v>945</v>
      </c>
      <c r="C67" s="10"/>
      <c r="D67" s="10">
        <v>-15024150</v>
      </c>
      <c r="E67" s="10"/>
      <c r="F67" s="10" t="s">
        <v>226</v>
      </c>
      <c r="G67" s="94">
        <f t="shared" si="0"/>
        <v>7.8086404382281052E-2</v>
      </c>
      <c r="H67" s="85"/>
      <c r="I67" s="10">
        <f t="shared" si="1"/>
        <v>-1173181.8524000479</v>
      </c>
      <c r="J67" s="6"/>
    </row>
    <row r="68" spans="1:10" x14ac:dyDescent="0.2">
      <c r="A68" s="116">
        <v>190</v>
      </c>
      <c r="B68" s="10" t="s">
        <v>946</v>
      </c>
      <c r="C68" s="10"/>
      <c r="D68" s="10">
        <v>3211282</v>
      </c>
      <c r="E68" s="10"/>
      <c r="F68" s="10" t="s">
        <v>227</v>
      </c>
      <c r="G68" s="94">
        <f t="shared" si="0"/>
        <v>0</v>
      </c>
      <c r="H68" s="85"/>
      <c r="I68" s="10">
        <f t="shared" si="1"/>
        <v>0</v>
      </c>
      <c r="J68" s="6"/>
    </row>
    <row r="69" spans="1:10" x14ac:dyDescent="0.2">
      <c r="A69" s="116">
        <v>190</v>
      </c>
      <c r="B69" s="10" t="s">
        <v>947</v>
      </c>
      <c r="C69" s="10"/>
      <c r="D69" s="10">
        <v>1067</v>
      </c>
      <c r="E69" s="10"/>
      <c r="F69" s="10" t="s">
        <v>37</v>
      </c>
      <c r="G69" s="94">
        <f t="shared" si="0"/>
        <v>0.19710219182042119</v>
      </c>
      <c r="H69" s="85"/>
      <c r="I69" s="10">
        <f t="shared" si="1"/>
        <v>210.30803867238942</v>
      </c>
      <c r="J69" s="6"/>
    </row>
    <row r="70" spans="1:10" ht="4.5" customHeight="1" x14ac:dyDescent="0.2">
      <c r="A70" s="34"/>
      <c r="B70" s="6"/>
      <c r="C70" s="6"/>
      <c r="D70" s="6"/>
      <c r="E70" s="6"/>
      <c r="F70" s="72"/>
      <c r="G70" s="14"/>
      <c r="H70" s="6"/>
      <c r="I70" s="6"/>
      <c r="J70" s="6"/>
    </row>
    <row r="71" spans="1:10" ht="13.5" thickBot="1" x14ac:dyDescent="0.25">
      <c r="A71" s="34"/>
      <c r="B71" s="145" t="s">
        <v>808</v>
      </c>
      <c r="C71" s="29"/>
      <c r="D71" s="35">
        <f>SUM(D12:D69)</f>
        <v>995528084</v>
      </c>
      <c r="E71" s="6"/>
      <c r="F71" s="6"/>
      <c r="G71" s="14"/>
      <c r="H71" s="6"/>
      <c r="I71" s="35">
        <f>SUM(I12:I69)</f>
        <v>43175924.698531739</v>
      </c>
      <c r="J71" s="72"/>
    </row>
    <row r="72" spans="1:10" ht="13.5" thickTop="1" x14ac:dyDescent="0.2">
      <c r="A72" s="34"/>
      <c r="B72" s="6"/>
      <c r="C72" s="6"/>
      <c r="D72" s="6"/>
      <c r="E72" s="6"/>
      <c r="F72" s="6"/>
      <c r="G72" s="14"/>
      <c r="H72" s="6"/>
      <c r="I72" s="6"/>
      <c r="J72" s="6"/>
    </row>
    <row r="73" spans="1:10" x14ac:dyDescent="0.2">
      <c r="E73" s="315" t="s">
        <v>225</v>
      </c>
      <c r="F73" s="188">
        <v>0</v>
      </c>
      <c r="G73" s="14"/>
    </row>
  </sheetData>
  <mergeCells count="2">
    <mergeCell ref="I1:J1"/>
    <mergeCell ref="I3:J3"/>
  </mergeCells>
  <printOptions horizontalCentered="1"/>
  <pageMargins left="0.5" right="0.5" top="0.5" bottom="0.5" header="0.5" footer="0.5"/>
  <pageSetup scale="6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workbookViewId="0"/>
  </sheetViews>
  <sheetFormatPr defaultRowHeight="12.75" x14ac:dyDescent="0.2"/>
  <cols>
    <col min="1" max="1" width="9.7109375" style="4" customWidth="1"/>
    <col min="2" max="2" width="41.28515625" style="4" customWidth="1"/>
    <col min="3" max="3" width="3.7109375" style="4" customWidth="1"/>
    <col min="4" max="4" width="17.42578125" style="4" customWidth="1"/>
    <col min="5" max="5" width="3.7109375" style="4" customWidth="1"/>
    <col min="6" max="6" width="14.140625" style="4" customWidth="1"/>
    <col min="7" max="7" width="17.7109375" style="4" customWidth="1"/>
    <col min="8" max="8" width="3.7109375" style="4" customWidth="1"/>
    <col min="9" max="9" width="12.42578125" style="4" bestFit="1" customWidth="1"/>
    <col min="10" max="16384" width="9.140625" style="4"/>
  </cols>
  <sheetData>
    <row r="1" spans="1:10" ht="15" x14ac:dyDescent="0.25">
      <c r="A1" s="6"/>
      <c r="B1" s="6"/>
      <c r="C1" s="6"/>
      <c r="D1" s="6"/>
      <c r="E1" s="6"/>
      <c r="F1" s="6"/>
      <c r="G1" s="6"/>
      <c r="H1" s="6"/>
      <c r="I1" s="246" t="s">
        <v>836</v>
      </c>
      <c r="J1" s="246"/>
    </row>
    <row r="2" spans="1:10" ht="15" x14ac:dyDescent="0.25">
      <c r="A2" s="6"/>
      <c r="B2" s="6"/>
      <c r="C2" s="6"/>
      <c r="D2" s="6"/>
      <c r="E2" s="6"/>
      <c r="F2" s="6"/>
      <c r="G2" s="6"/>
      <c r="H2" s="6"/>
      <c r="I2" s="227" t="s">
        <v>698</v>
      </c>
      <c r="J2" s="227"/>
    </row>
    <row r="3" spans="1:10" x14ac:dyDescent="0.2">
      <c r="A3" s="6"/>
      <c r="B3" s="28"/>
      <c r="C3" s="28"/>
      <c r="D3" s="6"/>
      <c r="E3" s="6"/>
      <c r="F3" s="6"/>
      <c r="G3" s="6"/>
      <c r="H3" s="6"/>
      <c r="I3" s="286" t="str">
        <f>"Year Ending "&amp;L_YR_P</f>
        <v>Year Ending 12/31/2012</v>
      </c>
      <c r="J3" s="239"/>
    </row>
    <row r="4" spans="1:10" x14ac:dyDescent="0.2">
      <c r="A4" s="6"/>
      <c r="B4" s="28"/>
      <c r="C4" s="28"/>
      <c r="D4" s="6"/>
      <c r="E4" s="6"/>
      <c r="F4" s="6"/>
      <c r="G4" s="6"/>
      <c r="H4" s="6"/>
      <c r="I4" s="221"/>
      <c r="J4" s="221"/>
    </row>
    <row r="5" spans="1:10" x14ac:dyDescent="0.2">
      <c r="A5" s="248" t="s">
        <v>850</v>
      </c>
      <c r="B5" s="316"/>
      <c r="C5" s="316"/>
      <c r="D5" s="316"/>
      <c r="E5" s="316"/>
      <c r="F5" s="316"/>
      <c r="G5" s="316"/>
      <c r="H5" s="316"/>
      <c r="I5" s="316"/>
      <c r="J5" s="221"/>
    </row>
    <row r="6" spans="1:10" x14ac:dyDescent="0.2">
      <c r="A6" s="248" t="s">
        <v>367</v>
      </c>
      <c r="B6" s="316"/>
      <c r="C6" s="316"/>
      <c r="D6" s="316"/>
      <c r="E6" s="316"/>
      <c r="F6" s="316"/>
      <c r="G6" s="316"/>
      <c r="H6" s="316"/>
      <c r="I6" s="316"/>
      <c r="J6" s="221"/>
    </row>
    <row r="7" spans="1:10" x14ac:dyDescent="0.2">
      <c r="A7" s="6"/>
      <c r="B7" s="28"/>
      <c r="C7" s="28"/>
      <c r="D7" s="6"/>
      <c r="E7" s="6"/>
      <c r="F7" s="6"/>
      <c r="G7" s="6"/>
      <c r="H7" s="6"/>
      <c r="I7" s="221"/>
      <c r="J7" s="221"/>
    </row>
    <row r="8" spans="1:10" x14ac:dyDescent="0.2">
      <c r="A8" s="29"/>
      <c r="B8" s="30"/>
      <c r="C8" s="30"/>
      <c r="D8" s="30"/>
      <c r="E8" s="31"/>
      <c r="F8" s="31"/>
      <c r="G8" s="31"/>
      <c r="H8" s="31"/>
      <c r="I8" s="31"/>
      <c r="J8" s="31"/>
    </row>
    <row r="9" spans="1:10" x14ac:dyDescent="0.2">
      <c r="A9" s="29"/>
      <c r="B9" s="30"/>
      <c r="C9" s="30"/>
      <c r="D9" s="48" t="s">
        <v>221</v>
      </c>
      <c r="E9" s="31"/>
      <c r="F9" s="32" t="s">
        <v>23</v>
      </c>
      <c r="G9" s="32" t="s">
        <v>222</v>
      </c>
      <c r="H9" s="32"/>
      <c r="I9" s="32" t="s">
        <v>223</v>
      </c>
      <c r="J9" s="31"/>
    </row>
    <row r="10" spans="1:10" x14ac:dyDescent="0.2">
      <c r="A10" s="29" t="s">
        <v>224</v>
      </c>
      <c r="B10" s="29" t="s">
        <v>3</v>
      </c>
      <c r="C10" s="33"/>
      <c r="D10" s="228" t="str">
        <f>"Tax at 12/31/"&amp;YR-1</f>
        <v>Tax at 12/31/2012</v>
      </c>
      <c r="E10" s="6"/>
      <c r="F10" s="6"/>
      <c r="G10" s="6"/>
      <c r="H10" s="6"/>
      <c r="I10" s="6"/>
      <c r="J10" s="6"/>
    </row>
    <row r="11" spans="1:10" x14ac:dyDescent="0.2">
      <c r="A11" s="29"/>
      <c r="B11" s="29"/>
      <c r="C11" s="33"/>
      <c r="D11" s="228"/>
      <c r="E11" s="6"/>
      <c r="F11" s="6"/>
      <c r="G11" s="6"/>
      <c r="H11" s="6"/>
      <c r="I11" s="6"/>
      <c r="J11" s="6"/>
    </row>
    <row r="12" spans="1:10" x14ac:dyDescent="0.2">
      <c r="A12" s="116">
        <v>281</v>
      </c>
      <c r="B12" s="317" t="s">
        <v>948</v>
      </c>
      <c r="C12" s="10"/>
      <c r="D12" s="10">
        <v>-3757590</v>
      </c>
      <c r="E12" s="10"/>
      <c r="F12" s="10" t="s">
        <v>227</v>
      </c>
      <c r="G12" s="94">
        <f>VLOOKUP(F12,ALLOCATORS,2,FALSE)</f>
        <v>0</v>
      </c>
      <c r="H12" s="85"/>
      <c r="I12" s="10">
        <f>D12*G12</f>
        <v>0</v>
      </c>
      <c r="J12" s="6"/>
    </row>
    <row r="13" spans="1:10" ht="13.5" thickBot="1" x14ac:dyDescent="0.25">
      <c r="A13" s="34"/>
      <c r="B13" s="145" t="s">
        <v>809</v>
      </c>
      <c r="C13" s="29"/>
      <c r="D13" s="35">
        <f>SUM(D12)</f>
        <v>-3757590</v>
      </c>
      <c r="E13" s="6"/>
      <c r="F13" s="6"/>
      <c r="G13" s="14"/>
      <c r="H13" s="6"/>
      <c r="I13" s="35">
        <f>SUM(I12)</f>
        <v>0</v>
      </c>
      <c r="J13" s="6"/>
    </row>
    <row r="14" spans="1:10" ht="13.5" thickTop="1" x14ac:dyDescent="0.2">
      <c r="A14" s="34"/>
      <c r="B14" s="6"/>
      <c r="C14" s="6"/>
      <c r="D14" s="6"/>
      <c r="E14" s="6"/>
      <c r="F14" s="6"/>
      <c r="G14" s="14"/>
      <c r="H14" s="6"/>
      <c r="I14" s="6"/>
      <c r="J14" s="6"/>
    </row>
    <row r="15" spans="1:10" x14ac:dyDescent="0.2">
      <c r="A15" s="116">
        <v>282</v>
      </c>
      <c r="B15" s="317" t="s">
        <v>949</v>
      </c>
      <c r="C15" s="10"/>
      <c r="D15" s="10">
        <v>-988896970</v>
      </c>
      <c r="E15" s="10"/>
      <c r="F15" s="10" t="s">
        <v>37</v>
      </c>
      <c r="G15" s="94">
        <f t="shared" ref="G15:G21" si="0">VLOOKUP(F15,ALLOCATORS,2,FALSE)</f>
        <v>0.19710219182042119</v>
      </c>
      <c r="H15" s="85"/>
      <c r="I15" s="10">
        <f t="shared" ref="I15:I21" si="1">D15*G15</f>
        <v>-194913760.27157331</v>
      </c>
      <c r="J15" s="6"/>
    </row>
    <row r="16" spans="1:10" x14ac:dyDescent="0.2">
      <c r="A16" s="116">
        <v>282</v>
      </c>
      <c r="B16" s="317" t="s">
        <v>950</v>
      </c>
      <c r="C16" s="10"/>
      <c r="D16" s="10">
        <v>228330048</v>
      </c>
      <c r="E16" s="10"/>
      <c r="F16" s="10" t="s">
        <v>225</v>
      </c>
      <c r="G16" s="94">
        <f t="shared" si="0"/>
        <v>0</v>
      </c>
      <c r="H16" s="85"/>
      <c r="I16" s="10">
        <f t="shared" si="1"/>
        <v>0</v>
      </c>
      <c r="J16" s="6"/>
    </row>
    <row r="17" spans="1:10" x14ac:dyDescent="0.2">
      <c r="A17" s="116">
        <v>282</v>
      </c>
      <c r="B17" s="317" t="s">
        <v>951</v>
      </c>
      <c r="C17" s="10"/>
      <c r="D17" s="10">
        <v>-3211282</v>
      </c>
      <c r="E17" s="10"/>
      <c r="F17" s="10" t="s">
        <v>227</v>
      </c>
      <c r="G17" s="94">
        <f t="shared" si="0"/>
        <v>0</v>
      </c>
      <c r="H17" s="85"/>
      <c r="I17" s="10">
        <f t="shared" si="1"/>
        <v>0</v>
      </c>
      <c r="J17" s="6"/>
    </row>
    <row r="18" spans="1:10" x14ac:dyDescent="0.2">
      <c r="A18" s="116">
        <v>282</v>
      </c>
      <c r="B18" s="317" t="s">
        <v>952</v>
      </c>
      <c r="C18" s="10"/>
      <c r="D18" s="10">
        <v>-6250016</v>
      </c>
      <c r="E18" s="10"/>
      <c r="F18" s="10" t="s">
        <v>227</v>
      </c>
      <c r="G18" s="94">
        <f t="shared" si="0"/>
        <v>0</v>
      </c>
      <c r="H18" s="85"/>
      <c r="I18" s="10">
        <f t="shared" si="1"/>
        <v>0</v>
      </c>
      <c r="J18" s="6"/>
    </row>
    <row r="19" spans="1:10" x14ac:dyDescent="0.2">
      <c r="A19" s="116">
        <v>282</v>
      </c>
      <c r="B19" s="317" t="s">
        <v>953</v>
      </c>
      <c r="C19" s="10"/>
      <c r="D19" s="10">
        <v>-9927076.1999999993</v>
      </c>
      <c r="E19" s="10"/>
      <c r="F19" s="10" t="s">
        <v>227</v>
      </c>
      <c r="G19" s="94">
        <f t="shared" si="0"/>
        <v>0</v>
      </c>
      <c r="H19" s="85"/>
      <c r="I19" s="10">
        <f t="shared" si="1"/>
        <v>0</v>
      </c>
      <c r="J19" s="6"/>
    </row>
    <row r="20" spans="1:10" x14ac:dyDescent="0.2">
      <c r="A20" s="116">
        <v>282</v>
      </c>
      <c r="B20" s="317" t="s">
        <v>954</v>
      </c>
      <c r="C20" s="10"/>
      <c r="D20" s="10">
        <v>-195159349.30000001</v>
      </c>
      <c r="E20" s="10"/>
      <c r="F20" s="10" t="s">
        <v>225</v>
      </c>
      <c r="G20" s="94">
        <f t="shared" si="0"/>
        <v>0</v>
      </c>
      <c r="H20" s="85"/>
      <c r="I20" s="10">
        <f t="shared" si="1"/>
        <v>0</v>
      </c>
      <c r="J20" s="6"/>
    </row>
    <row r="21" spans="1:10" x14ac:dyDescent="0.2">
      <c r="A21" s="116">
        <v>282</v>
      </c>
      <c r="B21" s="317" t="s">
        <v>955</v>
      </c>
      <c r="C21" s="10"/>
      <c r="D21" s="10">
        <v>-1598</v>
      </c>
      <c r="E21" s="10"/>
      <c r="F21" s="10" t="s">
        <v>37</v>
      </c>
      <c r="G21" s="94">
        <f t="shared" si="0"/>
        <v>0.19710219182042119</v>
      </c>
      <c r="H21" s="85"/>
      <c r="I21" s="10">
        <f t="shared" si="1"/>
        <v>-314.96930252903303</v>
      </c>
      <c r="J21" s="6"/>
    </row>
    <row r="22" spans="1:10" ht="13.5" thickBot="1" x14ac:dyDescent="0.25">
      <c r="A22" s="34"/>
      <c r="B22" s="145" t="s">
        <v>810</v>
      </c>
      <c r="C22" s="29"/>
      <c r="D22" s="35">
        <f>SUM(D15:D21)</f>
        <v>-975116243.5</v>
      </c>
      <c r="E22" s="6"/>
      <c r="F22" s="6"/>
      <c r="G22" s="14"/>
      <c r="H22" s="6"/>
      <c r="I22" s="35">
        <f>SUM(I15:I21)</f>
        <v>-194914075.24087584</v>
      </c>
      <c r="J22" s="72"/>
    </row>
    <row r="23" spans="1:10" ht="13.5" thickTop="1" x14ac:dyDescent="0.2">
      <c r="A23" s="34"/>
      <c r="B23" s="6"/>
      <c r="C23" s="6"/>
      <c r="D23" s="6"/>
      <c r="E23" s="6"/>
      <c r="F23" s="6"/>
      <c r="G23" s="14"/>
      <c r="H23" s="6"/>
      <c r="I23" s="6"/>
      <c r="J23" s="6"/>
    </row>
    <row r="24" spans="1:10" x14ac:dyDescent="0.2">
      <c r="A24" s="116">
        <v>283</v>
      </c>
      <c r="B24" s="317" t="s">
        <v>956</v>
      </c>
      <c r="C24" s="10"/>
      <c r="D24" s="10">
        <v>1762990</v>
      </c>
      <c r="E24" s="10"/>
      <c r="F24" s="10" t="s">
        <v>227</v>
      </c>
      <c r="G24" s="94">
        <f t="shared" ref="G24:G44" si="2">VLOOKUP(F24,ALLOCATORS,2,FALSE)</f>
        <v>0</v>
      </c>
      <c r="H24" s="85"/>
      <c r="I24" s="10">
        <f t="shared" ref="I24" si="3">D24*G24</f>
        <v>0</v>
      </c>
      <c r="J24" s="6"/>
    </row>
    <row r="25" spans="1:10" x14ac:dyDescent="0.2">
      <c r="A25" s="116">
        <v>283</v>
      </c>
      <c r="B25" s="317" t="s">
        <v>957</v>
      </c>
      <c r="C25" s="10"/>
      <c r="D25" s="10">
        <v>-149753421</v>
      </c>
      <c r="E25" s="10"/>
      <c r="F25" s="10" t="s">
        <v>225</v>
      </c>
      <c r="G25" s="94">
        <f t="shared" si="2"/>
        <v>0</v>
      </c>
      <c r="H25" s="85"/>
      <c r="I25" s="10">
        <f t="shared" ref="I25:I44" si="4">D25*G25</f>
        <v>0</v>
      </c>
      <c r="J25" s="6"/>
    </row>
    <row r="26" spans="1:10" x14ac:dyDescent="0.2">
      <c r="A26" s="116">
        <v>283</v>
      </c>
      <c r="B26" s="317" t="s">
        <v>958</v>
      </c>
      <c r="C26" s="10"/>
      <c r="D26" s="10">
        <v>-70172198</v>
      </c>
      <c r="E26" s="10"/>
      <c r="F26" s="10" t="s">
        <v>225</v>
      </c>
      <c r="G26" s="94">
        <f t="shared" si="2"/>
        <v>0</v>
      </c>
      <c r="H26" s="85"/>
      <c r="I26" s="10">
        <f t="shared" si="4"/>
        <v>0</v>
      </c>
      <c r="J26" s="6"/>
    </row>
    <row r="27" spans="1:10" x14ac:dyDescent="0.2">
      <c r="A27" s="116">
        <v>283</v>
      </c>
      <c r="B27" s="317" t="s">
        <v>959</v>
      </c>
      <c r="C27" s="10"/>
      <c r="D27" s="10">
        <v>-7812931</v>
      </c>
      <c r="E27" s="10"/>
      <c r="F27" s="10" t="s">
        <v>225</v>
      </c>
      <c r="G27" s="94">
        <f t="shared" si="2"/>
        <v>0</v>
      </c>
      <c r="H27" s="85"/>
      <c r="I27" s="10">
        <f t="shared" si="4"/>
        <v>0</v>
      </c>
      <c r="J27" s="6"/>
    </row>
    <row r="28" spans="1:10" x14ac:dyDescent="0.2">
      <c r="A28" s="116">
        <v>283</v>
      </c>
      <c r="B28" s="317" t="s">
        <v>960</v>
      </c>
      <c r="C28" s="10"/>
      <c r="D28" s="10">
        <v>-76963509</v>
      </c>
      <c r="E28" s="10"/>
      <c r="F28" s="10" t="s">
        <v>227</v>
      </c>
      <c r="G28" s="94">
        <f t="shared" si="2"/>
        <v>0</v>
      </c>
      <c r="H28" s="85"/>
      <c r="I28" s="10">
        <f t="shared" si="4"/>
        <v>0</v>
      </c>
      <c r="J28" s="6"/>
    </row>
    <row r="29" spans="1:10" x14ac:dyDescent="0.2">
      <c r="A29" s="116">
        <v>283</v>
      </c>
      <c r="B29" s="317" t="s">
        <v>961</v>
      </c>
      <c r="C29" s="10"/>
      <c r="D29" s="10">
        <v>-105396918</v>
      </c>
      <c r="E29" s="10"/>
      <c r="F29" s="10" t="s">
        <v>227</v>
      </c>
      <c r="G29" s="94">
        <f t="shared" si="2"/>
        <v>0</v>
      </c>
      <c r="H29" s="85"/>
      <c r="I29" s="10">
        <f t="shared" si="4"/>
        <v>0</v>
      </c>
      <c r="J29" s="6"/>
    </row>
    <row r="30" spans="1:10" x14ac:dyDescent="0.2">
      <c r="A30" s="116">
        <v>283</v>
      </c>
      <c r="B30" s="317" t="s">
        <v>962</v>
      </c>
      <c r="C30" s="10"/>
      <c r="D30" s="10">
        <v>-277999024</v>
      </c>
      <c r="E30" s="10"/>
      <c r="F30" s="10" t="s">
        <v>226</v>
      </c>
      <c r="G30" s="94">
        <f t="shared" si="2"/>
        <v>7.8086404382281052E-2</v>
      </c>
      <c r="H30" s="85"/>
      <c r="I30" s="10">
        <f t="shared" si="4"/>
        <v>-21707944.205943454</v>
      </c>
      <c r="J30" s="6"/>
    </row>
    <row r="31" spans="1:10" x14ac:dyDescent="0.2">
      <c r="A31" s="116">
        <v>283</v>
      </c>
      <c r="B31" s="317" t="s">
        <v>963</v>
      </c>
      <c r="C31" s="10"/>
      <c r="D31" s="10">
        <v>-506607754</v>
      </c>
      <c r="E31" s="10"/>
      <c r="F31" s="10" t="s">
        <v>227</v>
      </c>
      <c r="G31" s="94">
        <f t="shared" si="2"/>
        <v>0</v>
      </c>
      <c r="H31" s="85"/>
      <c r="I31" s="10">
        <f t="shared" si="4"/>
        <v>0</v>
      </c>
      <c r="J31" s="6"/>
    </row>
    <row r="32" spans="1:10" x14ac:dyDescent="0.2">
      <c r="A32" s="116">
        <v>283</v>
      </c>
      <c r="B32" s="317" t="s">
        <v>964</v>
      </c>
      <c r="C32" s="10"/>
      <c r="D32" s="10">
        <v>-576917</v>
      </c>
      <c r="E32" s="10"/>
      <c r="F32" s="10" t="s">
        <v>227</v>
      </c>
      <c r="G32" s="94">
        <f t="shared" si="2"/>
        <v>0</v>
      </c>
      <c r="H32" s="85"/>
      <c r="I32" s="10">
        <f t="shared" si="4"/>
        <v>0</v>
      </c>
      <c r="J32" s="6"/>
    </row>
    <row r="33" spans="1:10" x14ac:dyDescent="0.2">
      <c r="A33" s="116">
        <v>283</v>
      </c>
      <c r="B33" s="317" t="s">
        <v>965</v>
      </c>
      <c r="C33" s="10"/>
      <c r="D33" s="10">
        <v>-7435623</v>
      </c>
      <c r="E33" s="10"/>
      <c r="F33" s="10" t="s">
        <v>225</v>
      </c>
      <c r="G33" s="94">
        <f t="shared" si="2"/>
        <v>0</v>
      </c>
      <c r="H33" s="85"/>
      <c r="I33" s="10">
        <f t="shared" si="4"/>
        <v>0</v>
      </c>
      <c r="J33" s="6"/>
    </row>
    <row r="34" spans="1:10" x14ac:dyDescent="0.2">
      <c r="A34" s="116">
        <v>283</v>
      </c>
      <c r="B34" s="317" t="s">
        <v>966</v>
      </c>
      <c r="C34" s="10"/>
      <c r="D34" s="10">
        <v>403010</v>
      </c>
      <c r="E34" s="10"/>
      <c r="F34" s="10" t="s">
        <v>227</v>
      </c>
      <c r="G34" s="94">
        <f t="shared" si="2"/>
        <v>0</v>
      </c>
      <c r="H34" s="85"/>
      <c r="I34" s="10">
        <f t="shared" si="4"/>
        <v>0</v>
      </c>
      <c r="J34" s="6"/>
    </row>
    <row r="35" spans="1:10" x14ac:dyDescent="0.2">
      <c r="A35" s="116">
        <v>283</v>
      </c>
      <c r="B35" s="317" t="s">
        <v>967</v>
      </c>
      <c r="C35" s="10"/>
      <c r="D35" s="10">
        <v>-4021170</v>
      </c>
      <c r="E35" s="10"/>
      <c r="F35" s="10" t="s">
        <v>37</v>
      </c>
      <c r="G35" s="94">
        <f t="shared" si="2"/>
        <v>0.19710219182042119</v>
      </c>
      <c r="H35" s="85"/>
      <c r="I35" s="10">
        <f t="shared" si="4"/>
        <v>-792581.42068252305</v>
      </c>
      <c r="J35" s="6"/>
    </row>
    <row r="36" spans="1:10" x14ac:dyDescent="0.2">
      <c r="A36" s="116">
        <v>283</v>
      </c>
      <c r="B36" s="317" t="s">
        <v>968</v>
      </c>
      <c r="C36" s="10"/>
      <c r="D36" s="10">
        <v>-93567644</v>
      </c>
      <c r="E36" s="10"/>
      <c r="F36" s="10" t="s">
        <v>229</v>
      </c>
      <c r="G36" s="94">
        <f t="shared" si="2"/>
        <v>0</v>
      </c>
      <c r="H36" s="85"/>
      <c r="I36" s="10">
        <f t="shared" si="4"/>
        <v>0</v>
      </c>
      <c r="J36" s="6"/>
    </row>
    <row r="37" spans="1:10" x14ac:dyDescent="0.2">
      <c r="A37" s="116">
        <v>283</v>
      </c>
      <c r="B37" s="317" t="s">
        <v>969</v>
      </c>
      <c r="C37" s="10"/>
      <c r="D37" s="10">
        <v>-781151</v>
      </c>
      <c r="E37" s="10"/>
      <c r="F37" s="10" t="s">
        <v>229</v>
      </c>
      <c r="G37" s="94">
        <f t="shared" si="2"/>
        <v>0</v>
      </c>
      <c r="H37" s="85"/>
      <c r="I37" s="10">
        <f t="shared" si="4"/>
        <v>0</v>
      </c>
      <c r="J37" s="6"/>
    </row>
    <row r="38" spans="1:10" x14ac:dyDescent="0.2">
      <c r="A38" s="116">
        <v>283</v>
      </c>
      <c r="B38" s="317" t="s">
        <v>970</v>
      </c>
      <c r="C38" s="10"/>
      <c r="D38" s="10">
        <v>-2640762</v>
      </c>
      <c r="E38" s="10"/>
      <c r="F38" s="10" t="s">
        <v>227</v>
      </c>
      <c r="G38" s="94">
        <f t="shared" si="2"/>
        <v>0</v>
      </c>
      <c r="H38" s="85"/>
      <c r="I38" s="10">
        <f t="shared" si="4"/>
        <v>0</v>
      </c>
      <c r="J38" s="6"/>
    </row>
    <row r="39" spans="1:10" x14ac:dyDescent="0.2">
      <c r="A39" s="116">
        <v>283</v>
      </c>
      <c r="B39" s="317" t="s">
        <v>971</v>
      </c>
      <c r="C39" s="10"/>
      <c r="D39" s="10">
        <v>-126003627</v>
      </c>
      <c r="E39" s="10"/>
      <c r="F39" s="10" t="s">
        <v>227</v>
      </c>
      <c r="G39" s="94">
        <f t="shared" si="2"/>
        <v>0</v>
      </c>
      <c r="H39" s="85"/>
      <c r="I39" s="10">
        <f t="shared" si="4"/>
        <v>0</v>
      </c>
      <c r="J39" s="6"/>
    </row>
    <row r="40" spans="1:10" x14ac:dyDescent="0.2">
      <c r="A40" s="116">
        <v>283</v>
      </c>
      <c r="B40" s="317" t="s">
        <v>972</v>
      </c>
      <c r="C40" s="10"/>
      <c r="D40" s="10">
        <v>-2866321</v>
      </c>
      <c r="E40" s="10"/>
      <c r="F40" s="10" t="s">
        <v>227</v>
      </c>
      <c r="G40" s="94">
        <f t="shared" si="2"/>
        <v>0</v>
      </c>
      <c r="H40" s="85"/>
      <c r="I40" s="10">
        <f t="shared" si="4"/>
        <v>0</v>
      </c>
      <c r="J40" s="6"/>
    </row>
    <row r="41" spans="1:10" x14ac:dyDescent="0.2">
      <c r="A41" s="116">
        <v>283</v>
      </c>
      <c r="B41" s="317" t="s">
        <v>973</v>
      </c>
      <c r="C41" s="10"/>
      <c r="D41" s="10">
        <v>-53587</v>
      </c>
      <c r="E41" s="10"/>
      <c r="F41" s="10" t="s">
        <v>37</v>
      </c>
      <c r="G41" s="94">
        <f t="shared" si="2"/>
        <v>0.19710219182042119</v>
      </c>
      <c r="H41" s="85"/>
      <c r="I41" s="10">
        <f t="shared" si="4"/>
        <v>-10562.115153080909</v>
      </c>
      <c r="J41" s="6"/>
    </row>
    <row r="42" spans="1:10" x14ac:dyDescent="0.2">
      <c r="A42" s="116">
        <v>283</v>
      </c>
      <c r="B42" s="317" t="s">
        <v>974</v>
      </c>
      <c r="C42" s="10"/>
      <c r="D42" s="10">
        <v>-250712</v>
      </c>
      <c r="E42" s="10"/>
      <c r="F42" s="10" t="s">
        <v>225</v>
      </c>
      <c r="G42" s="94">
        <f t="shared" si="2"/>
        <v>0</v>
      </c>
      <c r="H42" s="85"/>
      <c r="I42" s="10">
        <f t="shared" si="4"/>
        <v>0</v>
      </c>
      <c r="J42" s="6"/>
    </row>
    <row r="43" spans="1:10" x14ac:dyDescent="0.2">
      <c r="A43" s="116">
        <v>283</v>
      </c>
      <c r="B43" s="317" t="s">
        <v>975</v>
      </c>
      <c r="C43" s="10"/>
      <c r="D43" s="10">
        <v>5736279</v>
      </c>
      <c r="E43" s="10"/>
      <c r="F43" s="10" t="s">
        <v>227</v>
      </c>
      <c r="G43" s="94">
        <f t="shared" si="2"/>
        <v>0</v>
      </c>
      <c r="H43" s="85"/>
      <c r="I43" s="10">
        <f t="shared" si="4"/>
        <v>0</v>
      </c>
      <c r="J43" s="6"/>
    </row>
    <row r="44" spans="1:10" x14ac:dyDescent="0.2">
      <c r="A44" s="116">
        <v>283</v>
      </c>
      <c r="B44" s="317" t="s">
        <v>947</v>
      </c>
      <c r="C44" s="10"/>
      <c r="D44" s="10">
        <v>46</v>
      </c>
      <c r="E44" s="10"/>
      <c r="F44" s="10" t="s">
        <v>37</v>
      </c>
      <c r="G44" s="94">
        <f t="shared" si="2"/>
        <v>0.19710219182042119</v>
      </c>
      <c r="H44" s="85"/>
      <c r="I44" s="10">
        <f t="shared" si="4"/>
        <v>9.0667008237393745</v>
      </c>
      <c r="J44" s="6"/>
    </row>
    <row r="45" spans="1:10" ht="13.5" thickBot="1" x14ac:dyDescent="0.25">
      <c r="A45" s="34"/>
      <c r="B45" s="145" t="s">
        <v>811</v>
      </c>
      <c r="C45" s="29"/>
      <c r="D45" s="35">
        <f>SUM(D24:D44)</f>
        <v>-1425000944</v>
      </c>
      <c r="E45" s="6"/>
      <c r="F45" s="6"/>
      <c r="G45" s="14"/>
      <c r="H45" s="6"/>
      <c r="I45" s="35">
        <f>SUM(I24:I44)</f>
        <v>-22511078.675078236</v>
      </c>
      <c r="J45" s="6"/>
    </row>
    <row r="46" spans="1:10" ht="13.5" thickTop="1" x14ac:dyDescent="0.2">
      <c r="A46" s="34"/>
      <c r="B46" s="29"/>
      <c r="C46" s="29"/>
      <c r="D46" s="36"/>
      <c r="E46" s="6"/>
      <c r="F46" s="6"/>
      <c r="G46" s="14"/>
      <c r="H46" s="6"/>
      <c r="I46" s="6"/>
      <c r="J46" s="6"/>
    </row>
    <row r="47" spans="1:10" ht="13.5" thickBot="1" x14ac:dyDescent="0.25">
      <c r="A47" s="6"/>
      <c r="B47" s="35" t="s">
        <v>230</v>
      </c>
      <c r="C47" s="35"/>
      <c r="D47" s="35">
        <f>'DEF - 5 p1 PY ADIT 190'!D71+'DEF - 5 p2 PY ADIT 28x'!D13+'DEF - 5 p2 PY ADIT 28x'!D22+'DEF - 5 p2 PY ADIT 28x'!D45</f>
        <v>-1408346693.5</v>
      </c>
      <c r="E47" s="6"/>
      <c r="F47" s="6"/>
      <c r="G47" s="14"/>
      <c r="H47" s="6"/>
      <c r="I47" s="35">
        <f>'DEF - 5 p1 PY ADIT 190'!I71+'DEF - 5 p2 PY ADIT 28x'!I13+'DEF - 5 p2 PY ADIT 28x'!I22+'DEF - 5 p2 PY ADIT 28x'!I45</f>
        <v>-174249229.21742234</v>
      </c>
      <c r="J47" s="72"/>
    </row>
    <row r="48" spans="1:10" ht="13.5" thickTop="1" x14ac:dyDescent="0.2">
      <c r="A48" s="34"/>
      <c r="B48" s="29"/>
      <c r="C48" s="29"/>
      <c r="D48" s="36"/>
      <c r="E48" s="6"/>
      <c r="F48" s="6"/>
      <c r="G48" s="14"/>
      <c r="H48" s="6"/>
      <c r="I48" s="6"/>
      <c r="J48" s="6"/>
    </row>
    <row r="49" spans="1:10" x14ac:dyDescent="0.2">
      <c r="A49" s="46"/>
      <c r="B49" s="125"/>
      <c r="C49" s="36"/>
      <c r="D49" s="36"/>
      <c r="E49" s="6"/>
      <c r="F49" s="6"/>
      <c r="G49" s="14"/>
      <c r="H49" s="6"/>
      <c r="I49" s="125"/>
      <c r="J49" s="6"/>
    </row>
    <row r="50" spans="1:10" x14ac:dyDescent="0.2">
      <c r="A50" s="6"/>
      <c r="B50" s="6"/>
      <c r="C50" s="6"/>
      <c r="D50" s="6"/>
      <c r="E50" s="6"/>
      <c r="F50" s="6"/>
      <c r="G50" s="14"/>
      <c r="H50" s="6"/>
      <c r="I50" s="6"/>
      <c r="J50" s="6"/>
    </row>
    <row r="51" spans="1:10" x14ac:dyDescent="0.2">
      <c r="A51" s="34"/>
      <c r="B51" s="29"/>
      <c r="C51" s="29"/>
      <c r="D51" s="36"/>
      <c r="E51" s="6"/>
      <c r="F51" s="6"/>
      <c r="G51" s="14"/>
      <c r="H51" s="6"/>
      <c r="I51" s="6"/>
      <c r="J51" s="6"/>
    </row>
    <row r="52" spans="1:10" x14ac:dyDescent="0.2">
      <c r="A52" s="34"/>
      <c r="B52" s="29"/>
      <c r="C52" s="29"/>
      <c r="D52" s="36"/>
      <c r="E52" s="6"/>
      <c r="F52" s="6"/>
      <c r="G52" s="14"/>
      <c r="H52" s="6"/>
      <c r="I52" s="6"/>
      <c r="J52" s="6"/>
    </row>
    <row r="53" spans="1:10" x14ac:dyDescent="0.2">
      <c r="A53" s="6"/>
      <c r="B53" s="6"/>
      <c r="C53" s="6"/>
      <c r="D53" s="6"/>
      <c r="E53" s="6"/>
      <c r="F53" s="6"/>
      <c r="G53" s="14"/>
      <c r="H53" s="6"/>
      <c r="I53" s="6"/>
      <c r="J53" s="6"/>
    </row>
    <row r="54" spans="1:10" x14ac:dyDescent="0.2">
      <c r="A54" s="6"/>
      <c r="B54" s="6"/>
      <c r="C54" s="6"/>
      <c r="D54" s="6"/>
      <c r="E54" s="6"/>
      <c r="F54" s="6"/>
      <c r="G54" s="14"/>
      <c r="H54" s="6"/>
      <c r="I54" s="6"/>
      <c r="J54" s="6"/>
    </row>
    <row r="55" spans="1:10" x14ac:dyDescent="0.2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x14ac:dyDescent="0.2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x14ac:dyDescent="0.2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x14ac:dyDescent="0.2">
      <c r="E58" s="315" t="s">
        <v>228</v>
      </c>
      <c r="F58" s="188"/>
      <c r="G58" s="14"/>
    </row>
    <row r="59" spans="1:10" x14ac:dyDescent="0.2">
      <c r="E59" s="315" t="s">
        <v>41</v>
      </c>
      <c r="F59" s="188"/>
      <c r="G59" s="14"/>
    </row>
    <row r="60" spans="1:10" x14ac:dyDescent="0.2">
      <c r="E60" s="315" t="s">
        <v>226</v>
      </c>
      <c r="F60" s="188"/>
      <c r="G60" s="14"/>
      <c r="I60" s="6"/>
    </row>
    <row r="61" spans="1:10" x14ac:dyDescent="0.2">
      <c r="E61" s="315" t="s">
        <v>229</v>
      </c>
      <c r="F61" s="188"/>
      <c r="G61" s="14"/>
    </row>
    <row r="62" spans="1:10" x14ac:dyDescent="0.2">
      <c r="E62" s="315" t="s">
        <v>37</v>
      </c>
      <c r="F62" s="188"/>
      <c r="G62" s="14"/>
    </row>
    <row r="63" spans="1:10" x14ac:dyDescent="0.2">
      <c r="E63" s="315" t="s">
        <v>227</v>
      </c>
      <c r="F63" s="188"/>
      <c r="G63" s="14"/>
    </row>
    <row r="64" spans="1:10" x14ac:dyDescent="0.2">
      <c r="E64" s="315" t="s">
        <v>225</v>
      </c>
      <c r="F64" s="188"/>
      <c r="G64" s="14"/>
    </row>
    <row r="65" spans="5:7" x14ac:dyDescent="0.2">
      <c r="E65" s="315" t="s">
        <v>51</v>
      </c>
      <c r="F65" s="188"/>
      <c r="G65" s="14"/>
    </row>
  </sheetData>
  <mergeCells count="4">
    <mergeCell ref="I1:J1"/>
    <mergeCell ref="I3:J3"/>
    <mergeCell ref="A5:I5"/>
    <mergeCell ref="A6:I6"/>
  </mergeCells>
  <phoneticPr fontId="15" type="noConversion"/>
  <pageMargins left="0.5" right="0.5" top="0.5" bottom="0.5" header="0.5" footer="0.5"/>
  <pageSetup scale="73" fitToHeight="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6"/>
  <sheetViews>
    <sheetView workbookViewId="0"/>
  </sheetViews>
  <sheetFormatPr defaultRowHeight="12.75" x14ac:dyDescent="0.2"/>
  <cols>
    <col min="1" max="1" width="8.85546875" style="4" customWidth="1"/>
    <col min="2" max="2" width="47.140625" style="4" customWidth="1"/>
    <col min="3" max="3" width="3.7109375" style="4" customWidth="1"/>
    <col min="4" max="4" width="21.7109375" style="4" bestFit="1" customWidth="1"/>
    <col min="5" max="5" width="3.7109375" style="4" customWidth="1"/>
    <col min="6" max="7" width="9.140625" style="4"/>
    <col min="8" max="8" width="3.7109375" style="4" customWidth="1"/>
    <col min="9" max="9" width="11.28515625" style="4" bestFit="1" customWidth="1"/>
    <col min="10" max="10" width="9.140625" style="4"/>
    <col min="11" max="11" width="10.7109375" style="4" bestFit="1" customWidth="1"/>
    <col min="12" max="16384" width="9.140625" style="4"/>
  </cols>
  <sheetData>
    <row r="1" spans="1:11" ht="15" x14ac:dyDescent="0.25">
      <c r="A1" s="6"/>
      <c r="B1" s="6"/>
      <c r="C1" s="6"/>
      <c r="D1" s="6"/>
      <c r="E1" s="6"/>
      <c r="F1" s="6"/>
      <c r="G1" s="6"/>
      <c r="H1" s="6"/>
      <c r="I1" s="246" t="s">
        <v>836</v>
      </c>
      <c r="J1" s="246"/>
    </row>
    <row r="2" spans="1:11" ht="15" x14ac:dyDescent="0.25">
      <c r="A2" s="6"/>
      <c r="B2" s="6"/>
      <c r="C2" s="6"/>
      <c r="D2" s="6"/>
      <c r="E2" s="6"/>
      <c r="F2" s="6"/>
      <c r="G2" s="6"/>
      <c r="H2" s="6"/>
      <c r="I2" s="227" t="s">
        <v>700</v>
      </c>
      <c r="J2" s="227"/>
    </row>
    <row r="3" spans="1:11" x14ac:dyDescent="0.2">
      <c r="A3" s="6"/>
      <c r="B3" s="28"/>
      <c r="C3" s="28"/>
      <c r="D3" s="6"/>
      <c r="E3" s="6"/>
      <c r="F3" s="6"/>
      <c r="G3" s="6"/>
      <c r="H3" s="6"/>
      <c r="I3" s="238" t="str">
        <f>FF1_Year</f>
        <v>Year Ending 12/31/2013</v>
      </c>
      <c r="J3" s="239"/>
    </row>
    <row r="4" spans="1:11" x14ac:dyDescent="0.2">
      <c r="A4" s="6"/>
      <c r="B4" s="28"/>
      <c r="C4" s="28"/>
      <c r="D4" s="6"/>
      <c r="E4" s="6"/>
      <c r="F4" s="6"/>
      <c r="G4" s="6"/>
      <c r="H4" s="6"/>
      <c r="I4" s="221"/>
      <c r="J4" s="221"/>
    </row>
    <row r="5" spans="1:11" x14ac:dyDescent="0.2">
      <c r="A5" s="248" t="s">
        <v>850</v>
      </c>
      <c r="B5" s="316"/>
      <c r="C5" s="316"/>
      <c r="D5" s="316"/>
      <c r="E5" s="316"/>
      <c r="F5" s="316"/>
      <c r="G5" s="316"/>
      <c r="H5" s="316"/>
      <c r="I5" s="316"/>
      <c r="J5" s="221"/>
    </row>
    <row r="6" spans="1:11" x14ac:dyDescent="0.2">
      <c r="A6" s="248" t="s">
        <v>368</v>
      </c>
      <c r="B6" s="316"/>
      <c r="C6" s="316"/>
      <c r="D6" s="316"/>
      <c r="E6" s="316"/>
      <c r="F6" s="316"/>
      <c r="G6" s="316"/>
      <c r="H6" s="316"/>
      <c r="I6" s="316"/>
      <c r="J6" s="221"/>
    </row>
    <row r="7" spans="1:11" x14ac:dyDescent="0.2">
      <c r="A7" s="6"/>
      <c r="B7" s="28"/>
      <c r="C7" s="28"/>
      <c r="D7" s="6"/>
      <c r="E7" s="6"/>
      <c r="F7" s="6"/>
      <c r="G7" s="6"/>
      <c r="H7" s="6"/>
      <c r="I7" s="6"/>
      <c r="J7" s="6"/>
    </row>
    <row r="8" spans="1:11" x14ac:dyDescent="0.2">
      <c r="A8" s="29"/>
      <c r="B8" s="30"/>
      <c r="C8" s="30"/>
      <c r="D8" s="30"/>
      <c r="E8" s="31"/>
      <c r="F8" s="31"/>
      <c r="G8" s="31"/>
      <c r="H8" s="31"/>
      <c r="I8" s="31"/>
      <c r="J8" s="31"/>
    </row>
    <row r="9" spans="1:11" x14ac:dyDescent="0.2">
      <c r="A9" s="29"/>
      <c r="B9" s="30"/>
      <c r="C9" s="30"/>
      <c r="D9" s="228" t="s">
        <v>221</v>
      </c>
      <c r="E9" s="31"/>
      <c r="F9" s="32" t="s">
        <v>23</v>
      </c>
      <c r="G9" s="32" t="s">
        <v>222</v>
      </c>
      <c r="H9" s="32"/>
      <c r="I9" s="32" t="s">
        <v>223</v>
      </c>
      <c r="J9" s="31"/>
    </row>
    <row r="10" spans="1:11" x14ac:dyDescent="0.2">
      <c r="A10" s="29" t="s">
        <v>224</v>
      </c>
      <c r="B10" s="29" t="s">
        <v>3</v>
      </c>
      <c r="C10" s="33"/>
      <c r="D10" s="228" t="str">
        <f>"Tax at 12/31/"&amp;YR</f>
        <v>Tax at 12/31/2013</v>
      </c>
      <c r="E10" s="6"/>
      <c r="F10" s="6"/>
      <c r="G10" s="6"/>
      <c r="H10" s="6"/>
      <c r="I10" s="6"/>
      <c r="J10" s="6"/>
    </row>
    <row r="11" spans="1:11" x14ac:dyDescent="0.2">
      <c r="A11" s="29"/>
      <c r="B11" s="29"/>
      <c r="C11" s="33"/>
      <c r="D11" s="228"/>
      <c r="E11" s="6"/>
      <c r="F11" s="6"/>
      <c r="G11" s="6"/>
      <c r="H11" s="6"/>
      <c r="I11" s="6"/>
      <c r="J11" s="6"/>
    </row>
    <row r="12" spans="1:11" x14ac:dyDescent="0.2">
      <c r="A12" s="116">
        <v>190</v>
      </c>
      <c r="B12" s="10" t="s">
        <v>891</v>
      </c>
      <c r="C12" s="10"/>
      <c r="D12" s="10">
        <v>955117</v>
      </c>
      <c r="E12" s="10"/>
      <c r="F12" s="10" t="s">
        <v>225</v>
      </c>
      <c r="G12" s="94">
        <f t="shared" ref="G12:G43" si="0">VLOOKUP(F12,ALLOCATORS,2,FALSE)</f>
        <v>0</v>
      </c>
      <c r="H12" s="85"/>
      <c r="I12" s="10">
        <f>D12*G12</f>
        <v>0</v>
      </c>
      <c r="J12" s="6"/>
      <c r="K12" s="6"/>
    </row>
    <row r="13" spans="1:11" x14ac:dyDescent="0.2">
      <c r="A13" s="116">
        <v>190</v>
      </c>
      <c r="B13" s="10" t="s">
        <v>892</v>
      </c>
      <c r="C13" s="10"/>
      <c r="D13" s="10">
        <v>677250</v>
      </c>
      <c r="E13" s="10"/>
      <c r="F13" s="10" t="s">
        <v>229</v>
      </c>
      <c r="G13" s="94">
        <f t="shared" si="0"/>
        <v>0</v>
      </c>
      <c r="H13" s="85"/>
      <c r="I13" s="10">
        <f t="shared" ref="I13:I69" si="1">D13*G13</f>
        <v>0</v>
      </c>
      <c r="J13" s="6"/>
      <c r="K13" s="6"/>
    </row>
    <row r="14" spans="1:11" x14ac:dyDescent="0.2">
      <c r="A14" s="116">
        <v>190</v>
      </c>
      <c r="B14" s="10" t="s">
        <v>893</v>
      </c>
      <c r="C14" s="10"/>
      <c r="D14" s="10">
        <v>2199</v>
      </c>
      <c r="E14" s="10"/>
      <c r="F14" s="10" t="s">
        <v>227</v>
      </c>
      <c r="G14" s="94">
        <f t="shared" si="0"/>
        <v>0</v>
      </c>
      <c r="H14" s="85"/>
      <c r="I14" s="10">
        <f t="shared" si="1"/>
        <v>0</v>
      </c>
      <c r="J14" s="6"/>
      <c r="K14" s="6"/>
    </row>
    <row r="15" spans="1:11" x14ac:dyDescent="0.2">
      <c r="A15" s="116">
        <v>190</v>
      </c>
      <c r="B15" s="10" t="s">
        <v>894</v>
      </c>
      <c r="C15" s="10"/>
      <c r="D15" s="10">
        <v>655775</v>
      </c>
      <c r="E15" s="10"/>
      <c r="F15" s="10" t="s">
        <v>37</v>
      </c>
      <c r="G15" s="94">
        <f t="shared" si="0"/>
        <v>0.19710219182042119</v>
      </c>
      <c r="H15" s="85"/>
      <c r="I15" s="10">
        <f t="shared" si="1"/>
        <v>129254.6898410367</v>
      </c>
      <c r="J15" s="6"/>
      <c r="K15" s="6"/>
    </row>
    <row r="16" spans="1:11" x14ac:dyDescent="0.2">
      <c r="A16" s="116">
        <v>190</v>
      </c>
      <c r="B16" s="10" t="s">
        <v>895</v>
      </c>
      <c r="C16" s="10"/>
      <c r="D16" s="10">
        <v>21442331</v>
      </c>
      <c r="E16" s="10"/>
      <c r="F16" s="10" t="s">
        <v>227</v>
      </c>
      <c r="G16" s="94">
        <f t="shared" si="0"/>
        <v>0</v>
      </c>
      <c r="H16" s="85"/>
      <c r="I16" s="10">
        <f t="shared" si="1"/>
        <v>0</v>
      </c>
      <c r="J16" s="6"/>
    </row>
    <row r="17" spans="1:11" x14ac:dyDescent="0.2">
      <c r="A17" s="116">
        <v>190</v>
      </c>
      <c r="B17" s="10" t="s">
        <v>896</v>
      </c>
      <c r="C17" s="10"/>
      <c r="D17" s="10">
        <v>2222358</v>
      </c>
      <c r="E17" s="10"/>
      <c r="F17" s="10" t="s">
        <v>225</v>
      </c>
      <c r="G17" s="94">
        <f t="shared" si="0"/>
        <v>0</v>
      </c>
      <c r="H17" s="85"/>
      <c r="I17" s="10">
        <f t="shared" si="1"/>
        <v>0</v>
      </c>
      <c r="J17" s="6"/>
    </row>
    <row r="18" spans="1:11" x14ac:dyDescent="0.2">
      <c r="A18" s="116">
        <v>190</v>
      </c>
      <c r="B18" s="10" t="s">
        <v>897</v>
      </c>
      <c r="C18" s="10"/>
      <c r="D18" s="10">
        <v>281739</v>
      </c>
      <c r="E18" s="10"/>
      <c r="F18" s="10" t="s">
        <v>226</v>
      </c>
      <c r="G18" s="94">
        <f t="shared" si="0"/>
        <v>7.8086404382281052E-2</v>
      </c>
      <c r="H18" s="85"/>
      <c r="I18" s="10">
        <f t="shared" si="1"/>
        <v>21999.98548425948</v>
      </c>
      <c r="J18" s="6"/>
      <c r="K18" s="6"/>
    </row>
    <row r="19" spans="1:11" x14ac:dyDescent="0.2">
      <c r="A19" s="116">
        <v>190</v>
      </c>
      <c r="B19" s="10" t="s">
        <v>898</v>
      </c>
      <c r="C19" s="10"/>
      <c r="D19" s="10">
        <v>9157781</v>
      </c>
      <c r="E19" s="10"/>
      <c r="F19" s="10" t="s">
        <v>226</v>
      </c>
      <c r="G19" s="94">
        <f t="shared" si="0"/>
        <v>7.8086404382281052E-2</v>
      </c>
      <c r="H19" s="85"/>
      <c r="I19" s="10">
        <f t="shared" si="1"/>
        <v>715098.19041037012</v>
      </c>
      <c r="J19" s="6"/>
      <c r="K19" s="6"/>
    </row>
    <row r="20" spans="1:11" x14ac:dyDescent="0.2">
      <c r="A20" s="116">
        <v>190</v>
      </c>
      <c r="B20" s="10" t="s">
        <v>899</v>
      </c>
      <c r="C20" s="10"/>
      <c r="D20" s="10">
        <v>921518</v>
      </c>
      <c r="E20" s="10"/>
      <c r="F20" s="10" t="s">
        <v>226</v>
      </c>
      <c r="G20" s="94">
        <f t="shared" si="0"/>
        <v>7.8086404382281052E-2</v>
      </c>
      <c r="H20" s="85"/>
      <c r="I20" s="10">
        <f t="shared" si="1"/>
        <v>71958.027193550864</v>
      </c>
      <c r="J20" s="6"/>
      <c r="K20" s="6"/>
    </row>
    <row r="21" spans="1:11" x14ac:dyDescent="0.2">
      <c r="A21" s="116">
        <v>190</v>
      </c>
      <c r="B21" s="10" t="s">
        <v>900</v>
      </c>
      <c r="C21" s="10"/>
      <c r="D21" s="10">
        <v>1757538</v>
      </c>
      <c r="E21" s="10"/>
      <c r="F21" s="10" t="s">
        <v>226</v>
      </c>
      <c r="G21" s="94">
        <f t="shared" si="0"/>
        <v>7.8086404382281052E-2</v>
      </c>
      <c r="H21" s="85"/>
      <c r="I21" s="10">
        <f t="shared" si="1"/>
        <v>137239.82298522547</v>
      </c>
      <c r="J21" s="6"/>
      <c r="K21" s="6"/>
    </row>
    <row r="22" spans="1:11" x14ac:dyDescent="0.2">
      <c r="A22" s="116">
        <v>190</v>
      </c>
      <c r="B22" s="10" t="s">
        <v>901</v>
      </c>
      <c r="C22" s="10"/>
      <c r="D22" s="10">
        <v>257294</v>
      </c>
      <c r="E22" s="10"/>
      <c r="F22" s="10" t="s">
        <v>902</v>
      </c>
      <c r="G22" s="94">
        <f t="shared" si="0"/>
        <v>0</v>
      </c>
      <c r="H22" s="85"/>
      <c r="I22" s="10">
        <f t="shared" si="1"/>
        <v>0</v>
      </c>
      <c r="J22" s="6"/>
      <c r="K22" s="6"/>
    </row>
    <row r="23" spans="1:11" x14ac:dyDescent="0.2">
      <c r="A23" s="116">
        <v>190</v>
      </c>
      <c r="B23" s="10" t="s">
        <v>903</v>
      </c>
      <c r="C23" s="10"/>
      <c r="D23" s="10">
        <v>10665748</v>
      </c>
      <c r="E23" s="10"/>
      <c r="F23" s="10" t="s">
        <v>226</v>
      </c>
      <c r="G23" s="94">
        <f t="shared" si="0"/>
        <v>7.8086404382281052E-2</v>
      </c>
      <c r="H23" s="85"/>
      <c r="I23" s="10">
        <f t="shared" si="1"/>
        <v>832849.91136750532</v>
      </c>
      <c r="J23" s="6"/>
      <c r="K23" s="6"/>
    </row>
    <row r="24" spans="1:11" x14ac:dyDescent="0.2">
      <c r="A24" s="116">
        <v>190</v>
      </c>
      <c r="B24" s="10" t="s">
        <v>904</v>
      </c>
      <c r="C24" s="10"/>
      <c r="D24" s="10">
        <v>211506</v>
      </c>
      <c r="E24" s="10"/>
      <c r="F24" s="10" t="s">
        <v>227</v>
      </c>
      <c r="G24" s="94">
        <f t="shared" si="0"/>
        <v>0</v>
      </c>
      <c r="H24" s="85"/>
      <c r="I24" s="10">
        <f t="shared" si="1"/>
        <v>0</v>
      </c>
      <c r="J24" s="6"/>
      <c r="K24" s="6"/>
    </row>
    <row r="25" spans="1:11" x14ac:dyDescent="0.2">
      <c r="A25" s="116">
        <v>190</v>
      </c>
      <c r="B25" s="10" t="s">
        <v>905</v>
      </c>
      <c r="C25" s="10"/>
      <c r="D25" s="10">
        <v>1592702</v>
      </c>
      <c r="E25" s="10"/>
      <c r="F25" s="10" t="s">
        <v>225</v>
      </c>
      <c r="G25" s="94">
        <f t="shared" si="0"/>
        <v>0</v>
      </c>
      <c r="H25" s="85"/>
      <c r="I25" s="10">
        <f t="shared" si="1"/>
        <v>0</v>
      </c>
      <c r="J25" s="6"/>
    </row>
    <row r="26" spans="1:11" x14ac:dyDescent="0.2">
      <c r="A26" s="116">
        <v>190</v>
      </c>
      <c r="B26" s="10" t="s">
        <v>906</v>
      </c>
      <c r="C26" s="10"/>
      <c r="D26" s="10">
        <v>35500042</v>
      </c>
      <c r="E26" s="10"/>
      <c r="F26" s="10" t="s">
        <v>225</v>
      </c>
      <c r="G26" s="94">
        <f t="shared" si="0"/>
        <v>0</v>
      </c>
      <c r="H26" s="85"/>
      <c r="I26" s="10">
        <f t="shared" si="1"/>
        <v>0</v>
      </c>
      <c r="J26" s="6"/>
      <c r="K26" s="6"/>
    </row>
    <row r="27" spans="1:11" x14ac:dyDescent="0.2">
      <c r="A27" s="116">
        <v>190</v>
      </c>
      <c r="B27" s="10" t="s">
        <v>907</v>
      </c>
      <c r="C27" s="10"/>
      <c r="D27" s="10">
        <v>14118191</v>
      </c>
      <c r="E27" s="10"/>
      <c r="F27" s="10" t="s">
        <v>226</v>
      </c>
      <c r="G27" s="94">
        <f t="shared" si="0"/>
        <v>7.8086404382281052E-2</v>
      </c>
      <c r="H27" s="85"/>
      <c r="I27" s="10">
        <f t="shared" si="1"/>
        <v>1102438.7715722809</v>
      </c>
      <c r="J27" s="6"/>
      <c r="K27" s="6"/>
    </row>
    <row r="28" spans="1:11" x14ac:dyDescent="0.2">
      <c r="A28" s="116">
        <v>190</v>
      </c>
      <c r="B28" s="10" t="s">
        <v>908</v>
      </c>
      <c r="C28" s="10"/>
      <c r="D28" s="10">
        <v>11316278</v>
      </c>
      <c r="E28" s="10"/>
      <c r="F28" s="10" t="s">
        <v>229</v>
      </c>
      <c r="G28" s="94">
        <f t="shared" si="0"/>
        <v>0</v>
      </c>
      <c r="H28" s="85"/>
      <c r="I28" s="10">
        <f t="shared" si="1"/>
        <v>0</v>
      </c>
      <c r="J28" s="6"/>
      <c r="K28" s="6"/>
    </row>
    <row r="29" spans="1:11" x14ac:dyDescent="0.2">
      <c r="A29" s="116">
        <v>190</v>
      </c>
      <c r="B29" s="10" t="s">
        <v>909</v>
      </c>
      <c r="C29" s="10"/>
      <c r="D29" s="10">
        <v>32576428</v>
      </c>
      <c r="E29" s="10"/>
      <c r="F29" s="10" t="s">
        <v>37</v>
      </c>
      <c r="G29" s="94">
        <f t="shared" si="0"/>
        <v>0.19710219182042119</v>
      </c>
      <c r="H29" s="85"/>
      <c r="I29" s="10">
        <f t="shared" si="1"/>
        <v>6420885.36048014</v>
      </c>
      <c r="J29" s="6"/>
      <c r="K29" s="6"/>
    </row>
    <row r="30" spans="1:11" x14ac:dyDescent="0.2">
      <c r="A30" s="116">
        <v>190</v>
      </c>
      <c r="B30" s="10" t="s">
        <v>910</v>
      </c>
      <c r="C30" s="10"/>
      <c r="D30" s="10">
        <v>40872</v>
      </c>
      <c r="E30" s="10"/>
      <c r="F30" s="10" t="s">
        <v>37</v>
      </c>
      <c r="G30" s="94">
        <f t="shared" si="0"/>
        <v>0.19710219182042119</v>
      </c>
      <c r="H30" s="85"/>
      <c r="I30" s="10">
        <f t="shared" si="1"/>
        <v>8055.9607840842546</v>
      </c>
      <c r="J30" s="6"/>
      <c r="K30" s="6"/>
    </row>
    <row r="31" spans="1:11" x14ac:dyDescent="0.2">
      <c r="A31" s="116">
        <v>190</v>
      </c>
      <c r="B31" s="10" t="s">
        <v>911</v>
      </c>
      <c r="C31" s="10"/>
      <c r="D31" s="10">
        <v>332853787</v>
      </c>
      <c r="E31" s="10"/>
      <c r="F31" s="10" t="s">
        <v>37</v>
      </c>
      <c r="G31" s="94">
        <f t="shared" si="0"/>
        <v>0.19710219182042119</v>
      </c>
      <c r="H31" s="85"/>
      <c r="I31" s="10">
        <f t="shared" si="1"/>
        <v>65606210.973427616</v>
      </c>
      <c r="J31" s="6"/>
      <c r="K31" s="6"/>
    </row>
    <row r="32" spans="1:11" x14ac:dyDescent="0.2">
      <c r="A32" s="116">
        <v>190</v>
      </c>
      <c r="B32" s="10" t="s">
        <v>912</v>
      </c>
      <c r="C32" s="10"/>
      <c r="D32" s="10">
        <v>3303105</v>
      </c>
      <c r="E32" s="10"/>
      <c r="F32" s="10" t="s">
        <v>229</v>
      </c>
      <c r="G32" s="94">
        <f t="shared" si="0"/>
        <v>0</v>
      </c>
      <c r="H32" s="85"/>
      <c r="I32" s="10">
        <f t="shared" si="1"/>
        <v>0</v>
      </c>
      <c r="J32" s="6"/>
      <c r="K32" s="6"/>
    </row>
    <row r="33" spans="1:11" x14ac:dyDescent="0.2">
      <c r="A33" s="116">
        <v>190</v>
      </c>
      <c r="B33" s="10" t="s">
        <v>913</v>
      </c>
      <c r="C33" s="10"/>
      <c r="D33" s="10">
        <v>101986785</v>
      </c>
      <c r="E33" s="10"/>
      <c r="F33" s="10" t="s">
        <v>227</v>
      </c>
      <c r="G33" s="94">
        <f t="shared" si="0"/>
        <v>0</v>
      </c>
      <c r="H33" s="85"/>
      <c r="I33" s="10">
        <f t="shared" si="1"/>
        <v>0</v>
      </c>
      <c r="J33" s="6"/>
      <c r="K33" s="6"/>
    </row>
    <row r="34" spans="1:11" x14ac:dyDescent="0.2">
      <c r="A34" s="116">
        <v>190</v>
      </c>
      <c r="B34" s="10" t="s">
        <v>914</v>
      </c>
      <c r="C34" s="10"/>
      <c r="D34" s="10">
        <v>44838676</v>
      </c>
      <c r="E34" s="10"/>
      <c r="F34" s="10" t="s">
        <v>225</v>
      </c>
      <c r="G34" s="94">
        <f t="shared" si="0"/>
        <v>0</v>
      </c>
      <c r="H34" s="85"/>
      <c r="I34" s="10">
        <f t="shared" si="1"/>
        <v>0</v>
      </c>
      <c r="J34" s="6"/>
      <c r="K34" s="6"/>
    </row>
    <row r="35" spans="1:11" x14ac:dyDescent="0.2">
      <c r="A35" s="116">
        <v>190</v>
      </c>
      <c r="B35" s="10" t="s">
        <v>915</v>
      </c>
      <c r="C35" s="10"/>
      <c r="D35" s="10">
        <v>6935345</v>
      </c>
      <c r="E35" s="10"/>
      <c r="F35" s="10" t="s">
        <v>226</v>
      </c>
      <c r="G35" s="94">
        <f t="shared" si="0"/>
        <v>7.8086404382281052E-2</v>
      </c>
      <c r="H35" s="85"/>
      <c r="I35" s="10">
        <f t="shared" si="1"/>
        <v>541556.15420063096</v>
      </c>
      <c r="J35" s="6"/>
      <c r="K35" s="6"/>
    </row>
    <row r="36" spans="1:11" x14ac:dyDescent="0.2">
      <c r="A36" s="116">
        <v>190</v>
      </c>
      <c r="B36" s="10" t="s">
        <v>916</v>
      </c>
      <c r="C36" s="10"/>
      <c r="D36" s="10">
        <v>394661</v>
      </c>
      <c r="E36" s="10"/>
      <c r="F36" s="10" t="s">
        <v>226</v>
      </c>
      <c r="G36" s="94">
        <f t="shared" si="0"/>
        <v>7.8086404382281052E-2</v>
      </c>
      <c r="H36" s="85"/>
      <c r="I36" s="10">
        <f t="shared" si="1"/>
        <v>30817.658439915424</v>
      </c>
      <c r="J36" s="6"/>
      <c r="K36" s="6"/>
    </row>
    <row r="37" spans="1:11" x14ac:dyDescent="0.2">
      <c r="A37" s="116">
        <v>190</v>
      </c>
      <c r="B37" s="10" t="s">
        <v>917</v>
      </c>
      <c r="C37" s="10"/>
      <c r="D37" s="10">
        <v>15131038</v>
      </c>
      <c r="E37" s="10"/>
      <c r="F37" s="10" t="s">
        <v>226</v>
      </c>
      <c r="G37" s="94">
        <f t="shared" si="0"/>
        <v>7.8086404382281052E-2</v>
      </c>
      <c r="H37" s="85"/>
      <c r="I37" s="10">
        <f t="shared" si="1"/>
        <v>1181528.3519916611</v>
      </c>
      <c r="J37" s="6"/>
      <c r="K37" s="6"/>
    </row>
    <row r="38" spans="1:11" x14ac:dyDescent="0.2">
      <c r="A38" s="116">
        <v>190</v>
      </c>
      <c r="B38" s="10" t="s">
        <v>918</v>
      </c>
      <c r="C38" s="10"/>
      <c r="D38" s="10">
        <v>1711389</v>
      </c>
      <c r="E38" s="10"/>
      <c r="F38" s="10" t="s">
        <v>226</v>
      </c>
      <c r="G38" s="94">
        <f t="shared" si="0"/>
        <v>7.8086404382281052E-2</v>
      </c>
      <c r="H38" s="85"/>
      <c r="I38" s="10">
        <f t="shared" si="1"/>
        <v>133636.2135093876</v>
      </c>
      <c r="J38" s="6"/>
      <c r="K38" s="6"/>
    </row>
    <row r="39" spans="1:11" x14ac:dyDescent="0.2">
      <c r="A39" s="116">
        <v>190</v>
      </c>
      <c r="B39" s="10" t="s">
        <v>919</v>
      </c>
      <c r="C39" s="10"/>
      <c r="D39" s="10">
        <v>0</v>
      </c>
      <c r="E39" s="10"/>
      <c r="F39" s="10" t="s">
        <v>226</v>
      </c>
      <c r="G39" s="94">
        <f t="shared" si="0"/>
        <v>7.8086404382281052E-2</v>
      </c>
      <c r="H39" s="85"/>
      <c r="I39" s="10">
        <f t="shared" si="1"/>
        <v>0</v>
      </c>
      <c r="J39" s="6"/>
      <c r="K39" s="6"/>
    </row>
    <row r="40" spans="1:11" x14ac:dyDescent="0.2">
      <c r="A40" s="116">
        <v>190</v>
      </c>
      <c r="B40" s="10" t="s">
        <v>920</v>
      </c>
      <c r="C40" s="10"/>
      <c r="D40" s="10">
        <v>7483099</v>
      </c>
      <c r="E40" s="10"/>
      <c r="F40" s="10" t="s">
        <v>37</v>
      </c>
      <c r="G40" s="94">
        <f t="shared" si="0"/>
        <v>0.19710219182042119</v>
      </c>
      <c r="H40" s="85"/>
      <c r="I40" s="10">
        <f t="shared" si="1"/>
        <v>1474935.2145092019</v>
      </c>
      <c r="J40" s="6"/>
    </row>
    <row r="41" spans="1:11" x14ac:dyDescent="0.2">
      <c r="A41" s="116">
        <v>190</v>
      </c>
      <c r="B41" s="10" t="s">
        <v>921</v>
      </c>
      <c r="C41" s="10"/>
      <c r="D41" s="10">
        <v>34293</v>
      </c>
      <c r="E41" s="10"/>
      <c r="F41" s="10" t="s">
        <v>226</v>
      </c>
      <c r="G41" s="94">
        <f t="shared" si="0"/>
        <v>7.8086404382281052E-2</v>
      </c>
      <c r="H41" s="85"/>
      <c r="I41" s="10">
        <f t="shared" si="1"/>
        <v>2677.817065481564</v>
      </c>
      <c r="J41" s="6"/>
    </row>
    <row r="42" spans="1:11" x14ac:dyDescent="0.2">
      <c r="A42" s="116">
        <v>190</v>
      </c>
      <c r="B42" s="10" t="s">
        <v>922</v>
      </c>
      <c r="C42" s="10"/>
      <c r="D42" s="10">
        <v>613032</v>
      </c>
      <c r="E42" s="10"/>
      <c r="F42" s="10" t="s">
        <v>229</v>
      </c>
      <c r="G42" s="94">
        <f t="shared" si="0"/>
        <v>0</v>
      </c>
      <c r="H42" s="85"/>
      <c r="I42" s="10">
        <f t="shared" si="1"/>
        <v>0</v>
      </c>
      <c r="J42" s="6"/>
    </row>
    <row r="43" spans="1:11" x14ac:dyDescent="0.2">
      <c r="A43" s="116">
        <v>190</v>
      </c>
      <c r="B43" s="10" t="s">
        <v>923</v>
      </c>
      <c r="C43" s="10"/>
      <c r="D43" s="10">
        <v>116371985</v>
      </c>
      <c r="E43" s="10"/>
      <c r="F43" s="10" t="s">
        <v>227</v>
      </c>
      <c r="G43" s="94">
        <f t="shared" si="0"/>
        <v>0</v>
      </c>
      <c r="H43" s="85"/>
      <c r="I43" s="10">
        <f t="shared" si="1"/>
        <v>0</v>
      </c>
      <c r="J43" s="6"/>
    </row>
    <row r="44" spans="1:11" x14ac:dyDescent="0.2">
      <c r="A44" s="116">
        <v>190</v>
      </c>
      <c r="B44" s="10" t="s">
        <v>924</v>
      </c>
      <c r="C44" s="10"/>
      <c r="D44" s="10">
        <v>0</v>
      </c>
      <c r="E44" s="10"/>
      <c r="F44" s="10" t="s">
        <v>227</v>
      </c>
      <c r="G44" s="94">
        <f t="shared" ref="G44:G69" si="2">VLOOKUP(F44,ALLOCATORS,2,FALSE)</f>
        <v>0</v>
      </c>
      <c r="H44" s="85"/>
      <c r="I44" s="10">
        <f t="shared" si="1"/>
        <v>0</v>
      </c>
      <c r="J44" s="6"/>
    </row>
    <row r="45" spans="1:11" x14ac:dyDescent="0.2">
      <c r="A45" s="116">
        <v>190</v>
      </c>
      <c r="B45" s="10" t="s">
        <v>925</v>
      </c>
      <c r="C45" s="10"/>
      <c r="D45" s="10">
        <v>5135937</v>
      </c>
      <c r="E45" s="10"/>
      <c r="F45" s="10" t="s">
        <v>229</v>
      </c>
      <c r="G45" s="94">
        <f t="shared" si="2"/>
        <v>0</v>
      </c>
      <c r="H45" s="85"/>
      <c r="I45" s="10">
        <f t="shared" si="1"/>
        <v>0</v>
      </c>
      <c r="J45" s="6"/>
    </row>
    <row r="46" spans="1:11" x14ac:dyDescent="0.2">
      <c r="A46" s="116">
        <v>190</v>
      </c>
      <c r="B46" s="10" t="s">
        <v>926</v>
      </c>
      <c r="C46" s="10"/>
      <c r="D46" s="10">
        <v>668315</v>
      </c>
      <c r="E46" s="10"/>
      <c r="F46" s="10" t="s">
        <v>37</v>
      </c>
      <c r="G46" s="94">
        <f t="shared" si="2"/>
        <v>0.19710219182042119</v>
      </c>
      <c r="H46" s="85"/>
      <c r="I46" s="10">
        <f t="shared" si="1"/>
        <v>131726.35132646479</v>
      </c>
      <c r="J46" s="6"/>
    </row>
    <row r="47" spans="1:11" x14ac:dyDescent="0.2">
      <c r="A47" s="116">
        <v>190</v>
      </c>
      <c r="B47" s="10" t="s">
        <v>927</v>
      </c>
      <c r="C47" s="10"/>
      <c r="D47" s="10">
        <v>856343</v>
      </c>
      <c r="E47" s="10"/>
      <c r="F47" s="10" t="s">
        <v>37</v>
      </c>
      <c r="G47" s="94">
        <f t="shared" si="2"/>
        <v>0.19710219182042119</v>
      </c>
      <c r="H47" s="85"/>
      <c r="I47" s="10">
        <f t="shared" si="1"/>
        <v>168787.08225007495</v>
      </c>
      <c r="J47" s="6"/>
    </row>
    <row r="48" spans="1:11" x14ac:dyDescent="0.2">
      <c r="A48" s="116">
        <v>190</v>
      </c>
      <c r="B48" s="10" t="s">
        <v>928</v>
      </c>
      <c r="C48" s="10"/>
      <c r="D48" s="10">
        <v>476657</v>
      </c>
      <c r="E48" s="10"/>
      <c r="F48" s="10" t="s">
        <v>37</v>
      </c>
      <c r="G48" s="94">
        <f t="shared" si="2"/>
        <v>0.19710219182042119</v>
      </c>
      <c r="H48" s="85"/>
      <c r="I48" s="10">
        <f t="shared" si="1"/>
        <v>93950.139446546498</v>
      </c>
      <c r="J48" s="6"/>
    </row>
    <row r="49" spans="1:10" x14ac:dyDescent="0.2">
      <c r="A49" s="116">
        <v>190</v>
      </c>
      <c r="B49" s="10" t="s">
        <v>929</v>
      </c>
      <c r="C49" s="10"/>
      <c r="D49" s="10">
        <v>-25398562</v>
      </c>
      <c r="E49" s="10"/>
      <c r="F49" s="10" t="s">
        <v>226</v>
      </c>
      <c r="G49" s="94">
        <f t="shared" si="2"/>
        <v>7.8086404382281052E-2</v>
      </c>
      <c r="H49" s="85"/>
      <c r="I49" s="10">
        <f t="shared" si="1"/>
        <v>-1983282.3830604369</v>
      </c>
      <c r="J49" s="6"/>
    </row>
    <row r="50" spans="1:10" x14ac:dyDescent="0.2">
      <c r="A50" s="116">
        <v>190</v>
      </c>
      <c r="B50" s="10" t="s">
        <v>930</v>
      </c>
      <c r="C50" s="10"/>
      <c r="D50" s="10">
        <v>11854121</v>
      </c>
      <c r="E50" s="10"/>
      <c r="F50" s="10" t="s">
        <v>225</v>
      </c>
      <c r="G50" s="94">
        <f t="shared" si="2"/>
        <v>0</v>
      </c>
      <c r="H50" s="85"/>
      <c r="I50" s="10">
        <f t="shared" si="1"/>
        <v>0</v>
      </c>
      <c r="J50" s="6"/>
    </row>
    <row r="51" spans="1:10" x14ac:dyDescent="0.2">
      <c r="A51" s="116">
        <v>190</v>
      </c>
      <c r="B51" s="10" t="s">
        <v>931</v>
      </c>
      <c r="C51" s="10"/>
      <c r="D51" s="10">
        <v>1127294</v>
      </c>
      <c r="E51" s="10"/>
      <c r="F51" s="10" t="s">
        <v>227</v>
      </c>
      <c r="G51" s="94">
        <f t="shared" si="2"/>
        <v>0</v>
      </c>
      <c r="H51" s="85"/>
      <c r="I51" s="10">
        <f t="shared" si="1"/>
        <v>0</v>
      </c>
      <c r="J51" s="6"/>
    </row>
    <row r="52" spans="1:10" x14ac:dyDescent="0.2">
      <c r="A52" s="116">
        <v>190</v>
      </c>
      <c r="B52" s="10" t="s">
        <v>932</v>
      </c>
      <c r="C52" s="10"/>
      <c r="D52" s="10">
        <v>45084696</v>
      </c>
      <c r="E52" s="10"/>
      <c r="F52" s="10" t="s">
        <v>227</v>
      </c>
      <c r="G52" s="94">
        <f t="shared" si="2"/>
        <v>0</v>
      </c>
      <c r="H52" s="85"/>
      <c r="I52" s="10">
        <f t="shared" si="1"/>
        <v>0</v>
      </c>
      <c r="J52" s="6"/>
    </row>
    <row r="53" spans="1:10" x14ac:dyDescent="0.2">
      <c r="A53" s="116">
        <v>190</v>
      </c>
      <c r="B53" s="10" t="s">
        <v>933</v>
      </c>
      <c r="C53" s="10"/>
      <c r="D53" s="10">
        <v>2647837</v>
      </c>
      <c r="E53" s="10"/>
      <c r="F53" s="10" t="s">
        <v>226</v>
      </c>
      <c r="G53" s="94">
        <f t="shared" si="2"/>
        <v>7.8086404382281052E-2</v>
      </c>
      <c r="H53" s="85"/>
      <c r="I53" s="10">
        <f t="shared" si="1"/>
        <v>206760.07072036591</v>
      </c>
      <c r="J53" s="6"/>
    </row>
    <row r="54" spans="1:10" x14ac:dyDescent="0.2">
      <c r="A54" s="116">
        <v>190</v>
      </c>
      <c r="B54" s="10" t="s">
        <v>934</v>
      </c>
      <c r="C54" s="10"/>
      <c r="D54" s="10">
        <v>-764798</v>
      </c>
      <c r="E54" s="10"/>
      <c r="F54" s="10" t="s">
        <v>226</v>
      </c>
      <c r="G54" s="94">
        <f t="shared" si="2"/>
        <v>7.8086404382281052E-2</v>
      </c>
      <c r="H54" s="85"/>
      <c r="I54" s="10">
        <f t="shared" si="1"/>
        <v>-59720.325898759787</v>
      </c>
      <c r="J54" s="6"/>
    </row>
    <row r="55" spans="1:10" x14ac:dyDescent="0.2">
      <c r="A55" s="116">
        <v>190</v>
      </c>
      <c r="B55" s="10" t="s">
        <v>695</v>
      </c>
      <c r="C55" s="10"/>
      <c r="D55" s="10">
        <v>35</v>
      </c>
      <c r="E55" s="10"/>
      <c r="F55" s="10" t="s">
        <v>226</v>
      </c>
      <c r="G55" s="94">
        <f t="shared" si="2"/>
        <v>7.8086404382281052E-2</v>
      </c>
      <c r="H55" s="85"/>
      <c r="I55" s="10">
        <f t="shared" si="1"/>
        <v>2.7330241533798367</v>
      </c>
      <c r="J55" s="6"/>
    </row>
    <row r="56" spans="1:10" x14ac:dyDescent="0.2">
      <c r="A56" s="116">
        <v>190</v>
      </c>
      <c r="B56" s="10" t="s">
        <v>696</v>
      </c>
      <c r="C56" s="10"/>
      <c r="D56" s="10">
        <v>0</v>
      </c>
      <c r="E56" s="10"/>
      <c r="F56" s="10" t="s">
        <v>226</v>
      </c>
      <c r="G56" s="94">
        <f t="shared" si="2"/>
        <v>7.8086404382281052E-2</v>
      </c>
      <c r="H56" s="85"/>
      <c r="I56" s="10">
        <f t="shared" si="1"/>
        <v>0</v>
      </c>
      <c r="J56" s="6"/>
    </row>
    <row r="57" spans="1:10" x14ac:dyDescent="0.2">
      <c r="A57" s="116">
        <v>190</v>
      </c>
      <c r="B57" s="10" t="s">
        <v>935</v>
      </c>
      <c r="C57" s="10"/>
      <c r="D57" s="10">
        <v>22784</v>
      </c>
      <c r="E57" s="10"/>
      <c r="F57" s="10" t="s">
        <v>226</v>
      </c>
      <c r="G57" s="94">
        <f t="shared" si="2"/>
        <v>7.8086404382281052E-2</v>
      </c>
      <c r="H57" s="85"/>
      <c r="I57" s="10">
        <f t="shared" si="1"/>
        <v>1779.1206374458916</v>
      </c>
      <c r="J57" s="6"/>
    </row>
    <row r="58" spans="1:10" x14ac:dyDescent="0.2">
      <c r="A58" s="116">
        <v>190</v>
      </c>
      <c r="B58" s="10" t="s">
        <v>936</v>
      </c>
      <c r="C58" s="10"/>
      <c r="D58" s="10">
        <v>920887</v>
      </c>
      <c r="E58" s="10"/>
      <c r="F58" s="10" t="s">
        <v>226</v>
      </c>
      <c r="G58" s="94">
        <f t="shared" si="2"/>
        <v>7.8086404382281052E-2</v>
      </c>
      <c r="H58" s="85"/>
      <c r="I58" s="10">
        <f t="shared" si="1"/>
        <v>71908.75467238565</v>
      </c>
      <c r="J58" s="6"/>
    </row>
    <row r="59" spans="1:10" x14ac:dyDescent="0.2">
      <c r="A59" s="116">
        <v>190</v>
      </c>
      <c r="B59" s="10" t="s">
        <v>937</v>
      </c>
      <c r="C59" s="10"/>
      <c r="D59" s="10">
        <v>27011990</v>
      </c>
      <c r="E59" s="10"/>
      <c r="F59" s="10" t="s">
        <v>226</v>
      </c>
      <c r="G59" s="94">
        <f t="shared" si="2"/>
        <v>7.8086404382281052E-2</v>
      </c>
      <c r="H59" s="85"/>
      <c r="I59" s="10">
        <f t="shared" si="1"/>
        <v>2109269.1743101319</v>
      </c>
      <c r="J59" s="6"/>
    </row>
    <row r="60" spans="1:10" x14ac:dyDescent="0.2">
      <c r="A60" s="116">
        <v>190</v>
      </c>
      <c r="B60" s="10" t="s">
        <v>938</v>
      </c>
      <c r="C60" s="10"/>
      <c r="D60" s="10">
        <v>82735148</v>
      </c>
      <c r="E60" s="10"/>
      <c r="F60" s="10" t="s">
        <v>226</v>
      </c>
      <c r="G60" s="94">
        <f t="shared" si="2"/>
        <v>7.8086404382281052E-2</v>
      </c>
      <c r="H60" s="85"/>
      <c r="I60" s="10">
        <f t="shared" si="1"/>
        <v>6460490.2233558716</v>
      </c>
      <c r="J60" s="6"/>
    </row>
    <row r="61" spans="1:10" x14ac:dyDescent="0.2">
      <c r="A61" s="116">
        <v>190</v>
      </c>
      <c r="B61" s="10" t="s">
        <v>939</v>
      </c>
      <c r="C61" s="10"/>
      <c r="D61" s="10">
        <v>-12475242</v>
      </c>
      <c r="E61" s="10"/>
      <c r="F61" s="10" t="s">
        <v>226</v>
      </c>
      <c r="G61" s="94">
        <f t="shared" si="2"/>
        <v>7.8086404382281052E-2</v>
      </c>
      <c r="H61" s="85"/>
      <c r="I61" s="10">
        <f t="shared" si="1"/>
        <v>-974146.7915788166</v>
      </c>
      <c r="J61" s="6"/>
    </row>
    <row r="62" spans="1:10" x14ac:dyDescent="0.2">
      <c r="A62" s="116">
        <v>190</v>
      </c>
      <c r="B62" s="10" t="s">
        <v>940</v>
      </c>
      <c r="C62" s="10"/>
      <c r="D62" s="10">
        <v>9267276</v>
      </c>
      <c r="E62" s="10"/>
      <c r="F62" s="10" t="s">
        <v>226</v>
      </c>
      <c r="G62" s="94">
        <f t="shared" si="2"/>
        <v>7.8086404382281052E-2</v>
      </c>
      <c r="H62" s="85"/>
      <c r="I62" s="10">
        <f t="shared" si="1"/>
        <v>723648.26125820808</v>
      </c>
      <c r="J62" s="6"/>
    </row>
    <row r="63" spans="1:10" x14ac:dyDescent="0.2">
      <c r="A63" s="116">
        <v>190</v>
      </c>
      <c r="B63" s="10" t="s">
        <v>941</v>
      </c>
      <c r="C63" s="10"/>
      <c r="D63" s="10">
        <v>154566581</v>
      </c>
      <c r="E63" s="10"/>
      <c r="F63" s="10" t="s">
        <v>227</v>
      </c>
      <c r="G63" s="94">
        <f t="shared" si="2"/>
        <v>0</v>
      </c>
      <c r="H63" s="85"/>
      <c r="I63" s="10">
        <f t="shared" si="1"/>
        <v>0</v>
      </c>
      <c r="J63" s="6"/>
    </row>
    <row r="64" spans="1:10" x14ac:dyDescent="0.2">
      <c r="A64" s="116">
        <v>190</v>
      </c>
      <c r="B64" s="10" t="s">
        <v>942</v>
      </c>
      <c r="C64" s="10"/>
      <c r="D64" s="10">
        <v>12557</v>
      </c>
      <c r="E64" s="10"/>
      <c r="F64" s="10" t="s">
        <v>229</v>
      </c>
      <c r="G64" s="94">
        <f t="shared" si="2"/>
        <v>0</v>
      </c>
      <c r="H64" s="85"/>
      <c r="I64" s="10">
        <f t="shared" si="1"/>
        <v>0</v>
      </c>
      <c r="J64" s="6"/>
    </row>
    <row r="65" spans="1:10" x14ac:dyDescent="0.2">
      <c r="A65" s="116">
        <v>190</v>
      </c>
      <c r="B65" s="10" t="s">
        <v>943</v>
      </c>
      <c r="C65" s="10"/>
      <c r="D65" s="10">
        <v>3328193</v>
      </c>
      <c r="E65" s="10"/>
      <c r="F65" s="10" t="s">
        <v>51</v>
      </c>
      <c r="G65" s="94">
        <f t="shared" si="2"/>
        <v>0.93711905393061146</v>
      </c>
      <c r="H65" s="85"/>
      <c r="I65" s="10">
        <f t="shared" si="1"/>
        <v>3118913.0754584833</v>
      </c>
      <c r="J65" s="6"/>
    </row>
    <row r="66" spans="1:10" x14ac:dyDescent="0.2">
      <c r="A66" s="116">
        <v>190</v>
      </c>
      <c r="B66" s="10" t="s">
        <v>944</v>
      </c>
      <c r="C66" s="10"/>
      <c r="D66" s="10">
        <v>40496875</v>
      </c>
      <c r="E66" s="10"/>
      <c r="F66" s="10" t="s">
        <v>227</v>
      </c>
      <c r="G66" s="94">
        <f t="shared" si="2"/>
        <v>0</v>
      </c>
      <c r="H66" s="85"/>
      <c r="I66" s="10">
        <f t="shared" si="1"/>
        <v>0</v>
      </c>
      <c r="J66" s="6"/>
    </row>
    <row r="67" spans="1:10" x14ac:dyDescent="0.2">
      <c r="A67" s="116">
        <v>190</v>
      </c>
      <c r="B67" s="10" t="s">
        <v>945</v>
      </c>
      <c r="C67" s="10"/>
      <c r="D67" s="10">
        <v>-15406047</v>
      </c>
      <c r="E67" s="10"/>
      <c r="F67" s="10" t="s">
        <v>226</v>
      </c>
      <c r="G67" s="94">
        <f t="shared" si="2"/>
        <v>7.8086404382281052E-2</v>
      </c>
      <c r="H67" s="85"/>
      <c r="I67" s="10">
        <f t="shared" si="1"/>
        <v>-1203002.8159744279</v>
      </c>
      <c r="J67" s="6"/>
    </row>
    <row r="68" spans="1:10" x14ac:dyDescent="0.2">
      <c r="A68" s="116">
        <v>190</v>
      </c>
      <c r="B68" s="10" t="s">
        <v>946</v>
      </c>
      <c r="C68" s="10"/>
      <c r="D68" s="10">
        <v>-368940</v>
      </c>
      <c r="E68" s="10"/>
      <c r="F68" s="10" t="s">
        <v>227</v>
      </c>
      <c r="G68" s="94">
        <f t="shared" si="2"/>
        <v>0</v>
      </c>
      <c r="H68" s="85"/>
      <c r="I68" s="10">
        <f t="shared" si="1"/>
        <v>0</v>
      </c>
      <c r="J68" s="6"/>
    </row>
    <row r="69" spans="1:10" x14ac:dyDescent="0.2">
      <c r="A69" s="116">
        <v>190</v>
      </c>
      <c r="B69" s="10" t="s">
        <v>947</v>
      </c>
      <c r="C69" s="10"/>
      <c r="D69" s="10">
        <v>5437</v>
      </c>
      <c r="E69" s="10"/>
      <c r="F69" s="10" t="s">
        <v>37</v>
      </c>
      <c r="G69" s="94">
        <f t="shared" si="2"/>
        <v>0.19710219182042119</v>
      </c>
      <c r="H69" s="85"/>
      <c r="I69" s="10">
        <f t="shared" si="1"/>
        <v>1071.6446169276301</v>
      </c>
      <c r="J69" s="6"/>
    </row>
    <row r="70" spans="1:10" hidden="1" x14ac:dyDescent="0.2">
      <c r="A70" s="116"/>
      <c r="B70" s="10"/>
      <c r="C70" s="10"/>
      <c r="D70" s="10"/>
      <c r="E70" s="10"/>
      <c r="F70" s="10"/>
      <c r="G70" s="94"/>
      <c r="H70" s="85"/>
      <c r="I70" s="10"/>
      <c r="J70" s="6"/>
    </row>
    <row r="71" spans="1:10" hidden="1" x14ac:dyDescent="0.2">
      <c r="A71" s="116"/>
      <c r="B71" s="10"/>
      <c r="C71" s="10"/>
      <c r="D71" s="10"/>
      <c r="E71" s="10"/>
      <c r="F71" s="10"/>
      <c r="G71" s="94"/>
      <c r="H71" s="85"/>
      <c r="I71" s="10"/>
      <c r="J71" s="6"/>
    </row>
    <row r="72" spans="1:10" hidden="1" x14ac:dyDescent="0.2">
      <c r="A72" s="116"/>
      <c r="B72" s="10"/>
      <c r="C72" s="10"/>
      <c r="D72" s="10"/>
      <c r="E72" s="10"/>
      <c r="F72" s="10"/>
      <c r="G72" s="94"/>
      <c r="H72" s="85"/>
      <c r="I72" s="10"/>
      <c r="J72" s="6"/>
    </row>
    <row r="73" spans="1:10" hidden="1" x14ac:dyDescent="0.2">
      <c r="A73" s="116"/>
      <c r="B73" s="10"/>
      <c r="C73" s="10"/>
      <c r="D73" s="10"/>
      <c r="E73" s="10"/>
      <c r="F73" s="10"/>
      <c r="G73" s="94"/>
      <c r="H73" s="85"/>
      <c r="I73" s="10"/>
      <c r="J73" s="6"/>
    </row>
    <row r="74" spans="1:10" hidden="1" x14ac:dyDescent="0.2">
      <c r="A74" s="116"/>
      <c r="B74" s="10"/>
      <c r="C74" s="10"/>
      <c r="D74" s="10"/>
      <c r="E74" s="10"/>
      <c r="F74" s="10"/>
      <c r="G74" s="94"/>
      <c r="H74" s="85"/>
      <c r="I74" s="10"/>
      <c r="J74" s="6"/>
    </row>
    <row r="75" spans="1:10" hidden="1" x14ac:dyDescent="0.2">
      <c r="A75" s="116"/>
      <c r="B75" s="10"/>
      <c r="C75" s="10"/>
      <c r="D75" s="10"/>
      <c r="E75" s="10"/>
      <c r="F75" s="10"/>
      <c r="G75" s="94"/>
      <c r="H75" s="85"/>
      <c r="I75" s="10"/>
      <c r="J75" s="6"/>
    </row>
    <row r="76" spans="1:10" hidden="1" x14ac:dyDescent="0.2">
      <c r="A76" s="116"/>
      <c r="B76" s="10"/>
      <c r="C76" s="10"/>
      <c r="D76" s="10"/>
      <c r="E76" s="10"/>
      <c r="F76" s="10"/>
      <c r="G76" s="94"/>
      <c r="H76" s="85"/>
      <c r="I76" s="10"/>
      <c r="J76" s="6"/>
    </row>
    <row r="77" spans="1:10" hidden="1" x14ac:dyDescent="0.2">
      <c r="A77" s="116"/>
      <c r="B77" s="10"/>
      <c r="C77" s="10"/>
      <c r="D77" s="10"/>
      <c r="E77" s="10"/>
      <c r="F77" s="10"/>
      <c r="G77" s="94"/>
      <c r="H77" s="85"/>
      <c r="I77" s="10"/>
      <c r="J77" s="6"/>
    </row>
    <row r="78" spans="1:10" hidden="1" x14ac:dyDescent="0.2">
      <c r="A78" s="116"/>
      <c r="B78" s="10"/>
      <c r="C78" s="10"/>
      <c r="D78" s="10"/>
      <c r="E78" s="10"/>
      <c r="F78" s="10"/>
      <c r="G78" s="94"/>
      <c r="H78" s="85"/>
      <c r="I78" s="10"/>
      <c r="J78" s="6"/>
    </row>
    <row r="79" spans="1:10" hidden="1" x14ac:dyDescent="0.2">
      <c r="A79" s="116"/>
      <c r="B79" s="10"/>
      <c r="C79" s="10"/>
      <c r="D79" s="10"/>
      <c r="E79" s="10"/>
      <c r="F79" s="10"/>
      <c r="G79" s="94"/>
      <c r="H79" s="85"/>
      <c r="I79" s="10"/>
    </row>
    <row r="80" spans="1:10" hidden="1" x14ac:dyDescent="0.2">
      <c r="A80" s="116"/>
      <c r="B80" s="10"/>
      <c r="C80" s="10"/>
      <c r="D80" s="10"/>
      <c r="E80" s="10"/>
      <c r="F80" s="10"/>
      <c r="G80" s="94"/>
      <c r="H80" s="85"/>
      <c r="I80" s="10"/>
    </row>
    <row r="81" spans="1:10" hidden="1" x14ac:dyDescent="0.2">
      <c r="A81" s="116"/>
      <c r="B81" s="10"/>
      <c r="C81" s="10"/>
      <c r="D81" s="10"/>
      <c r="E81" s="10"/>
      <c r="F81" s="10"/>
      <c r="G81" s="94"/>
      <c r="H81" s="85"/>
      <c r="I81" s="10"/>
      <c r="J81" s="6"/>
    </row>
    <row r="82" spans="1:10" hidden="1" x14ac:dyDescent="0.2">
      <c r="A82" s="116"/>
      <c r="B82" s="10"/>
      <c r="C82" s="10"/>
      <c r="D82" s="10"/>
      <c r="E82" s="10"/>
      <c r="F82" s="10"/>
      <c r="G82" s="94"/>
      <c r="H82" s="85"/>
      <c r="I82" s="10"/>
      <c r="J82" s="6"/>
    </row>
    <row r="83" spans="1:10" ht="4.5" customHeight="1" x14ac:dyDescent="0.2">
      <c r="A83" s="34"/>
      <c r="B83" s="6"/>
      <c r="C83" s="6"/>
      <c r="D83" s="6"/>
      <c r="E83" s="6"/>
      <c r="F83" s="72"/>
      <c r="G83" s="14"/>
      <c r="H83" s="6"/>
      <c r="I83" s="6"/>
      <c r="J83" s="6"/>
    </row>
    <row r="84" spans="1:10" ht="13.5" thickBot="1" x14ac:dyDescent="0.25">
      <c r="A84" s="34"/>
      <c r="B84" s="145" t="s">
        <v>808</v>
      </c>
      <c r="C84" s="29"/>
      <c r="D84" s="35">
        <f>SUM(D12:D82)</f>
        <v>1107815236</v>
      </c>
      <c r="E84" s="6"/>
      <c r="F84" s="6"/>
      <c r="G84" s="14"/>
      <c r="H84" s="6"/>
      <c r="I84" s="35">
        <f>SUM(I12:I82)</f>
        <v>87279297.417826951</v>
      </c>
      <c r="J84" s="72"/>
    </row>
    <row r="85" spans="1:10" ht="13.5" thickTop="1" x14ac:dyDescent="0.2">
      <c r="A85" s="34"/>
      <c r="B85" s="6"/>
      <c r="C85" s="6"/>
      <c r="D85" s="6"/>
      <c r="E85" s="6"/>
      <c r="F85" s="6"/>
      <c r="G85" s="14"/>
      <c r="H85" s="6"/>
      <c r="I85" s="6"/>
      <c r="J85" s="6"/>
    </row>
    <row r="86" spans="1:10" x14ac:dyDescent="0.2">
      <c r="E86" s="315" t="s">
        <v>225</v>
      </c>
      <c r="F86" s="188">
        <v>0</v>
      </c>
      <c r="G86" s="14"/>
    </row>
  </sheetData>
  <mergeCells count="4">
    <mergeCell ref="I1:J1"/>
    <mergeCell ref="I3:J3"/>
    <mergeCell ref="A5:I5"/>
    <mergeCell ref="A6:I6"/>
  </mergeCells>
  <printOptions horizontalCentered="1"/>
  <pageMargins left="0.5" right="0.5" top="0.5" bottom="0.5" header="0.5" footer="0.5"/>
  <pageSetup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workbookViewId="0"/>
  </sheetViews>
  <sheetFormatPr defaultRowHeight="12.75" x14ac:dyDescent="0.2"/>
  <cols>
    <col min="1" max="1" width="9.7109375" style="4" customWidth="1"/>
    <col min="2" max="2" width="45.5703125" style="4" customWidth="1"/>
    <col min="3" max="3" width="3.7109375" style="4" customWidth="1"/>
    <col min="4" max="4" width="17.42578125" style="4" customWidth="1"/>
    <col min="5" max="5" width="3.7109375" style="4" customWidth="1"/>
    <col min="6" max="6" width="9.140625" style="4"/>
    <col min="7" max="7" width="10.42578125" style="4" bestFit="1" customWidth="1"/>
    <col min="8" max="8" width="3.7109375" style="4" customWidth="1"/>
    <col min="9" max="9" width="15.5703125" style="4" bestFit="1" customWidth="1"/>
    <col min="10" max="10" width="12.28515625" style="4" bestFit="1" customWidth="1"/>
    <col min="11" max="16384" width="9.140625" style="4"/>
  </cols>
  <sheetData>
    <row r="1" spans="1:10" ht="15" x14ac:dyDescent="0.25">
      <c r="A1" s="6"/>
      <c r="B1" s="6"/>
      <c r="C1" s="6"/>
      <c r="D1" s="6"/>
      <c r="E1" s="6"/>
      <c r="F1" s="6"/>
      <c r="G1" s="6"/>
      <c r="H1" s="6"/>
      <c r="I1" s="246" t="s">
        <v>836</v>
      </c>
      <c r="J1" s="246"/>
    </row>
    <row r="2" spans="1:10" ht="15" x14ac:dyDescent="0.25">
      <c r="A2" s="6"/>
      <c r="B2" s="6"/>
      <c r="C2" s="6"/>
      <c r="D2" s="6"/>
      <c r="E2" s="6"/>
      <c r="F2" s="6"/>
      <c r="G2" s="6"/>
      <c r="H2" s="6"/>
      <c r="I2" s="227" t="s">
        <v>722</v>
      </c>
      <c r="J2" s="227"/>
    </row>
    <row r="3" spans="1:10" x14ac:dyDescent="0.2">
      <c r="A3" s="6"/>
      <c r="B3" s="28"/>
      <c r="C3" s="28"/>
      <c r="D3" s="6"/>
      <c r="E3" s="6"/>
      <c r="F3" s="6"/>
      <c r="G3" s="6"/>
      <c r="H3" s="6"/>
      <c r="I3" s="238" t="str">
        <f>FF1_Year</f>
        <v>Year Ending 12/31/2013</v>
      </c>
      <c r="J3" s="239"/>
    </row>
    <row r="4" spans="1:10" x14ac:dyDescent="0.2">
      <c r="A4" s="6"/>
      <c r="B4" s="28"/>
      <c r="C4" s="28"/>
      <c r="D4" s="6"/>
      <c r="E4" s="6"/>
      <c r="F4" s="6"/>
      <c r="G4" s="6"/>
      <c r="H4" s="6"/>
      <c r="I4" s="221"/>
      <c r="J4" s="221"/>
    </row>
    <row r="5" spans="1:10" x14ac:dyDescent="0.2">
      <c r="A5" s="248" t="s">
        <v>850</v>
      </c>
      <c r="B5" s="316"/>
      <c r="C5" s="316"/>
      <c r="D5" s="316"/>
      <c r="E5" s="316"/>
      <c r="F5" s="316"/>
      <c r="G5" s="316"/>
      <c r="H5" s="316"/>
      <c r="I5" s="316"/>
      <c r="J5" s="221"/>
    </row>
    <row r="6" spans="1:10" x14ac:dyDescent="0.2">
      <c r="A6" s="248" t="s">
        <v>368</v>
      </c>
      <c r="B6" s="316"/>
      <c r="C6" s="316"/>
      <c r="D6" s="316"/>
      <c r="E6" s="316"/>
      <c r="F6" s="316"/>
      <c r="G6" s="316"/>
      <c r="H6" s="316"/>
      <c r="I6" s="316"/>
      <c r="J6" s="221"/>
    </row>
    <row r="7" spans="1:10" x14ac:dyDescent="0.2">
      <c r="A7" s="6"/>
      <c r="B7" s="28"/>
      <c r="C7" s="28"/>
      <c r="D7" s="6"/>
      <c r="E7" s="6"/>
      <c r="F7" s="6"/>
      <c r="G7" s="6"/>
      <c r="H7" s="6"/>
      <c r="I7" s="6"/>
      <c r="J7" s="6"/>
    </row>
    <row r="8" spans="1:10" x14ac:dyDescent="0.2">
      <c r="A8" s="29"/>
      <c r="B8" s="30"/>
      <c r="C8" s="30"/>
      <c r="D8" s="30"/>
      <c r="E8" s="31"/>
      <c r="F8" s="31"/>
      <c r="G8" s="31"/>
      <c r="H8" s="31"/>
      <c r="I8" s="31"/>
      <c r="J8" s="31"/>
    </row>
    <row r="9" spans="1:10" x14ac:dyDescent="0.2">
      <c r="A9" s="29"/>
      <c r="B9" s="30"/>
      <c r="C9" s="30"/>
      <c r="D9" s="48" t="s">
        <v>221</v>
      </c>
      <c r="E9" s="31"/>
      <c r="F9" s="32" t="s">
        <v>23</v>
      </c>
      <c r="G9" s="32" t="s">
        <v>222</v>
      </c>
      <c r="H9" s="32"/>
      <c r="I9" s="32" t="s">
        <v>223</v>
      </c>
      <c r="J9" s="31"/>
    </row>
    <row r="10" spans="1:10" x14ac:dyDescent="0.2">
      <c r="A10" s="29" t="s">
        <v>224</v>
      </c>
      <c r="B10" s="29" t="s">
        <v>3</v>
      </c>
      <c r="C10" s="33"/>
      <c r="D10" s="228" t="str">
        <f>"Tax at 12/31/"&amp;YR</f>
        <v>Tax at 12/31/2013</v>
      </c>
      <c r="E10" s="6"/>
      <c r="F10" s="6"/>
      <c r="G10" s="6"/>
      <c r="H10" s="6"/>
      <c r="I10" s="6"/>
      <c r="J10" s="6"/>
    </row>
    <row r="11" spans="1:10" x14ac:dyDescent="0.2">
      <c r="A11" s="29"/>
      <c r="B11" s="29"/>
      <c r="C11" s="33"/>
      <c r="D11" s="228"/>
      <c r="E11" s="6"/>
      <c r="F11" s="6"/>
      <c r="G11" s="6"/>
      <c r="H11" s="6"/>
      <c r="I11" s="6"/>
      <c r="J11" s="6"/>
    </row>
    <row r="12" spans="1:10" x14ac:dyDescent="0.2">
      <c r="A12" s="116">
        <v>281</v>
      </c>
      <c r="B12" s="10" t="s">
        <v>948</v>
      </c>
      <c r="C12" s="10"/>
      <c r="D12" s="10">
        <v>-3757590</v>
      </c>
      <c r="E12" s="10"/>
      <c r="F12" s="10" t="s">
        <v>227</v>
      </c>
      <c r="G12" s="94">
        <f>VLOOKUP(F12,ALLOCATORS,2,FALSE)</f>
        <v>0</v>
      </c>
      <c r="H12" s="85"/>
      <c r="I12" s="10">
        <f>D12*G12</f>
        <v>0</v>
      </c>
      <c r="J12" s="6"/>
    </row>
    <row r="13" spans="1:10" ht="13.5" thickBot="1" x14ac:dyDescent="0.25">
      <c r="A13" s="34"/>
      <c r="B13" s="145" t="s">
        <v>809</v>
      </c>
      <c r="C13" s="29"/>
      <c r="D13" s="35">
        <f>SUM(D12)</f>
        <v>-3757590</v>
      </c>
      <c r="E13" s="6"/>
      <c r="F13" s="6"/>
      <c r="G13" s="14"/>
      <c r="H13" s="6"/>
      <c r="I13" s="35">
        <f>SUM(I12)</f>
        <v>0</v>
      </c>
      <c r="J13" s="6"/>
    </row>
    <row r="14" spans="1:10" ht="13.5" thickTop="1" x14ac:dyDescent="0.2">
      <c r="A14" s="34"/>
      <c r="B14" s="6"/>
      <c r="C14" s="6"/>
      <c r="D14" s="6"/>
      <c r="E14" s="6"/>
      <c r="F14" s="6"/>
      <c r="G14" s="14"/>
      <c r="H14" s="6"/>
      <c r="I14" s="6"/>
      <c r="J14" s="6"/>
    </row>
    <row r="15" spans="1:10" x14ac:dyDescent="0.2">
      <c r="A15" s="116">
        <v>282</v>
      </c>
      <c r="B15" s="10" t="s">
        <v>949</v>
      </c>
      <c r="C15" s="10"/>
      <c r="D15" s="10">
        <v>-1522356633</v>
      </c>
      <c r="E15" s="10"/>
      <c r="F15" s="10" t="s">
        <v>37</v>
      </c>
      <c r="G15" s="94">
        <f t="shared" ref="G15:G21" si="0">VLOOKUP(F15,ALLOCATORS,2,FALSE)</f>
        <v>0.19710219182042119</v>
      </c>
      <c r="H15" s="85"/>
      <c r="I15" s="10">
        <f t="shared" ref="I15:I21" si="1">D15*G15</f>
        <v>-300059829.09665656</v>
      </c>
      <c r="J15" s="6"/>
    </row>
    <row r="16" spans="1:10" x14ac:dyDescent="0.2">
      <c r="A16" s="116">
        <v>282</v>
      </c>
      <c r="B16" s="10" t="s">
        <v>950</v>
      </c>
      <c r="C16" s="10"/>
      <c r="D16" s="10">
        <v>208800570</v>
      </c>
      <c r="E16" s="10"/>
      <c r="F16" s="10" t="s">
        <v>225</v>
      </c>
      <c r="G16" s="94">
        <f t="shared" si="0"/>
        <v>0</v>
      </c>
      <c r="H16" s="85"/>
      <c r="I16" s="10">
        <f t="shared" si="1"/>
        <v>0</v>
      </c>
      <c r="J16" s="6"/>
    </row>
    <row r="17" spans="1:10" x14ac:dyDescent="0.2">
      <c r="A17" s="116">
        <v>282</v>
      </c>
      <c r="B17" s="10" t="s">
        <v>951</v>
      </c>
      <c r="C17" s="10"/>
      <c r="D17" s="10">
        <v>0</v>
      </c>
      <c r="E17" s="10"/>
      <c r="F17" s="10" t="s">
        <v>227</v>
      </c>
      <c r="G17" s="94">
        <f t="shared" si="0"/>
        <v>0</v>
      </c>
      <c r="H17" s="85"/>
      <c r="I17" s="10">
        <f t="shared" si="1"/>
        <v>0</v>
      </c>
      <c r="J17" s="6"/>
    </row>
    <row r="18" spans="1:10" x14ac:dyDescent="0.2">
      <c r="A18" s="116">
        <v>282</v>
      </c>
      <c r="B18" s="10" t="s">
        <v>952</v>
      </c>
      <c r="C18" s="10"/>
      <c r="D18" s="10">
        <v>-3414869</v>
      </c>
      <c r="E18" s="10"/>
      <c r="F18" s="10" t="s">
        <v>227</v>
      </c>
      <c r="G18" s="94">
        <f t="shared" si="0"/>
        <v>0</v>
      </c>
      <c r="H18" s="85"/>
      <c r="I18" s="10">
        <f t="shared" si="1"/>
        <v>0</v>
      </c>
      <c r="J18" s="6"/>
    </row>
    <row r="19" spans="1:10" x14ac:dyDescent="0.2">
      <c r="A19" s="116">
        <v>282</v>
      </c>
      <c r="B19" s="10" t="s">
        <v>953</v>
      </c>
      <c r="C19" s="10"/>
      <c r="D19" s="10">
        <v>-45622905</v>
      </c>
      <c r="E19" s="10"/>
      <c r="F19" s="10" t="s">
        <v>227</v>
      </c>
      <c r="G19" s="94">
        <f t="shared" si="0"/>
        <v>0</v>
      </c>
      <c r="H19" s="85"/>
      <c r="I19" s="10">
        <f t="shared" si="1"/>
        <v>0</v>
      </c>
      <c r="J19" s="6"/>
    </row>
    <row r="20" spans="1:10" x14ac:dyDescent="0.2">
      <c r="A20" s="116">
        <v>282</v>
      </c>
      <c r="B20" s="10" t="s">
        <v>954</v>
      </c>
      <c r="C20" s="10"/>
      <c r="D20" s="10">
        <v>-239019124</v>
      </c>
      <c r="E20" s="10"/>
      <c r="F20" s="10" t="s">
        <v>225</v>
      </c>
      <c r="G20" s="94">
        <f t="shared" si="0"/>
        <v>0</v>
      </c>
      <c r="H20" s="85"/>
      <c r="I20" s="10">
        <f t="shared" si="1"/>
        <v>0</v>
      </c>
    </row>
    <row r="21" spans="1:10" x14ac:dyDescent="0.2">
      <c r="A21" s="116">
        <v>282</v>
      </c>
      <c r="B21" s="10" t="s">
        <v>955</v>
      </c>
      <c r="C21" s="10"/>
      <c r="D21" s="10">
        <v>-1601</v>
      </c>
      <c r="E21" s="10"/>
      <c r="F21" s="10" t="s">
        <v>37</v>
      </c>
      <c r="G21" s="94">
        <f t="shared" si="0"/>
        <v>0.19710219182042119</v>
      </c>
      <c r="H21" s="85"/>
      <c r="I21" s="10">
        <f t="shared" si="1"/>
        <v>-315.56060910449429</v>
      </c>
      <c r="J21" s="6"/>
    </row>
    <row r="22" spans="1:10" ht="13.5" thickBot="1" x14ac:dyDescent="0.25">
      <c r="A22" s="34"/>
      <c r="B22" s="145" t="s">
        <v>810</v>
      </c>
      <c r="C22" s="29"/>
      <c r="D22" s="35">
        <f>SUM(D15:D21)</f>
        <v>-1601614562</v>
      </c>
      <c r="E22" s="6"/>
      <c r="F22" s="6"/>
      <c r="G22" s="14"/>
      <c r="H22" s="6"/>
      <c r="I22" s="35">
        <f>SUM(I15:I21)</f>
        <v>-300060144.65726566</v>
      </c>
      <c r="J22" s="6"/>
    </row>
    <row r="23" spans="1:10" ht="13.5" thickTop="1" x14ac:dyDescent="0.2">
      <c r="A23" s="34"/>
      <c r="B23" s="6"/>
      <c r="C23" s="6"/>
      <c r="D23" s="6"/>
      <c r="E23" s="6"/>
      <c r="F23" s="6"/>
      <c r="G23" s="14"/>
      <c r="H23" s="6"/>
      <c r="I23" s="6"/>
    </row>
    <row r="24" spans="1:10" x14ac:dyDescent="0.2">
      <c r="A24" s="116">
        <v>283</v>
      </c>
      <c r="B24" s="10" t="s">
        <v>956</v>
      </c>
      <c r="C24" s="10"/>
      <c r="D24" s="10">
        <v>-348941</v>
      </c>
      <c r="E24" s="10"/>
      <c r="F24" s="10" t="s">
        <v>227</v>
      </c>
      <c r="G24" s="94">
        <f t="shared" ref="G24:G44" si="2">VLOOKUP(F24,ALLOCATORS,2,FALSE)</f>
        <v>0</v>
      </c>
      <c r="H24" s="85"/>
      <c r="I24" s="10">
        <f t="shared" ref="I24:I44" si="3">D24*G24</f>
        <v>0</v>
      </c>
    </row>
    <row r="25" spans="1:10" x14ac:dyDescent="0.2">
      <c r="A25" s="116">
        <v>283</v>
      </c>
      <c r="B25" s="10" t="s">
        <v>957</v>
      </c>
      <c r="C25" s="10"/>
      <c r="D25" s="10">
        <v>-66210285</v>
      </c>
      <c r="E25" s="10"/>
      <c r="F25" s="10" t="s">
        <v>225</v>
      </c>
      <c r="G25" s="94">
        <f t="shared" si="2"/>
        <v>0</v>
      </c>
      <c r="H25" s="85"/>
      <c r="I25" s="10">
        <f t="shared" si="3"/>
        <v>0</v>
      </c>
    </row>
    <row r="26" spans="1:10" x14ac:dyDescent="0.2">
      <c r="A26" s="116">
        <v>283</v>
      </c>
      <c r="B26" s="10" t="s">
        <v>958</v>
      </c>
      <c r="C26" s="10"/>
      <c r="D26" s="10">
        <v>-27855312</v>
      </c>
      <c r="E26" s="10"/>
      <c r="F26" s="10" t="s">
        <v>225</v>
      </c>
      <c r="G26" s="94">
        <f t="shared" si="2"/>
        <v>0</v>
      </c>
      <c r="H26" s="85"/>
      <c r="I26" s="10">
        <f t="shared" si="3"/>
        <v>0</v>
      </c>
    </row>
    <row r="27" spans="1:10" x14ac:dyDescent="0.2">
      <c r="A27" s="116">
        <v>283</v>
      </c>
      <c r="B27" s="10" t="s">
        <v>959</v>
      </c>
      <c r="C27" s="10"/>
      <c r="D27" s="10">
        <v>-11900369</v>
      </c>
      <c r="E27" s="10"/>
      <c r="F27" s="10" t="s">
        <v>225</v>
      </c>
      <c r="G27" s="94">
        <f t="shared" si="2"/>
        <v>0</v>
      </c>
      <c r="H27" s="85"/>
      <c r="I27" s="10">
        <f t="shared" si="3"/>
        <v>0</v>
      </c>
    </row>
    <row r="28" spans="1:10" x14ac:dyDescent="0.2">
      <c r="A28" s="116">
        <v>283</v>
      </c>
      <c r="B28" s="10" t="s">
        <v>960</v>
      </c>
      <c r="C28" s="10"/>
      <c r="D28" s="10">
        <v>-116371985</v>
      </c>
      <c r="E28" s="10"/>
      <c r="F28" s="10" t="s">
        <v>227</v>
      </c>
      <c r="G28" s="94">
        <f t="shared" si="2"/>
        <v>0</v>
      </c>
      <c r="H28" s="85"/>
      <c r="I28" s="10">
        <f t="shared" si="3"/>
        <v>0</v>
      </c>
    </row>
    <row r="29" spans="1:10" x14ac:dyDescent="0.2">
      <c r="A29" s="116">
        <v>283</v>
      </c>
      <c r="B29" s="10" t="s">
        <v>961</v>
      </c>
      <c r="C29" s="10"/>
      <c r="D29" s="10">
        <v>-44735756</v>
      </c>
      <c r="E29" s="10"/>
      <c r="F29" s="10" t="s">
        <v>227</v>
      </c>
      <c r="G29" s="94">
        <f t="shared" si="2"/>
        <v>0</v>
      </c>
      <c r="H29" s="85"/>
      <c r="I29" s="10">
        <f t="shared" si="3"/>
        <v>0</v>
      </c>
    </row>
    <row r="30" spans="1:10" x14ac:dyDescent="0.2">
      <c r="A30" s="116">
        <v>283</v>
      </c>
      <c r="B30" s="10" t="s">
        <v>962</v>
      </c>
      <c r="C30" s="10"/>
      <c r="D30" s="10">
        <v>-180822408</v>
      </c>
      <c r="E30" s="10"/>
      <c r="F30" s="10" t="s">
        <v>226</v>
      </c>
      <c r="G30" s="94">
        <f t="shared" si="2"/>
        <v>7.8086404382281052E-2</v>
      </c>
      <c r="H30" s="85"/>
      <c r="I30" s="10">
        <f t="shared" si="3"/>
        <v>-14119771.672465812</v>
      </c>
    </row>
    <row r="31" spans="1:10" x14ac:dyDescent="0.2">
      <c r="A31" s="116">
        <v>283</v>
      </c>
      <c r="B31" s="10" t="s">
        <v>963</v>
      </c>
      <c r="C31" s="10"/>
      <c r="D31" s="10">
        <v>0</v>
      </c>
      <c r="E31" s="10"/>
      <c r="F31" s="10" t="s">
        <v>227</v>
      </c>
      <c r="G31" s="94">
        <f t="shared" si="2"/>
        <v>0</v>
      </c>
      <c r="H31" s="85"/>
      <c r="I31" s="10">
        <f t="shared" si="3"/>
        <v>0</v>
      </c>
    </row>
    <row r="32" spans="1:10" x14ac:dyDescent="0.2">
      <c r="A32" s="116">
        <v>283</v>
      </c>
      <c r="B32" s="10" t="s">
        <v>964</v>
      </c>
      <c r="C32" s="10"/>
      <c r="D32" s="10">
        <v>-1258489</v>
      </c>
      <c r="E32" s="10"/>
      <c r="F32" s="10" t="s">
        <v>227</v>
      </c>
      <c r="G32" s="94">
        <f t="shared" si="2"/>
        <v>0</v>
      </c>
      <c r="H32" s="85"/>
      <c r="I32" s="10">
        <f t="shared" si="3"/>
        <v>0</v>
      </c>
    </row>
    <row r="33" spans="1:9" x14ac:dyDescent="0.2">
      <c r="A33" s="116">
        <v>283</v>
      </c>
      <c r="B33" s="10" t="s">
        <v>965</v>
      </c>
      <c r="C33" s="10"/>
      <c r="D33" s="10">
        <v>-536846383</v>
      </c>
      <c r="E33" s="10"/>
      <c r="F33" s="10" t="s">
        <v>225</v>
      </c>
      <c r="G33" s="94">
        <f t="shared" si="2"/>
        <v>0</v>
      </c>
      <c r="H33" s="85"/>
      <c r="I33" s="10">
        <f t="shared" si="3"/>
        <v>0</v>
      </c>
    </row>
    <row r="34" spans="1:9" x14ac:dyDescent="0.2">
      <c r="A34" s="116">
        <v>283</v>
      </c>
      <c r="B34" s="10" t="s">
        <v>966</v>
      </c>
      <c r="C34" s="10"/>
      <c r="D34" s="10">
        <v>220367</v>
      </c>
      <c r="E34" s="10"/>
      <c r="F34" s="10" t="s">
        <v>227</v>
      </c>
      <c r="G34" s="94">
        <f t="shared" si="2"/>
        <v>0</v>
      </c>
      <c r="H34" s="85"/>
      <c r="I34" s="10">
        <f t="shared" si="3"/>
        <v>0</v>
      </c>
    </row>
    <row r="35" spans="1:9" x14ac:dyDescent="0.2">
      <c r="A35" s="116">
        <v>283</v>
      </c>
      <c r="B35" s="10" t="s">
        <v>967</v>
      </c>
      <c r="C35" s="10"/>
      <c r="D35" s="10">
        <v>-4021170</v>
      </c>
      <c r="E35" s="10"/>
      <c r="F35" s="10" t="s">
        <v>37</v>
      </c>
      <c r="G35" s="94">
        <f t="shared" si="2"/>
        <v>0.19710219182042119</v>
      </c>
      <c r="H35" s="85"/>
      <c r="I35" s="10">
        <f t="shared" si="3"/>
        <v>-792581.42068252305</v>
      </c>
    </row>
    <row r="36" spans="1:9" x14ac:dyDescent="0.2">
      <c r="A36" s="116">
        <v>283</v>
      </c>
      <c r="B36" s="10" t="s">
        <v>968</v>
      </c>
      <c r="C36" s="10"/>
      <c r="D36" s="10">
        <v>-89288452</v>
      </c>
      <c r="E36" s="10"/>
      <c r="F36" s="10" t="s">
        <v>229</v>
      </c>
      <c r="G36" s="94">
        <f t="shared" si="2"/>
        <v>0</v>
      </c>
      <c r="H36" s="85"/>
      <c r="I36" s="10">
        <f t="shared" si="3"/>
        <v>0</v>
      </c>
    </row>
    <row r="37" spans="1:9" x14ac:dyDescent="0.2">
      <c r="A37" s="116">
        <v>283</v>
      </c>
      <c r="B37" s="10" t="s">
        <v>969</v>
      </c>
      <c r="C37" s="10"/>
      <c r="D37" s="10">
        <v>-756018</v>
      </c>
      <c r="E37" s="10"/>
      <c r="F37" s="10" t="s">
        <v>229</v>
      </c>
      <c r="G37" s="94">
        <f t="shared" si="2"/>
        <v>0</v>
      </c>
      <c r="H37" s="85"/>
      <c r="I37" s="10">
        <f t="shared" si="3"/>
        <v>0</v>
      </c>
    </row>
    <row r="38" spans="1:9" x14ac:dyDescent="0.2">
      <c r="A38" s="116">
        <v>283</v>
      </c>
      <c r="B38" s="10" t="s">
        <v>970</v>
      </c>
      <c r="C38" s="10"/>
      <c r="D38" s="10">
        <v>-2838657</v>
      </c>
      <c r="E38" s="10"/>
      <c r="F38" s="10" t="s">
        <v>227</v>
      </c>
      <c r="G38" s="94">
        <f t="shared" si="2"/>
        <v>0</v>
      </c>
      <c r="H38" s="85"/>
      <c r="I38" s="10">
        <f t="shared" si="3"/>
        <v>0</v>
      </c>
    </row>
    <row r="39" spans="1:9" x14ac:dyDescent="0.2">
      <c r="A39" s="116">
        <v>283</v>
      </c>
      <c r="B39" s="10" t="s">
        <v>971</v>
      </c>
      <c r="C39" s="10"/>
      <c r="D39" s="10">
        <v>-147537358</v>
      </c>
      <c r="E39" s="10"/>
      <c r="F39" s="10" t="s">
        <v>227</v>
      </c>
      <c r="G39" s="94">
        <f t="shared" si="2"/>
        <v>0</v>
      </c>
      <c r="H39" s="85"/>
      <c r="I39" s="10">
        <f t="shared" si="3"/>
        <v>0</v>
      </c>
    </row>
    <row r="40" spans="1:9" x14ac:dyDescent="0.2">
      <c r="A40" s="116">
        <v>283</v>
      </c>
      <c r="B40" s="10" t="s">
        <v>972</v>
      </c>
      <c r="C40" s="10"/>
      <c r="D40" s="10">
        <v>-3778497</v>
      </c>
      <c r="E40" s="10"/>
      <c r="F40" s="10" t="s">
        <v>227</v>
      </c>
      <c r="G40" s="94">
        <f t="shared" si="2"/>
        <v>0</v>
      </c>
      <c r="H40" s="85"/>
      <c r="I40" s="10">
        <f t="shared" si="3"/>
        <v>0</v>
      </c>
    </row>
    <row r="41" spans="1:9" x14ac:dyDescent="0.2">
      <c r="A41" s="116">
        <v>283</v>
      </c>
      <c r="B41" s="10" t="s">
        <v>973</v>
      </c>
      <c r="C41" s="10"/>
      <c r="D41" s="10">
        <v>-59089</v>
      </c>
      <c r="E41" s="10"/>
      <c r="F41" s="10" t="s">
        <v>37</v>
      </c>
      <c r="G41" s="94">
        <f t="shared" si="2"/>
        <v>0.19710219182042119</v>
      </c>
      <c r="H41" s="85"/>
      <c r="I41" s="10">
        <f t="shared" si="3"/>
        <v>-11646.571412476867</v>
      </c>
    </row>
    <row r="42" spans="1:9" x14ac:dyDescent="0.2">
      <c r="A42" s="116">
        <v>283</v>
      </c>
      <c r="B42" s="10" t="s">
        <v>974</v>
      </c>
      <c r="C42" s="10"/>
      <c r="D42" s="10">
        <v>0</v>
      </c>
      <c r="E42" s="10"/>
      <c r="F42" s="10" t="s">
        <v>225</v>
      </c>
      <c r="G42" s="94">
        <f t="shared" si="2"/>
        <v>0</v>
      </c>
      <c r="H42" s="85"/>
      <c r="I42" s="10">
        <f t="shared" si="3"/>
        <v>0</v>
      </c>
    </row>
    <row r="43" spans="1:9" x14ac:dyDescent="0.2">
      <c r="A43" s="116">
        <v>283</v>
      </c>
      <c r="B43" s="10" t="s">
        <v>975</v>
      </c>
      <c r="C43" s="10"/>
      <c r="D43" s="10">
        <v>6547908</v>
      </c>
      <c r="E43" s="10"/>
      <c r="F43" s="10" t="s">
        <v>227</v>
      </c>
      <c r="G43" s="94">
        <f t="shared" si="2"/>
        <v>0</v>
      </c>
      <c r="H43" s="85"/>
      <c r="I43" s="10">
        <f t="shared" si="3"/>
        <v>0</v>
      </c>
    </row>
    <row r="44" spans="1:9" x14ac:dyDescent="0.2">
      <c r="A44" s="116">
        <v>283</v>
      </c>
      <c r="B44" s="10" t="s">
        <v>947</v>
      </c>
      <c r="C44" s="10"/>
      <c r="D44" s="10">
        <v>2</v>
      </c>
      <c r="E44" s="10"/>
      <c r="F44" s="10" t="s">
        <v>37</v>
      </c>
      <c r="G44" s="94">
        <f t="shared" si="2"/>
        <v>0.19710219182042119</v>
      </c>
      <c r="H44" s="85"/>
      <c r="I44" s="10">
        <f t="shared" si="3"/>
        <v>0.39420438364084237</v>
      </c>
    </row>
    <row r="45" spans="1:9" hidden="1" x14ac:dyDescent="0.2">
      <c r="A45" s="116"/>
      <c r="B45" s="10"/>
      <c r="C45" s="10"/>
      <c r="D45" s="10"/>
      <c r="E45" s="10"/>
      <c r="F45" s="10"/>
      <c r="G45" s="94"/>
      <c r="H45" s="85"/>
      <c r="I45" s="10"/>
    </row>
    <row r="46" spans="1:9" ht="13.5" thickBot="1" x14ac:dyDescent="0.25">
      <c r="A46" s="34"/>
      <c r="B46" s="145" t="s">
        <v>811</v>
      </c>
      <c r="C46" s="29"/>
      <c r="D46" s="35">
        <f>SUM(D24:D45)</f>
        <v>-1227860892</v>
      </c>
      <c r="E46" s="6"/>
      <c r="F46" s="6"/>
      <c r="G46" s="14"/>
      <c r="H46" s="6"/>
      <c r="I46" s="35">
        <f>SUM(I24:I45)</f>
        <v>-14923999.27035643</v>
      </c>
    </row>
    <row r="47" spans="1:9" ht="8.25" customHeight="1" thickTop="1" x14ac:dyDescent="0.2">
      <c r="A47" s="34"/>
      <c r="B47" s="29"/>
      <c r="C47" s="29"/>
      <c r="D47" s="36"/>
      <c r="E47" s="6"/>
      <c r="F47" s="6"/>
      <c r="G47" s="14"/>
      <c r="H47" s="6"/>
      <c r="I47" s="6"/>
    </row>
    <row r="48" spans="1:9" ht="13.5" thickBot="1" x14ac:dyDescent="0.25">
      <c r="A48" s="6"/>
      <c r="B48" s="146" t="s">
        <v>812</v>
      </c>
      <c r="C48" s="35"/>
      <c r="D48" s="35">
        <f>SUM('DEF - 5 p3 CY ADIT 190'!D84,D13,D22,D46)</f>
        <v>-1725417808</v>
      </c>
      <c r="E48" s="6"/>
      <c r="F48" s="6"/>
      <c r="G48" s="14"/>
      <c r="H48" s="6"/>
      <c r="I48" s="35">
        <f>SUM('DEF - 5 p3 CY ADIT 190'!I84,I13,I22,I46)</f>
        <v>-227704846.50979513</v>
      </c>
    </row>
    <row r="49" spans="5:7" ht="13.5" thickTop="1" x14ac:dyDescent="0.2">
      <c r="E49" s="315" t="s">
        <v>225</v>
      </c>
      <c r="F49" s="188">
        <v>0</v>
      </c>
      <c r="G49" s="14"/>
    </row>
  </sheetData>
  <mergeCells count="4">
    <mergeCell ref="I1:J1"/>
    <mergeCell ref="I3:J3"/>
    <mergeCell ref="A5:I5"/>
    <mergeCell ref="A6:I6"/>
  </mergeCells>
  <phoneticPr fontId="15" type="noConversion"/>
  <pageMargins left="0.5" right="0.5" top="0.5" bottom="0.5" header="0.5" footer="0.5"/>
  <pageSetup scale="74" fitToHeight="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workbookViewId="0"/>
  </sheetViews>
  <sheetFormatPr defaultRowHeight="12.75" x14ac:dyDescent="0.2"/>
  <cols>
    <col min="1" max="1" width="5.7109375" style="4" customWidth="1"/>
    <col min="2" max="2" width="8.140625" style="4" bestFit="1" customWidth="1"/>
    <col min="3" max="3" width="2.140625" style="4" customWidth="1"/>
    <col min="4" max="4" width="32.7109375" style="4" customWidth="1"/>
    <col min="5" max="5" width="11.7109375" style="4" bestFit="1" customWidth="1"/>
    <col min="6" max="6" width="1.42578125" style="4" customWidth="1"/>
    <col min="7" max="7" width="11.7109375" style="4" bestFit="1" customWidth="1"/>
    <col min="8" max="8" width="1.42578125" style="4" customWidth="1"/>
    <col min="9" max="9" width="11.7109375" style="4" bestFit="1" customWidth="1"/>
    <col min="10" max="10" width="1.42578125" style="4" customWidth="1"/>
    <col min="11" max="11" width="9" style="4" bestFit="1" customWidth="1"/>
    <col min="12" max="12" width="8.140625" style="4" bestFit="1" customWidth="1"/>
    <col min="13" max="13" width="1.42578125" style="4" customWidth="1"/>
    <col min="14" max="14" width="14.5703125" style="4" customWidth="1"/>
    <col min="15" max="15" width="6.7109375" style="4" customWidth="1"/>
    <col min="16" max="17" width="9.140625" style="4"/>
    <col min="18" max="18" width="29.5703125" style="4" customWidth="1"/>
    <col min="19" max="16384" width="9.140625" style="4"/>
  </cols>
  <sheetData>
    <row r="1" spans="1:15" ht="15.75" x14ac:dyDescent="0.2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318" t="s">
        <v>847</v>
      </c>
      <c r="O1" s="318"/>
    </row>
    <row r="2" spans="1:15" ht="15.75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319" t="s">
        <v>436</v>
      </c>
      <c r="O2" s="319"/>
    </row>
    <row r="3" spans="1:15" ht="15" x14ac:dyDescent="0.2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320" t="str">
        <f>"Year Ending 12/31/"&amp;YR</f>
        <v>Year Ending 12/31/2013</v>
      </c>
      <c r="O3" s="320"/>
    </row>
    <row r="4" spans="1:15" x14ac:dyDescent="0.2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x14ac:dyDescent="0.2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 ht="15" x14ac:dyDescent="0.25">
      <c r="A6" s="321" t="s">
        <v>850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</row>
    <row r="7" spans="1:15" ht="15" x14ac:dyDescent="0.25">
      <c r="A7" s="322"/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</row>
    <row r="8" spans="1:15" ht="15" x14ac:dyDescent="0.25">
      <c r="A8" s="323" t="s">
        <v>471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</row>
    <row r="9" spans="1:15" ht="15" x14ac:dyDescent="0.25">
      <c r="A9" s="324"/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</row>
    <row r="10" spans="1:15" ht="15" x14ac:dyDescent="0.25">
      <c r="A10" s="325"/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</row>
    <row r="11" spans="1:15" ht="15" x14ac:dyDescent="0.25">
      <c r="A11" s="322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</row>
    <row r="12" spans="1:15" ht="30" x14ac:dyDescent="0.25">
      <c r="A12" s="322"/>
      <c r="B12" s="326" t="s">
        <v>224</v>
      </c>
      <c r="C12" s="326"/>
      <c r="D12" s="327" t="s">
        <v>461</v>
      </c>
      <c r="E12" s="326" t="s">
        <v>239</v>
      </c>
      <c r="F12" s="326"/>
      <c r="G12" s="326" t="s">
        <v>462</v>
      </c>
      <c r="H12" s="328"/>
      <c r="I12" s="326" t="s">
        <v>245</v>
      </c>
      <c r="J12" s="327"/>
      <c r="K12" s="327" t="s">
        <v>23</v>
      </c>
      <c r="L12" s="327" t="s">
        <v>472</v>
      </c>
      <c r="M12" s="327"/>
      <c r="N12" s="326" t="s">
        <v>223</v>
      </c>
      <c r="O12" s="329"/>
    </row>
    <row r="13" spans="1:15" ht="15" x14ac:dyDescent="0.25">
      <c r="A13" s="322"/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O13" s="322"/>
    </row>
    <row r="14" spans="1:15" ht="15" x14ac:dyDescent="0.25">
      <c r="A14" s="322"/>
      <c r="B14" s="322"/>
      <c r="C14" s="322"/>
      <c r="D14" s="330" t="s">
        <v>473</v>
      </c>
      <c r="E14" s="322"/>
      <c r="F14" s="322"/>
      <c r="G14" s="322"/>
      <c r="H14" s="322"/>
      <c r="I14" s="322"/>
      <c r="J14" s="322"/>
      <c r="K14" s="322"/>
      <c r="L14" s="322"/>
      <c r="M14" s="322"/>
      <c r="O14" s="322"/>
    </row>
    <row r="15" spans="1:15" ht="15" x14ac:dyDescent="0.25">
      <c r="A15" s="322"/>
      <c r="B15" s="117">
        <v>2283141</v>
      </c>
      <c r="C15" s="85"/>
      <c r="D15" s="99" t="s">
        <v>701</v>
      </c>
      <c r="E15" s="100">
        <v>399482763.95000023</v>
      </c>
      <c r="F15" s="100"/>
      <c r="G15" s="100">
        <v>214478673.54000011</v>
      </c>
      <c r="H15" s="85"/>
      <c r="I15" s="100">
        <f>(E15+G15)/2</f>
        <v>306980718.74500018</v>
      </c>
      <c r="J15" s="85"/>
      <c r="K15" s="24" t="s">
        <v>226</v>
      </c>
      <c r="L15" s="94">
        <f t="shared" ref="L15:L24" si="0">VLOOKUP(K15,ALLOCATORS,2,FALSE)</f>
        <v>7.8086404382281052E-2</v>
      </c>
      <c r="M15" s="85"/>
      <c r="N15" s="100">
        <f>I15*L15</f>
        <v>23971020.541485369</v>
      </c>
      <c r="O15" s="322"/>
    </row>
    <row r="16" spans="1:15" ht="15" x14ac:dyDescent="0.25">
      <c r="A16" s="322"/>
      <c r="B16" s="117">
        <v>2283142</v>
      </c>
      <c r="C16" s="85"/>
      <c r="D16" s="99" t="s">
        <v>702</v>
      </c>
      <c r="E16" s="100">
        <v>-19531458.380000014</v>
      </c>
      <c r="F16" s="100"/>
      <c r="G16" s="100">
        <v>-32340225.930000015</v>
      </c>
      <c r="H16" s="85"/>
      <c r="I16" s="100">
        <f t="shared" ref="I16:I24" si="1">(E16+G16)/2</f>
        <v>-25935842.155000016</v>
      </c>
      <c r="J16" s="85"/>
      <c r="K16" s="24" t="s">
        <v>226</v>
      </c>
      <c r="L16" s="94">
        <f t="shared" si="0"/>
        <v>7.8086404382281052E-2</v>
      </c>
      <c r="M16" s="85"/>
      <c r="N16" s="100">
        <f t="shared" ref="N16:N24" si="2">I16*L16</f>
        <v>-2025236.6585103429</v>
      </c>
      <c r="O16" s="322"/>
    </row>
    <row r="17" spans="1:15" ht="15" x14ac:dyDescent="0.25">
      <c r="A17" s="322"/>
      <c r="B17" s="117">
        <v>2283143</v>
      </c>
      <c r="C17" s="85"/>
      <c r="D17" s="99" t="s">
        <v>703</v>
      </c>
      <c r="E17" s="100">
        <v>33964495.870000027</v>
      </c>
      <c r="F17" s="100"/>
      <c r="G17" s="100">
        <v>70024599.150000066</v>
      </c>
      <c r="H17" s="85"/>
      <c r="I17" s="100">
        <f t="shared" si="1"/>
        <v>51994547.51000005</v>
      </c>
      <c r="J17" s="85"/>
      <c r="K17" s="24" t="s">
        <v>226</v>
      </c>
      <c r="L17" s="94">
        <f t="shared" si="0"/>
        <v>7.8086404382281052E-2</v>
      </c>
      <c r="M17" s="85"/>
      <c r="N17" s="100">
        <f t="shared" si="2"/>
        <v>4060067.2625395884</v>
      </c>
      <c r="O17" s="322"/>
    </row>
    <row r="18" spans="1:15" ht="15" x14ac:dyDescent="0.25">
      <c r="A18" s="322"/>
      <c r="B18" s="117">
        <v>2283510</v>
      </c>
      <c r="C18" s="85"/>
      <c r="D18" s="99" t="s">
        <v>695</v>
      </c>
      <c r="E18" s="100">
        <v>-1878557.040000001</v>
      </c>
      <c r="F18" s="100"/>
      <c r="G18" s="100">
        <v>89.860000000000056</v>
      </c>
      <c r="H18" s="85"/>
      <c r="I18" s="100">
        <f t="shared" si="1"/>
        <v>-939233.59000000043</v>
      </c>
      <c r="J18" s="85"/>
      <c r="K18" s="24" t="s">
        <v>226</v>
      </c>
      <c r="L18" s="94">
        <f t="shared" si="0"/>
        <v>7.8086404382281052E-2</v>
      </c>
      <c r="M18" s="85"/>
      <c r="N18" s="100">
        <f t="shared" si="2"/>
        <v>-73341.373918161597</v>
      </c>
      <c r="O18" s="322"/>
    </row>
    <row r="19" spans="1:15" ht="15" x14ac:dyDescent="0.25">
      <c r="A19" s="322"/>
      <c r="B19" s="117">
        <v>2283520</v>
      </c>
      <c r="C19" s="85"/>
      <c r="D19" s="99" t="s">
        <v>704</v>
      </c>
      <c r="E19" s="100">
        <v>-1570290.050000001</v>
      </c>
      <c r="F19" s="100"/>
      <c r="G19" s="100">
        <v>-1982625.9400000009</v>
      </c>
      <c r="H19" s="85"/>
      <c r="I19" s="100">
        <f t="shared" si="1"/>
        <v>-1776457.995000001</v>
      </c>
      <c r="J19" s="85"/>
      <c r="K19" s="24" t="s">
        <v>226</v>
      </c>
      <c r="L19" s="94">
        <f t="shared" si="0"/>
        <v>7.8086404382281052E-2</v>
      </c>
      <c r="M19" s="85"/>
      <c r="N19" s="100">
        <f t="shared" si="2"/>
        <v>-138717.21736570628</v>
      </c>
      <c r="O19" s="322"/>
    </row>
    <row r="20" spans="1:15" ht="15" x14ac:dyDescent="0.25">
      <c r="A20" s="322"/>
      <c r="B20" s="117">
        <v>2283540</v>
      </c>
      <c r="C20" s="85"/>
      <c r="D20" s="99" t="s">
        <v>696</v>
      </c>
      <c r="E20" s="100">
        <v>5866959.4800000042</v>
      </c>
      <c r="F20" s="100"/>
      <c r="G20" s="331" t="s">
        <v>976</v>
      </c>
      <c r="H20" s="85"/>
      <c r="I20" s="100">
        <f t="shared" si="1"/>
        <v>2933479.7400000021</v>
      </c>
      <c r="J20" s="85"/>
      <c r="K20" s="24" t="s">
        <v>226</v>
      </c>
      <c r="L20" s="94">
        <f t="shared" si="0"/>
        <v>7.8086404382281052E-2</v>
      </c>
      <c r="M20" s="85"/>
      <c r="N20" s="100">
        <f t="shared" si="2"/>
        <v>229064.88522486883</v>
      </c>
      <c r="O20" s="322"/>
    </row>
    <row r="21" spans="1:15" ht="15" x14ac:dyDescent="0.25">
      <c r="A21" s="322"/>
      <c r="B21" s="117">
        <v>2283550</v>
      </c>
      <c r="C21" s="85"/>
      <c r="D21" s="99" t="s">
        <v>705</v>
      </c>
      <c r="E21" s="100">
        <v>5503944.4900000039</v>
      </c>
      <c r="F21" s="100"/>
      <c r="G21" s="100">
        <v>6864126.1200000038</v>
      </c>
      <c r="H21" s="85"/>
      <c r="I21" s="100">
        <f t="shared" si="1"/>
        <v>6184035.3050000034</v>
      </c>
      <c r="J21" s="85"/>
      <c r="K21" s="24" t="s">
        <v>226</v>
      </c>
      <c r="L21" s="94">
        <f t="shared" si="0"/>
        <v>7.8086404382281052E-2</v>
      </c>
      <c r="M21" s="85"/>
      <c r="N21" s="100">
        <f t="shared" si="2"/>
        <v>482889.08154053299</v>
      </c>
      <c r="O21" s="322"/>
    </row>
    <row r="22" spans="1:15" ht="15" x14ac:dyDescent="0.25">
      <c r="A22" s="322"/>
      <c r="B22" s="117">
        <v>2282200</v>
      </c>
      <c r="C22" s="99"/>
      <c r="D22" s="99" t="s">
        <v>706</v>
      </c>
      <c r="E22" s="100">
        <v>43167401.160000026</v>
      </c>
      <c r="F22" s="10"/>
      <c r="G22" s="100">
        <v>39463939.64000003</v>
      </c>
      <c r="H22" s="85"/>
      <c r="I22" s="100">
        <f t="shared" si="1"/>
        <v>41315670.400000028</v>
      </c>
      <c r="J22" s="85"/>
      <c r="K22" s="24" t="s">
        <v>226</v>
      </c>
      <c r="L22" s="94">
        <f t="shared" si="0"/>
        <v>7.8086404382281052E-2</v>
      </c>
      <c r="M22" s="85"/>
      <c r="N22" s="100">
        <f t="shared" si="2"/>
        <v>3226192.1461794418</v>
      </c>
      <c r="O22" s="322"/>
    </row>
    <row r="23" spans="1:15" ht="15" x14ac:dyDescent="0.25">
      <c r="A23" s="322"/>
      <c r="B23" s="117">
        <v>2282600</v>
      </c>
      <c r="C23" s="99"/>
      <c r="D23" s="99" t="s">
        <v>707</v>
      </c>
      <c r="E23" s="100">
        <v>1258900.0000000009</v>
      </c>
      <c r="F23" s="10"/>
      <c r="G23" s="100">
        <v>1023100.0000000005</v>
      </c>
      <c r="H23" s="85"/>
      <c r="I23" s="100">
        <f t="shared" si="1"/>
        <v>1141000.0000000007</v>
      </c>
      <c r="J23" s="85"/>
      <c r="K23" s="24" t="s">
        <v>226</v>
      </c>
      <c r="L23" s="94">
        <f t="shared" si="0"/>
        <v>7.8086404382281052E-2</v>
      </c>
      <c r="M23" s="85"/>
      <c r="N23" s="100">
        <f t="shared" si="2"/>
        <v>89096.587400182732</v>
      </c>
      <c r="O23" s="322"/>
    </row>
    <row r="24" spans="1:15" ht="15.75" thickBot="1" x14ac:dyDescent="0.3">
      <c r="A24" s="322"/>
      <c r="B24" s="117">
        <v>2284800</v>
      </c>
      <c r="C24" s="99"/>
      <c r="D24" s="99" t="s">
        <v>708</v>
      </c>
      <c r="E24" s="118">
        <v>18808408.690000016</v>
      </c>
      <c r="F24" s="10"/>
      <c r="G24" s="118">
        <v>19398831.640000015</v>
      </c>
      <c r="H24" s="85"/>
      <c r="I24" s="100">
        <f t="shared" si="1"/>
        <v>19103620.165000014</v>
      </c>
      <c r="J24" s="85"/>
      <c r="K24" s="24" t="s">
        <v>226</v>
      </c>
      <c r="L24" s="94">
        <f t="shared" si="0"/>
        <v>7.8086404382281052E-2</v>
      </c>
      <c r="M24" s="85"/>
      <c r="N24" s="118">
        <f t="shared" si="2"/>
        <v>1491733.0093696897</v>
      </c>
      <c r="O24" s="322"/>
    </row>
    <row r="25" spans="1:15" ht="15.75" thickTop="1" x14ac:dyDescent="0.25">
      <c r="A25" s="322"/>
      <c r="B25" s="332"/>
      <c r="C25" s="332"/>
      <c r="D25" s="99" t="s">
        <v>474</v>
      </c>
      <c r="E25" s="333">
        <f>SUM(E15:E24)</f>
        <v>485072568.17000026</v>
      </c>
      <c r="F25" s="333"/>
      <c r="G25" s="333">
        <f>SUM(G15:G24)</f>
        <v>316930508.08000028</v>
      </c>
      <c r="H25" s="118"/>
      <c r="I25" s="334">
        <f>SUM(I15:I24)</f>
        <v>401001538.1250003</v>
      </c>
      <c r="J25" s="99"/>
      <c r="K25" s="99"/>
      <c r="L25" s="99"/>
      <c r="M25" s="99"/>
      <c r="N25" s="100">
        <f>SUM(N15:N24)</f>
        <v>31312768.263945464</v>
      </c>
      <c r="O25" s="322"/>
    </row>
    <row r="26" spans="1:15" ht="15" x14ac:dyDescent="0.25">
      <c r="A26" s="322"/>
      <c r="B26" s="322"/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O26" s="322"/>
    </row>
    <row r="27" spans="1:15" ht="15" x14ac:dyDescent="0.25">
      <c r="A27" s="322"/>
      <c r="B27" s="322"/>
      <c r="C27" s="322"/>
      <c r="D27" s="330" t="s">
        <v>475</v>
      </c>
      <c r="E27" s="335"/>
      <c r="F27" s="335"/>
      <c r="G27" s="335"/>
      <c r="H27" s="336"/>
      <c r="I27" s="336"/>
      <c r="J27" s="322"/>
      <c r="K27" s="322"/>
      <c r="L27" s="322"/>
      <c r="M27" s="322"/>
      <c r="O27" s="322"/>
    </row>
    <row r="28" spans="1:15" ht="15.75" thickBot="1" x14ac:dyDescent="0.3">
      <c r="A28" s="322"/>
      <c r="B28" s="322"/>
      <c r="C28" s="322"/>
      <c r="D28" s="85" t="s">
        <v>709</v>
      </c>
      <c r="E28" s="86">
        <v>-40542620</v>
      </c>
      <c r="F28" s="86">
        <v>0</v>
      </c>
      <c r="G28" s="86">
        <f>-'DEF - 6  p1, FF1 Inputs '!T79</f>
        <v>-39937905.580000028</v>
      </c>
      <c r="H28" s="85"/>
      <c r="I28" s="100">
        <f t="shared" ref="I28" si="3">(E28+G28)/2</f>
        <v>-40240262.790000014</v>
      </c>
      <c r="J28" s="85"/>
      <c r="K28" s="24" t="s">
        <v>226</v>
      </c>
      <c r="L28" s="94">
        <f>VLOOKUP(K28,ALLOCATORS,2,FALSE)</f>
        <v>7.8086404382281052E-2</v>
      </c>
      <c r="M28" s="85"/>
      <c r="N28" s="118">
        <f t="shared" ref="N28" si="4">I28*L28</f>
        <v>-3142217.4326691981</v>
      </c>
      <c r="O28" s="322"/>
    </row>
    <row r="29" spans="1:15" ht="15.75" thickTop="1" x14ac:dyDescent="0.25">
      <c r="A29" s="322"/>
      <c r="B29" s="322"/>
      <c r="C29" s="322"/>
      <c r="D29" s="85" t="s">
        <v>476</v>
      </c>
      <c r="E29" s="333">
        <f>+E28</f>
        <v>-40542620</v>
      </c>
      <c r="F29" s="333"/>
      <c r="G29" s="333">
        <f>+G28</f>
        <v>-39937905.580000028</v>
      </c>
      <c r="H29" s="85"/>
      <c r="I29" s="334">
        <f>+I28</f>
        <v>-40240262.790000014</v>
      </c>
      <c r="J29" s="99"/>
      <c r="K29" s="99"/>
      <c r="L29" s="99"/>
      <c r="M29" s="99"/>
      <c r="N29" s="100">
        <f>+N28</f>
        <v>-3142217.4326691981</v>
      </c>
      <c r="O29" s="322"/>
    </row>
    <row r="30" spans="1:15" ht="15" x14ac:dyDescent="0.25">
      <c r="A30" s="322"/>
      <c r="B30" s="322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O30" s="322"/>
    </row>
    <row r="31" spans="1:15" ht="15" x14ac:dyDescent="0.25">
      <c r="A31" s="322"/>
      <c r="B31" s="322"/>
      <c r="C31" s="322"/>
      <c r="D31" s="85" t="s">
        <v>477</v>
      </c>
      <c r="E31" s="10">
        <f>E25+E29</f>
        <v>444529948.17000026</v>
      </c>
      <c r="F31" s="10"/>
      <c r="G31" s="10">
        <f>G25+G29</f>
        <v>276992602.50000024</v>
      </c>
      <c r="H31" s="86"/>
      <c r="I31" s="10">
        <f>I25+I29</f>
        <v>360761275.33500028</v>
      </c>
      <c r="J31" s="85"/>
      <c r="K31" s="85"/>
      <c r="L31" s="85"/>
      <c r="M31" s="85"/>
      <c r="N31" s="10">
        <f>N25+N29</f>
        <v>28170550.831276268</v>
      </c>
      <c r="O31" s="322"/>
    </row>
    <row r="32" spans="1:15" ht="15" x14ac:dyDescent="0.25">
      <c r="A32" s="322"/>
      <c r="B32" s="322"/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</row>
  </sheetData>
  <mergeCells count="5">
    <mergeCell ref="N1:O1"/>
    <mergeCell ref="N3:O3"/>
    <mergeCell ref="A6:O6"/>
    <mergeCell ref="A8:O8"/>
    <mergeCell ref="A9:O9"/>
  </mergeCells>
  <pageMargins left="0.5" right="0.5" top="0.5" bottom="0.5" header="0.3" footer="0.3"/>
  <pageSetup scale="76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9"/>
  <sheetViews>
    <sheetView zoomScale="112" zoomScaleNormal="112" workbookViewId="0"/>
  </sheetViews>
  <sheetFormatPr defaultRowHeight="12.75" x14ac:dyDescent="0.2"/>
  <cols>
    <col min="1" max="1" width="3.7109375" style="4" customWidth="1"/>
    <col min="2" max="2" width="7.7109375" style="4" customWidth="1"/>
    <col min="3" max="3" width="9" style="4" customWidth="1"/>
    <col min="4" max="4" width="8.140625" style="4" customWidth="1"/>
    <col min="5" max="5" width="39.42578125" style="4" customWidth="1"/>
    <col min="6" max="6" width="14.5703125" style="4" bestFit="1" customWidth="1"/>
    <col min="7" max="7" width="3.7109375" style="4" customWidth="1"/>
    <col min="8" max="8" width="14.42578125" style="4" customWidth="1"/>
    <col min="9" max="9" width="3.7109375" style="4" customWidth="1"/>
    <col min="10" max="10" width="15.85546875" style="4" customWidth="1"/>
    <col min="11" max="11" width="11.85546875" style="4" customWidth="1"/>
    <col min="12" max="12" width="10.5703125" style="4" bestFit="1" customWidth="1"/>
    <col min="13" max="13" width="13.7109375" style="4" customWidth="1"/>
    <col min="14" max="14" width="11.42578125" style="4" customWidth="1"/>
    <col min="15" max="15" width="12.85546875" style="4" customWidth="1"/>
    <col min="16" max="16" width="16.85546875" style="4" customWidth="1"/>
    <col min="17" max="18" width="12.42578125" style="4" customWidth="1"/>
    <col min="19" max="19" width="4.28515625" style="4" customWidth="1"/>
    <col min="20" max="20" width="14.42578125" style="4" customWidth="1"/>
    <col min="21" max="22" width="12.7109375" style="4" customWidth="1"/>
    <col min="23" max="23" width="14.7109375" style="4" bestFit="1" customWidth="1"/>
    <col min="24" max="24" width="12.7109375" style="4" customWidth="1"/>
    <col min="25" max="26" width="9.140625" style="4" customWidth="1"/>
    <col min="27" max="27" width="16.5703125" style="4" bestFit="1" customWidth="1"/>
    <col min="28" max="28" width="14.42578125" style="4" customWidth="1"/>
    <col min="29" max="29" width="9.140625" style="4"/>
    <col min="30" max="30" width="13.7109375" style="4" customWidth="1"/>
    <col min="31" max="16384" width="9.140625" style="4"/>
  </cols>
  <sheetData>
    <row r="1" spans="1:32" ht="15" x14ac:dyDescent="0.25">
      <c r="K1" s="337" t="s">
        <v>848</v>
      </c>
    </row>
    <row r="2" spans="1:32" ht="15" x14ac:dyDescent="0.25">
      <c r="K2" s="337" t="s">
        <v>362</v>
      </c>
    </row>
    <row r="3" spans="1:32" x14ac:dyDescent="0.2">
      <c r="K3" s="286" t="str">
        <f>"Year Ending 12/31/"&amp;YR</f>
        <v>Year Ending 12/31/2013</v>
      </c>
      <c r="L3" s="239"/>
    </row>
    <row r="5" spans="1:32" x14ac:dyDescent="0.2">
      <c r="A5" s="240" t="s">
        <v>850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</row>
    <row r="6" spans="1:32" x14ac:dyDescent="0.2">
      <c r="A6" s="269" t="s">
        <v>194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</row>
    <row r="8" spans="1:32" x14ac:dyDescent="0.2">
      <c r="AA8" s="338" t="s">
        <v>825</v>
      </c>
      <c r="AB8" s="243"/>
    </row>
    <row r="9" spans="1:32" ht="25.5" x14ac:dyDescent="0.2">
      <c r="B9" s="39" t="s">
        <v>0</v>
      </c>
      <c r="C9" s="39" t="s">
        <v>1</v>
      </c>
      <c r="D9" s="39" t="s">
        <v>2</v>
      </c>
      <c r="E9" s="39" t="s">
        <v>3</v>
      </c>
      <c r="F9" s="39" t="s">
        <v>4</v>
      </c>
      <c r="G9" s="39"/>
      <c r="H9" s="339" t="s">
        <v>239</v>
      </c>
      <c r="I9" s="339"/>
      <c r="J9" s="339" t="s">
        <v>241</v>
      </c>
      <c r="K9" s="339"/>
      <c r="T9" s="85" t="s">
        <v>814</v>
      </c>
      <c r="U9" s="85" t="s">
        <v>815</v>
      </c>
      <c r="V9" s="85" t="s">
        <v>816</v>
      </c>
      <c r="W9" s="85" t="s">
        <v>813</v>
      </c>
      <c r="X9" s="85" t="s">
        <v>817</v>
      </c>
      <c r="Y9" s="85" t="s">
        <v>816</v>
      </c>
      <c r="AA9" s="4" t="s">
        <v>239</v>
      </c>
      <c r="AB9" s="340" t="s">
        <v>241</v>
      </c>
      <c r="AD9" s="85" t="s">
        <v>822</v>
      </c>
      <c r="AE9" s="85" t="s">
        <v>823</v>
      </c>
      <c r="AF9" s="85" t="s">
        <v>824</v>
      </c>
    </row>
    <row r="10" spans="1:32" ht="6" customHeight="1" x14ac:dyDescent="0.2">
      <c r="B10" s="224"/>
      <c r="C10" s="224"/>
      <c r="D10" s="224"/>
    </row>
    <row r="11" spans="1:32" x14ac:dyDescent="0.2">
      <c r="B11" s="224">
        <v>111</v>
      </c>
      <c r="C11" s="224">
        <v>57</v>
      </c>
      <c r="D11" s="224" t="s">
        <v>242</v>
      </c>
      <c r="E11" s="4" t="s">
        <v>40</v>
      </c>
      <c r="F11" s="224" t="str">
        <f>FIXED(B11,0)&amp;"."&amp;FIXED(C11,0)&amp;"."&amp;D11</f>
        <v>111.57.c&amp;d</v>
      </c>
      <c r="G11" s="224"/>
      <c r="H11" s="156">
        <f>W11+X11</f>
        <v>14753158</v>
      </c>
      <c r="I11" s="10"/>
      <c r="J11" s="156">
        <f>T11+U11</f>
        <v>44032758.179999962</v>
      </c>
      <c r="T11" s="157">
        <v>112283149</v>
      </c>
      <c r="U11" s="157">
        <v>-68250390.820000038</v>
      </c>
      <c r="V11" s="157" t="s">
        <v>882</v>
      </c>
      <c r="W11" s="157">
        <v>36642350</v>
      </c>
      <c r="X11" s="157">
        <v>-21889192</v>
      </c>
      <c r="Y11" s="157"/>
      <c r="AA11" s="157">
        <v>25733736</v>
      </c>
      <c r="AB11" s="157">
        <v>36642350</v>
      </c>
      <c r="AC11" s="157"/>
      <c r="AD11" s="157">
        <f t="shared" ref="AD11:AD17" si="0">H11-AB11</f>
        <v>-21889192</v>
      </c>
      <c r="AE11" s="341">
        <f>J11/H11</f>
        <v>2.9846327260915908</v>
      </c>
      <c r="AF11" s="342">
        <f>AB11/AA11</f>
        <v>1.4239032373690319</v>
      </c>
    </row>
    <row r="12" spans="1:32" x14ac:dyDescent="0.2">
      <c r="B12" s="224">
        <v>111</v>
      </c>
      <c r="C12" s="224">
        <v>81</v>
      </c>
      <c r="D12" s="224" t="s">
        <v>242</v>
      </c>
      <c r="E12" s="4" t="s">
        <v>190</v>
      </c>
      <c r="F12" s="224" t="str">
        <f t="shared" ref="F12:F17" si="1">B12&amp;"."&amp;C12&amp;"."&amp;D12</f>
        <v>111.81.c&amp;d</v>
      </c>
      <c r="G12" s="224"/>
      <c r="H12" s="156">
        <f t="shared" ref="H12:H48" si="2">W12+X12</f>
        <v>10424293</v>
      </c>
      <c r="I12" s="10"/>
      <c r="J12" s="156">
        <f t="shared" ref="J12:J66" si="3">T12+U12</f>
        <v>10424293</v>
      </c>
      <c r="T12" s="157">
        <v>10424293</v>
      </c>
      <c r="U12" s="157"/>
      <c r="V12" s="157"/>
      <c r="W12" s="157">
        <v>10424293</v>
      </c>
      <c r="X12" s="157"/>
      <c r="Y12" s="157"/>
      <c r="AA12" s="157">
        <v>16880501</v>
      </c>
      <c r="AB12" s="157">
        <v>10424293</v>
      </c>
      <c r="AC12" s="157"/>
      <c r="AD12" s="157">
        <f t="shared" si="0"/>
        <v>0</v>
      </c>
      <c r="AE12" s="341">
        <f>J12/H12</f>
        <v>1</v>
      </c>
      <c r="AF12" s="342">
        <f>AB12/AA12</f>
        <v>0.6175345743589008</v>
      </c>
    </row>
    <row r="13" spans="1:32" x14ac:dyDescent="0.2">
      <c r="B13" s="224">
        <v>112</v>
      </c>
      <c r="C13" s="224">
        <v>3</v>
      </c>
      <c r="D13" s="224" t="s">
        <v>242</v>
      </c>
      <c r="E13" s="4" t="s">
        <v>189</v>
      </c>
      <c r="F13" s="224" t="str">
        <f t="shared" si="1"/>
        <v>112.3.c&amp;d</v>
      </c>
      <c r="G13" s="224"/>
      <c r="H13" s="156">
        <f t="shared" si="2"/>
        <v>33496700</v>
      </c>
      <c r="I13" s="10"/>
      <c r="J13" s="156">
        <f t="shared" si="3"/>
        <v>0</v>
      </c>
      <c r="T13" s="157">
        <v>0</v>
      </c>
      <c r="U13" s="157"/>
      <c r="V13" s="157"/>
      <c r="W13" s="157">
        <v>33496700</v>
      </c>
      <c r="X13" s="157"/>
      <c r="Y13" s="157"/>
      <c r="AA13" s="157">
        <v>33496700</v>
      </c>
      <c r="AB13" s="157">
        <v>33496700</v>
      </c>
      <c r="AC13" s="157"/>
      <c r="AD13" s="157">
        <f t="shared" si="0"/>
        <v>0</v>
      </c>
      <c r="AE13" s="341">
        <f>J13/H13</f>
        <v>0</v>
      </c>
      <c r="AF13" s="342">
        <f>AB13/AA13</f>
        <v>1</v>
      </c>
    </row>
    <row r="14" spans="1:32" x14ac:dyDescent="0.2">
      <c r="B14" s="224">
        <v>112</v>
      </c>
      <c r="C14" s="224">
        <v>12</v>
      </c>
      <c r="D14" s="224" t="s">
        <v>242</v>
      </c>
      <c r="E14" s="4" t="s">
        <v>191</v>
      </c>
      <c r="F14" s="224" t="str">
        <f t="shared" si="1"/>
        <v>112.12.c&amp;d</v>
      </c>
      <c r="G14" s="224"/>
      <c r="H14" s="156">
        <f t="shared" si="2"/>
        <v>0</v>
      </c>
      <c r="I14" s="10"/>
      <c r="J14" s="156">
        <f t="shared" si="3"/>
        <v>0</v>
      </c>
      <c r="M14" s="85"/>
      <c r="T14" s="157">
        <v>0</v>
      </c>
      <c r="U14" s="157"/>
      <c r="V14" s="157"/>
      <c r="W14" s="157">
        <v>0</v>
      </c>
      <c r="X14" s="157"/>
      <c r="Y14" s="157"/>
      <c r="AA14" s="157">
        <v>0</v>
      </c>
      <c r="AB14" s="157">
        <v>0</v>
      </c>
      <c r="AC14" s="157"/>
      <c r="AD14" s="157">
        <f t="shared" si="0"/>
        <v>0</v>
      </c>
      <c r="AE14" s="341"/>
      <c r="AF14" s="342"/>
    </row>
    <row r="15" spans="1:32" x14ac:dyDescent="0.2">
      <c r="B15" s="224">
        <v>112</v>
      </c>
      <c r="C15" s="224">
        <v>16</v>
      </c>
      <c r="D15" s="224" t="s">
        <v>242</v>
      </c>
      <c r="E15" s="4" t="s">
        <v>192</v>
      </c>
      <c r="F15" s="224" t="str">
        <f t="shared" si="1"/>
        <v>112.16.c&amp;d</v>
      </c>
      <c r="G15" s="224"/>
      <c r="H15" s="156">
        <f t="shared" si="2"/>
        <v>4832441481</v>
      </c>
      <c r="I15" s="10"/>
      <c r="J15" s="156">
        <f t="shared" si="3"/>
        <v>4797115007</v>
      </c>
      <c r="T15" s="157">
        <v>4797115007</v>
      </c>
      <c r="U15" s="157"/>
      <c r="V15" s="157"/>
      <c r="W15" s="157">
        <v>4832441481</v>
      </c>
      <c r="X15" s="157"/>
      <c r="Y15" s="157"/>
      <c r="AA15" s="157">
        <v>4709257713</v>
      </c>
      <c r="AB15" s="157">
        <v>4832441481</v>
      </c>
      <c r="AC15" s="157"/>
      <c r="AD15" s="157">
        <f t="shared" si="0"/>
        <v>0</v>
      </c>
      <c r="AE15" s="341">
        <f>J15/H15</f>
        <v>0.99268972544439593</v>
      </c>
      <c r="AF15" s="342">
        <f>AB15/AA15</f>
        <v>1.0261577886595479</v>
      </c>
    </row>
    <row r="16" spans="1:32" x14ac:dyDescent="0.2">
      <c r="B16" s="224">
        <v>112</v>
      </c>
      <c r="C16" s="224">
        <v>24</v>
      </c>
      <c r="D16" s="224" t="s">
        <v>242</v>
      </c>
      <c r="E16" s="4" t="s">
        <v>887</v>
      </c>
      <c r="F16" s="224" t="str">
        <f t="shared" si="1"/>
        <v>112.24.c&amp;d</v>
      </c>
      <c r="G16" s="224"/>
      <c r="H16" s="156">
        <f t="shared" si="2"/>
        <v>5131230111</v>
      </c>
      <c r="I16" s="10"/>
      <c r="J16" s="156">
        <f t="shared" si="3"/>
        <v>4706995378</v>
      </c>
      <c r="T16" s="157">
        <v>4706995378</v>
      </c>
      <c r="U16" s="157"/>
      <c r="V16" s="157"/>
      <c r="W16" s="157">
        <v>5131230111</v>
      </c>
      <c r="X16" s="157"/>
      <c r="Y16" s="157"/>
      <c r="AA16" s="157">
        <v>4481946907</v>
      </c>
      <c r="AB16" s="157">
        <v>5131230111</v>
      </c>
      <c r="AC16" s="157"/>
      <c r="AD16" s="157">
        <f t="shared" si="0"/>
        <v>0</v>
      </c>
      <c r="AE16" s="341">
        <f>J16/H16</f>
        <v>0.91732299588542077</v>
      </c>
      <c r="AF16" s="342">
        <f>AB16/AA16</f>
        <v>1.1448663309656648</v>
      </c>
    </row>
    <row r="17" spans="2:32" x14ac:dyDescent="0.2">
      <c r="B17" s="224">
        <v>113</v>
      </c>
      <c r="C17" s="224">
        <v>61</v>
      </c>
      <c r="D17" s="224" t="s">
        <v>242</v>
      </c>
      <c r="E17" s="4" t="s">
        <v>193</v>
      </c>
      <c r="F17" s="224" t="str">
        <f t="shared" si="1"/>
        <v>113.61.c&amp;d</v>
      </c>
      <c r="G17" s="224"/>
      <c r="H17" s="156">
        <f t="shared" si="2"/>
        <v>0</v>
      </c>
      <c r="I17" s="10"/>
      <c r="J17" s="156">
        <f t="shared" si="3"/>
        <v>0</v>
      </c>
      <c r="M17" s="162" t="s">
        <v>768</v>
      </c>
      <c r="N17" s="163"/>
      <c r="O17" s="163"/>
      <c r="P17" s="163"/>
      <c r="Q17" s="163"/>
      <c r="R17" s="164"/>
      <c r="S17" s="130"/>
      <c r="T17" s="157">
        <v>0</v>
      </c>
      <c r="U17" s="157"/>
      <c r="V17" s="157"/>
      <c r="W17" s="157">
        <v>0</v>
      </c>
      <c r="X17" s="157"/>
      <c r="Y17" s="157"/>
      <c r="AA17" s="157">
        <v>0</v>
      </c>
      <c r="AB17" s="157">
        <v>0</v>
      </c>
      <c r="AC17" s="157"/>
      <c r="AD17" s="157">
        <f t="shared" si="0"/>
        <v>0</v>
      </c>
      <c r="AE17" s="343"/>
      <c r="AF17" s="342"/>
    </row>
    <row r="18" spans="2:32" x14ac:dyDescent="0.2">
      <c r="B18" s="224">
        <v>117</v>
      </c>
      <c r="C18" s="71" t="s">
        <v>430</v>
      </c>
      <c r="D18" s="224" t="s">
        <v>12</v>
      </c>
      <c r="E18" s="4" t="s">
        <v>885</v>
      </c>
      <c r="F18" s="224" t="str">
        <f>FIXED(B18,0)&amp;"."&amp;C18&amp;"."&amp;D18</f>
        <v>117.62 thru 67.c</v>
      </c>
      <c r="G18" s="224"/>
      <c r="H18" s="156"/>
      <c r="I18" s="10"/>
      <c r="J18" s="156">
        <f t="shared" si="3"/>
        <v>248449563.78999999</v>
      </c>
      <c r="M18" s="165" t="s">
        <v>765</v>
      </c>
      <c r="N18" s="166" t="s">
        <v>485</v>
      </c>
      <c r="O18" s="166" t="s">
        <v>764</v>
      </c>
      <c r="P18" s="167" t="s">
        <v>4</v>
      </c>
      <c r="Q18" s="163"/>
      <c r="R18" s="164"/>
      <c r="S18" s="130"/>
      <c r="T18" s="157">
        <f>243043315+5406249+95858</f>
        <v>248545422</v>
      </c>
      <c r="U18" s="157">
        <v>-95858.210000000079</v>
      </c>
      <c r="V18" s="119" t="s">
        <v>880</v>
      </c>
      <c r="W18" s="157"/>
      <c r="X18" s="157"/>
      <c r="Y18" s="157"/>
      <c r="AA18" s="157">
        <v>0</v>
      </c>
      <c r="AB18" s="157">
        <v>258179963.94</v>
      </c>
      <c r="AC18" s="157"/>
      <c r="AD18" s="157"/>
      <c r="AE18" s="343">
        <f>J18/AB18</f>
        <v>0.96231155972947102</v>
      </c>
      <c r="AF18" s="342"/>
    </row>
    <row r="19" spans="2:32" x14ac:dyDescent="0.2">
      <c r="B19" s="224">
        <v>118</v>
      </c>
      <c r="C19" s="224">
        <v>29</v>
      </c>
      <c r="D19" s="224" t="s">
        <v>12</v>
      </c>
      <c r="E19" s="4" t="s">
        <v>70</v>
      </c>
      <c r="F19" s="224" t="str">
        <f>FIXED(B19,0)&amp;"."&amp;C19&amp;"."&amp;D19</f>
        <v>118.29.c</v>
      </c>
      <c r="G19" s="224"/>
      <c r="H19" s="156"/>
      <c r="I19" s="10"/>
      <c r="J19" s="156">
        <f t="shared" si="3"/>
        <v>274570</v>
      </c>
      <c r="M19" s="142" t="s">
        <v>723</v>
      </c>
      <c r="N19" s="120">
        <f>N20-1</f>
        <v>2012</v>
      </c>
      <c r="O19" s="135">
        <f>-R31</f>
        <v>-4358535.5</v>
      </c>
      <c r="P19" s="168" t="s">
        <v>760</v>
      </c>
      <c r="Q19" s="130"/>
      <c r="R19" s="169"/>
      <c r="S19" s="130"/>
      <c r="T19" s="157">
        <v>274570</v>
      </c>
      <c r="U19" s="157"/>
      <c r="V19" s="157"/>
      <c r="W19" s="157"/>
      <c r="X19" s="157"/>
      <c r="Y19" s="157"/>
      <c r="AA19" s="157">
        <v>0</v>
      </c>
      <c r="AB19" s="157">
        <v>1511860</v>
      </c>
      <c r="AC19" s="157"/>
      <c r="AD19" s="157"/>
      <c r="AE19" s="343">
        <f>J19/AB19</f>
        <v>0.18161073115235538</v>
      </c>
      <c r="AF19" s="342"/>
    </row>
    <row r="20" spans="2:32" x14ac:dyDescent="0.2">
      <c r="B20" s="224">
        <v>200</v>
      </c>
      <c r="C20" s="224">
        <v>21</v>
      </c>
      <c r="D20" s="224" t="s">
        <v>12</v>
      </c>
      <c r="E20" s="4" t="s">
        <v>159</v>
      </c>
      <c r="F20" s="224" t="str">
        <f t="shared" ref="F20:F30" si="4">FIXED(B20,0)&amp;"."&amp;FIXED(C20,0)&amp;"."&amp;D20</f>
        <v>200.21.c</v>
      </c>
      <c r="G20" s="224"/>
      <c r="H20" s="156"/>
      <c r="I20" s="10"/>
      <c r="J20" s="156">
        <f t="shared" si="3"/>
        <v>129155675</v>
      </c>
      <c r="M20" s="142" t="s">
        <v>723</v>
      </c>
      <c r="N20" s="120">
        <f>_YR</f>
        <v>2013</v>
      </c>
      <c r="O20" s="135">
        <f>-R32</f>
        <v>-6801019.2000000002</v>
      </c>
      <c r="P20" s="168" t="s">
        <v>761</v>
      </c>
      <c r="Q20" s="130"/>
      <c r="R20" s="169"/>
      <c r="S20" s="130"/>
      <c r="T20" s="157">
        <v>129155675</v>
      </c>
      <c r="U20" s="157"/>
      <c r="V20" s="157"/>
      <c r="W20" s="157"/>
      <c r="X20" s="157"/>
      <c r="Y20" s="157"/>
      <c r="AA20" s="157">
        <v>0</v>
      </c>
      <c r="AB20" s="157">
        <v>138037065</v>
      </c>
      <c r="AC20" s="157"/>
      <c r="AD20" s="157">
        <f>J70-AB20</f>
        <v>0</v>
      </c>
      <c r="AE20" s="343">
        <f>J20/AB20</f>
        <v>0.93565938249991043</v>
      </c>
      <c r="AF20" s="342"/>
    </row>
    <row r="21" spans="2:32" x14ac:dyDescent="0.2">
      <c r="B21" s="224">
        <v>205</v>
      </c>
      <c r="C21" s="224">
        <v>5</v>
      </c>
      <c r="D21" s="224" t="s">
        <v>238</v>
      </c>
      <c r="E21" s="4" t="s">
        <v>155</v>
      </c>
      <c r="F21" s="224" t="str">
        <f t="shared" si="4"/>
        <v>205.5.b&amp;g</v>
      </c>
      <c r="G21" s="224"/>
      <c r="H21" s="156">
        <f t="shared" si="2"/>
        <v>140095249</v>
      </c>
      <c r="I21" s="10"/>
      <c r="J21" s="156">
        <f t="shared" si="3"/>
        <v>282966535</v>
      </c>
      <c r="M21" s="142" t="s">
        <v>757</v>
      </c>
      <c r="N21" s="130">
        <f>N19</f>
        <v>2012</v>
      </c>
      <c r="O21" s="170">
        <f>-R41</f>
        <v>-279206.52429457783</v>
      </c>
      <c r="P21" s="168" t="s">
        <v>762</v>
      </c>
      <c r="Q21" s="130"/>
      <c r="R21" s="169"/>
      <c r="S21" s="130"/>
      <c r="T21" s="157">
        <v>282966535</v>
      </c>
      <c r="U21" s="157"/>
      <c r="V21" s="157"/>
      <c r="W21" s="157">
        <v>140095249</v>
      </c>
      <c r="X21" s="157"/>
      <c r="Y21" s="157"/>
      <c r="AA21" s="157">
        <v>153869341</v>
      </c>
      <c r="AB21" s="157">
        <v>140095249</v>
      </c>
      <c r="AC21" s="157"/>
      <c r="AD21" s="157">
        <f>H21-AB21</f>
        <v>0</v>
      </c>
      <c r="AE21" s="341">
        <f>J21/H21</f>
        <v>2.019815354337962</v>
      </c>
      <c r="AF21" s="342">
        <f>AB21/AA21</f>
        <v>0.91048189385564471</v>
      </c>
    </row>
    <row r="22" spans="2:32" x14ac:dyDescent="0.2">
      <c r="B22" s="224">
        <v>205</v>
      </c>
      <c r="C22" s="224">
        <v>46</v>
      </c>
      <c r="D22" s="224" t="s">
        <v>238</v>
      </c>
      <c r="E22" s="4" t="s">
        <v>244</v>
      </c>
      <c r="F22" s="224" t="str">
        <f t="shared" si="4"/>
        <v>205.46.b&amp;g</v>
      </c>
      <c r="G22" s="224"/>
      <c r="H22" s="156">
        <f t="shared" si="2"/>
        <v>5730636186</v>
      </c>
      <c r="I22" s="10"/>
      <c r="J22" s="156">
        <f t="shared" si="3"/>
        <v>5914559556</v>
      </c>
      <c r="K22" s="85"/>
      <c r="M22" s="142" t="s">
        <v>757</v>
      </c>
      <c r="N22" s="130">
        <f>N20</f>
        <v>2013</v>
      </c>
      <c r="O22" s="170">
        <f>-R42</f>
        <v>-403239.44449899159</v>
      </c>
      <c r="P22" s="168" t="s">
        <v>762</v>
      </c>
      <c r="Q22" s="130"/>
      <c r="R22" s="169"/>
      <c r="S22" s="130"/>
      <c r="T22" s="119">
        <v>5929426684</v>
      </c>
      <c r="U22" s="157">
        <v>-14867128</v>
      </c>
      <c r="V22" s="119" t="s">
        <v>818</v>
      </c>
      <c r="W22" s="119">
        <v>5748205641</v>
      </c>
      <c r="X22" s="157">
        <v>-17569455</v>
      </c>
      <c r="Y22" s="119" t="s">
        <v>818</v>
      </c>
      <c r="AA22" s="157">
        <v>6570051050</v>
      </c>
      <c r="AB22" s="157">
        <v>5730636186</v>
      </c>
      <c r="AC22" s="157"/>
      <c r="AD22" s="157">
        <f>H22-AB22</f>
        <v>0</v>
      </c>
      <c r="AE22" s="341">
        <f>J22/H22</f>
        <v>1.03209475598003</v>
      </c>
      <c r="AF22" s="342">
        <f>AB22/AA22</f>
        <v>0.87223617326382874</v>
      </c>
    </row>
    <row r="23" spans="2:32" x14ac:dyDescent="0.2">
      <c r="B23" s="224">
        <v>207</v>
      </c>
      <c r="C23" s="224">
        <v>58</v>
      </c>
      <c r="D23" s="224" t="s">
        <v>238</v>
      </c>
      <c r="E23" s="4" t="s">
        <v>156</v>
      </c>
      <c r="F23" s="224" t="str">
        <f t="shared" si="4"/>
        <v>207.58.b&amp;g</v>
      </c>
      <c r="G23" s="224"/>
      <c r="H23" s="156">
        <f t="shared" si="2"/>
        <v>2160327800.5</v>
      </c>
      <c r="I23" s="10"/>
      <c r="J23" s="156">
        <f t="shared" si="3"/>
        <v>2362668716.8000002</v>
      </c>
      <c r="K23" s="85"/>
      <c r="M23" s="142" t="s">
        <v>756</v>
      </c>
      <c r="N23" s="130">
        <f>N20</f>
        <v>2013</v>
      </c>
      <c r="O23" s="170">
        <f>-Q42</f>
        <v>-124032.92020441379</v>
      </c>
      <c r="P23" s="171" t="s">
        <v>763</v>
      </c>
      <c r="Q23" s="130"/>
      <c r="R23" s="169"/>
      <c r="S23" s="130"/>
      <c r="T23" s="157">
        <v>2369469736</v>
      </c>
      <c r="U23" s="157">
        <f>+O20</f>
        <v>-6801019.2000000002</v>
      </c>
      <c r="V23" s="157"/>
      <c r="W23" s="157">
        <v>2164686336</v>
      </c>
      <c r="X23" s="157">
        <f>+O19</f>
        <v>-4358535.5</v>
      </c>
      <c r="Y23" s="157"/>
      <c r="AA23" s="157">
        <v>2029729761</v>
      </c>
      <c r="AB23" s="157">
        <v>2163562301</v>
      </c>
      <c r="AC23" s="157"/>
      <c r="AD23" s="157">
        <f>H23-AB23</f>
        <v>-3234500.5</v>
      </c>
      <c r="AE23" s="341">
        <f>J23/H23</f>
        <v>1.0936621360208247</v>
      </c>
      <c r="AF23" s="342">
        <f>AB23/AA23</f>
        <v>1.0659361371998921</v>
      </c>
    </row>
    <row r="24" spans="2:32" x14ac:dyDescent="0.2">
      <c r="B24" s="224">
        <v>207</v>
      </c>
      <c r="C24" s="224">
        <v>75</v>
      </c>
      <c r="D24" s="224" t="s">
        <v>238</v>
      </c>
      <c r="E24" s="4" t="s">
        <v>157</v>
      </c>
      <c r="F24" s="224" t="str">
        <f t="shared" si="4"/>
        <v>207.75.b&amp;g</v>
      </c>
      <c r="G24" s="224"/>
      <c r="H24" s="156">
        <f t="shared" si="2"/>
        <v>4307614618</v>
      </c>
      <c r="I24" s="10"/>
      <c r="J24" s="156">
        <f t="shared" si="3"/>
        <v>4485730287</v>
      </c>
      <c r="K24" s="85"/>
      <c r="M24" s="162" t="s">
        <v>759</v>
      </c>
      <c r="N24" s="163"/>
      <c r="O24" s="163"/>
      <c r="P24" s="172"/>
      <c r="Q24" s="163"/>
      <c r="R24" s="173"/>
      <c r="S24" s="130"/>
      <c r="T24" s="157">
        <v>4485730287</v>
      </c>
      <c r="U24" s="157"/>
      <c r="V24" s="157"/>
      <c r="W24" s="157">
        <v>4307614618</v>
      </c>
      <c r="X24" s="157"/>
      <c r="Y24" s="157"/>
      <c r="AA24" s="157">
        <v>4146253365</v>
      </c>
      <c r="AB24" s="157">
        <v>4307614618</v>
      </c>
      <c r="AC24" s="157"/>
      <c r="AD24" s="157">
        <f>H24-AB24</f>
        <v>0</v>
      </c>
      <c r="AE24" s="341">
        <f>J24/H24</f>
        <v>1.0413490260376863</v>
      </c>
      <c r="AF24" s="342">
        <f>AB24/AA24</f>
        <v>1.0389173643757779</v>
      </c>
    </row>
    <row r="25" spans="2:32" x14ac:dyDescent="0.2">
      <c r="B25" s="224">
        <v>207</v>
      </c>
      <c r="C25" s="224">
        <v>99</v>
      </c>
      <c r="D25" s="224" t="s">
        <v>238</v>
      </c>
      <c r="E25" s="4" t="s">
        <v>158</v>
      </c>
      <c r="F25" s="224" t="str">
        <f t="shared" si="4"/>
        <v>207.99.b&amp;g</v>
      </c>
      <c r="G25" s="224"/>
      <c r="H25" s="156">
        <f t="shared" si="2"/>
        <v>330661239</v>
      </c>
      <c r="I25" s="10"/>
      <c r="J25" s="156">
        <f t="shared" si="3"/>
        <v>401305725</v>
      </c>
      <c r="K25" s="85"/>
      <c r="M25" s="160"/>
      <c r="N25" s="130"/>
      <c r="O25" s="172" t="s">
        <v>753</v>
      </c>
      <c r="P25" s="172" t="s">
        <v>769</v>
      </c>
      <c r="Q25" s="172" t="s">
        <v>754</v>
      </c>
      <c r="R25" s="169"/>
      <c r="S25" s="130"/>
      <c r="T25" s="157">
        <v>403279964</v>
      </c>
      <c r="U25" s="157">
        <v>-1974239</v>
      </c>
      <c r="V25" s="119" t="s">
        <v>819</v>
      </c>
      <c r="W25" s="157">
        <v>332635478</v>
      </c>
      <c r="X25" s="157">
        <v>-1974239</v>
      </c>
      <c r="Y25" s="119" t="s">
        <v>819</v>
      </c>
      <c r="AA25" s="157">
        <v>326862240</v>
      </c>
      <c r="AB25" s="157">
        <v>330661239</v>
      </c>
      <c r="AC25" s="157"/>
      <c r="AD25" s="157">
        <f>H25-AB25</f>
        <v>0</v>
      </c>
      <c r="AE25" s="341">
        <f>J25/H25</f>
        <v>1.2136461056446959</v>
      </c>
      <c r="AF25" s="342">
        <f>AB25/AA25</f>
        <v>1.0116226303778619</v>
      </c>
    </row>
    <row r="26" spans="2:32" x14ac:dyDescent="0.2">
      <c r="B26" s="224">
        <v>214</v>
      </c>
      <c r="C26" s="224">
        <v>47</v>
      </c>
      <c r="D26" s="224" t="s">
        <v>15</v>
      </c>
      <c r="E26" s="4" t="s">
        <v>11</v>
      </c>
      <c r="F26" s="224" t="str">
        <f t="shared" si="4"/>
        <v>214.47.d</v>
      </c>
      <c r="G26" s="224"/>
      <c r="H26" s="156"/>
      <c r="I26" s="10"/>
      <c r="J26" s="156">
        <f t="shared" si="3"/>
        <v>29554745</v>
      </c>
      <c r="M26" s="160"/>
      <c r="N26" s="172" t="s">
        <v>746</v>
      </c>
      <c r="O26" s="172" t="s">
        <v>750</v>
      </c>
      <c r="P26" s="172" t="s">
        <v>771</v>
      </c>
      <c r="Q26" s="172" t="s">
        <v>773</v>
      </c>
      <c r="R26" s="174" t="s">
        <v>747</v>
      </c>
      <c r="S26" s="172"/>
      <c r="T26" s="10">
        <f>1046211+1808764+2584486+752861+6421115+16941308</f>
        <v>29554745</v>
      </c>
      <c r="U26" s="157"/>
      <c r="V26" s="119" t="s">
        <v>864</v>
      </c>
      <c r="W26" s="157"/>
      <c r="X26" s="157"/>
      <c r="Y26" s="157"/>
      <c r="AA26" s="157">
        <v>0</v>
      </c>
      <c r="AB26" s="157">
        <v>6192322</v>
      </c>
      <c r="AC26" s="157"/>
      <c r="AD26" s="157">
        <f>J71-AB26</f>
        <v>6421115</v>
      </c>
      <c r="AE26" s="343">
        <f>J26/AB26</f>
        <v>4.7728049348854924</v>
      </c>
      <c r="AF26" s="342"/>
    </row>
    <row r="27" spans="2:32" x14ac:dyDescent="0.2">
      <c r="B27" s="224">
        <v>219</v>
      </c>
      <c r="C27" s="71" t="s">
        <v>431</v>
      </c>
      <c r="D27" s="11" t="s">
        <v>12</v>
      </c>
      <c r="E27" s="4" t="s">
        <v>160</v>
      </c>
      <c r="F27" s="224" t="str">
        <f>B27&amp;"."&amp;C27&amp;"."&amp;D27</f>
        <v>219.20 thru 24.c</v>
      </c>
      <c r="G27" s="224"/>
      <c r="H27" s="156"/>
      <c r="I27" s="10"/>
      <c r="J27" s="156">
        <f t="shared" si="3"/>
        <v>2347335972</v>
      </c>
      <c r="M27" s="160"/>
      <c r="N27" s="175" t="s">
        <v>752</v>
      </c>
      <c r="O27" s="175" t="s">
        <v>751</v>
      </c>
      <c r="P27" s="175" t="s">
        <v>770</v>
      </c>
      <c r="Q27" s="175" t="s">
        <v>772</v>
      </c>
      <c r="R27" s="176" t="s">
        <v>724</v>
      </c>
      <c r="S27" s="175"/>
      <c r="T27" s="119">
        <f>1459501563+73991324+813843085</f>
        <v>2347335972</v>
      </c>
      <c r="U27" s="157"/>
      <c r="V27" s="157"/>
      <c r="W27" s="157"/>
      <c r="X27" s="157"/>
      <c r="Y27" s="157"/>
      <c r="AA27" s="157">
        <v>0</v>
      </c>
      <c r="AB27" s="157">
        <v>2277766078</v>
      </c>
      <c r="AC27" s="157"/>
      <c r="AD27" s="157">
        <f>J72-AB27</f>
        <v>0</v>
      </c>
      <c r="AE27" s="343">
        <f>J27/AB27</f>
        <v>1.0305430371766209</v>
      </c>
      <c r="AF27" s="342"/>
    </row>
    <row r="28" spans="2:32" x14ac:dyDescent="0.2">
      <c r="B28" s="224">
        <v>219</v>
      </c>
      <c r="C28" s="224">
        <v>25</v>
      </c>
      <c r="D28" s="11" t="s">
        <v>12</v>
      </c>
      <c r="E28" s="4" t="s">
        <v>161</v>
      </c>
      <c r="F28" s="224" t="str">
        <f t="shared" si="4"/>
        <v>219.25.c</v>
      </c>
      <c r="G28" s="224"/>
      <c r="H28" s="156"/>
      <c r="I28" s="10"/>
      <c r="J28" s="156">
        <f t="shared" si="3"/>
        <v>559906250.55550098</v>
      </c>
      <c r="K28" s="85" t="s">
        <v>237</v>
      </c>
      <c r="M28" s="160">
        <v>2009</v>
      </c>
      <c r="N28" s="193">
        <v>8980981</v>
      </c>
      <c r="O28" s="193">
        <f t="shared" ref="O28:O29" si="5">N28*0.5</f>
        <v>4490490.5</v>
      </c>
      <c r="P28" s="193">
        <v>1255990</v>
      </c>
      <c r="Q28" s="193">
        <f t="shared" ref="Q28:Q30" si="6">O28-P28</f>
        <v>3234500.5</v>
      </c>
      <c r="R28" s="177">
        <f>Q28</f>
        <v>3234500.5</v>
      </c>
      <c r="S28" s="190"/>
      <c r="T28" s="157">
        <v>560309490</v>
      </c>
      <c r="U28" s="157">
        <f>+O22</f>
        <v>-403239.44449899159</v>
      </c>
      <c r="V28" s="119" t="s">
        <v>820</v>
      </c>
      <c r="W28" s="157"/>
      <c r="X28" s="157"/>
      <c r="Y28" s="157"/>
      <c r="AA28" s="157">
        <v>0</v>
      </c>
      <c r="AB28" s="157">
        <v>539345948.56508899</v>
      </c>
      <c r="AC28" s="157"/>
      <c r="AD28" s="157">
        <f>J73-AB28</f>
        <v>-51804.089383602142</v>
      </c>
      <c r="AE28" s="343">
        <f>J28/AB28</f>
        <v>1.0381208054776567</v>
      </c>
      <c r="AF28" s="342"/>
    </row>
    <row r="29" spans="2:32" x14ac:dyDescent="0.2">
      <c r="B29" s="224">
        <v>219</v>
      </c>
      <c r="C29" s="224">
        <v>26</v>
      </c>
      <c r="D29" s="11" t="s">
        <v>12</v>
      </c>
      <c r="E29" s="4" t="s">
        <v>162</v>
      </c>
      <c r="F29" s="224" t="str">
        <f t="shared" si="4"/>
        <v>219.26.c</v>
      </c>
      <c r="G29" s="224"/>
      <c r="H29" s="156"/>
      <c r="I29" s="10"/>
      <c r="J29" s="156">
        <f t="shared" si="3"/>
        <v>1780751221</v>
      </c>
      <c r="L29" s="344"/>
      <c r="M29" s="160">
        <v>2010</v>
      </c>
      <c r="N29" s="193">
        <v>3121018</v>
      </c>
      <c r="O29" s="193">
        <f t="shared" si="5"/>
        <v>1560509</v>
      </c>
      <c r="P29" s="193">
        <v>436474</v>
      </c>
      <c r="Q29" s="193">
        <f t="shared" si="6"/>
        <v>1124035</v>
      </c>
      <c r="R29" s="177">
        <f t="shared" ref="R29:R30" si="7">R28+Q29</f>
        <v>4358535.5</v>
      </c>
      <c r="S29" s="190"/>
      <c r="T29" s="157">
        <v>1780751221</v>
      </c>
      <c r="U29" s="157"/>
      <c r="V29" s="157"/>
      <c r="W29" s="157"/>
      <c r="X29" s="157"/>
      <c r="Y29" s="157"/>
      <c r="AA29" s="157">
        <v>0</v>
      </c>
      <c r="AB29" s="157">
        <v>1705437350</v>
      </c>
      <c r="AC29" s="157"/>
      <c r="AD29" s="157">
        <f>J74-AB29</f>
        <v>0</v>
      </c>
      <c r="AE29" s="343">
        <f>J29/AB29</f>
        <v>1.0441610306001565</v>
      </c>
      <c r="AF29" s="342"/>
    </row>
    <row r="30" spans="2:32" x14ac:dyDescent="0.2">
      <c r="B30" s="224">
        <v>219</v>
      </c>
      <c r="C30" s="224">
        <v>28</v>
      </c>
      <c r="D30" s="11" t="s">
        <v>12</v>
      </c>
      <c r="E30" s="4" t="s">
        <v>163</v>
      </c>
      <c r="F30" s="224" t="str">
        <f t="shared" si="4"/>
        <v>219.28.c</v>
      </c>
      <c r="G30" s="224"/>
      <c r="H30" s="156"/>
      <c r="I30" s="10"/>
      <c r="J30" s="156">
        <f t="shared" si="3"/>
        <v>95523096</v>
      </c>
      <c r="M30" s="160">
        <v>2011</v>
      </c>
      <c r="N30" s="193">
        <v>0</v>
      </c>
      <c r="O30" s="193">
        <f>N30*0.5</f>
        <v>0</v>
      </c>
      <c r="P30" s="193">
        <v>0</v>
      </c>
      <c r="Q30" s="193">
        <f t="shared" si="6"/>
        <v>0</v>
      </c>
      <c r="R30" s="177">
        <f t="shared" si="7"/>
        <v>4358535.5</v>
      </c>
      <c r="S30" s="190"/>
      <c r="T30" s="157">
        <v>95523096</v>
      </c>
      <c r="U30" s="157"/>
      <c r="V30" s="157"/>
      <c r="W30" s="157"/>
      <c r="X30" s="157"/>
      <c r="Y30" s="157"/>
      <c r="AA30" s="157">
        <v>0</v>
      </c>
      <c r="AB30" s="157">
        <v>89081929</v>
      </c>
      <c r="AC30" s="157"/>
      <c r="AD30" s="157">
        <f>J75-AB30</f>
        <v>0</v>
      </c>
      <c r="AE30" s="343">
        <f>J30/AB30</f>
        <v>1.0723061014989921</v>
      </c>
      <c r="AF30" s="342"/>
    </row>
    <row r="31" spans="2:32" x14ac:dyDescent="0.2">
      <c r="B31" s="224">
        <v>227</v>
      </c>
      <c r="C31" s="224">
        <v>8</v>
      </c>
      <c r="D31" s="224" t="s">
        <v>250</v>
      </c>
      <c r="E31" s="4" t="s">
        <v>65</v>
      </c>
      <c r="F31" s="224" t="str">
        <f>FIXED(B31,0)&amp;"."&amp;FIXED(C31,0)&amp;"."&amp;D31</f>
        <v>227.8.b&amp;c</v>
      </c>
      <c r="G31" s="224"/>
      <c r="H31" s="156">
        <f t="shared" si="2"/>
        <v>5482316</v>
      </c>
      <c r="I31" s="10"/>
      <c r="J31" s="156">
        <f t="shared" si="3"/>
        <v>1124024</v>
      </c>
      <c r="L31" s="6"/>
      <c r="M31" s="160">
        <v>2012</v>
      </c>
      <c r="N31" s="193">
        <v>0</v>
      </c>
      <c r="O31" s="187">
        <f>N31*0.5</f>
        <v>0</v>
      </c>
      <c r="P31" s="193">
        <v>0</v>
      </c>
      <c r="Q31" s="193">
        <f>O31-P31</f>
        <v>0</v>
      </c>
      <c r="R31" s="177">
        <f>R30+Q31</f>
        <v>4358535.5</v>
      </c>
      <c r="S31" s="130"/>
      <c r="T31" s="157">
        <v>1124024</v>
      </c>
      <c r="U31" s="157"/>
      <c r="V31" s="157"/>
      <c r="W31" s="157">
        <v>5482316</v>
      </c>
      <c r="X31" s="157"/>
      <c r="Y31" s="157"/>
      <c r="AA31" s="157">
        <v>12671423</v>
      </c>
      <c r="AB31" s="157">
        <v>5482316</v>
      </c>
      <c r="AC31" s="157"/>
      <c r="AD31" s="157">
        <f>H31-AB31</f>
        <v>0</v>
      </c>
      <c r="AE31" s="341">
        <f>J31/H31</f>
        <v>0.20502721842374647</v>
      </c>
      <c r="AF31" s="342">
        <f>AB31/AA31</f>
        <v>0.43265196024156088</v>
      </c>
    </row>
    <row r="32" spans="2:32" x14ac:dyDescent="0.2">
      <c r="B32" s="224">
        <v>227</v>
      </c>
      <c r="C32" s="224">
        <v>16</v>
      </c>
      <c r="D32" s="224" t="s">
        <v>250</v>
      </c>
      <c r="E32" s="4" t="s">
        <v>66</v>
      </c>
      <c r="F32" s="224" t="str">
        <f>FIXED(B32,0)&amp;"."&amp;FIXED(C32,0)&amp;"."&amp;D32</f>
        <v>227.16.b&amp;c</v>
      </c>
      <c r="G32" s="224"/>
      <c r="H32" s="156">
        <f t="shared" si="2"/>
        <v>9773644</v>
      </c>
      <c r="I32" s="10"/>
      <c r="J32" s="156">
        <f t="shared" si="3"/>
        <v>6935715</v>
      </c>
      <c r="L32" s="6"/>
      <c r="M32" s="160">
        <v>2013</v>
      </c>
      <c r="N32" s="193">
        <v>6983504.6400000015</v>
      </c>
      <c r="O32" s="193">
        <f>N32*0.5</f>
        <v>3491752.3200000008</v>
      </c>
      <c r="P32" s="193">
        <v>1049268.6200000008</v>
      </c>
      <c r="Q32" s="193">
        <f>O32-P32</f>
        <v>2442483.7000000002</v>
      </c>
      <c r="R32" s="177">
        <f>R31+Q32</f>
        <v>6801019.2000000002</v>
      </c>
      <c r="S32" s="155"/>
      <c r="T32" s="157">
        <v>6935715</v>
      </c>
      <c r="U32" s="157"/>
      <c r="V32" s="157"/>
      <c r="W32" s="157">
        <v>9773644</v>
      </c>
      <c r="X32" s="157"/>
      <c r="Y32" s="157"/>
      <c r="AA32" s="157">
        <v>8603207</v>
      </c>
      <c r="AB32" s="157">
        <v>9773644</v>
      </c>
      <c r="AC32" s="157"/>
      <c r="AD32" s="157">
        <f>H32-AB32</f>
        <v>0</v>
      </c>
      <c r="AE32" s="341">
        <f>J32/H32</f>
        <v>0.70963450275045825</v>
      </c>
      <c r="AF32" s="342">
        <f>AB32/AA32</f>
        <v>1.1360465928577563</v>
      </c>
    </row>
    <row r="33" spans="2:32" x14ac:dyDescent="0.2">
      <c r="B33" s="224" t="s">
        <v>16</v>
      </c>
      <c r="C33" s="224">
        <v>5</v>
      </c>
      <c r="D33" s="224" t="s">
        <v>13</v>
      </c>
      <c r="E33" s="4" t="s">
        <v>169</v>
      </c>
      <c r="F33" s="224" t="str">
        <f>B33&amp;"."&amp;C33&amp;"."&amp;D33</f>
        <v>230a.5.b</v>
      </c>
      <c r="G33" s="224"/>
      <c r="H33" s="156"/>
      <c r="I33" s="10"/>
      <c r="J33" s="156">
        <f t="shared" si="3"/>
        <v>2025020</v>
      </c>
      <c r="M33" s="161"/>
      <c r="N33" s="178"/>
      <c r="O33" s="178"/>
      <c r="P33" s="178"/>
      <c r="Q33" s="178"/>
      <c r="R33" s="179"/>
      <c r="S33" s="172"/>
      <c r="T33" s="157">
        <v>2025020</v>
      </c>
      <c r="U33" s="157"/>
      <c r="V33" s="157"/>
      <c r="W33" s="157"/>
      <c r="X33" s="157"/>
      <c r="Y33" s="157"/>
      <c r="AA33" s="157">
        <v>0</v>
      </c>
      <c r="AB33" s="157">
        <v>2090175</v>
      </c>
      <c r="AC33" s="157"/>
      <c r="AD33" s="157"/>
      <c r="AE33" s="343">
        <f>J33/AB33</f>
        <v>0.96882796894996825</v>
      </c>
      <c r="AF33" s="342"/>
    </row>
    <row r="34" spans="2:32" x14ac:dyDescent="0.2">
      <c r="B34" s="224" t="s">
        <v>16</v>
      </c>
      <c r="C34" s="224">
        <v>5</v>
      </c>
      <c r="D34" s="224" t="s">
        <v>17</v>
      </c>
      <c r="E34" s="4" t="s">
        <v>169</v>
      </c>
      <c r="F34" s="224" t="str">
        <f>B34&amp;"."&amp;C34&amp;"."&amp;D34</f>
        <v>230a.5.e</v>
      </c>
      <c r="G34" s="224"/>
      <c r="H34" s="156"/>
      <c r="I34" s="10"/>
      <c r="J34" s="156">
        <f t="shared" si="3"/>
        <v>65155</v>
      </c>
      <c r="M34" s="160" t="s">
        <v>758</v>
      </c>
      <c r="N34" s="155"/>
      <c r="O34" s="155"/>
      <c r="P34" s="180"/>
      <c r="Q34" s="155"/>
      <c r="R34" s="181"/>
      <c r="S34" s="172"/>
      <c r="T34" s="157">
        <v>65155</v>
      </c>
      <c r="U34" s="157"/>
      <c r="V34" s="157"/>
      <c r="W34" s="157"/>
      <c r="X34" s="157"/>
      <c r="Y34" s="157"/>
      <c r="AA34" s="157">
        <v>0</v>
      </c>
      <c r="AB34" s="157">
        <v>65155</v>
      </c>
      <c r="AC34" s="157"/>
      <c r="AD34" s="157"/>
      <c r="AE34" s="343">
        <f>J34/AB34</f>
        <v>1</v>
      </c>
      <c r="AF34" s="342"/>
    </row>
    <row r="35" spans="2:32" x14ac:dyDescent="0.2">
      <c r="B35" s="224" t="s">
        <v>16</v>
      </c>
      <c r="C35" s="224">
        <v>5</v>
      </c>
      <c r="D35" s="224" t="s">
        <v>35</v>
      </c>
      <c r="E35" s="4" t="s">
        <v>170</v>
      </c>
      <c r="F35" s="224" t="str">
        <f>B35&amp;"."&amp;C35&amp;"."&amp;D35</f>
        <v>230a.5.f</v>
      </c>
      <c r="G35" s="224"/>
      <c r="H35" s="156"/>
      <c r="I35" s="10"/>
      <c r="J35" s="156">
        <f t="shared" si="3"/>
        <v>-6667985.7900000066</v>
      </c>
      <c r="L35" s="130"/>
      <c r="M35" s="182"/>
      <c r="N35" s="172" t="s">
        <v>748</v>
      </c>
      <c r="O35" s="172" t="s">
        <v>753</v>
      </c>
      <c r="P35" s="172" t="s">
        <v>769</v>
      </c>
      <c r="Q35" s="172" t="s">
        <v>754</v>
      </c>
      <c r="R35" s="174" t="s">
        <v>754</v>
      </c>
      <c r="S35" s="175"/>
      <c r="T35" s="345">
        <v>1959865</v>
      </c>
      <c r="U35" s="345">
        <v>-8627850.7900000066</v>
      </c>
      <c r="V35" s="141" t="s">
        <v>879</v>
      </c>
      <c r="W35" s="157"/>
      <c r="X35" s="157"/>
      <c r="Y35" s="157"/>
      <c r="AA35" s="157">
        <v>0</v>
      </c>
      <c r="AB35" s="157">
        <v>-4618198</v>
      </c>
      <c r="AC35" s="157"/>
      <c r="AD35" s="157"/>
      <c r="AE35" s="343">
        <f>J35/AB35</f>
        <v>1.4438501315881229</v>
      </c>
      <c r="AF35" s="342"/>
    </row>
    <row r="36" spans="2:32" x14ac:dyDescent="0.2">
      <c r="B36" s="224">
        <v>234</v>
      </c>
      <c r="C36" s="224">
        <v>8</v>
      </c>
      <c r="D36" s="224" t="s">
        <v>250</v>
      </c>
      <c r="E36" s="4" t="s">
        <v>18</v>
      </c>
      <c r="F36" s="224" t="str">
        <f>FIXED(B36,0)&amp;"."&amp;FIXED(C36,0)&amp;"."&amp;D36</f>
        <v>234.8.b&amp;c</v>
      </c>
      <c r="G36" s="224"/>
      <c r="H36" s="156">
        <f t="shared" si="2"/>
        <v>995528084</v>
      </c>
      <c r="I36" s="10"/>
      <c r="J36" s="156">
        <f t="shared" si="3"/>
        <v>1107815236</v>
      </c>
      <c r="L36" s="130"/>
      <c r="M36" s="160"/>
      <c r="N36" s="172" t="s">
        <v>749</v>
      </c>
      <c r="O36" s="172" t="s">
        <v>750</v>
      </c>
      <c r="P36" s="172" t="s">
        <v>771</v>
      </c>
      <c r="Q36" s="172" t="s">
        <v>755</v>
      </c>
      <c r="R36" s="174" t="s">
        <v>755</v>
      </c>
      <c r="S36" s="190"/>
      <c r="T36" s="345">
        <v>1107815236</v>
      </c>
      <c r="U36" s="345"/>
      <c r="V36" s="345"/>
      <c r="W36" s="157">
        <v>995528084</v>
      </c>
      <c r="X36" s="157"/>
      <c r="Y36" s="157"/>
      <c r="AA36" s="157">
        <v>899031253</v>
      </c>
      <c r="AB36" s="157">
        <v>995528084</v>
      </c>
      <c r="AC36" s="157"/>
      <c r="AD36" s="157">
        <f>H36-AB36</f>
        <v>0</v>
      </c>
      <c r="AE36" s="341">
        <f>J36/H36</f>
        <v>1.1127915463206561</v>
      </c>
      <c r="AF36" s="342">
        <f>AB36/AA36</f>
        <v>1.1073342341303456</v>
      </c>
    </row>
    <row r="37" spans="2:32" x14ac:dyDescent="0.2">
      <c r="B37" s="224">
        <v>263</v>
      </c>
      <c r="C37" s="224">
        <v>3</v>
      </c>
      <c r="D37" s="224" t="s">
        <v>94</v>
      </c>
      <c r="E37" s="4" t="s">
        <v>148</v>
      </c>
      <c r="F37" s="224" t="str">
        <f t="shared" ref="F37:F42" si="8">B37&amp;"."&amp;C37&amp;"."&amp;D37</f>
        <v>263.3.i</v>
      </c>
      <c r="G37" s="224"/>
      <c r="H37" s="156"/>
      <c r="I37" s="10"/>
      <c r="J37" s="156">
        <f t="shared" si="3"/>
        <v>20898355.628027</v>
      </c>
      <c r="L37" s="130"/>
      <c r="M37" s="182"/>
      <c r="N37" s="175" t="s">
        <v>752</v>
      </c>
      <c r="O37" s="175" t="s">
        <v>751</v>
      </c>
      <c r="P37" s="175" t="s">
        <v>774</v>
      </c>
      <c r="Q37" s="175" t="s">
        <v>756</v>
      </c>
      <c r="R37" s="176" t="s">
        <v>757</v>
      </c>
      <c r="S37" s="190"/>
      <c r="T37" s="345">
        <v>21056257</v>
      </c>
      <c r="U37" s="345">
        <v>-157901.37197299997</v>
      </c>
      <c r="V37" s="345" t="s">
        <v>855</v>
      </c>
      <c r="W37" s="157"/>
      <c r="X37" s="157"/>
      <c r="Y37" s="157"/>
      <c r="AA37" s="157">
        <v>0</v>
      </c>
      <c r="AB37" s="157">
        <v>20878200.98</v>
      </c>
      <c r="AC37" s="157"/>
      <c r="AD37" s="157"/>
      <c r="AE37" s="343">
        <f>J37/AB37</f>
        <v>1.0009653440948436</v>
      </c>
      <c r="AF37" s="342"/>
    </row>
    <row r="38" spans="2:32" x14ac:dyDescent="0.2">
      <c r="B38" s="224">
        <v>263</v>
      </c>
      <c r="C38" s="224">
        <v>4</v>
      </c>
      <c r="D38" s="224" t="s">
        <v>94</v>
      </c>
      <c r="E38" s="4" t="s">
        <v>149</v>
      </c>
      <c r="F38" s="224" t="str">
        <f t="shared" si="8"/>
        <v>263.4.i</v>
      </c>
      <c r="G38" s="224"/>
      <c r="H38" s="156"/>
      <c r="I38" s="10"/>
      <c r="J38" s="156">
        <f t="shared" si="3"/>
        <v>0</v>
      </c>
      <c r="K38" s="346"/>
      <c r="L38" s="199">
        <v>0.2797</v>
      </c>
      <c r="M38" s="160">
        <v>2009</v>
      </c>
      <c r="N38" s="193">
        <f t="shared" ref="N38:N39" si="9">O38*2</f>
        <v>106750.08938148015</v>
      </c>
      <c r="O38" s="193">
        <f>P38/L38</f>
        <v>53375.044690740076</v>
      </c>
      <c r="P38" s="193">
        <v>14929</v>
      </c>
      <c r="Q38" s="193">
        <f t="shared" ref="Q38:Q39" si="10">O38-P38</f>
        <v>38446.044690740076</v>
      </c>
      <c r="R38" s="177">
        <f t="shared" ref="R38" si="11">Q38</f>
        <v>38446.044690740076</v>
      </c>
      <c r="S38" s="190"/>
      <c r="T38" s="345">
        <v>0</v>
      </c>
      <c r="U38" s="345"/>
      <c r="V38" s="345"/>
      <c r="W38" s="157"/>
      <c r="X38" s="157"/>
      <c r="Y38" s="157"/>
      <c r="AA38" s="157">
        <v>0</v>
      </c>
      <c r="AB38" s="157">
        <v>0</v>
      </c>
      <c r="AC38" s="157"/>
      <c r="AD38" s="157"/>
      <c r="AE38" s="343"/>
      <c r="AF38" s="342"/>
    </row>
    <row r="39" spans="2:32" x14ac:dyDescent="0.2">
      <c r="B39" s="224">
        <v>263</v>
      </c>
      <c r="C39" s="224">
        <v>7</v>
      </c>
      <c r="D39" s="224" t="s">
        <v>94</v>
      </c>
      <c r="E39" s="4" t="s">
        <v>152</v>
      </c>
      <c r="F39" s="224" t="str">
        <f t="shared" si="8"/>
        <v>263.7.i</v>
      </c>
      <c r="G39" s="224"/>
      <c r="H39" s="156"/>
      <c r="I39" s="10"/>
      <c r="J39" s="156">
        <f t="shared" si="3"/>
        <v>83707</v>
      </c>
      <c r="K39" s="346"/>
      <c r="L39" s="199">
        <v>0.2797</v>
      </c>
      <c r="M39" s="160">
        <v>2010</v>
      </c>
      <c r="N39" s="193">
        <f t="shared" si="9"/>
        <v>207593.85055416517</v>
      </c>
      <c r="O39" s="193">
        <f>P39/L39</f>
        <v>103796.92527708258</v>
      </c>
      <c r="P39" s="193">
        <v>29032</v>
      </c>
      <c r="Q39" s="193">
        <f t="shared" si="10"/>
        <v>74764.925277082584</v>
      </c>
      <c r="R39" s="177">
        <f>Q39+R38</f>
        <v>113210.96996782266</v>
      </c>
      <c r="T39" s="345">
        <v>83707</v>
      </c>
      <c r="U39" s="345"/>
      <c r="V39" s="345"/>
      <c r="W39" s="157"/>
      <c r="X39" s="157"/>
      <c r="Y39" s="157"/>
      <c r="AA39" s="157">
        <v>0</v>
      </c>
      <c r="AB39" s="157">
        <v>47489</v>
      </c>
      <c r="AC39" s="157"/>
      <c r="AD39" s="157"/>
      <c r="AE39" s="343">
        <f>J39/AB39</f>
        <v>1.7626608267177661</v>
      </c>
      <c r="AF39" s="342"/>
    </row>
    <row r="40" spans="2:32" x14ac:dyDescent="0.2">
      <c r="B40" s="224">
        <v>263</v>
      </c>
      <c r="C40" s="224">
        <v>15</v>
      </c>
      <c r="D40" s="224" t="s">
        <v>94</v>
      </c>
      <c r="E40" s="4" t="s">
        <v>150</v>
      </c>
      <c r="F40" s="224" t="str">
        <f t="shared" si="8"/>
        <v>263.15.i</v>
      </c>
      <c r="G40" s="224"/>
      <c r="H40" s="156"/>
      <c r="I40" s="10"/>
      <c r="J40" s="156">
        <f t="shared" si="3"/>
        <v>0</v>
      </c>
      <c r="K40" s="346"/>
      <c r="L40" s="199">
        <v>0.2797</v>
      </c>
      <c r="M40" s="160">
        <f>M42-2</f>
        <v>2011</v>
      </c>
      <c r="N40" s="193">
        <f>O40*2</f>
        <v>240343.22488380407</v>
      </c>
      <c r="O40" s="193">
        <f>P40/L40</f>
        <v>120171.61244190203</v>
      </c>
      <c r="P40" s="193">
        <v>33612</v>
      </c>
      <c r="Q40" s="193">
        <f>O40-P40</f>
        <v>86559.612441902034</v>
      </c>
      <c r="R40" s="177">
        <f t="shared" ref="R40:R42" si="12">Q40+R39</f>
        <v>199770.58240972471</v>
      </c>
      <c r="T40" s="345">
        <v>0</v>
      </c>
      <c r="U40" s="345"/>
      <c r="V40" s="345"/>
      <c r="W40" s="157"/>
      <c r="X40" s="157"/>
      <c r="Y40" s="157"/>
      <c r="AA40" s="157">
        <v>0</v>
      </c>
      <c r="AB40" s="157">
        <v>0</v>
      </c>
      <c r="AC40" s="157"/>
      <c r="AD40" s="157"/>
      <c r="AE40" s="343"/>
      <c r="AF40" s="342"/>
    </row>
    <row r="41" spans="2:32" x14ac:dyDescent="0.2">
      <c r="B41" s="224">
        <v>263</v>
      </c>
      <c r="C41" s="224">
        <v>16</v>
      </c>
      <c r="D41" s="224" t="s">
        <v>94</v>
      </c>
      <c r="E41" s="4" t="s">
        <v>151</v>
      </c>
      <c r="F41" s="224" t="str">
        <f t="shared" si="8"/>
        <v>263.16.i</v>
      </c>
      <c r="G41" s="224"/>
      <c r="H41" s="156"/>
      <c r="I41" s="10"/>
      <c r="J41" s="156">
        <f t="shared" si="3"/>
        <v>0</v>
      </c>
      <c r="L41" s="200">
        <v>0.29732518292315391</v>
      </c>
      <c r="M41" s="160">
        <f>M42-1</f>
        <v>2012</v>
      </c>
      <c r="N41" s="193">
        <f>O41*2</f>
        <v>226095.88376970627</v>
      </c>
      <c r="O41" s="193">
        <f>P41/L41</f>
        <v>113047.94188485313</v>
      </c>
      <c r="P41" s="193">
        <v>33612.000000000029</v>
      </c>
      <c r="Q41" s="193">
        <f>O41-P41</f>
        <v>79435.941884853106</v>
      </c>
      <c r="R41" s="177">
        <f t="shared" si="12"/>
        <v>279206.52429457783</v>
      </c>
      <c r="T41" s="345">
        <v>0</v>
      </c>
      <c r="U41" s="345"/>
      <c r="V41" s="345"/>
      <c r="W41" s="157"/>
      <c r="X41" s="157"/>
      <c r="Y41" s="157"/>
      <c r="AA41" s="157">
        <v>0</v>
      </c>
      <c r="AB41" s="157">
        <v>266755</v>
      </c>
      <c r="AC41" s="157"/>
      <c r="AD41" s="157"/>
      <c r="AE41" s="343"/>
      <c r="AF41" s="342"/>
    </row>
    <row r="42" spans="2:32" x14ac:dyDescent="0.2">
      <c r="B42" s="224">
        <v>263</v>
      </c>
      <c r="C42" s="224">
        <v>22</v>
      </c>
      <c r="D42" s="224" t="s">
        <v>94</v>
      </c>
      <c r="E42" s="4" t="s">
        <v>153</v>
      </c>
      <c r="F42" s="224" t="str">
        <f t="shared" si="8"/>
        <v>263.22.i</v>
      </c>
      <c r="G42" s="224"/>
      <c r="H42" s="156"/>
      <c r="I42" s="10"/>
      <c r="J42" s="156">
        <f t="shared" si="3"/>
        <v>117764106</v>
      </c>
      <c r="L42" s="201">
        <f>(J63+J64+J65+J66)/(J63+J64+J65+J66+J62)</f>
        <v>0.29315467472360085</v>
      </c>
      <c r="M42" s="196">
        <f>N20</f>
        <v>2013</v>
      </c>
      <c r="N42" s="194">
        <f>O42*2</f>
        <v>350947.84040882764</v>
      </c>
      <c r="O42" s="195">
        <f>P42/L42</f>
        <v>175473.92020441382</v>
      </c>
      <c r="P42" s="194">
        <v>51441.000000000029</v>
      </c>
      <c r="Q42" s="194">
        <f>O42-P42</f>
        <v>124032.92020441379</v>
      </c>
      <c r="R42" s="183">
        <f t="shared" si="12"/>
        <v>403239.44449899159</v>
      </c>
      <c r="T42" s="345">
        <v>117764106</v>
      </c>
      <c r="U42" s="345"/>
      <c r="V42" s="345"/>
      <c r="W42" s="157"/>
      <c r="X42" s="157"/>
      <c r="Y42" s="157"/>
      <c r="AA42" s="157">
        <v>0</v>
      </c>
      <c r="AB42" s="157">
        <v>113076622</v>
      </c>
      <c r="AC42" s="157"/>
      <c r="AD42" s="157"/>
      <c r="AE42" s="343">
        <f>J42/AB42</f>
        <v>1.0414540505109888</v>
      </c>
      <c r="AF42" s="342"/>
    </row>
    <row r="43" spans="2:32" x14ac:dyDescent="0.2">
      <c r="B43" s="224">
        <v>266</v>
      </c>
      <c r="C43" s="224">
        <v>8</v>
      </c>
      <c r="D43" s="224" t="s">
        <v>35</v>
      </c>
      <c r="E43" s="4" t="s">
        <v>36</v>
      </c>
      <c r="F43" s="224" t="str">
        <f t="shared" ref="F43:F61" si="13">FIXED(B43,0)&amp;"."&amp;FIXED(C43,0)&amp;"."&amp;D43</f>
        <v>266.8.f</v>
      </c>
      <c r="G43" s="224"/>
      <c r="H43" s="156"/>
      <c r="I43" s="10"/>
      <c r="J43" s="156">
        <f t="shared" si="3"/>
        <v>-1307003</v>
      </c>
      <c r="L43" s="130"/>
      <c r="T43" s="345">
        <v>-1307003</v>
      </c>
      <c r="U43" s="345"/>
      <c r="V43" s="345"/>
      <c r="W43" s="157"/>
      <c r="X43" s="157"/>
      <c r="Y43" s="157"/>
      <c r="AA43" s="157">
        <v>0</v>
      </c>
      <c r="AB43" s="157">
        <v>-1052000</v>
      </c>
      <c r="AC43" s="157"/>
      <c r="AD43" s="157"/>
      <c r="AE43" s="343">
        <f>J43/AB43</f>
        <v>1.242398288973384</v>
      </c>
      <c r="AF43" s="342"/>
    </row>
    <row r="44" spans="2:32" x14ac:dyDescent="0.2">
      <c r="B44" s="224">
        <v>267</v>
      </c>
      <c r="C44" s="224">
        <v>8</v>
      </c>
      <c r="D44" s="224" t="s">
        <v>248</v>
      </c>
      <c r="E44" s="4" t="s">
        <v>33</v>
      </c>
      <c r="F44" s="224" t="str">
        <f t="shared" si="13"/>
        <v>267.8.b&amp;h</v>
      </c>
      <c r="G44" s="224"/>
      <c r="H44" s="156">
        <f t="shared" si="2"/>
        <v>-3039516</v>
      </c>
      <c r="I44" s="10"/>
      <c r="J44" s="156">
        <f t="shared" si="3"/>
        <v>-1732513</v>
      </c>
      <c r="L44" s="130"/>
      <c r="T44" s="345">
        <v>-1732513</v>
      </c>
      <c r="U44" s="345"/>
      <c r="V44" s="345"/>
      <c r="W44" s="157">
        <v>-3039516</v>
      </c>
      <c r="X44" s="157"/>
      <c r="Y44" s="157"/>
      <c r="AA44" s="157">
        <v>-4091516</v>
      </c>
      <c r="AB44" s="157">
        <v>-3039516</v>
      </c>
      <c r="AC44" s="157"/>
      <c r="AD44" s="157">
        <f>H44-AB44</f>
        <v>0</v>
      </c>
      <c r="AE44" s="341">
        <f>J44/H44</f>
        <v>0.5699963415227951</v>
      </c>
      <c r="AF44" s="342">
        <f>AB44/AA44</f>
        <v>0.74288258924076067</v>
      </c>
    </row>
    <row r="45" spans="2:32" x14ac:dyDescent="0.2">
      <c r="B45" s="224">
        <v>273</v>
      </c>
      <c r="C45" s="224">
        <v>8</v>
      </c>
      <c r="D45" s="224" t="s">
        <v>249</v>
      </c>
      <c r="E45" s="4" t="s">
        <v>19</v>
      </c>
      <c r="F45" s="224" t="str">
        <f t="shared" si="13"/>
        <v>273.8.b&amp;k</v>
      </c>
      <c r="G45" s="224"/>
      <c r="H45" s="156">
        <f t="shared" si="2"/>
        <v>-3757590</v>
      </c>
      <c r="I45" s="10"/>
      <c r="J45" s="156">
        <f t="shared" si="3"/>
        <v>-3757590</v>
      </c>
      <c r="L45" s="130"/>
      <c r="T45" s="345">
        <v>-3757590</v>
      </c>
      <c r="U45" s="345"/>
      <c r="V45" s="345"/>
      <c r="W45" s="157">
        <v>-3757590</v>
      </c>
      <c r="X45" s="157"/>
      <c r="Y45" s="157"/>
      <c r="AA45" s="157">
        <v>-3757590</v>
      </c>
      <c r="AB45" s="157">
        <v>-3757590</v>
      </c>
      <c r="AC45" s="157"/>
      <c r="AD45" s="157">
        <f>H45-AB45</f>
        <v>0</v>
      </c>
      <c r="AE45" s="341">
        <f>J45/H45</f>
        <v>1</v>
      </c>
      <c r="AF45" s="342">
        <f>AB45/AA45</f>
        <v>1</v>
      </c>
    </row>
    <row r="46" spans="2:32" x14ac:dyDescent="0.2">
      <c r="B46" s="224">
        <v>275</v>
      </c>
      <c r="C46" s="224">
        <v>2</v>
      </c>
      <c r="D46" s="224" t="s">
        <v>249</v>
      </c>
      <c r="E46" s="4" t="s">
        <v>20</v>
      </c>
      <c r="F46" s="224" t="str">
        <f t="shared" si="13"/>
        <v>275.2.b&amp;k</v>
      </c>
      <c r="G46" s="224"/>
      <c r="H46" s="156">
        <f t="shared" si="2"/>
        <v>-975116243</v>
      </c>
      <c r="I46" s="10"/>
      <c r="J46" s="156">
        <f t="shared" si="3"/>
        <v>-1601614562</v>
      </c>
      <c r="L46" s="130"/>
      <c r="T46" s="345">
        <v>-1601614562</v>
      </c>
      <c r="U46" s="345"/>
      <c r="V46" s="345"/>
      <c r="W46" s="157">
        <v>-975116243</v>
      </c>
      <c r="X46" s="157"/>
      <c r="Y46" s="157"/>
      <c r="AA46" s="157">
        <v>-1347909058</v>
      </c>
      <c r="AB46" s="157">
        <v>-975116243</v>
      </c>
      <c r="AC46" s="157"/>
      <c r="AD46" s="157">
        <f>H46-AB46</f>
        <v>0</v>
      </c>
      <c r="AE46" s="341">
        <f>J46/H46</f>
        <v>1.6424857790006069</v>
      </c>
      <c r="AF46" s="342">
        <f>AB46/AA46</f>
        <v>0.72342880790997699</v>
      </c>
    </row>
    <row r="47" spans="2:32" x14ac:dyDescent="0.2">
      <c r="B47" s="224">
        <v>277</v>
      </c>
      <c r="C47" s="224">
        <v>9</v>
      </c>
      <c r="D47" s="224" t="s">
        <v>249</v>
      </c>
      <c r="E47" s="4" t="s">
        <v>182</v>
      </c>
      <c r="F47" s="224" t="str">
        <f>FIXED(B47,0)&amp;"."&amp;FIXED(C47,0)&amp;"."&amp;D47</f>
        <v>277.9.b&amp;k</v>
      </c>
      <c r="G47" s="224"/>
      <c r="H47" s="156">
        <f t="shared" si="2"/>
        <v>-1425000944</v>
      </c>
      <c r="I47" s="10"/>
      <c r="J47" s="156">
        <f t="shared" si="3"/>
        <v>-1227860892</v>
      </c>
      <c r="L47" s="130"/>
      <c r="T47" s="345">
        <v>-1227860892</v>
      </c>
      <c r="U47" s="345"/>
      <c r="V47" s="345"/>
      <c r="W47" s="157">
        <v>-1425000944</v>
      </c>
      <c r="X47" s="157"/>
      <c r="Y47" s="157"/>
      <c r="AA47" s="157">
        <v>-813661722</v>
      </c>
      <c r="AB47" s="157">
        <v>-1425000944</v>
      </c>
      <c r="AC47" s="157"/>
      <c r="AD47" s="157">
        <f>H47-AB47</f>
        <v>0</v>
      </c>
      <c r="AE47" s="341">
        <f>J47/H47</f>
        <v>0.86165619550635186</v>
      </c>
      <c r="AF47" s="342">
        <f>AB47/AA47</f>
        <v>1.7513432246724272</v>
      </c>
    </row>
    <row r="48" spans="2:32" x14ac:dyDescent="0.2">
      <c r="B48" s="224">
        <v>321</v>
      </c>
      <c r="C48" s="71" t="s">
        <v>432</v>
      </c>
      <c r="D48" s="71" t="s">
        <v>13</v>
      </c>
      <c r="E48" s="53" t="s">
        <v>433</v>
      </c>
      <c r="F48" s="224" t="str">
        <f>B48&amp;"."&amp;C48&amp;"."&amp;D48</f>
        <v>321.84 thru 92.b</v>
      </c>
      <c r="G48" s="224"/>
      <c r="H48" s="156">
        <f t="shared" si="2"/>
        <v>4772592</v>
      </c>
      <c r="I48" s="10"/>
      <c r="J48" s="156">
        <f t="shared" si="3"/>
        <v>6300187</v>
      </c>
      <c r="L48" s="130"/>
      <c r="T48" s="345">
        <f>1720593+1239298+2191656+822373+31314+294953</f>
        <v>6300187</v>
      </c>
      <c r="U48" s="345"/>
      <c r="V48" s="345"/>
      <c r="W48" s="157">
        <f>1352335+1015231+1313214+612109+3964+475739</f>
        <v>4772592</v>
      </c>
      <c r="X48" s="157"/>
      <c r="Y48" s="157"/>
      <c r="AA48" s="157">
        <v>4473621</v>
      </c>
      <c r="AB48" s="157">
        <v>4772592</v>
      </c>
      <c r="AC48" s="157"/>
      <c r="AD48" s="157">
        <f>H48-AB48</f>
        <v>0</v>
      </c>
      <c r="AE48" s="341">
        <f>J48/H48</f>
        <v>1.3200765956947504</v>
      </c>
      <c r="AF48" s="342">
        <f>AB48/AA48</f>
        <v>1.066829756029847</v>
      </c>
    </row>
    <row r="49" spans="2:32" x14ac:dyDescent="0.2">
      <c r="B49" s="224">
        <v>321</v>
      </c>
      <c r="C49" s="224">
        <v>96</v>
      </c>
      <c r="D49" s="224" t="s">
        <v>13</v>
      </c>
      <c r="E49" s="4" t="s">
        <v>7</v>
      </c>
      <c r="F49" s="224" t="str">
        <f t="shared" si="13"/>
        <v>321.96.b</v>
      </c>
      <c r="G49" s="224"/>
      <c r="H49" s="156"/>
      <c r="I49" s="10"/>
      <c r="J49" s="156">
        <f t="shared" si="3"/>
        <v>0</v>
      </c>
      <c r="L49" s="130"/>
      <c r="T49" s="157">
        <v>0</v>
      </c>
      <c r="U49" s="157"/>
      <c r="V49" s="157"/>
      <c r="W49" s="157"/>
      <c r="X49" s="157"/>
      <c r="Y49" s="157"/>
      <c r="AA49" s="157">
        <v>0</v>
      </c>
      <c r="AB49" s="157">
        <v>0</v>
      </c>
      <c r="AC49" s="157"/>
      <c r="AD49" s="157"/>
      <c r="AE49" s="343"/>
      <c r="AF49" s="342"/>
    </row>
    <row r="50" spans="2:32" x14ac:dyDescent="0.2">
      <c r="B50" s="224">
        <v>321</v>
      </c>
      <c r="C50" s="224">
        <v>112</v>
      </c>
      <c r="D50" s="224" t="s">
        <v>13</v>
      </c>
      <c r="E50" s="4" t="s">
        <v>50</v>
      </c>
      <c r="F50" s="224" t="str">
        <f t="shared" si="13"/>
        <v>321.112.b</v>
      </c>
      <c r="G50" s="224"/>
      <c r="H50" s="156"/>
      <c r="I50" s="10"/>
      <c r="J50" s="156">
        <f t="shared" si="3"/>
        <v>41236367.376227997</v>
      </c>
      <c r="T50" s="157">
        <v>41236527</v>
      </c>
      <c r="U50" s="157">
        <v>-159.623772</v>
      </c>
      <c r="V50" s="345" t="s">
        <v>855</v>
      </c>
      <c r="W50" s="157"/>
      <c r="X50" s="157"/>
      <c r="Y50" s="157"/>
      <c r="AA50" s="157">
        <v>0</v>
      </c>
      <c r="AB50" s="157">
        <v>39151014</v>
      </c>
      <c r="AC50" s="157"/>
      <c r="AD50" s="157"/>
      <c r="AE50" s="343">
        <f t="shared" ref="AE50:AE65" si="14">J50/AB50</f>
        <v>1.0532643516264482</v>
      </c>
      <c r="AF50" s="342"/>
    </row>
    <row r="51" spans="2:32" x14ac:dyDescent="0.2">
      <c r="B51" s="224">
        <v>323</v>
      </c>
      <c r="C51" s="224">
        <v>185</v>
      </c>
      <c r="D51" s="224" t="s">
        <v>13</v>
      </c>
      <c r="E51" s="4" t="s">
        <v>52</v>
      </c>
      <c r="F51" s="224" t="str">
        <f t="shared" si="13"/>
        <v>323.185.b</v>
      </c>
      <c r="G51" s="224"/>
      <c r="H51" s="156"/>
      <c r="I51" s="10"/>
      <c r="J51" s="156">
        <f t="shared" si="3"/>
        <v>11283040</v>
      </c>
      <c r="T51" s="157">
        <v>11283040</v>
      </c>
      <c r="U51" s="157"/>
      <c r="V51" s="157"/>
      <c r="W51" s="157"/>
      <c r="X51" s="157"/>
      <c r="Y51" s="157"/>
      <c r="AA51" s="157">
        <v>0</v>
      </c>
      <c r="AB51" s="157">
        <v>12783247</v>
      </c>
      <c r="AC51" s="157"/>
      <c r="AD51" s="157"/>
      <c r="AE51" s="343">
        <f t="shared" si="14"/>
        <v>0.88264272762624396</v>
      </c>
      <c r="AF51" s="342"/>
    </row>
    <row r="52" spans="2:32" x14ac:dyDescent="0.2">
      <c r="B52" s="224">
        <v>323</v>
      </c>
      <c r="C52" s="224">
        <v>189</v>
      </c>
      <c r="D52" s="224" t="s">
        <v>13</v>
      </c>
      <c r="E52" s="4" t="s">
        <v>9</v>
      </c>
      <c r="F52" s="224" t="str">
        <f t="shared" si="13"/>
        <v>323.189.b</v>
      </c>
      <c r="G52" s="224"/>
      <c r="H52" s="156"/>
      <c r="I52" s="10"/>
      <c r="J52" s="156">
        <f t="shared" si="3"/>
        <v>3997496</v>
      </c>
      <c r="T52" s="157">
        <v>3997496</v>
      </c>
      <c r="U52" s="157"/>
      <c r="V52" s="157"/>
      <c r="W52" s="157"/>
      <c r="X52" s="157"/>
      <c r="Y52" s="157"/>
      <c r="AA52" s="157">
        <v>0</v>
      </c>
      <c r="AB52" s="157">
        <v>266006</v>
      </c>
      <c r="AC52" s="157"/>
      <c r="AD52" s="157"/>
      <c r="AE52" s="343">
        <f t="shared" si="14"/>
        <v>15.027841477259912</v>
      </c>
      <c r="AF52" s="342"/>
    </row>
    <row r="53" spans="2:32" x14ac:dyDescent="0.2">
      <c r="B53" s="224">
        <v>323</v>
      </c>
      <c r="C53" s="224">
        <v>191</v>
      </c>
      <c r="D53" s="224" t="s">
        <v>13</v>
      </c>
      <c r="E53" s="4" t="s">
        <v>10</v>
      </c>
      <c r="F53" s="224" t="str">
        <f t="shared" si="13"/>
        <v>323.191.b</v>
      </c>
      <c r="G53" s="224"/>
      <c r="H53" s="156"/>
      <c r="I53" s="10"/>
      <c r="J53" s="156">
        <f t="shared" si="3"/>
        <v>867906</v>
      </c>
      <c r="T53" s="157">
        <v>867906</v>
      </c>
      <c r="U53" s="157"/>
      <c r="V53" s="157"/>
      <c r="W53" s="157"/>
      <c r="X53" s="157"/>
      <c r="Y53" s="157"/>
      <c r="AA53" s="157">
        <v>0</v>
      </c>
      <c r="AB53" s="157">
        <v>549163</v>
      </c>
      <c r="AC53" s="157"/>
      <c r="AD53" s="157"/>
      <c r="AE53" s="343">
        <f t="shared" si="14"/>
        <v>1.5804160149172468</v>
      </c>
      <c r="AF53" s="342"/>
    </row>
    <row r="54" spans="2:32" x14ac:dyDescent="0.2">
      <c r="B54" s="224">
        <v>323</v>
      </c>
      <c r="C54" s="224">
        <v>197</v>
      </c>
      <c r="D54" s="224" t="s">
        <v>13</v>
      </c>
      <c r="E54" s="4" t="s">
        <v>8</v>
      </c>
      <c r="F54" s="224" t="str">
        <f t="shared" si="13"/>
        <v>323.197.b</v>
      </c>
      <c r="G54" s="224"/>
      <c r="H54" s="156"/>
      <c r="I54" s="10"/>
      <c r="J54" s="156">
        <f t="shared" si="3"/>
        <v>279098778.70999998</v>
      </c>
      <c r="T54" s="157">
        <v>279601669</v>
      </c>
      <c r="U54" s="157">
        <v>-502890.29</v>
      </c>
      <c r="V54" s="119" t="s">
        <v>881</v>
      </c>
      <c r="W54" s="157"/>
      <c r="X54" s="157"/>
      <c r="Y54" s="157"/>
      <c r="AA54" s="157">
        <v>0</v>
      </c>
      <c r="AB54" s="157">
        <v>369280521</v>
      </c>
      <c r="AC54" s="157"/>
      <c r="AD54" s="157"/>
      <c r="AE54" s="343">
        <f t="shared" si="14"/>
        <v>0.75579068712914854</v>
      </c>
      <c r="AF54" s="342"/>
    </row>
    <row r="55" spans="2:32" x14ac:dyDescent="0.2">
      <c r="B55" s="224">
        <v>335</v>
      </c>
      <c r="C55" s="224">
        <v>1</v>
      </c>
      <c r="D55" s="224" t="s">
        <v>13</v>
      </c>
      <c r="E55" s="4" t="s">
        <v>253</v>
      </c>
      <c r="F55" s="224" t="str">
        <f t="shared" si="13"/>
        <v>335.1.b</v>
      </c>
      <c r="G55" s="224"/>
      <c r="H55" s="156"/>
      <c r="I55" s="10"/>
      <c r="J55" s="156">
        <f t="shared" si="3"/>
        <v>780582</v>
      </c>
      <c r="T55" s="157">
        <v>780582</v>
      </c>
      <c r="U55" s="157"/>
      <c r="V55" s="157"/>
      <c r="W55" s="157"/>
      <c r="X55" s="157"/>
      <c r="Y55" s="157"/>
      <c r="AA55" s="157">
        <v>0</v>
      </c>
      <c r="AB55" s="157">
        <v>4769109</v>
      </c>
      <c r="AC55" s="157"/>
      <c r="AD55" s="157"/>
      <c r="AE55" s="343">
        <f t="shared" si="14"/>
        <v>0.16367459833692205</v>
      </c>
      <c r="AF55" s="342"/>
    </row>
    <row r="56" spans="2:32" x14ac:dyDescent="0.2">
      <c r="B56" s="224">
        <v>336</v>
      </c>
      <c r="C56" s="224">
        <v>1</v>
      </c>
      <c r="D56" s="224" t="s">
        <v>35</v>
      </c>
      <c r="E56" s="4" t="s">
        <v>167</v>
      </c>
      <c r="F56" s="224" t="str">
        <f t="shared" si="13"/>
        <v>336.1.f</v>
      </c>
      <c r="G56" s="224"/>
      <c r="H56" s="156"/>
      <c r="I56" s="10"/>
      <c r="J56" s="156">
        <f t="shared" si="3"/>
        <v>5328911</v>
      </c>
      <c r="T56" s="157">
        <v>5328911</v>
      </c>
      <c r="U56" s="157"/>
      <c r="V56" s="157"/>
      <c r="W56" s="157"/>
      <c r="X56" s="157"/>
      <c r="Y56" s="157"/>
      <c r="AA56" s="157">
        <v>0</v>
      </c>
      <c r="AB56" s="157">
        <v>4883794</v>
      </c>
      <c r="AC56" s="157"/>
      <c r="AD56" s="157"/>
      <c r="AE56" s="343">
        <f t="shared" si="14"/>
        <v>1.0911416411093506</v>
      </c>
      <c r="AF56" s="342"/>
    </row>
    <row r="57" spans="2:32" x14ac:dyDescent="0.2">
      <c r="B57" s="224">
        <v>336</v>
      </c>
      <c r="C57" s="224">
        <v>7</v>
      </c>
      <c r="D57" s="224" t="s">
        <v>35</v>
      </c>
      <c r="E57" s="4" t="s">
        <v>58</v>
      </c>
      <c r="F57" s="224" t="str">
        <f t="shared" si="13"/>
        <v>336.7.f</v>
      </c>
      <c r="G57" s="224"/>
      <c r="H57" s="156"/>
      <c r="I57" s="10"/>
      <c r="J57" s="156">
        <f t="shared" si="3"/>
        <v>48921915.079795584</v>
      </c>
      <c r="K57" s="85" t="s">
        <v>237</v>
      </c>
      <c r="T57" s="157">
        <v>49045948</v>
      </c>
      <c r="U57" s="157">
        <f>+O23</f>
        <v>-124032.92020441379</v>
      </c>
      <c r="V57" s="157" t="s">
        <v>821</v>
      </c>
      <c r="W57" s="157"/>
      <c r="X57" s="157"/>
      <c r="Y57" s="157"/>
      <c r="AA57" s="157">
        <v>0</v>
      </c>
      <c r="AB57" s="157">
        <v>44813318.475874446</v>
      </c>
      <c r="AC57" s="157"/>
      <c r="AD57" s="157"/>
      <c r="AE57" s="343">
        <f t="shared" si="14"/>
        <v>1.0916824895735635</v>
      </c>
      <c r="AF57" s="342"/>
    </row>
    <row r="58" spans="2:32" x14ac:dyDescent="0.2">
      <c r="B58" s="224">
        <v>336</v>
      </c>
      <c r="C58" s="224">
        <v>10</v>
      </c>
      <c r="D58" s="224" t="s">
        <v>35</v>
      </c>
      <c r="E58" s="4" t="s">
        <v>59</v>
      </c>
      <c r="F58" s="224" t="str">
        <f t="shared" si="13"/>
        <v>336.10.f</v>
      </c>
      <c r="G58" s="224"/>
      <c r="H58" s="156"/>
      <c r="I58" s="10"/>
      <c r="J58" s="156">
        <f t="shared" si="3"/>
        <v>15613900.821056001</v>
      </c>
      <c r="K58" s="85"/>
      <c r="T58" s="157">
        <v>16085343</v>
      </c>
      <c r="U58" s="157">
        <v>-471442.17894399998</v>
      </c>
      <c r="V58" s="345" t="s">
        <v>855</v>
      </c>
      <c r="W58" s="157"/>
      <c r="X58" s="157"/>
      <c r="Y58" s="157"/>
      <c r="AA58" s="157">
        <v>0</v>
      </c>
      <c r="AB58" s="157">
        <v>15968250</v>
      </c>
      <c r="AC58" s="157"/>
      <c r="AD58" s="157"/>
      <c r="AE58" s="343">
        <f t="shared" si="14"/>
        <v>0.97780914133082841</v>
      </c>
      <c r="AF58" s="342"/>
    </row>
    <row r="59" spans="2:32" x14ac:dyDescent="0.2">
      <c r="B59" s="224">
        <v>354</v>
      </c>
      <c r="C59" s="24">
        <v>21</v>
      </c>
      <c r="D59" s="224" t="s">
        <v>13</v>
      </c>
      <c r="E59" s="4" t="s">
        <v>6</v>
      </c>
      <c r="F59" s="224" t="str">
        <f t="shared" si="13"/>
        <v>354.21.b</v>
      </c>
      <c r="G59" s="224"/>
      <c r="H59" s="156"/>
      <c r="I59" s="10"/>
      <c r="J59" s="156">
        <f t="shared" si="3"/>
        <v>20064186</v>
      </c>
      <c r="T59" s="157">
        <v>20064186</v>
      </c>
      <c r="U59" s="157"/>
      <c r="V59" s="345"/>
      <c r="W59" s="157"/>
      <c r="X59" s="157"/>
      <c r="Y59" s="157"/>
      <c r="AA59" s="157">
        <v>0</v>
      </c>
      <c r="AB59" s="157">
        <v>17376781</v>
      </c>
      <c r="AC59" s="157"/>
      <c r="AD59" s="157"/>
      <c r="AE59" s="343">
        <f t="shared" si="14"/>
        <v>1.1546549386793792</v>
      </c>
      <c r="AF59" s="342"/>
    </row>
    <row r="60" spans="2:32" x14ac:dyDescent="0.2">
      <c r="B60" s="224">
        <v>354</v>
      </c>
      <c r="C60" s="24">
        <v>27</v>
      </c>
      <c r="D60" s="224" t="s">
        <v>13</v>
      </c>
      <c r="E60" s="4" t="s">
        <v>154</v>
      </c>
      <c r="F60" s="224" t="str">
        <f t="shared" si="13"/>
        <v>354.27.b</v>
      </c>
      <c r="G60" s="224"/>
      <c r="H60" s="156"/>
      <c r="I60" s="10"/>
      <c r="J60" s="156">
        <f t="shared" si="3"/>
        <v>79058105.709999993</v>
      </c>
      <c r="T60" s="157">
        <v>79560996</v>
      </c>
      <c r="U60" s="157">
        <v>-502890.29</v>
      </c>
      <c r="V60" s="119" t="s">
        <v>881</v>
      </c>
      <c r="W60" s="157"/>
      <c r="X60" s="157"/>
      <c r="Y60" s="157"/>
      <c r="AA60" s="157">
        <v>0</v>
      </c>
      <c r="AB60" s="157">
        <v>60266827</v>
      </c>
      <c r="AC60" s="157"/>
      <c r="AD60" s="157"/>
      <c r="AE60" s="343">
        <f t="shared" si="14"/>
        <v>1.3118013614687229</v>
      </c>
      <c r="AF60" s="342"/>
    </row>
    <row r="61" spans="2:32" x14ac:dyDescent="0.2">
      <c r="B61" s="224">
        <v>354</v>
      </c>
      <c r="C61" s="24">
        <v>28</v>
      </c>
      <c r="D61" s="224" t="s">
        <v>13</v>
      </c>
      <c r="E61" s="4" t="s">
        <v>5</v>
      </c>
      <c r="F61" s="224" t="str">
        <f t="shared" si="13"/>
        <v>354.28.b</v>
      </c>
      <c r="G61" s="224"/>
      <c r="H61" s="156"/>
      <c r="I61" s="10"/>
      <c r="J61" s="156">
        <f t="shared" si="3"/>
        <v>317814547</v>
      </c>
      <c r="T61" s="157">
        <v>317814547</v>
      </c>
      <c r="U61" s="157"/>
      <c r="V61" s="157"/>
      <c r="W61" s="157"/>
      <c r="X61" s="157"/>
      <c r="Y61" s="157"/>
      <c r="AA61" s="157">
        <v>0</v>
      </c>
      <c r="AB61" s="157">
        <v>304848853</v>
      </c>
      <c r="AC61" s="157"/>
      <c r="AD61" s="157"/>
      <c r="AE61" s="343">
        <f t="shared" si="14"/>
        <v>1.0425315492330227</v>
      </c>
      <c r="AF61" s="342"/>
    </row>
    <row r="62" spans="2:32" x14ac:dyDescent="0.2">
      <c r="B62" s="224">
        <v>400</v>
      </c>
      <c r="C62" s="24">
        <v>17</v>
      </c>
      <c r="D62" s="224" t="s">
        <v>17</v>
      </c>
      <c r="E62" s="4" t="s">
        <v>96</v>
      </c>
      <c r="F62" s="224" t="str">
        <f>B62&amp;"."&amp;C62&amp;"."&amp;D62</f>
        <v>400.17.e</v>
      </c>
      <c r="G62" s="224"/>
      <c r="H62" s="156"/>
      <c r="I62" s="10"/>
      <c r="J62" s="156">
        <f t="shared" si="3"/>
        <v>84456</v>
      </c>
      <c r="T62" s="157">
        <v>84456</v>
      </c>
      <c r="U62" s="157"/>
      <c r="V62" s="157"/>
      <c r="W62" s="157"/>
      <c r="X62" s="157"/>
      <c r="Y62" s="157"/>
      <c r="AA62" s="157">
        <v>0</v>
      </c>
      <c r="AB62" s="157">
        <v>85396</v>
      </c>
      <c r="AC62" s="157"/>
      <c r="AD62" s="157"/>
      <c r="AE62" s="343">
        <f t="shared" si="14"/>
        <v>0.9889924586631692</v>
      </c>
      <c r="AF62" s="342"/>
    </row>
    <row r="63" spans="2:32" x14ac:dyDescent="0.2">
      <c r="B63" s="224">
        <v>400</v>
      </c>
      <c r="C63" s="24">
        <v>17</v>
      </c>
      <c r="D63" s="224" t="s">
        <v>35</v>
      </c>
      <c r="E63" s="4" t="s">
        <v>95</v>
      </c>
      <c r="F63" s="224" t="str">
        <f>B63&amp;"."&amp;C63&amp;"."&amp;D63</f>
        <v>400.17.f</v>
      </c>
      <c r="G63" s="224"/>
      <c r="H63" s="156"/>
      <c r="I63" s="10"/>
      <c r="J63" s="156">
        <f t="shared" si="3"/>
        <v>31432</v>
      </c>
      <c r="T63" s="157">
        <v>31432</v>
      </c>
      <c r="U63" s="157"/>
      <c r="V63" s="157"/>
      <c r="W63" s="157"/>
      <c r="X63" s="157"/>
      <c r="Y63" s="157"/>
      <c r="AA63" s="157">
        <v>0</v>
      </c>
      <c r="AB63" s="157">
        <v>31749</v>
      </c>
      <c r="AC63" s="157"/>
      <c r="AD63" s="157"/>
      <c r="AE63" s="343">
        <f t="shared" si="14"/>
        <v>0.99001543355696242</v>
      </c>
      <c r="AF63" s="342"/>
    </row>
    <row r="64" spans="2:32" x14ac:dyDescent="0.2">
      <c r="B64" s="224">
        <v>400</v>
      </c>
      <c r="C64" s="224">
        <v>17</v>
      </c>
      <c r="D64" s="224" t="s">
        <v>14</v>
      </c>
      <c r="E64" s="85" t="s">
        <v>876</v>
      </c>
      <c r="F64" s="224" t="str">
        <f>B64&amp;"."&amp;C64&amp;"."&amp;D64</f>
        <v>400.17.g</v>
      </c>
      <c r="G64" s="224"/>
      <c r="H64" s="156"/>
      <c r="I64" s="10"/>
      <c r="J64" s="156">
        <f t="shared" si="3"/>
        <v>3109</v>
      </c>
      <c r="T64" s="157">
        <v>3107</v>
      </c>
      <c r="U64" s="157">
        <v>2</v>
      </c>
      <c r="V64" s="119" t="s">
        <v>883</v>
      </c>
      <c r="W64" s="157"/>
      <c r="X64" s="157"/>
      <c r="Y64" s="157"/>
      <c r="AA64" s="157">
        <v>0</v>
      </c>
      <c r="AB64" s="157">
        <v>3884</v>
      </c>
      <c r="AC64" s="157"/>
      <c r="AD64" s="157"/>
      <c r="AE64" s="343">
        <f t="shared" si="14"/>
        <v>0.80046343975283218</v>
      </c>
      <c r="AF64" s="342"/>
    </row>
    <row r="65" spans="2:32" x14ac:dyDescent="0.2">
      <c r="B65" s="224">
        <v>400</v>
      </c>
      <c r="C65" s="224">
        <v>17</v>
      </c>
      <c r="D65" s="224" t="s">
        <v>34</v>
      </c>
      <c r="E65" s="4" t="s">
        <v>147</v>
      </c>
      <c r="F65" s="224" t="str">
        <f>B65&amp;"."&amp;C65&amp;"."&amp;D65</f>
        <v>400.17.h</v>
      </c>
      <c r="G65" s="224"/>
      <c r="H65" s="156"/>
      <c r="I65" s="10"/>
      <c r="J65" s="156">
        <f t="shared" si="3"/>
        <v>486</v>
      </c>
      <c r="L65" s="342"/>
      <c r="T65" s="157">
        <v>479</v>
      </c>
      <c r="U65" s="157">
        <v>7</v>
      </c>
      <c r="V65" s="119" t="s">
        <v>884</v>
      </c>
      <c r="W65" s="157"/>
      <c r="X65" s="157"/>
      <c r="Y65" s="157"/>
      <c r="AA65" s="157">
        <v>0</v>
      </c>
      <c r="AB65" s="157">
        <v>488.89964155908513</v>
      </c>
      <c r="AC65" s="157"/>
      <c r="AD65" s="157"/>
      <c r="AE65" s="343">
        <f t="shared" si="14"/>
        <v>0.99406904543877705</v>
      </c>
      <c r="AF65" s="342"/>
    </row>
    <row r="66" spans="2:32" ht="15.75" x14ac:dyDescent="0.25">
      <c r="B66" s="224">
        <v>400</v>
      </c>
      <c r="C66" s="224">
        <v>17</v>
      </c>
      <c r="D66" s="224" t="s">
        <v>94</v>
      </c>
      <c r="E66" s="85" t="s">
        <v>877</v>
      </c>
      <c r="F66" s="224" t="str">
        <f>B66&amp;"."&amp;C66&amp;"."&amp;D66</f>
        <v>400.17.i</v>
      </c>
      <c r="G66" s="224"/>
      <c r="H66" s="156"/>
      <c r="I66" s="10"/>
      <c r="J66" s="156">
        <f t="shared" si="3"/>
        <v>0</v>
      </c>
      <c r="M66" s="131"/>
      <c r="N66" s="132"/>
      <c r="O66" s="132"/>
      <c r="P66" s="130"/>
      <c r="Q66" s="130"/>
      <c r="T66" s="157">
        <v>0</v>
      </c>
      <c r="U66" s="157"/>
      <c r="V66" s="157"/>
      <c r="W66" s="157"/>
      <c r="X66" s="157"/>
      <c r="Y66" s="157"/>
      <c r="AA66" s="157">
        <v>0</v>
      </c>
      <c r="AB66" s="157">
        <v>0</v>
      </c>
      <c r="AC66" s="157"/>
      <c r="AD66" s="157"/>
      <c r="AE66" s="343"/>
      <c r="AF66" s="342"/>
    </row>
    <row r="67" spans="2:32" ht="15" x14ac:dyDescent="0.2">
      <c r="B67" s="224"/>
      <c r="D67" s="224"/>
      <c r="H67" s="85"/>
      <c r="I67" s="85"/>
      <c r="J67" s="85"/>
      <c r="M67" s="132"/>
      <c r="N67" s="132"/>
      <c r="O67" s="133"/>
      <c r="P67" s="130"/>
      <c r="Q67" s="130"/>
      <c r="T67" s="157"/>
      <c r="U67" s="157"/>
      <c r="V67" s="157"/>
      <c r="W67" s="157"/>
      <c r="X67" s="157"/>
      <c r="Y67" s="157"/>
      <c r="AA67" s="157">
        <v>0</v>
      </c>
      <c r="AB67" s="157">
        <v>0</v>
      </c>
      <c r="AC67" s="157"/>
      <c r="AD67" s="157"/>
      <c r="AE67" s="341"/>
      <c r="AF67" s="342"/>
    </row>
    <row r="68" spans="2:32" ht="15" x14ac:dyDescent="0.2">
      <c r="B68" s="9" t="s">
        <v>243</v>
      </c>
      <c r="H68" s="85"/>
      <c r="I68" s="85"/>
      <c r="J68" s="85"/>
      <c r="M68" s="132"/>
      <c r="N68" s="132"/>
      <c r="O68" s="133"/>
      <c r="P68" s="130"/>
      <c r="Q68" s="130"/>
      <c r="T68" s="157"/>
      <c r="U68" s="157"/>
      <c r="V68" s="157"/>
      <c r="W68" s="157"/>
      <c r="X68" s="157"/>
      <c r="Y68" s="157"/>
      <c r="AA68" s="157">
        <v>0</v>
      </c>
      <c r="AB68" s="157">
        <v>0</v>
      </c>
      <c r="AC68" s="157"/>
      <c r="AD68" s="157"/>
      <c r="AE68" s="341"/>
      <c r="AF68" s="342"/>
    </row>
    <row r="69" spans="2:32" ht="15" x14ac:dyDescent="0.2">
      <c r="H69" s="85"/>
      <c r="I69" s="85"/>
      <c r="J69" s="85"/>
      <c r="M69" s="132"/>
      <c r="N69" s="132"/>
      <c r="O69" s="132"/>
      <c r="P69" s="130"/>
      <c r="Q69" s="130"/>
      <c r="T69" s="157"/>
      <c r="U69" s="157"/>
      <c r="V69" s="157"/>
      <c r="W69" s="157"/>
      <c r="X69" s="157"/>
      <c r="Y69" s="157"/>
      <c r="AA69" s="157">
        <v>0</v>
      </c>
      <c r="AB69" s="157">
        <v>0</v>
      </c>
      <c r="AC69" s="157"/>
      <c r="AD69" s="157"/>
      <c r="AE69" s="341"/>
      <c r="AF69" s="342"/>
    </row>
    <row r="70" spans="2:32" x14ac:dyDescent="0.2">
      <c r="B70" s="224">
        <v>200</v>
      </c>
      <c r="C70" s="224">
        <v>21</v>
      </c>
      <c r="D70" s="224" t="s">
        <v>12</v>
      </c>
      <c r="E70" s="4" t="s">
        <v>159</v>
      </c>
      <c r="F70" s="224" t="str">
        <f t="shared" ref="F70:F75" si="15">FIXED(B70,0)&amp;"."&amp;FIXED(C70,0)&amp;"."&amp;D70</f>
        <v>200.21.c</v>
      </c>
      <c r="G70" s="224"/>
      <c r="H70" s="10"/>
      <c r="I70" s="10"/>
      <c r="J70" s="10">
        <f>T70+U70</f>
        <v>138037065</v>
      </c>
      <c r="M70" s="6"/>
      <c r="T70" s="157">
        <f>AB20</f>
        <v>138037065</v>
      </c>
      <c r="U70" s="157"/>
      <c r="V70" s="157"/>
      <c r="W70" s="157"/>
      <c r="X70" s="157"/>
      <c r="Y70" s="157"/>
      <c r="AA70" s="157">
        <v>0</v>
      </c>
      <c r="AB70" s="157">
        <v>132760764</v>
      </c>
      <c r="AC70" s="157"/>
      <c r="AD70" s="157"/>
      <c r="AE70" s="343"/>
      <c r="AF70" s="342"/>
    </row>
    <row r="71" spans="2:32" ht="15" x14ac:dyDescent="0.2">
      <c r="B71" s="224">
        <v>214</v>
      </c>
      <c r="C71" s="224">
        <v>47</v>
      </c>
      <c r="D71" s="224" t="s">
        <v>15</v>
      </c>
      <c r="E71" s="4" t="s">
        <v>247</v>
      </c>
      <c r="F71" s="224" t="str">
        <f t="shared" si="15"/>
        <v>214.47.d</v>
      </c>
      <c r="G71" s="224"/>
      <c r="H71" s="10"/>
      <c r="I71" s="10"/>
      <c r="J71" s="10">
        <f t="shared" ref="J71:J76" si="16">T71+U71</f>
        <v>12613437</v>
      </c>
      <c r="K71" s="85" t="s">
        <v>237</v>
      </c>
      <c r="O71" s="184"/>
      <c r="P71" s="184"/>
      <c r="Q71" s="184"/>
      <c r="T71" s="157">
        <f>1046211+1808764+2584486+752861+6421115</f>
        <v>12613437</v>
      </c>
      <c r="U71" s="157"/>
      <c r="V71" s="119" t="s">
        <v>864</v>
      </c>
      <c r="W71" s="157"/>
      <c r="X71" s="157"/>
      <c r="Y71" s="157"/>
      <c r="AA71" s="157">
        <v>0</v>
      </c>
      <c r="AB71" s="157">
        <v>6192322</v>
      </c>
      <c r="AC71" s="157"/>
      <c r="AD71" s="157"/>
      <c r="AE71" s="343"/>
      <c r="AF71" s="342"/>
    </row>
    <row r="72" spans="2:32" ht="15.75" x14ac:dyDescent="0.25">
      <c r="B72" s="224">
        <v>219</v>
      </c>
      <c r="C72" s="71" t="s">
        <v>431</v>
      </c>
      <c r="D72" s="11" t="s">
        <v>12</v>
      </c>
      <c r="E72" s="4" t="s">
        <v>160</v>
      </c>
      <c r="F72" s="224" t="str">
        <f>B72&amp;"."&amp;C72&amp;"."&amp;D72</f>
        <v>219.20 thru 24.c</v>
      </c>
      <c r="G72" s="224"/>
      <c r="H72" s="10"/>
      <c r="I72" s="10"/>
      <c r="J72" s="10">
        <f t="shared" si="16"/>
        <v>2277766078</v>
      </c>
      <c r="O72" s="185"/>
      <c r="P72" s="185"/>
      <c r="Q72" s="186"/>
      <c r="T72" s="157">
        <f>AB27</f>
        <v>2277766078</v>
      </c>
      <c r="U72" s="157"/>
      <c r="V72" s="157"/>
      <c r="W72" s="157"/>
      <c r="X72" s="157"/>
      <c r="Y72" s="157"/>
      <c r="AA72" s="157">
        <v>0</v>
      </c>
      <c r="AB72" s="157">
        <v>2689553821</v>
      </c>
      <c r="AC72" s="157"/>
      <c r="AD72" s="157"/>
      <c r="AE72" s="343"/>
      <c r="AF72" s="342"/>
    </row>
    <row r="73" spans="2:32" ht="15" x14ac:dyDescent="0.2">
      <c r="B73" s="224">
        <v>219</v>
      </c>
      <c r="C73" s="224">
        <v>25</v>
      </c>
      <c r="D73" s="11" t="s">
        <v>12</v>
      </c>
      <c r="E73" s="4" t="s">
        <v>161</v>
      </c>
      <c r="F73" s="224" t="str">
        <f t="shared" si="15"/>
        <v>219.25.c</v>
      </c>
      <c r="G73" s="224"/>
      <c r="H73" s="10"/>
      <c r="I73" s="10"/>
      <c r="J73" s="10">
        <f t="shared" si="16"/>
        <v>539294144.47570539</v>
      </c>
      <c r="K73" s="85" t="s">
        <v>237</v>
      </c>
      <c r="O73" s="184"/>
      <c r="P73" s="184"/>
      <c r="Q73" s="186"/>
      <c r="T73" s="157">
        <v>539573351</v>
      </c>
      <c r="U73" s="157">
        <f>+O21</f>
        <v>-279206.52429457783</v>
      </c>
      <c r="V73" s="157"/>
      <c r="W73" s="157"/>
      <c r="X73" s="157"/>
      <c r="Y73" s="157"/>
      <c r="AA73" s="157">
        <v>0</v>
      </c>
      <c r="AB73" s="157">
        <v>525044666</v>
      </c>
      <c r="AC73" s="157"/>
      <c r="AD73" s="157"/>
      <c r="AE73" s="343"/>
      <c r="AF73" s="342"/>
    </row>
    <row r="74" spans="2:32" x14ac:dyDescent="0.2">
      <c r="B74" s="224">
        <v>219</v>
      </c>
      <c r="C74" s="224">
        <v>26</v>
      </c>
      <c r="D74" s="11" t="s">
        <v>12</v>
      </c>
      <c r="E74" s="4" t="s">
        <v>162</v>
      </c>
      <c r="F74" s="224" t="str">
        <f t="shared" si="15"/>
        <v>219.26.c</v>
      </c>
      <c r="G74" s="224"/>
      <c r="H74" s="10"/>
      <c r="I74" s="10"/>
      <c r="J74" s="10">
        <f t="shared" si="16"/>
        <v>1705437350</v>
      </c>
      <c r="T74" s="157">
        <f>AB29</f>
        <v>1705437350</v>
      </c>
      <c r="U74" s="157"/>
      <c r="V74" s="157"/>
      <c r="W74" s="157"/>
      <c r="X74" s="157"/>
      <c r="Y74" s="157"/>
      <c r="AA74" s="157">
        <v>0</v>
      </c>
      <c r="AB74" s="157">
        <v>1641233873</v>
      </c>
      <c r="AC74" s="157"/>
      <c r="AD74" s="157"/>
      <c r="AE74" s="343"/>
      <c r="AF74" s="342"/>
    </row>
    <row r="75" spans="2:32" x14ac:dyDescent="0.2">
      <c r="B75" s="224">
        <v>219</v>
      </c>
      <c r="C75" s="224">
        <v>28</v>
      </c>
      <c r="D75" s="11" t="s">
        <v>12</v>
      </c>
      <c r="E75" s="4" t="s">
        <v>163</v>
      </c>
      <c r="F75" s="224" t="str">
        <f t="shared" si="15"/>
        <v>219.28.c</v>
      </c>
      <c r="G75" s="224"/>
      <c r="H75" s="10"/>
      <c r="I75" s="10"/>
      <c r="J75" s="10">
        <f t="shared" si="16"/>
        <v>89081929</v>
      </c>
      <c r="T75" s="157">
        <f>AB30</f>
        <v>89081929</v>
      </c>
      <c r="U75" s="157"/>
      <c r="V75" s="157"/>
      <c r="W75" s="157"/>
      <c r="X75" s="157"/>
      <c r="Y75" s="157"/>
      <c r="AA75" s="157">
        <v>0</v>
      </c>
      <c r="AB75" s="157">
        <v>77173247</v>
      </c>
      <c r="AC75" s="157"/>
      <c r="AD75" s="157"/>
      <c r="AE75" s="343"/>
      <c r="AF75" s="342"/>
    </row>
    <row r="76" spans="2:32" x14ac:dyDescent="0.2">
      <c r="B76" s="224" t="s">
        <v>16</v>
      </c>
      <c r="C76" s="224">
        <v>5</v>
      </c>
      <c r="D76" s="224" t="s">
        <v>35</v>
      </c>
      <c r="E76" s="4" t="s">
        <v>170</v>
      </c>
      <c r="F76" s="224" t="str">
        <f>B76&amp;"."&amp;C76&amp;"."&amp;D76</f>
        <v>230a.5.f</v>
      </c>
      <c r="G76" s="224"/>
      <c r="H76" s="10"/>
      <c r="I76" s="10"/>
      <c r="J76" s="10">
        <f t="shared" si="16"/>
        <v>-4618198</v>
      </c>
      <c r="T76" s="157">
        <f>AB35</f>
        <v>-4618198</v>
      </c>
      <c r="U76" s="157"/>
      <c r="V76" s="157"/>
      <c r="W76" s="157"/>
      <c r="X76" s="157"/>
      <c r="Y76" s="157"/>
      <c r="AA76" s="157">
        <v>0</v>
      </c>
      <c r="AB76" s="157">
        <v>-698028.7799999998</v>
      </c>
      <c r="AC76" s="157"/>
      <c r="AD76" s="157"/>
      <c r="AE76" s="343"/>
      <c r="AF76" s="342"/>
    </row>
    <row r="79" spans="2:32" x14ac:dyDescent="0.2">
      <c r="T79" s="157">
        <v>39937905.580000028</v>
      </c>
      <c r="V79" s="4" t="s">
        <v>889</v>
      </c>
    </row>
  </sheetData>
  <mergeCells count="4">
    <mergeCell ref="K3:L3"/>
    <mergeCell ref="A5:L5"/>
    <mergeCell ref="A6:L6"/>
    <mergeCell ref="AA8:AB8"/>
  </mergeCells>
  <phoneticPr fontId="0" type="noConversion"/>
  <printOptions horizontalCentered="1"/>
  <pageMargins left="0.5" right="0.5" top="0.5" bottom="0.5" header="0.5" footer="0.5"/>
  <pageSetup scale="6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workbookViewId="0"/>
  </sheetViews>
  <sheetFormatPr defaultColWidth="9.140625" defaultRowHeight="12.75" x14ac:dyDescent="0.2"/>
  <cols>
    <col min="1" max="1" width="5.7109375" style="70" customWidth="1"/>
    <col min="2" max="2" width="3.7109375" style="70" customWidth="1"/>
    <col min="3" max="3" width="9.140625" style="70"/>
    <col min="4" max="4" width="14.5703125" style="70" customWidth="1"/>
    <col min="5" max="5" width="25.28515625" style="70" customWidth="1"/>
    <col min="6" max="10" width="12.7109375" style="70" customWidth="1"/>
    <col min="11" max="11" width="11.7109375" style="70" customWidth="1"/>
    <col min="12" max="12" width="13.42578125" style="70" customWidth="1"/>
    <col min="13" max="16384" width="9.140625" style="70"/>
  </cols>
  <sheetData>
    <row r="1" spans="1:12" ht="15" x14ac:dyDescent="0.25">
      <c r="A1" s="70" t="s">
        <v>387</v>
      </c>
      <c r="K1" s="202" t="s">
        <v>848</v>
      </c>
    </row>
    <row r="2" spans="1:12" ht="15" x14ac:dyDescent="0.25">
      <c r="K2" s="202" t="s">
        <v>363</v>
      </c>
    </row>
    <row r="3" spans="1:12" x14ac:dyDescent="0.2">
      <c r="K3" s="249"/>
      <c r="L3" s="249"/>
    </row>
    <row r="5" spans="1:12" x14ac:dyDescent="0.2">
      <c r="A5" s="250" t="s">
        <v>850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</row>
    <row r="6" spans="1:12" ht="6" customHeight="1" x14ac:dyDescent="0.2"/>
    <row r="7" spans="1:12" x14ac:dyDescent="0.2">
      <c r="A7" s="251" t="s">
        <v>386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</row>
    <row r="10" spans="1:12" x14ac:dyDescent="0.2">
      <c r="A10" s="203" t="s">
        <v>281</v>
      </c>
      <c r="B10" s="204"/>
      <c r="C10" s="204"/>
      <c r="D10" s="204"/>
      <c r="E10" s="204"/>
      <c r="F10" s="159"/>
      <c r="G10" s="159"/>
      <c r="H10" s="159"/>
      <c r="I10" s="159"/>
      <c r="J10" s="159"/>
    </row>
    <row r="11" spans="1:12" ht="13.5" thickBot="1" x14ac:dyDescent="0.25"/>
    <row r="12" spans="1:12" ht="13.5" thickBot="1" x14ac:dyDescent="0.25">
      <c r="A12" s="205">
        <v>1</v>
      </c>
      <c r="B12" s="235" t="s">
        <v>393</v>
      </c>
      <c r="C12" s="235"/>
      <c r="D12" s="235"/>
      <c r="E12" s="235"/>
      <c r="F12" s="235"/>
    </row>
    <row r="13" spans="1:12" x14ac:dyDescent="0.2">
      <c r="A13" s="205">
        <f t="shared" ref="A13:A44" si="0">A12+1</f>
        <v>2</v>
      </c>
      <c r="H13" s="73"/>
      <c r="I13" s="73"/>
      <c r="J13" s="73"/>
    </row>
    <row r="14" spans="1:12" x14ac:dyDescent="0.2">
      <c r="A14" s="205">
        <f t="shared" si="0"/>
        <v>3</v>
      </c>
      <c r="C14" s="206" t="s">
        <v>394</v>
      </c>
      <c r="E14" s="73"/>
      <c r="F14" s="73"/>
      <c r="H14" s="73"/>
      <c r="I14" s="73"/>
      <c r="J14" s="73"/>
    </row>
    <row r="15" spans="1:12" x14ac:dyDescent="0.2">
      <c r="A15" s="205">
        <f t="shared" si="0"/>
        <v>4</v>
      </c>
      <c r="C15" s="207"/>
      <c r="E15" s="73"/>
      <c r="F15" s="73"/>
      <c r="H15" s="73"/>
      <c r="I15" s="73"/>
      <c r="J15" s="73"/>
    </row>
    <row r="16" spans="1:12" x14ac:dyDescent="0.2">
      <c r="A16" s="205">
        <f t="shared" si="0"/>
        <v>5</v>
      </c>
      <c r="C16" s="208" t="s">
        <v>394</v>
      </c>
      <c r="E16" s="73"/>
      <c r="F16" s="73"/>
      <c r="H16" s="73"/>
      <c r="I16" s="73"/>
      <c r="J16" s="73"/>
    </row>
    <row r="17" spans="1:11" x14ac:dyDescent="0.2">
      <c r="A17" s="205">
        <f t="shared" si="0"/>
        <v>6</v>
      </c>
      <c r="C17" s="207" t="s">
        <v>282</v>
      </c>
      <c r="E17" s="73" t="s">
        <v>873</v>
      </c>
      <c r="F17" s="76">
        <f>'DEF - 2 - Page 5 Storm, Notes'!$K$19</f>
        <v>13307907.028750595</v>
      </c>
      <c r="H17" s="73"/>
      <c r="I17" s="73"/>
      <c r="J17" s="73"/>
    </row>
    <row r="18" spans="1:11" x14ac:dyDescent="0.2">
      <c r="A18" s="205">
        <f t="shared" si="0"/>
        <v>7</v>
      </c>
      <c r="C18" s="207" t="s">
        <v>283</v>
      </c>
      <c r="E18" s="73" t="s">
        <v>874</v>
      </c>
      <c r="F18" s="78">
        <f>'DEF - 2 - Page 5 Storm, Notes'!$K$24</f>
        <v>8614773.8050481882</v>
      </c>
      <c r="H18" s="73"/>
      <c r="I18" s="73"/>
      <c r="J18" s="73"/>
    </row>
    <row r="19" spans="1:11" x14ac:dyDescent="0.2">
      <c r="A19" s="205">
        <f t="shared" si="0"/>
        <v>8</v>
      </c>
      <c r="C19" s="70" t="s">
        <v>377</v>
      </c>
      <c r="F19" s="76">
        <f>F17+F18</f>
        <v>21922680.833798781</v>
      </c>
      <c r="G19" s="73"/>
      <c r="H19" s="77"/>
      <c r="I19" s="77"/>
      <c r="J19" s="77"/>
    </row>
    <row r="20" spans="1:11" x14ac:dyDescent="0.2">
      <c r="A20" s="205">
        <f t="shared" si="0"/>
        <v>9</v>
      </c>
      <c r="C20" s="209" t="s">
        <v>395</v>
      </c>
      <c r="F20" s="73"/>
      <c r="G20" s="73"/>
      <c r="H20" s="77"/>
      <c r="I20" s="77"/>
      <c r="J20" s="77"/>
    </row>
    <row r="21" spans="1:11" x14ac:dyDescent="0.2">
      <c r="A21" s="205">
        <f t="shared" si="0"/>
        <v>10</v>
      </c>
      <c r="B21" s="210"/>
      <c r="C21" s="207" t="s">
        <v>396</v>
      </c>
      <c r="F21" s="73"/>
      <c r="G21" s="73"/>
      <c r="H21" s="77"/>
      <c r="I21" s="77"/>
      <c r="J21" s="77"/>
    </row>
    <row r="22" spans="1:11" x14ac:dyDescent="0.2">
      <c r="A22" s="205">
        <f t="shared" si="0"/>
        <v>11</v>
      </c>
      <c r="C22" s="211" t="s">
        <v>397</v>
      </c>
      <c r="E22" s="73" t="s">
        <v>875</v>
      </c>
      <c r="F22" s="76">
        <f>'DEF - 2 - Page 5 Storm, Notes'!$K$26</f>
        <v>368844.85383767809</v>
      </c>
      <c r="H22" s="77"/>
      <c r="I22" s="77"/>
      <c r="J22" s="77"/>
    </row>
    <row r="23" spans="1:11" x14ac:dyDescent="0.2">
      <c r="A23" s="205">
        <f t="shared" si="0"/>
        <v>12</v>
      </c>
      <c r="C23" s="211" t="s">
        <v>398</v>
      </c>
      <c r="E23" s="73" t="s">
        <v>399</v>
      </c>
      <c r="F23" s="76">
        <f>F22*5</f>
        <v>1844224.2691883906</v>
      </c>
      <c r="H23" s="77"/>
      <c r="I23" s="77"/>
      <c r="J23" s="77"/>
    </row>
    <row r="24" spans="1:11" x14ac:dyDescent="0.2">
      <c r="A24" s="205">
        <f t="shared" si="0"/>
        <v>13</v>
      </c>
      <c r="F24" s="73"/>
      <c r="G24" s="73"/>
      <c r="H24" s="77"/>
      <c r="I24" s="77"/>
      <c r="J24" s="77"/>
    </row>
    <row r="25" spans="1:11" x14ac:dyDescent="0.2">
      <c r="A25" s="205">
        <f t="shared" si="0"/>
        <v>14</v>
      </c>
      <c r="C25" s="209" t="s">
        <v>400</v>
      </c>
      <c r="E25" s="73" t="s">
        <v>401</v>
      </c>
      <c r="F25" s="76">
        <f>F19-F23</f>
        <v>20078456.564610392</v>
      </c>
      <c r="H25" s="77"/>
      <c r="I25" s="77"/>
      <c r="J25" s="77"/>
    </row>
    <row r="26" spans="1:11" x14ac:dyDescent="0.2">
      <c r="A26" s="205">
        <f t="shared" si="0"/>
        <v>15</v>
      </c>
      <c r="F26" s="73"/>
      <c r="G26" s="73"/>
      <c r="H26" s="77"/>
      <c r="I26" s="77"/>
      <c r="J26" s="77"/>
    </row>
    <row r="27" spans="1:11" x14ac:dyDescent="0.2">
      <c r="A27" s="205">
        <f t="shared" si="0"/>
        <v>16</v>
      </c>
      <c r="C27" s="212" t="s">
        <v>402</v>
      </c>
      <c r="F27" s="159">
        <v>2008</v>
      </c>
      <c r="G27" s="159">
        <v>2009</v>
      </c>
      <c r="H27" s="159">
        <v>2010</v>
      </c>
      <c r="I27" s="159">
        <v>2011</v>
      </c>
      <c r="J27" s="159">
        <v>2012</v>
      </c>
      <c r="K27" s="159" t="s">
        <v>22</v>
      </c>
    </row>
    <row r="28" spans="1:11" x14ac:dyDescent="0.2">
      <c r="A28" s="205">
        <f t="shared" si="0"/>
        <v>17</v>
      </c>
      <c r="F28" s="73"/>
    </row>
    <row r="29" spans="1:11" x14ac:dyDescent="0.2">
      <c r="A29" s="205">
        <f t="shared" si="0"/>
        <v>18</v>
      </c>
      <c r="C29" s="70" t="s">
        <v>403</v>
      </c>
      <c r="F29" s="73"/>
      <c r="G29" s="73"/>
      <c r="H29" s="73"/>
      <c r="I29" s="73"/>
      <c r="J29" s="73"/>
    </row>
    <row r="30" spans="1:11" x14ac:dyDescent="0.2">
      <c r="A30" s="205">
        <f t="shared" si="0"/>
        <v>19</v>
      </c>
      <c r="C30" s="207" t="s">
        <v>383</v>
      </c>
      <c r="E30" s="207" t="s">
        <v>404</v>
      </c>
      <c r="F30" s="73">
        <v>6593.3859762747506</v>
      </c>
      <c r="G30" s="73">
        <v>13904.176834689111</v>
      </c>
      <c r="H30" s="73">
        <v>30194.461167706668</v>
      </c>
      <c r="I30" s="73">
        <v>37330.800746542569</v>
      </c>
      <c r="J30" s="73">
        <v>39888.800701937114</v>
      </c>
      <c r="K30" s="73">
        <f>SUM(F30:J30)</f>
        <v>127911.62542715023</v>
      </c>
    </row>
    <row r="31" spans="1:11" x14ac:dyDescent="0.2">
      <c r="A31" s="205">
        <f t="shared" si="0"/>
        <v>20</v>
      </c>
      <c r="C31" s="207" t="s">
        <v>378</v>
      </c>
      <c r="E31" s="207" t="s">
        <v>404</v>
      </c>
      <c r="F31" s="74">
        <v>3000</v>
      </c>
      <c r="G31" s="74">
        <v>3000</v>
      </c>
      <c r="H31" s="74">
        <v>3000</v>
      </c>
      <c r="I31" s="74">
        <v>3000</v>
      </c>
      <c r="J31" s="74">
        <v>3000</v>
      </c>
      <c r="K31" s="74">
        <f>SUM(F31:J31)</f>
        <v>15000</v>
      </c>
    </row>
    <row r="32" spans="1:11" x14ac:dyDescent="0.2">
      <c r="A32" s="205">
        <f t="shared" si="0"/>
        <v>21</v>
      </c>
      <c r="C32" s="70" t="s">
        <v>405</v>
      </c>
      <c r="F32" s="73">
        <f t="shared" ref="F32:K32" si="1">SUM(F30:F31)</f>
        <v>9593.3859762747506</v>
      </c>
      <c r="G32" s="73">
        <f t="shared" si="1"/>
        <v>16904.176834689111</v>
      </c>
      <c r="H32" s="73">
        <f t="shared" si="1"/>
        <v>33194.461167706671</v>
      </c>
      <c r="I32" s="73">
        <f t="shared" si="1"/>
        <v>40330.800746542569</v>
      </c>
      <c r="J32" s="73">
        <f t="shared" si="1"/>
        <v>42888.800701937114</v>
      </c>
      <c r="K32" s="73">
        <f t="shared" si="1"/>
        <v>142911.62542715023</v>
      </c>
    </row>
    <row r="33" spans="1:11" x14ac:dyDescent="0.2">
      <c r="A33" s="205">
        <f t="shared" si="0"/>
        <v>22</v>
      </c>
      <c r="F33" s="73"/>
    </row>
    <row r="34" spans="1:11" x14ac:dyDescent="0.2">
      <c r="A34" s="205">
        <f t="shared" si="0"/>
        <v>23</v>
      </c>
      <c r="C34" s="70" t="s">
        <v>406</v>
      </c>
      <c r="E34" s="213" t="s">
        <v>428</v>
      </c>
      <c r="F34" s="214">
        <f>F32/$K$32</f>
        <v>6.7128100653819925E-2</v>
      </c>
      <c r="G34" s="214">
        <f>G32/$K$32</f>
        <v>0.11828412688025917</v>
      </c>
      <c r="H34" s="214">
        <f>H32/$K$32</f>
        <v>0.23227264449964347</v>
      </c>
      <c r="I34" s="214">
        <f>I32/$K$32</f>
        <v>0.28220797731463321</v>
      </c>
      <c r="J34" s="214">
        <f>J32/$K$32</f>
        <v>0.30010715065164417</v>
      </c>
      <c r="K34" s="215">
        <f>SUM(F34:J34)</f>
        <v>1</v>
      </c>
    </row>
    <row r="35" spans="1:11" ht="12" customHeight="1" x14ac:dyDescent="0.2">
      <c r="A35" s="205">
        <f t="shared" si="0"/>
        <v>24</v>
      </c>
      <c r="F35" s="73"/>
    </row>
    <row r="36" spans="1:11" ht="12" customHeight="1" x14ac:dyDescent="0.2">
      <c r="A36" s="205">
        <f t="shared" si="0"/>
        <v>25</v>
      </c>
      <c r="C36" s="70" t="s">
        <v>402</v>
      </c>
      <c r="F36" s="73"/>
    </row>
    <row r="37" spans="1:11" x14ac:dyDescent="0.2">
      <c r="A37" s="205">
        <f t="shared" si="0"/>
        <v>26</v>
      </c>
      <c r="C37" s="207" t="s">
        <v>282</v>
      </c>
      <c r="E37" s="70" t="s">
        <v>407</v>
      </c>
      <c r="F37" s="76">
        <f>F$34*$F$25*($F$17/$F$19)</f>
        <v>818183.62197674019</v>
      </c>
      <c r="G37" s="76">
        <f>G$34*$F$25*($F$17/$F$19)</f>
        <v>1441693.3357362852</v>
      </c>
      <c r="H37" s="76">
        <f>H$34*$F$25*($F$17/$F$19)</f>
        <v>2831030.1008348246</v>
      </c>
      <c r="I37" s="76">
        <f>I$34*$F$25*($F$17/$F$19)</f>
        <v>3439661.5244748043</v>
      </c>
      <c r="J37" s="76">
        <f>J$34*$F$25*($F$17/$F$19)</f>
        <v>3657823.6701131635</v>
      </c>
      <c r="K37" s="76">
        <f>SUM(F37:J37)</f>
        <v>12188392.253135817</v>
      </c>
    </row>
    <row r="38" spans="1:11" x14ac:dyDescent="0.2">
      <c r="A38" s="205">
        <f t="shared" si="0"/>
        <v>27</v>
      </c>
      <c r="C38" s="207" t="s">
        <v>283</v>
      </c>
      <c r="E38" s="70" t="s">
        <v>408</v>
      </c>
      <c r="F38" s="78">
        <f>F$34*$F$25*($F$18/$F$19)</f>
        <v>529645.03126577765</v>
      </c>
      <c r="G38" s="78">
        <f>G$34*$F$25*($F$18/$F$19)</f>
        <v>933269.36811186338</v>
      </c>
      <c r="H38" s="78">
        <f>H$34*$F$25*($F$18/$F$19)</f>
        <v>1832646.1028984583</v>
      </c>
      <c r="I38" s="78">
        <f>I$34*$F$25*($F$18/$F$19)</f>
        <v>2226639.0902236141</v>
      </c>
      <c r="J38" s="78">
        <f>J$34*$F$25*($F$18/$F$19)</f>
        <v>2367864.7189748613</v>
      </c>
      <c r="K38" s="74">
        <f>SUM(F38:J38)</f>
        <v>7890064.3114745747</v>
      </c>
    </row>
    <row r="39" spans="1:11" x14ac:dyDescent="0.2">
      <c r="A39" s="205">
        <f t="shared" si="0"/>
        <v>28</v>
      </c>
      <c r="C39" s="70" t="s">
        <v>284</v>
      </c>
      <c r="F39" s="76">
        <f t="shared" ref="F39:K39" si="2">SUM(F37:F38)</f>
        <v>1347828.6532425177</v>
      </c>
      <c r="G39" s="76">
        <f t="shared" si="2"/>
        <v>2374962.7038481487</v>
      </c>
      <c r="H39" s="76">
        <f t="shared" si="2"/>
        <v>4663676.2037332831</v>
      </c>
      <c r="I39" s="76">
        <f t="shared" si="2"/>
        <v>5666300.6146984184</v>
      </c>
      <c r="J39" s="76">
        <f t="shared" si="2"/>
        <v>6025688.3890880253</v>
      </c>
      <c r="K39" s="76">
        <f t="shared" si="2"/>
        <v>20078456.564610392</v>
      </c>
    </row>
    <row r="40" spans="1:11" x14ac:dyDescent="0.2">
      <c r="A40" s="205">
        <f t="shared" si="0"/>
        <v>29</v>
      </c>
      <c r="F40" s="73"/>
    </row>
    <row r="41" spans="1:11" ht="13.5" thickBot="1" x14ac:dyDescent="0.25">
      <c r="A41" s="205">
        <f t="shared" si="0"/>
        <v>30</v>
      </c>
      <c r="C41" s="210" t="s">
        <v>409</v>
      </c>
      <c r="D41" s="210"/>
      <c r="E41" s="210"/>
    </row>
    <row r="42" spans="1:11" ht="13.5" thickBot="1" x14ac:dyDescent="0.25">
      <c r="A42" s="205">
        <f t="shared" si="0"/>
        <v>31</v>
      </c>
      <c r="C42" s="216" t="s">
        <v>410</v>
      </c>
      <c r="E42" s="73" t="s">
        <v>411</v>
      </c>
      <c r="F42" s="234">
        <f t="shared" ref="F42:K42" si="3">F39/F32</f>
        <v>140.49561401738774</v>
      </c>
      <c r="G42" s="234">
        <f t="shared" si="3"/>
        <v>140.49561401738774</v>
      </c>
      <c r="H42" s="234">
        <f t="shared" si="3"/>
        <v>140.49561401738777</v>
      </c>
      <c r="I42" s="234">
        <f t="shared" si="3"/>
        <v>140.49561401738774</v>
      </c>
      <c r="J42" s="234">
        <f t="shared" si="3"/>
        <v>140.49561401738774</v>
      </c>
      <c r="K42" s="234">
        <f t="shared" si="3"/>
        <v>140.49561401738774</v>
      </c>
    </row>
    <row r="43" spans="1:11" ht="13.5" thickBot="1" x14ac:dyDescent="0.25">
      <c r="A43" s="205">
        <f t="shared" si="0"/>
        <v>32</v>
      </c>
    </row>
    <row r="44" spans="1:11" ht="13.5" thickBot="1" x14ac:dyDescent="0.25">
      <c r="A44" s="205">
        <f t="shared" si="0"/>
        <v>33</v>
      </c>
      <c r="B44" s="233" t="s">
        <v>412</v>
      </c>
      <c r="C44" s="233"/>
      <c r="D44" s="233"/>
      <c r="E44" s="233"/>
      <c r="F44" s="233"/>
    </row>
    <row r="45" spans="1:11" x14ac:dyDescent="0.2">
      <c r="A45" s="205">
        <f t="shared" ref="A45:A72" si="4">A44+1</f>
        <v>34</v>
      </c>
    </row>
    <row r="46" spans="1:11" x14ac:dyDescent="0.2">
      <c r="A46" s="205">
        <f t="shared" si="4"/>
        <v>35</v>
      </c>
      <c r="C46" s="217" t="s">
        <v>429</v>
      </c>
      <c r="F46" s="73"/>
      <c r="G46" s="73"/>
      <c r="H46" s="73"/>
      <c r="I46" s="73"/>
      <c r="J46" s="73"/>
    </row>
    <row r="47" spans="1:11" x14ac:dyDescent="0.2">
      <c r="A47" s="205">
        <f t="shared" si="4"/>
        <v>36</v>
      </c>
      <c r="C47" s="207" t="s">
        <v>383</v>
      </c>
      <c r="E47" s="207" t="s">
        <v>413</v>
      </c>
      <c r="F47" s="73">
        <f t="shared" ref="F47:J48" si="5">F30*1.05</f>
        <v>6923.0552750884881</v>
      </c>
      <c r="G47" s="73">
        <f t="shared" si="5"/>
        <v>14599.385676423568</v>
      </c>
      <c r="H47" s="73">
        <f t="shared" si="5"/>
        <v>31704.184226092002</v>
      </c>
      <c r="I47" s="73">
        <f t="shared" si="5"/>
        <v>39197.340783869702</v>
      </c>
      <c r="J47" s="73">
        <f t="shared" si="5"/>
        <v>41883.240737033972</v>
      </c>
      <c r="K47" s="73">
        <f>SUM(F47:J47)</f>
        <v>134307.20669850774</v>
      </c>
    </row>
    <row r="48" spans="1:11" x14ac:dyDescent="0.2">
      <c r="A48" s="205">
        <f t="shared" si="4"/>
        <v>37</v>
      </c>
      <c r="C48" s="207" t="s">
        <v>378</v>
      </c>
      <c r="E48" s="207" t="s">
        <v>414</v>
      </c>
      <c r="F48" s="74">
        <f t="shared" si="5"/>
        <v>3150</v>
      </c>
      <c r="G48" s="74">
        <f t="shared" si="5"/>
        <v>3150</v>
      </c>
      <c r="H48" s="74">
        <f t="shared" si="5"/>
        <v>3150</v>
      </c>
      <c r="I48" s="74">
        <f t="shared" si="5"/>
        <v>3150</v>
      </c>
      <c r="J48" s="74">
        <f t="shared" si="5"/>
        <v>3150</v>
      </c>
      <c r="K48" s="74">
        <f>SUM(F48:J48)</f>
        <v>15750</v>
      </c>
    </row>
    <row r="49" spans="1:11" x14ac:dyDescent="0.2">
      <c r="A49" s="205">
        <f t="shared" si="4"/>
        <v>38</v>
      </c>
      <c r="C49" s="70" t="s">
        <v>415</v>
      </c>
      <c r="E49" s="207" t="s">
        <v>416</v>
      </c>
      <c r="F49" s="73">
        <f t="shared" ref="F49:K49" si="6">SUM(F47:F48)</f>
        <v>10073.055275088489</v>
      </c>
      <c r="G49" s="73">
        <f t="shared" si="6"/>
        <v>17749.385676423568</v>
      </c>
      <c r="H49" s="73">
        <f t="shared" si="6"/>
        <v>34854.184226092002</v>
      </c>
      <c r="I49" s="73">
        <f t="shared" si="6"/>
        <v>42347.340783869702</v>
      </c>
      <c r="J49" s="73">
        <f t="shared" si="6"/>
        <v>45033.240737033972</v>
      </c>
      <c r="K49" s="73">
        <f t="shared" si="6"/>
        <v>150057.20669850774</v>
      </c>
    </row>
    <row r="50" spans="1:11" x14ac:dyDescent="0.2">
      <c r="A50" s="205">
        <f t="shared" si="4"/>
        <v>39</v>
      </c>
    </row>
    <row r="51" spans="1:11" x14ac:dyDescent="0.2">
      <c r="A51" s="205">
        <f t="shared" si="4"/>
        <v>40</v>
      </c>
      <c r="C51" s="70" t="s">
        <v>417</v>
      </c>
    </row>
    <row r="52" spans="1:11" x14ac:dyDescent="0.2">
      <c r="A52" s="205">
        <f t="shared" si="4"/>
        <v>41</v>
      </c>
      <c r="C52" s="207" t="s">
        <v>383</v>
      </c>
      <c r="E52" s="207" t="s">
        <v>418</v>
      </c>
      <c r="F52" s="76">
        <f t="shared" ref="F52:J53" si="7">F$42*F47</f>
        <v>972658.90174987225</v>
      </c>
      <c r="G52" s="76">
        <f t="shared" si="7"/>
        <v>2051149.6548857847</v>
      </c>
      <c r="H52" s="76">
        <f t="shared" si="7"/>
        <v>4454298.8297651755</v>
      </c>
      <c r="I52" s="76">
        <f t="shared" si="7"/>
        <v>5507054.461278568</v>
      </c>
      <c r="J52" s="76">
        <f t="shared" si="7"/>
        <v>5884411.6243876554</v>
      </c>
      <c r="K52" s="76">
        <f>SUM(F52:J52)</f>
        <v>18869573.472067054</v>
      </c>
    </row>
    <row r="53" spans="1:11" x14ac:dyDescent="0.2">
      <c r="A53" s="205">
        <f t="shared" si="4"/>
        <v>42</v>
      </c>
      <c r="C53" s="207" t="s">
        <v>378</v>
      </c>
      <c r="E53" s="207" t="s">
        <v>419</v>
      </c>
      <c r="F53" s="78">
        <f t="shared" si="7"/>
        <v>442561.18415477138</v>
      </c>
      <c r="G53" s="78">
        <f t="shared" si="7"/>
        <v>442561.18415477138</v>
      </c>
      <c r="H53" s="78">
        <f t="shared" si="7"/>
        <v>442561.18415477144</v>
      </c>
      <c r="I53" s="78">
        <f t="shared" si="7"/>
        <v>442561.18415477138</v>
      </c>
      <c r="J53" s="78">
        <f t="shared" si="7"/>
        <v>442561.18415477138</v>
      </c>
      <c r="K53" s="74">
        <f>SUM(F53:J53)</f>
        <v>2212805.9207738568</v>
      </c>
    </row>
    <row r="54" spans="1:11" x14ac:dyDescent="0.2">
      <c r="A54" s="205">
        <f t="shared" si="4"/>
        <v>43</v>
      </c>
      <c r="C54" s="218" t="s">
        <v>420</v>
      </c>
      <c r="D54" s="149"/>
      <c r="E54" s="207" t="s">
        <v>421</v>
      </c>
      <c r="F54" s="76">
        <f t="shared" ref="F54:K54" si="8">SUM(F52:F53)</f>
        <v>1415220.0859046436</v>
      </c>
      <c r="G54" s="76">
        <f t="shared" si="8"/>
        <v>2493710.839040556</v>
      </c>
      <c r="H54" s="76">
        <f t="shared" si="8"/>
        <v>4896860.0139199467</v>
      </c>
      <c r="I54" s="76">
        <f t="shared" si="8"/>
        <v>5949615.6454333393</v>
      </c>
      <c r="J54" s="76">
        <f t="shared" si="8"/>
        <v>6326972.8085424267</v>
      </c>
      <c r="K54" s="76">
        <f t="shared" si="8"/>
        <v>21082379.392840911</v>
      </c>
    </row>
    <row r="55" spans="1:11" x14ac:dyDescent="0.2">
      <c r="A55" s="205">
        <f t="shared" si="4"/>
        <v>44</v>
      </c>
    </row>
    <row r="56" spans="1:11" ht="13.5" thickBot="1" x14ac:dyDescent="0.25">
      <c r="A56" s="205">
        <f t="shared" si="4"/>
        <v>45</v>
      </c>
      <c r="C56" s="210" t="s">
        <v>422</v>
      </c>
      <c r="D56" s="210"/>
      <c r="E56" s="210"/>
    </row>
    <row r="57" spans="1:11" ht="13.5" thickBot="1" x14ac:dyDescent="0.25">
      <c r="A57" s="205">
        <f t="shared" si="4"/>
        <v>46</v>
      </c>
      <c r="C57" s="216" t="s">
        <v>423</v>
      </c>
      <c r="E57" s="207" t="s">
        <v>424</v>
      </c>
      <c r="F57" s="230">
        <f>F54-F39</f>
        <v>67391.43266212591</v>
      </c>
      <c r="G57" s="231">
        <f>G54-G39</f>
        <v>118748.1351924073</v>
      </c>
      <c r="H57" s="231">
        <f>H54-H39</f>
        <v>233183.81018666364</v>
      </c>
      <c r="I57" s="231">
        <f>I54-I39</f>
        <v>283315.03073492087</v>
      </c>
      <c r="J57" s="231">
        <f>J54-J39</f>
        <v>301284.41945440136</v>
      </c>
      <c r="K57" s="232">
        <f>SUM(F57:J57)</f>
        <v>1003922.8282305191</v>
      </c>
    </row>
    <row r="58" spans="1:11" x14ac:dyDescent="0.2">
      <c r="A58" s="205">
        <f t="shared" si="4"/>
        <v>47</v>
      </c>
    </row>
    <row r="59" spans="1:11" ht="3" customHeight="1" x14ac:dyDescent="0.2">
      <c r="A59" s="205">
        <f t="shared" si="4"/>
        <v>48</v>
      </c>
    </row>
    <row r="60" spans="1:11" x14ac:dyDescent="0.2">
      <c r="A60" s="205">
        <f t="shared" si="4"/>
        <v>49</v>
      </c>
    </row>
    <row r="61" spans="1:11" x14ac:dyDescent="0.2">
      <c r="A61" s="205">
        <f t="shared" si="4"/>
        <v>50</v>
      </c>
      <c r="B61" s="210" t="s">
        <v>379</v>
      </c>
      <c r="K61" s="210" t="s">
        <v>381</v>
      </c>
    </row>
    <row r="62" spans="1:11" x14ac:dyDescent="0.2">
      <c r="A62" s="205">
        <f t="shared" si="4"/>
        <v>51</v>
      </c>
      <c r="K62" s="210"/>
    </row>
    <row r="63" spans="1:11" x14ac:dyDescent="0.2">
      <c r="A63" s="205">
        <f t="shared" si="4"/>
        <v>52</v>
      </c>
      <c r="C63" s="70" t="s">
        <v>239</v>
      </c>
      <c r="F63" s="229">
        <v>-13307907</v>
      </c>
      <c r="G63" s="73">
        <f>F68</f>
        <v>-11591233.492919805</v>
      </c>
      <c r="H63" s="73">
        <f>G68</f>
        <v>-8847425.9352339786</v>
      </c>
      <c r="I63" s="73">
        <f>H68</f>
        <v>-3814904.8776630173</v>
      </c>
      <c r="J63" s="73">
        <f>I68</f>
        <v>2220240.5908730794</v>
      </c>
      <c r="K63" s="219">
        <f>J68</f>
        <v>8614773.8337987829</v>
      </c>
    </row>
    <row r="64" spans="1:11" x14ac:dyDescent="0.2">
      <c r="A64" s="205">
        <f t="shared" si="4"/>
        <v>53</v>
      </c>
      <c r="F64" s="73"/>
      <c r="K64" s="210"/>
    </row>
    <row r="65" spans="1:11" x14ac:dyDescent="0.2">
      <c r="A65" s="205">
        <f t="shared" si="4"/>
        <v>54</v>
      </c>
      <c r="C65" s="70" t="s">
        <v>425</v>
      </c>
      <c r="E65" s="70" t="s">
        <v>426</v>
      </c>
      <c r="F65" s="73">
        <f>F39</f>
        <v>1347828.6532425177</v>
      </c>
      <c r="G65" s="73">
        <f>G39</f>
        <v>2374962.7038481487</v>
      </c>
      <c r="H65" s="73">
        <f>H39</f>
        <v>4663676.2037332831</v>
      </c>
      <c r="I65" s="73">
        <f>I39</f>
        <v>5666300.6146984184</v>
      </c>
      <c r="J65" s="73">
        <f>J39</f>
        <v>6025688.3890880253</v>
      </c>
      <c r="K65" s="219"/>
    </row>
    <row r="66" spans="1:11" x14ac:dyDescent="0.2">
      <c r="A66" s="205">
        <f t="shared" si="4"/>
        <v>55</v>
      </c>
      <c r="C66" s="70" t="s">
        <v>391</v>
      </c>
      <c r="E66" s="70" t="s">
        <v>427</v>
      </c>
      <c r="F66" s="73">
        <f>$F$22</f>
        <v>368844.85383767809</v>
      </c>
      <c r="G66" s="73">
        <f>$F$22</f>
        <v>368844.85383767809</v>
      </c>
      <c r="H66" s="73">
        <f>$F$22</f>
        <v>368844.85383767809</v>
      </c>
      <c r="I66" s="73">
        <f>$F$22</f>
        <v>368844.85383767809</v>
      </c>
      <c r="J66" s="73">
        <f>$F$22</f>
        <v>368844.85383767809</v>
      </c>
      <c r="K66" s="219"/>
    </row>
    <row r="67" spans="1:11" x14ac:dyDescent="0.2">
      <c r="A67" s="205">
        <f t="shared" si="4"/>
        <v>56</v>
      </c>
    </row>
    <row r="68" spans="1:11" x14ac:dyDescent="0.2">
      <c r="A68" s="205">
        <f t="shared" si="4"/>
        <v>57</v>
      </c>
      <c r="C68" s="70" t="s">
        <v>240</v>
      </c>
      <c r="F68" s="73">
        <f>SUM(F63:F66)</f>
        <v>-11591233.492919805</v>
      </c>
      <c r="G68" s="73">
        <f>SUM(G63:G66)</f>
        <v>-8847425.9352339786</v>
      </c>
      <c r="H68" s="73">
        <f>SUM(H63:H66)</f>
        <v>-3814904.8776630173</v>
      </c>
      <c r="I68" s="73">
        <f>SUM(I63:I66)</f>
        <v>2220240.5908730794</v>
      </c>
      <c r="J68" s="73">
        <f>SUM(J63:J66)</f>
        <v>8614773.8337987829</v>
      </c>
      <c r="K68" s="219">
        <f>J68</f>
        <v>8614773.8337987829</v>
      </c>
    </row>
    <row r="69" spans="1:11" x14ac:dyDescent="0.2">
      <c r="A69" s="205">
        <f t="shared" si="4"/>
        <v>58</v>
      </c>
    </row>
    <row r="70" spans="1:11" x14ac:dyDescent="0.2">
      <c r="A70" s="205">
        <f t="shared" si="4"/>
        <v>59</v>
      </c>
      <c r="C70" s="70" t="s">
        <v>382</v>
      </c>
      <c r="F70" s="73">
        <f t="shared" ref="F70:K70" si="9">$F$18</f>
        <v>8614773.8050481882</v>
      </c>
      <c r="G70" s="73">
        <f t="shared" si="9"/>
        <v>8614773.8050481882</v>
      </c>
      <c r="H70" s="73">
        <f t="shared" si="9"/>
        <v>8614773.8050481882</v>
      </c>
      <c r="I70" s="73">
        <f t="shared" si="9"/>
        <v>8614773.8050481882</v>
      </c>
      <c r="J70" s="73">
        <f t="shared" si="9"/>
        <v>8614773.8050481882</v>
      </c>
      <c r="K70" s="73">
        <f t="shared" si="9"/>
        <v>8614773.8050481882</v>
      </c>
    </row>
    <row r="71" spans="1:11" x14ac:dyDescent="0.2">
      <c r="A71" s="205">
        <f t="shared" si="4"/>
        <v>60</v>
      </c>
    </row>
    <row r="72" spans="1:11" x14ac:dyDescent="0.2">
      <c r="A72" s="205">
        <f t="shared" si="4"/>
        <v>61</v>
      </c>
      <c r="C72" s="70" t="s">
        <v>380</v>
      </c>
      <c r="F72" s="73">
        <f t="shared" ref="F72:K72" si="10">MIN(F70-F68,0)</f>
        <v>0</v>
      </c>
      <c r="G72" s="73">
        <f t="shared" si="10"/>
        <v>0</v>
      </c>
      <c r="H72" s="73">
        <f t="shared" si="10"/>
        <v>0</v>
      </c>
      <c r="I72" s="73">
        <f t="shared" si="10"/>
        <v>0</v>
      </c>
      <c r="J72" s="73">
        <f t="shared" si="10"/>
        <v>-2.8750594705343246E-2</v>
      </c>
      <c r="K72" s="73">
        <f t="shared" si="10"/>
        <v>-2.8750594705343246E-2</v>
      </c>
    </row>
  </sheetData>
  <mergeCells count="3">
    <mergeCell ref="K3:L3"/>
    <mergeCell ref="A5:K5"/>
    <mergeCell ref="A7:K7"/>
  </mergeCells>
  <phoneticPr fontId="21" type="noConversion"/>
  <printOptions horizontalCentered="1"/>
  <pageMargins left="0.5" right="0.5" top="0.5" bottom="0.5" header="0.5" footer="0.5"/>
  <pageSetup scale="66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workbookViewId="0"/>
  </sheetViews>
  <sheetFormatPr defaultRowHeight="12.75" x14ac:dyDescent="0.2"/>
  <cols>
    <col min="1" max="1" width="34.85546875" customWidth="1"/>
    <col min="2" max="2" width="11.85546875" bestFit="1" customWidth="1"/>
    <col min="3" max="4" width="14" bestFit="1" customWidth="1"/>
    <col min="5" max="5" width="13.5703125" customWidth="1"/>
    <col min="6" max="6" width="36.85546875" customWidth="1"/>
    <col min="7" max="7" width="15.42578125" customWidth="1"/>
    <col min="8" max="8" width="17.42578125" customWidth="1"/>
    <col min="9" max="9" width="15.5703125" customWidth="1"/>
  </cols>
  <sheetData>
    <row r="1" spans="1:9" ht="15" x14ac:dyDescent="0.25">
      <c r="I1" s="3" t="s">
        <v>848</v>
      </c>
    </row>
    <row r="2" spans="1:9" ht="14.25" customHeight="1" x14ac:dyDescent="0.25">
      <c r="I2" s="3" t="s">
        <v>364</v>
      </c>
    </row>
    <row r="3" spans="1:9" ht="9" customHeight="1" x14ac:dyDescent="0.2"/>
    <row r="4" spans="1:9" x14ac:dyDescent="0.2">
      <c r="A4" s="2" t="s">
        <v>851</v>
      </c>
    </row>
    <row r="5" spans="1:9" x14ac:dyDescent="0.2">
      <c r="A5" t="s">
        <v>289</v>
      </c>
    </row>
    <row r="6" spans="1:9" ht="5.25" customHeight="1" x14ac:dyDescent="0.2"/>
    <row r="7" spans="1:9" ht="6" customHeight="1" x14ac:dyDescent="0.2"/>
    <row r="8" spans="1:9" x14ac:dyDescent="0.2">
      <c r="A8" s="55" t="s">
        <v>290</v>
      </c>
    </row>
    <row r="9" spans="1:9" x14ac:dyDescent="0.2">
      <c r="A9" s="57" t="s">
        <v>291</v>
      </c>
    </row>
    <row r="10" spans="1:9" x14ac:dyDescent="0.2">
      <c r="A10" t="s">
        <v>292</v>
      </c>
    </row>
    <row r="11" spans="1:9" x14ac:dyDescent="0.2">
      <c r="A11" t="s">
        <v>293</v>
      </c>
    </row>
    <row r="12" spans="1:9" x14ac:dyDescent="0.2">
      <c r="A12" t="s">
        <v>294</v>
      </c>
    </row>
    <row r="13" spans="1:9" x14ac:dyDescent="0.2">
      <c r="A13" t="s">
        <v>295</v>
      </c>
    </row>
    <row r="14" spans="1:9" ht="8.25" customHeight="1" x14ac:dyDescent="0.2"/>
    <row r="15" spans="1:9" x14ac:dyDescent="0.2">
      <c r="A15" s="2" t="s">
        <v>296</v>
      </c>
    </row>
    <row r="16" spans="1:9" ht="8.25" customHeight="1" x14ac:dyDescent="0.2"/>
    <row r="17" spans="1:9" x14ac:dyDescent="0.2">
      <c r="A17" t="s">
        <v>297</v>
      </c>
      <c r="C17" s="236">
        <v>1000000</v>
      </c>
    </row>
    <row r="18" spans="1:9" x14ac:dyDescent="0.2">
      <c r="A18" t="s">
        <v>298</v>
      </c>
      <c r="C18" s="75" t="s">
        <v>299</v>
      </c>
    </row>
    <row r="19" spans="1:9" x14ac:dyDescent="0.2">
      <c r="A19" t="s">
        <v>300</v>
      </c>
      <c r="B19" s="1" t="s">
        <v>301</v>
      </c>
      <c r="C19" s="237">
        <v>0.06</v>
      </c>
    </row>
    <row r="20" spans="1:9" x14ac:dyDescent="0.2">
      <c r="A20" t="s">
        <v>302</v>
      </c>
      <c r="B20" s="1" t="s">
        <v>301</v>
      </c>
      <c r="C20" s="56">
        <f>+C17/5</f>
        <v>200000</v>
      </c>
      <c r="E20" s="58"/>
    </row>
    <row r="21" spans="1:9" ht="6" customHeight="1" x14ac:dyDescent="0.2">
      <c r="E21" s="58"/>
    </row>
    <row r="22" spans="1:9" x14ac:dyDescent="0.2">
      <c r="A22" s="59" t="s">
        <v>303</v>
      </c>
      <c r="B22" s="60"/>
      <c r="C22" s="60"/>
      <c r="D22" s="60"/>
      <c r="E22" s="58"/>
      <c r="F22" s="59" t="s">
        <v>304</v>
      </c>
      <c r="G22" s="60"/>
      <c r="H22" s="60"/>
      <c r="I22" s="60"/>
    </row>
    <row r="23" spans="1:9" x14ac:dyDescent="0.2">
      <c r="F23" s="61" t="s">
        <v>305</v>
      </c>
      <c r="G23" s="4"/>
      <c r="H23" s="4"/>
      <c r="I23" s="4"/>
    </row>
    <row r="24" spans="1:9" x14ac:dyDescent="0.2">
      <c r="A24" s="2" t="s">
        <v>306</v>
      </c>
      <c r="F24" s="61" t="s">
        <v>307</v>
      </c>
      <c r="G24" s="4"/>
      <c r="H24" s="4"/>
      <c r="I24" s="4"/>
    </row>
    <row r="25" spans="1:9" x14ac:dyDescent="0.2">
      <c r="A25" s="62" t="s">
        <v>308</v>
      </c>
      <c r="B25" s="62" t="s">
        <v>309</v>
      </c>
      <c r="C25" s="62" t="s">
        <v>310</v>
      </c>
      <c r="D25" s="62" t="s">
        <v>311</v>
      </c>
      <c r="F25" s="61" t="s">
        <v>312</v>
      </c>
      <c r="G25" s="4"/>
      <c r="H25" s="4"/>
      <c r="I25" s="4"/>
    </row>
    <row r="26" spans="1:9" x14ac:dyDescent="0.2">
      <c r="A26" t="s">
        <v>313</v>
      </c>
      <c r="B26" s="147">
        <v>101</v>
      </c>
      <c r="C26" s="149">
        <f>+C17</f>
        <v>1000000</v>
      </c>
      <c r="F26" s="61" t="s">
        <v>314</v>
      </c>
      <c r="G26" s="4"/>
      <c r="H26" s="4"/>
      <c r="I26" s="4"/>
    </row>
    <row r="27" spans="1:9" x14ac:dyDescent="0.2">
      <c r="A27" t="s">
        <v>315</v>
      </c>
      <c r="B27" s="147">
        <v>252</v>
      </c>
      <c r="C27" s="4"/>
      <c r="D27" s="56">
        <f>+C17</f>
        <v>1000000</v>
      </c>
      <c r="F27" s="4"/>
      <c r="G27" s="4"/>
      <c r="H27" s="4"/>
      <c r="I27" s="4"/>
    </row>
    <row r="28" spans="1:9" x14ac:dyDescent="0.2">
      <c r="B28" s="4"/>
      <c r="C28" s="4"/>
      <c r="F28" s="2" t="s">
        <v>306</v>
      </c>
    </row>
    <row r="29" spans="1:9" x14ac:dyDescent="0.2">
      <c r="F29" s="62" t="s">
        <v>308</v>
      </c>
      <c r="G29" s="62" t="s">
        <v>309</v>
      </c>
      <c r="H29" s="62" t="s">
        <v>310</v>
      </c>
      <c r="I29" s="62" t="s">
        <v>311</v>
      </c>
    </row>
    <row r="30" spans="1:9" x14ac:dyDescent="0.2">
      <c r="F30" t="s">
        <v>313</v>
      </c>
      <c r="G30" s="147">
        <v>101</v>
      </c>
      <c r="H30" s="56">
        <f>-+G50</f>
        <v>1000000</v>
      </c>
    </row>
    <row r="31" spans="1:9" x14ac:dyDescent="0.2">
      <c r="A31" s="2" t="s">
        <v>316</v>
      </c>
      <c r="F31" t="s">
        <v>315</v>
      </c>
      <c r="G31" s="147">
        <v>252</v>
      </c>
      <c r="I31" s="56">
        <f>+H30</f>
        <v>1000000</v>
      </c>
    </row>
    <row r="32" spans="1:9" x14ac:dyDescent="0.2">
      <c r="A32" s="62" t="s">
        <v>308</v>
      </c>
      <c r="B32" s="62" t="s">
        <v>309</v>
      </c>
      <c r="C32" s="62" t="s">
        <v>310</v>
      </c>
      <c r="D32" s="62" t="s">
        <v>311</v>
      </c>
    </row>
    <row r="33" spans="1:9" x14ac:dyDescent="0.2">
      <c r="A33" t="s">
        <v>317</v>
      </c>
      <c r="B33" s="147">
        <v>130</v>
      </c>
      <c r="C33" s="149"/>
      <c r="D33" s="66">
        <f>+C34+C35</f>
        <v>260000</v>
      </c>
      <c r="F33" s="2" t="s">
        <v>318</v>
      </c>
    </row>
    <row r="34" spans="1:9" x14ac:dyDescent="0.2">
      <c r="A34" t="s">
        <v>315</v>
      </c>
      <c r="B34" s="147">
        <v>252</v>
      </c>
      <c r="C34" s="66">
        <f>+C20</f>
        <v>200000</v>
      </c>
      <c r="D34" s="149"/>
      <c r="F34" s="62" t="s">
        <v>308</v>
      </c>
      <c r="G34" s="62" t="s">
        <v>309</v>
      </c>
      <c r="H34" s="62" t="s">
        <v>310</v>
      </c>
      <c r="I34" s="62" t="s">
        <v>311</v>
      </c>
    </row>
    <row r="35" spans="1:9" x14ac:dyDescent="0.2">
      <c r="A35" t="s">
        <v>319</v>
      </c>
      <c r="B35" s="147">
        <v>431</v>
      </c>
      <c r="C35" s="149">
        <f>+C26*C19</f>
        <v>60000</v>
      </c>
      <c r="D35" s="4"/>
      <c r="F35" t="s">
        <v>315</v>
      </c>
      <c r="G35" s="147">
        <v>252</v>
      </c>
      <c r="H35" s="63"/>
      <c r="I35" s="56">
        <f>+H36</f>
        <v>60000</v>
      </c>
    </row>
    <row r="36" spans="1:9" x14ac:dyDescent="0.2">
      <c r="B36" s="4"/>
      <c r="C36" s="4"/>
      <c r="D36" s="66"/>
      <c r="F36" t="s">
        <v>320</v>
      </c>
      <c r="G36" s="147">
        <v>431</v>
      </c>
      <c r="H36" s="149">
        <f>+H30*C19</f>
        <v>60000</v>
      </c>
    </row>
    <row r="37" spans="1:9" x14ac:dyDescent="0.2">
      <c r="B37" s="4"/>
      <c r="C37" s="4"/>
      <c r="D37" s="4"/>
      <c r="F37" t="s">
        <v>321</v>
      </c>
      <c r="G37" s="147">
        <v>182.3</v>
      </c>
      <c r="H37" s="63">
        <f>+H36</f>
        <v>60000</v>
      </c>
    </row>
    <row r="38" spans="1:9" ht="13.5" thickBot="1" x14ac:dyDescent="0.25">
      <c r="A38" s="64"/>
      <c r="B38" s="151" t="s">
        <v>322</v>
      </c>
      <c r="C38" s="151"/>
      <c r="D38" s="151" t="s">
        <v>323</v>
      </c>
      <c r="F38" s="4" t="s">
        <v>324</v>
      </c>
      <c r="G38" s="147">
        <v>407.4</v>
      </c>
      <c r="H38" s="4"/>
      <c r="I38" s="66">
        <f>+H37</f>
        <v>60000</v>
      </c>
    </row>
    <row r="39" spans="1:9" x14ac:dyDescent="0.2">
      <c r="B39" s="152"/>
      <c r="C39" s="152"/>
      <c r="D39" s="152"/>
      <c r="F39" s="4"/>
      <c r="G39" s="4"/>
      <c r="H39" s="4"/>
      <c r="I39" s="4"/>
    </row>
    <row r="40" spans="1:9" x14ac:dyDescent="0.2">
      <c r="A40" s="67"/>
      <c r="B40" s="152"/>
      <c r="C40" s="152"/>
      <c r="D40" s="152"/>
      <c r="F40" s="2" t="s">
        <v>325</v>
      </c>
    </row>
    <row r="41" spans="1:9" ht="14.25" x14ac:dyDescent="0.25">
      <c r="A41" s="2" t="s">
        <v>326</v>
      </c>
      <c r="B41" s="153">
        <f>+C26</f>
        <v>1000000</v>
      </c>
      <c r="C41" s="152"/>
      <c r="D41" s="152"/>
      <c r="F41" s="62" t="s">
        <v>308</v>
      </c>
      <c r="G41" s="62" t="s">
        <v>309</v>
      </c>
      <c r="H41" s="62" t="s">
        <v>310</v>
      </c>
      <c r="I41" s="62" t="s">
        <v>311</v>
      </c>
    </row>
    <row r="42" spans="1:9" x14ac:dyDescent="0.2">
      <c r="A42" s="67"/>
      <c r="B42" s="152"/>
      <c r="C42" s="152"/>
      <c r="D42" s="152"/>
      <c r="F42" t="s">
        <v>315</v>
      </c>
      <c r="G42" s="147">
        <v>252</v>
      </c>
      <c r="H42" s="63">
        <f>+G65+I65</f>
        <v>1338225.5776</v>
      </c>
      <c r="I42" s="56"/>
    </row>
    <row r="43" spans="1:9" x14ac:dyDescent="0.2">
      <c r="A43" t="s">
        <v>327</v>
      </c>
      <c r="B43" s="66">
        <f>-D27</f>
        <v>-1000000</v>
      </c>
      <c r="C43" s="4"/>
      <c r="D43" s="4"/>
      <c r="F43" t="s">
        <v>317</v>
      </c>
      <c r="G43" s="147">
        <v>131</v>
      </c>
      <c r="H43" s="56"/>
      <c r="I43" s="63">
        <f>+H42</f>
        <v>1338225.5776</v>
      </c>
    </row>
    <row r="44" spans="1:9" ht="15.75" x14ac:dyDescent="0.3">
      <c r="A44" t="s">
        <v>336</v>
      </c>
      <c r="B44" s="66">
        <f>-C35</f>
        <v>-60000</v>
      </c>
      <c r="C44" s="4"/>
      <c r="D44" s="66">
        <f>-B44</f>
        <v>60000</v>
      </c>
      <c r="F44" t="s">
        <v>321</v>
      </c>
      <c r="G44" s="147">
        <v>182.3</v>
      </c>
      <c r="H44" s="63"/>
      <c r="I44" s="63">
        <f>+I65</f>
        <v>338225.57759999996</v>
      </c>
    </row>
    <row r="45" spans="1:9" ht="15.75" x14ac:dyDescent="0.3">
      <c r="A45" t="s">
        <v>337</v>
      </c>
      <c r="B45" s="66">
        <f>+D33</f>
        <v>260000</v>
      </c>
      <c r="C45" s="4"/>
      <c r="D45" s="4"/>
      <c r="F45" s="4" t="s">
        <v>324</v>
      </c>
      <c r="G45" s="147">
        <v>407.3</v>
      </c>
      <c r="H45" s="66">
        <f>+I44</f>
        <v>338225.57759999996</v>
      </c>
      <c r="I45" s="66"/>
    </row>
    <row r="46" spans="1:9" ht="15" thickBot="1" x14ac:dyDescent="0.3">
      <c r="A46" s="2" t="s">
        <v>328</v>
      </c>
      <c r="B46" s="150">
        <f>SUM(B43:B45)</f>
        <v>-800000</v>
      </c>
      <c r="C46" s="9"/>
      <c r="D46" s="150">
        <f>+-B44</f>
        <v>60000</v>
      </c>
      <c r="F46" s="4"/>
      <c r="G46" s="8"/>
      <c r="H46" s="66"/>
      <c r="I46" s="66"/>
    </row>
    <row r="47" spans="1:9" ht="14.25" thickTop="1" thickBot="1" x14ac:dyDescent="0.25">
      <c r="B47" s="4"/>
      <c r="C47" s="4"/>
      <c r="D47" s="4"/>
      <c r="F47" s="64"/>
      <c r="G47" s="65" t="s">
        <v>322</v>
      </c>
      <c r="H47" s="65"/>
      <c r="I47" s="65" t="s">
        <v>323</v>
      </c>
    </row>
    <row r="48" spans="1:9" ht="14.25" x14ac:dyDescent="0.25">
      <c r="A48" s="2" t="s">
        <v>329</v>
      </c>
      <c r="B48" s="153">
        <f>+B41</f>
        <v>1000000</v>
      </c>
      <c r="C48" s="4"/>
      <c r="D48" s="4"/>
    </row>
    <row r="49" spans="1:9" ht="15" thickBot="1" x14ac:dyDescent="0.3">
      <c r="A49" s="2" t="s">
        <v>330</v>
      </c>
      <c r="B49" s="154">
        <f>+-B48/40</f>
        <v>-25000</v>
      </c>
      <c r="C49" s="4"/>
      <c r="D49" s="4"/>
      <c r="F49" s="69" t="s">
        <v>331</v>
      </c>
      <c r="G49" s="148"/>
    </row>
    <row r="50" spans="1:9" x14ac:dyDescent="0.2">
      <c r="B50" s="4"/>
      <c r="C50" s="4"/>
      <c r="D50" s="4"/>
      <c r="F50" t="str">
        <f>+A51</f>
        <v>BEGINNING BAL.</v>
      </c>
      <c r="G50" s="66">
        <f>+B43</f>
        <v>-1000000</v>
      </c>
    </row>
    <row r="51" spans="1:9" ht="15.75" x14ac:dyDescent="0.3">
      <c r="A51" t="s">
        <v>327</v>
      </c>
      <c r="B51" s="66">
        <f>+B46</f>
        <v>-800000</v>
      </c>
      <c r="C51" s="4"/>
      <c r="D51" s="4"/>
      <c r="F51" t="s">
        <v>338</v>
      </c>
      <c r="G51" s="149">
        <f>+G50*C19</f>
        <v>-60000</v>
      </c>
      <c r="I51" s="63">
        <f>+G51</f>
        <v>-60000</v>
      </c>
    </row>
    <row r="52" spans="1:9" ht="15.75" x14ac:dyDescent="0.3">
      <c r="A52" t="s">
        <v>339</v>
      </c>
      <c r="B52" s="66">
        <f>+B51*C19</f>
        <v>-48000</v>
      </c>
      <c r="C52" s="4"/>
      <c r="D52" s="66">
        <f>-B52</f>
        <v>48000</v>
      </c>
      <c r="F52" t="s">
        <v>340</v>
      </c>
      <c r="G52" s="149">
        <f>-G51</f>
        <v>60000</v>
      </c>
      <c r="I52" s="63">
        <f>+G52</f>
        <v>60000</v>
      </c>
    </row>
    <row r="53" spans="1:9" ht="16.5" thickBot="1" x14ac:dyDescent="0.35">
      <c r="A53" t="s">
        <v>341</v>
      </c>
      <c r="B53" s="79" t="s">
        <v>237</v>
      </c>
      <c r="F53" s="2" t="s">
        <v>328</v>
      </c>
      <c r="G53" s="150">
        <f>SUM(G50:G52)</f>
        <v>-1000000</v>
      </c>
      <c r="H53" s="2"/>
      <c r="I53" s="68">
        <f>SUM(I51:I52)</f>
        <v>0</v>
      </c>
    </row>
    <row r="54" spans="1:9" ht="17.25" thickTop="1" thickBot="1" x14ac:dyDescent="0.35">
      <c r="A54" s="2" t="s">
        <v>332</v>
      </c>
      <c r="B54" s="68">
        <f>SUM(B51:B53)</f>
        <v>-848000</v>
      </c>
      <c r="C54" s="2"/>
      <c r="D54" s="68">
        <f>+-B52</f>
        <v>48000</v>
      </c>
      <c r="F54" t="s">
        <v>342</v>
      </c>
      <c r="G54" s="149">
        <f>(+G53+G51)*C19</f>
        <v>-63600</v>
      </c>
      <c r="I54" s="63">
        <f>+G54</f>
        <v>-63600</v>
      </c>
    </row>
    <row r="55" spans="1:9" ht="16.5" thickTop="1" x14ac:dyDescent="0.3">
      <c r="A55" s="60"/>
      <c r="B55" s="60"/>
      <c r="C55" s="60"/>
      <c r="D55" s="60"/>
      <c r="F55" t="s">
        <v>343</v>
      </c>
      <c r="G55" s="149">
        <f>-G54</f>
        <v>63600</v>
      </c>
      <c r="I55" s="63">
        <f>+G55</f>
        <v>63600</v>
      </c>
    </row>
    <row r="56" spans="1:9" s="4" customFormat="1" ht="15" thickBot="1" x14ac:dyDescent="0.3">
      <c r="F56" s="2" t="s">
        <v>332</v>
      </c>
      <c r="G56" s="150">
        <f>SUM(G53:G55)</f>
        <v>-1000000</v>
      </c>
      <c r="H56" s="2"/>
      <c r="I56" s="68">
        <f>SUM(I54:I55)</f>
        <v>0</v>
      </c>
    </row>
    <row r="57" spans="1:9" s="4" customFormat="1" ht="16.5" thickTop="1" x14ac:dyDescent="0.3">
      <c r="F57" t="s">
        <v>344</v>
      </c>
      <c r="G57" s="149">
        <f>(+G56+G54+G51)*C19</f>
        <v>-67416</v>
      </c>
      <c r="H57"/>
      <c r="I57" s="63">
        <f>+G57</f>
        <v>-67416</v>
      </c>
    </row>
    <row r="58" spans="1:9" s="4" customFormat="1" ht="15.75" x14ac:dyDescent="0.3">
      <c r="F58" t="s">
        <v>345</v>
      </c>
      <c r="G58" s="149">
        <f>-G57</f>
        <v>67416</v>
      </c>
      <c r="H58"/>
      <c r="I58" s="63">
        <f>+G58</f>
        <v>67416</v>
      </c>
    </row>
    <row r="59" spans="1:9" s="4" customFormat="1" ht="15" thickBot="1" x14ac:dyDescent="0.3">
      <c r="F59" s="2" t="s">
        <v>333</v>
      </c>
      <c r="G59" s="150">
        <f>SUM(G56:G58)</f>
        <v>-1000000</v>
      </c>
      <c r="H59" s="2"/>
      <c r="I59" s="68">
        <f>SUM(I57:I58)</f>
        <v>0</v>
      </c>
    </row>
    <row r="60" spans="1:9" s="4" customFormat="1" ht="16.5" thickTop="1" x14ac:dyDescent="0.3">
      <c r="F60" t="s">
        <v>346</v>
      </c>
      <c r="G60" s="149">
        <f>(+G59+G57+G54+G51)*C19</f>
        <v>-71460.959999999992</v>
      </c>
      <c r="H60"/>
      <c r="I60" s="63">
        <f>+G60</f>
        <v>-71460.959999999992</v>
      </c>
    </row>
    <row r="61" spans="1:9" ht="15.75" x14ac:dyDescent="0.3">
      <c r="F61" t="s">
        <v>347</v>
      </c>
      <c r="G61" s="149">
        <f>-G60</f>
        <v>71460.959999999992</v>
      </c>
      <c r="I61" s="63">
        <f>+G61</f>
        <v>71460.959999999992</v>
      </c>
    </row>
    <row r="62" spans="1:9" ht="15" thickBot="1" x14ac:dyDescent="0.3">
      <c r="F62" s="2" t="s">
        <v>334</v>
      </c>
      <c r="G62" s="150">
        <f>SUM(G59:G61)</f>
        <v>-1000000</v>
      </c>
      <c r="H62" s="2"/>
      <c r="I62" s="68">
        <f>SUM(I60:I61)</f>
        <v>0</v>
      </c>
    </row>
    <row r="63" spans="1:9" ht="16.5" thickTop="1" x14ac:dyDescent="0.3">
      <c r="F63" t="s">
        <v>348</v>
      </c>
      <c r="G63" s="149">
        <f>(+G62+G60+G57+G54+G51)*C19</f>
        <v>-75748.617599999998</v>
      </c>
      <c r="I63" s="63">
        <f>+G63</f>
        <v>-75748.617599999998</v>
      </c>
    </row>
    <row r="64" spans="1:9" ht="15.75" x14ac:dyDescent="0.3">
      <c r="F64" t="s">
        <v>349</v>
      </c>
      <c r="G64" s="149">
        <f>-G63</f>
        <v>75748.617599999998</v>
      </c>
      <c r="I64" s="63">
        <f>+G64</f>
        <v>75748.617599999998</v>
      </c>
    </row>
    <row r="65" spans="6:9" ht="15.75" x14ac:dyDescent="0.3">
      <c r="F65" t="s">
        <v>350</v>
      </c>
      <c r="G65" s="149">
        <f>+-G62</f>
        <v>1000000</v>
      </c>
      <c r="I65" s="63">
        <f>+I52+I55+I58+I61+I64</f>
        <v>338225.57759999996</v>
      </c>
    </row>
    <row r="66" spans="6:9" ht="15" thickBot="1" x14ac:dyDescent="0.3">
      <c r="F66" s="2" t="s">
        <v>335</v>
      </c>
      <c r="G66" s="68">
        <f>SUM(G62:G65)</f>
        <v>0</v>
      </c>
      <c r="H66" s="2"/>
      <c r="I66" s="68">
        <f>SUM(I63:I65)</f>
        <v>338225.57759999996</v>
      </c>
    </row>
    <row r="67" spans="6:9" ht="8.25" customHeight="1" thickTop="1" x14ac:dyDescent="0.2">
      <c r="F67" s="60"/>
      <c r="G67" s="60"/>
      <c r="H67" s="60"/>
      <c r="I67" s="60"/>
    </row>
    <row r="71" spans="6:9" s="4" customFormat="1" x14ac:dyDescent="0.2"/>
    <row r="72" spans="6:9" s="4" customFormat="1" x14ac:dyDescent="0.2"/>
    <row r="78" spans="6:9" s="4" customFormat="1" x14ac:dyDescent="0.2"/>
    <row r="79" spans="6:9" s="4" customFormat="1" x14ac:dyDescent="0.2"/>
    <row r="80" spans="6:9" s="4" customFormat="1" x14ac:dyDescent="0.2"/>
  </sheetData>
  <phoneticPr fontId="15" type="noConversion"/>
  <printOptions horizontalCentered="1"/>
  <pageMargins left="0.5" right="0.5" top="0.2" bottom="0.18" header="0.17" footer="0.17"/>
  <pageSetup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5"/>
  <sheetViews>
    <sheetView zoomScaleNormal="100" workbookViewId="0"/>
  </sheetViews>
  <sheetFormatPr defaultRowHeight="12.75" x14ac:dyDescent="0.2"/>
  <cols>
    <col min="1" max="1" width="5" style="4" bestFit="1" customWidth="1"/>
    <col min="2" max="2" width="2.7109375" style="4" customWidth="1"/>
    <col min="3" max="3" width="35.140625" style="4" customWidth="1"/>
    <col min="4" max="4" width="14.5703125" style="4" bestFit="1" customWidth="1"/>
    <col min="5" max="5" width="2.7109375" style="4" customWidth="1"/>
    <col min="6" max="6" width="18.5703125" style="4" bestFit="1" customWidth="1"/>
    <col min="7" max="7" width="2.7109375" style="4" customWidth="1"/>
    <col min="8" max="8" width="14.42578125" style="4" customWidth="1"/>
    <col min="9" max="9" width="2.7109375" style="4" customWidth="1"/>
    <col min="10" max="10" width="14.42578125" style="4" bestFit="1" customWidth="1"/>
    <col min="11" max="11" width="2.7109375" style="4" customWidth="1"/>
    <col min="12" max="12" width="12.5703125" style="4" bestFit="1" customWidth="1"/>
    <col min="13" max="13" width="8.7109375" style="4" bestFit="1" customWidth="1"/>
    <col min="14" max="14" width="2.7109375" style="4" customWidth="1"/>
    <col min="15" max="15" width="13.7109375" style="4" bestFit="1" customWidth="1"/>
    <col min="16" max="16" width="5" style="4" customWidth="1"/>
    <col min="17" max="17" width="17.5703125" style="157" bestFit="1" customWidth="1"/>
    <col min="18" max="18" width="18.5703125" style="4" bestFit="1" customWidth="1"/>
    <col min="19" max="19" width="11.28515625" style="4" bestFit="1" customWidth="1"/>
    <col min="20" max="16384" width="9.140625" style="4"/>
  </cols>
  <sheetData>
    <row r="1" spans="1:16" ht="15" x14ac:dyDescent="0.25">
      <c r="N1" s="245" t="s">
        <v>833</v>
      </c>
      <c r="O1" s="245"/>
      <c r="P1" s="245"/>
    </row>
    <row r="2" spans="1:16" ht="15" x14ac:dyDescent="0.25">
      <c r="N2" s="246" t="s">
        <v>211</v>
      </c>
      <c r="O2" s="246"/>
      <c r="P2" s="247"/>
    </row>
    <row r="3" spans="1:16" x14ac:dyDescent="0.2">
      <c r="N3" s="238" t="str">
        <f>FF1_Year</f>
        <v>Year Ending 12/31/2013</v>
      </c>
      <c r="O3" s="239"/>
      <c r="P3" s="239"/>
    </row>
    <row r="5" spans="1:16" x14ac:dyDescent="0.2">
      <c r="A5" s="240" t="s">
        <v>850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</row>
    <row r="6" spans="1:16" x14ac:dyDescent="0.2">
      <c r="A6" s="240" t="s">
        <v>128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</row>
    <row r="7" spans="1:16" x14ac:dyDescent="0.2">
      <c r="A7" s="222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</row>
    <row r="8" spans="1:16" x14ac:dyDescent="0.2">
      <c r="A8" s="240" t="s">
        <v>252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</row>
    <row r="10" spans="1:16" x14ac:dyDescent="0.2">
      <c r="A10" s="224"/>
    </row>
    <row r="11" spans="1:16" ht="25.5" x14ac:dyDescent="0.2">
      <c r="A11" s="222" t="s">
        <v>21</v>
      </c>
      <c r="B11" s="37" t="s">
        <v>25</v>
      </c>
      <c r="C11" s="22"/>
      <c r="D11" s="222" t="s">
        <v>4</v>
      </c>
      <c r="E11" s="222"/>
      <c r="F11" s="38" t="s">
        <v>239</v>
      </c>
      <c r="G11" s="222"/>
      <c r="H11" s="38" t="s">
        <v>240</v>
      </c>
      <c r="I11" s="222"/>
      <c r="J11" s="222" t="s">
        <v>245</v>
      </c>
      <c r="K11" s="222"/>
      <c r="L11" s="240" t="s">
        <v>23</v>
      </c>
      <c r="M11" s="240"/>
      <c r="N11" s="222"/>
      <c r="O11" s="38" t="s">
        <v>24</v>
      </c>
      <c r="P11" s="39"/>
    </row>
    <row r="12" spans="1:16" x14ac:dyDescent="0.2">
      <c r="A12" s="224"/>
    </row>
    <row r="13" spans="1:16" x14ac:dyDescent="0.2">
      <c r="A13" s="224"/>
      <c r="B13" s="9" t="s">
        <v>274</v>
      </c>
    </row>
    <row r="14" spans="1:16" x14ac:dyDescent="0.2">
      <c r="A14" s="40">
        <v>1</v>
      </c>
      <c r="B14" s="9"/>
      <c r="C14" s="4" t="str">
        <f>'DEF - 6  p1, FF1 Inputs '!E22</f>
        <v xml:space="preserve">Production Plant </v>
      </c>
      <c r="D14" s="224" t="str">
        <f>'DEF - 6  p1, FF1 Inputs '!F22</f>
        <v>205.46.b&amp;g</v>
      </c>
      <c r="E14" s="224"/>
      <c r="F14" s="12">
        <f>'DEF - 6  p1, FF1 Inputs '!H22</f>
        <v>5730636186</v>
      </c>
      <c r="G14" s="12"/>
      <c r="H14" s="12">
        <f>'DEF - 6  p1, FF1 Inputs '!J22</f>
        <v>5914559556</v>
      </c>
      <c r="I14" s="224"/>
      <c r="J14" s="6">
        <f>(F14+H14)/2</f>
        <v>5822597871</v>
      </c>
      <c r="L14" s="224" t="s">
        <v>26</v>
      </c>
      <c r="O14" s="4" t="str">
        <f>IF(ISNUMBER(M14),J14*M14,"")</f>
        <v/>
      </c>
    </row>
    <row r="15" spans="1:16" ht="6" customHeight="1" x14ac:dyDescent="0.2">
      <c r="A15" s="40"/>
      <c r="B15" s="9"/>
      <c r="D15" s="224"/>
      <c r="E15" s="224"/>
      <c r="F15" s="12"/>
      <c r="G15" s="12"/>
      <c r="H15" s="12"/>
      <c r="I15" s="224"/>
      <c r="J15" s="6"/>
      <c r="L15" s="224"/>
    </row>
    <row r="16" spans="1:16" x14ac:dyDescent="0.2">
      <c r="A16" s="224">
        <f>A14+1</f>
        <v>2</v>
      </c>
      <c r="B16" s="9"/>
      <c r="C16" s="4" t="str">
        <f>'DEF - 6  p1, FF1 Inputs '!E23&amp;" (Note V)"</f>
        <v>Transmission Plant (Note V)</v>
      </c>
      <c r="D16" s="224" t="str">
        <f>'DEF - 6  p1, FF1 Inputs '!F23</f>
        <v>207.58.b&amp;g</v>
      </c>
      <c r="E16" s="224"/>
      <c r="F16" s="12">
        <f>'DEF - 6  p1, FF1 Inputs '!H23</f>
        <v>2160327800.5</v>
      </c>
      <c r="G16" s="12"/>
      <c r="H16" s="12">
        <f>'DEF - 6  p1, FF1 Inputs '!J23</f>
        <v>2362668716.8000002</v>
      </c>
      <c r="I16" s="224"/>
      <c r="J16" s="6">
        <f>(F16+H16)/2</f>
        <v>2261498258.6500001</v>
      </c>
      <c r="L16" s="24"/>
      <c r="M16" s="94"/>
      <c r="N16" s="94"/>
      <c r="O16" s="10"/>
    </row>
    <row r="17" spans="1:15" x14ac:dyDescent="0.2">
      <c r="A17" s="24" t="s">
        <v>445</v>
      </c>
      <c r="B17" s="87"/>
      <c r="C17" s="85" t="s">
        <v>447</v>
      </c>
      <c r="D17" s="24" t="s">
        <v>869</v>
      </c>
      <c r="E17" s="16"/>
      <c r="F17" s="88">
        <f>'DEF - 7, Retail Radials'!H14</f>
        <v>14368139.619999999</v>
      </c>
      <c r="G17" s="88"/>
      <c r="H17" s="88">
        <f>'DEF - 7, Retail Radials'!H18</f>
        <v>14409180.530000001</v>
      </c>
      <c r="I17" s="16"/>
      <c r="J17" s="93">
        <f>(F17+H17)/2</f>
        <v>14388660.074999999</v>
      </c>
      <c r="K17" s="15"/>
      <c r="L17" s="16"/>
      <c r="M17" s="89"/>
      <c r="N17" s="89"/>
      <c r="O17" s="86"/>
    </row>
    <row r="18" spans="1:15" x14ac:dyDescent="0.2">
      <c r="A18" s="24" t="s">
        <v>446</v>
      </c>
      <c r="B18" s="87"/>
      <c r="C18" s="85" t="s">
        <v>448</v>
      </c>
      <c r="D18" s="24"/>
      <c r="E18" s="16"/>
      <c r="F18" s="88"/>
      <c r="G18" s="88"/>
      <c r="H18" s="88"/>
      <c r="I18" s="16"/>
      <c r="J18" s="10">
        <f>J16-J17</f>
        <v>2247109598.5750003</v>
      </c>
      <c r="K18" s="15"/>
      <c r="L18" s="24" t="s">
        <v>51</v>
      </c>
      <c r="M18" s="94">
        <f>'DEF - 2 - Page 4 Support'!I$20</f>
        <v>0.93711905393061146</v>
      </c>
      <c r="N18" s="94"/>
      <c r="O18" s="10">
        <f>J18*M18</f>
        <v>2105809221.0950003</v>
      </c>
    </row>
    <row r="19" spans="1:15" ht="6" customHeight="1" x14ac:dyDescent="0.2">
      <c r="A19" s="224"/>
      <c r="B19" s="9"/>
      <c r="D19" s="224"/>
      <c r="E19" s="224"/>
      <c r="F19" s="12"/>
      <c r="G19" s="12"/>
      <c r="H19" s="12"/>
      <c r="I19" s="224"/>
      <c r="J19" s="6"/>
      <c r="L19" s="224"/>
      <c r="M19" s="7"/>
      <c r="N19" s="7"/>
      <c r="O19" s="6"/>
    </row>
    <row r="20" spans="1:15" x14ac:dyDescent="0.2">
      <c r="A20" s="224">
        <f>A16+1</f>
        <v>3</v>
      </c>
      <c r="B20" s="9"/>
      <c r="C20" s="4" t="str">
        <f>'DEF - 6  p1, FF1 Inputs '!E24</f>
        <v>Distribution Plant</v>
      </c>
      <c r="D20" s="224" t="str">
        <f>'DEF - 6  p1, FF1 Inputs '!F24</f>
        <v>207.75.b&amp;g</v>
      </c>
      <c r="E20" s="224"/>
      <c r="F20" s="12">
        <f>'DEF - 6  p1, FF1 Inputs '!H24</f>
        <v>4307614618</v>
      </c>
      <c r="G20" s="12"/>
      <c r="H20" s="12">
        <f>'DEF - 6  p1, FF1 Inputs '!J24</f>
        <v>4485730287</v>
      </c>
      <c r="I20" s="224"/>
      <c r="J20" s="6">
        <f>(F20+H20)/2</f>
        <v>4396672452.5</v>
      </c>
      <c r="L20" s="224" t="s">
        <v>26</v>
      </c>
      <c r="M20" s="7"/>
      <c r="N20" s="7"/>
      <c r="O20" s="6" t="str">
        <f>IF(ISNUMBER(M20),J20*M20,"")</f>
        <v/>
      </c>
    </row>
    <row r="21" spans="1:15" x14ac:dyDescent="0.2">
      <c r="A21" s="224">
        <f>A20+1</f>
        <v>4</v>
      </c>
      <c r="B21" s="9"/>
      <c r="C21" s="4" t="str">
        <f>'DEF - 6  p1, FF1 Inputs '!E25</f>
        <v>General Plant</v>
      </c>
      <c r="D21" s="224" t="str">
        <f>'DEF - 6  p1, FF1 Inputs '!F25</f>
        <v>207.99.b&amp;g</v>
      </c>
      <c r="E21" s="224"/>
      <c r="F21" s="12">
        <f>'DEF - 6  p1, FF1 Inputs '!H25</f>
        <v>330661239</v>
      </c>
      <c r="G21" s="12"/>
      <c r="H21" s="12">
        <f>'DEF - 6  p1, FF1 Inputs '!J25</f>
        <v>401305725</v>
      </c>
      <c r="I21" s="224"/>
      <c r="J21" s="6">
        <f>(F21+H21)/2</f>
        <v>365983482</v>
      </c>
      <c r="L21" s="224" t="s">
        <v>183</v>
      </c>
      <c r="M21" s="7">
        <f>'DEF - 2 - Page 4 Support'!I$37</f>
        <v>7.8086404382281052E-2</v>
      </c>
      <c r="N21" s="7"/>
      <c r="O21" s="6">
        <f>IF(ISNUMBER(M21),J21*M21,"")</f>
        <v>28578334.172687277</v>
      </c>
    </row>
    <row r="22" spans="1:15" ht="13.5" thickBot="1" x14ac:dyDescent="0.25">
      <c r="A22" s="224">
        <f>A21+1</f>
        <v>5</v>
      </c>
      <c r="B22" s="9"/>
      <c r="C22" s="4" t="str">
        <f>'DEF - 6  p1, FF1 Inputs '!E21</f>
        <v>Intangible Plant</v>
      </c>
      <c r="D22" s="224" t="str">
        <f>'DEF - 6  p1, FF1 Inputs '!F21</f>
        <v>205.5.b&amp;g</v>
      </c>
      <c r="E22" s="224"/>
      <c r="F22" s="12">
        <f>'DEF - 6  p1, FF1 Inputs '!H21</f>
        <v>140095249</v>
      </c>
      <c r="G22" s="12"/>
      <c r="H22" s="12">
        <f>'DEF - 6  p1, FF1 Inputs '!J21</f>
        <v>282966535</v>
      </c>
      <c r="I22" s="224"/>
      <c r="J22" s="6">
        <f>(F22+H22)/2</f>
        <v>211530892</v>
      </c>
      <c r="L22" s="224" t="s">
        <v>183</v>
      </c>
      <c r="M22" s="7">
        <f>M21</f>
        <v>7.8086404382281052E-2</v>
      </c>
      <c r="N22" s="7"/>
      <c r="O22" s="6">
        <f>IF(ISNUMBER(M22),J22*M22,"")</f>
        <v>16517686.772056621</v>
      </c>
    </row>
    <row r="23" spans="1:15" ht="15" customHeight="1" thickTop="1" x14ac:dyDescent="0.2">
      <c r="A23" s="224">
        <f>A22+1</f>
        <v>6</v>
      </c>
      <c r="B23" s="9" t="s">
        <v>28</v>
      </c>
      <c r="D23" s="224"/>
      <c r="E23" s="224"/>
      <c r="F23" s="12"/>
      <c r="G23" s="12"/>
      <c r="H23" s="12"/>
      <c r="I23" s="224"/>
      <c r="J23" s="13">
        <f>J14+J16+SUM(J20:J22)</f>
        <v>13058282956.15</v>
      </c>
      <c r="L23" s="224" t="s">
        <v>27</v>
      </c>
      <c r="M23" s="7">
        <f>IF(J23&lt;&gt;0,O23/J23,0)</f>
        <v>0.16471577842680629</v>
      </c>
      <c r="N23" s="7"/>
      <c r="O23" s="13">
        <f>SUM(O14:O22)</f>
        <v>2150905242.0397444</v>
      </c>
    </row>
    <row r="24" spans="1:15" x14ac:dyDescent="0.2">
      <c r="A24" s="224"/>
      <c r="B24" s="9"/>
      <c r="D24" s="224"/>
      <c r="E24" s="224"/>
      <c r="F24" s="12"/>
      <c r="G24" s="12"/>
      <c r="H24" s="12"/>
      <c r="I24" s="224"/>
      <c r="L24" s="224"/>
    </row>
    <row r="25" spans="1:15" x14ac:dyDescent="0.2">
      <c r="A25" s="224"/>
      <c r="B25" s="9" t="s">
        <v>275</v>
      </c>
      <c r="D25" s="224"/>
      <c r="E25" s="224"/>
      <c r="F25" s="12"/>
      <c r="G25" s="12"/>
      <c r="H25" s="12"/>
      <c r="I25" s="224"/>
      <c r="L25" s="224"/>
    </row>
    <row r="26" spans="1:15" x14ac:dyDescent="0.2">
      <c r="A26" s="224">
        <f>A23+1</f>
        <v>7</v>
      </c>
      <c r="B26" s="9"/>
      <c r="C26" s="4" t="str">
        <f>'DEF - 6  p1, FF1 Inputs '!E27</f>
        <v>Production Depr. Reserve</v>
      </c>
      <c r="D26" s="224" t="str">
        <f>'DEF - 6  p1, FF1 Inputs '!F27</f>
        <v>219.20 thru 24.c</v>
      </c>
      <c r="E26" s="224"/>
      <c r="F26" s="12">
        <f>'DEF - 6  p1, FF1 Inputs '!J72</f>
        <v>2277766078</v>
      </c>
      <c r="G26" s="12"/>
      <c r="H26" s="6">
        <f>'DEF - 6  p1, FF1 Inputs '!J27</f>
        <v>2347335972</v>
      </c>
      <c r="I26" s="224"/>
      <c r="J26" s="6">
        <f>(F26+H26)/2</f>
        <v>2312551025</v>
      </c>
      <c r="L26" s="224" t="s">
        <v>26</v>
      </c>
      <c r="O26" s="4" t="str">
        <f>IF(ISNUMBER(M26),J26*M26,"")</f>
        <v/>
      </c>
    </row>
    <row r="27" spans="1:15" ht="6" customHeight="1" x14ac:dyDescent="0.2">
      <c r="A27" s="224"/>
      <c r="B27" s="9"/>
      <c r="D27" s="224"/>
      <c r="E27" s="224"/>
      <c r="F27" s="12"/>
      <c r="G27" s="12"/>
      <c r="H27" s="6"/>
      <c r="I27" s="224"/>
      <c r="J27" s="6"/>
      <c r="L27" s="224"/>
    </row>
    <row r="28" spans="1:15" x14ac:dyDescent="0.2">
      <c r="A28" s="224">
        <f>A26+1</f>
        <v>8</v>
      </c>
      <c r="B28" s="9"/>
      <c r="C28" s="4" t="str">
        <f>'DEF - 6  p1, FF1 Inputs '!E28&amp;" (Note V)"</f>
        <v>Transmission Depr. Reserve (Note V)</v>
      </c>
      <c r="D28" s="224" t="str">
        <f>'DEF - 6  p1, FF1 Inputs '!F28</f>
        <v>219.25.c</v>
      </c>
      <c r="E28" s="224"/>
      <c r="F28" s="12">
        <f>'DEF - 6  p1, FF1 Inputs '!J73</f>
        <v>539294144.47570539</v>
      </c>
      <c r="G28" s="12"/>
      <c r="H28" s="6">
        <f>'DEF - 6  p1, FF1 Inputs '!J28</f>
        <v>559906250.55550098</v>
      </c>
      <c r="I28" s="224"/>
      <c r="J28" s="6">
        <f>(F28+H28)/2</f>
        <v>549600197.51560318</v>
      </c>
      <c r="L28" s="24"/>
      <c r="M28" s="94"/>
      <c r="N28" s="94"/>
      <c r="O28" s="10"/>
    </row>
    <row r="29" spans="1:15" x14ac:dyDescent="0.2">
      <c r="A29" s="24" t="s">
        <v>449</v>
      </c>
      <c r="B29" s="9"/>
      <c r="C29" s="85" t="s">
        <v>447</v>
      </c>
      <c r="D29" s="24" t="s">
        <v>870</v>
      </c>
      <c r="E29" s="16"/>
      <c r="F29" s="88">
        <f>'DEF - 7, Retail Radials'!H25</f>
        <v>530621</v>
      </c>
      <c r="G29" s="88"/>
      <c r="H29" s="86">
        <f>'DEF - 7, Retail Radials'!H28</f>
        <v>891546.16999999993</v>
      </c>
      <c r="I29" s="16"/>
      <c r="J29" s="93">
        <f>(F29+H29)/2</f>
        <v>711083.58499999996</v>
      </c>
      <c r="K29" s="15"/>
      <c r="L29" s="16"/>
      <c r="M29" s="89"/>
      <c r="N29" s="89"/>
      <c r="O29" s="86"/>
    </row>
    <row r="30" spans="1:15" x14ac:dyDescent="0.2">
      <c r="A30" s="24" t="s">
        <v>450</v>
      </c>
      <c r="B30" s="9"/>
      <c r="C30" s="85" t="s">
        <v>454</v>
      </c>
      <c r="D30" s="24"/>
      <c r="E30" s="16"/>
      <c r="F30" s="88"/>
      <c r="G30" s="88"/>
      <c r="H30" s="86"/>
      <c r="I30" s="16"/>
      <c r="J30" s="10">
        <f>J28-J29</f>
        <v>548889113.93060315</v>
      </c>
      <c r="K30" s="15"/>
      <c r="L30" s="24" t="s">
        <v>51</v>
      </c>
      <c r="M30" s="94">
        <f>'DEF - 2 - Page 4 Support'!I$20</f>
        <v>0.93711905393061146</v>
      </c>
      <c r="N30" s="94"/>
      <c r="O30" s="10">
        <f>IF(ISNUMBER(M30),J30*M30,"")</f>
        <v>514374447.1594584</v>
      </c>
    </row>
    <row r="31" spans="1:15" ht="6" customHeight="1" x14ac:dyDescent="0.2">
      <c r="A31" s="224"/>
      <c r="B31" s="9"/>
      <c r="D31" s="224"/>
      <c r="E31" s="224"/>
      <c r="F31" s="12"/>
      <c r="G31" s="12"/>
      <c r="H31" s="6"/>
      <c r="I31" s="224"/>
      <c r="J31" s="6"/>
      <c r="L31" s="224"/>
      <c r="M31" s="7"/>
      <c r="N31" s="7"/>
      <c r="O31" s="6"/>
    </row>
    <row r="32" spans="1:15" x14ac:dyDescent="0.2">
      <c r="A32" s="224">
        <f>A28+1</f>
        <v>9</v>
      </c>
      <c r="B32" s="9"/>
      <c r="C32" s="4" t="str">
        <f>'DEF - 6  p1, FF1 Inputs '!E29</f>
        <v>Distribution Depr. Reserve</v>
      </c>
      <c r="D32" s="224" t="str">
        <f>'DEF - 6  p1, FF1 Inputs '!F29</f>
        <v>219.26.c</v>
      </c>
      <c r="E32" s="224"/>
      <c r="F32" s="12">
        <f>'DEF - 6  p1, FF1 Inputs '!J74</f>
        <v>1705437350</v>
      </c>
      <c r="G32" s="12"/>
      <c r="H32" s="6">
        <f>'DEF - 6  p1, FF1 Inputs '!J29</f>
        <v>1780751221</v>
      </c>
      <c r="I32" s="224"/>
      <c r="J32" s="6">
        <f>(F32+H32)/2</f>
        <v>1743094285.5</v>
      </c>
      <c r="L32" s="224" t="s">
        <v>26</v>
      </c>
      <c r="M32" s="7"/>
      <c r="N32" s="7"/>
      <c r="O32" s="6" t="str">
        <f>IF(ISNUMBER(M32),J32*M32,"")</f>
        <v/>
      </c>
    </row>
    <row r="33" spans="1:17" x14ac:dyDescent="0.2">
      <c r="A33" s="224">
        <f>A32+1</f>
        <v>10</v>
      </c>
      <c r="B33" s="9"/>
      <c r="C33" s="4" t="str">
        <f>'DEF - 6  p1, FF1 Inputs '!E30</f>
        <v>General Depr. Reserve</v>
      </c>
      <c r="D33" s="224" t="str">
        <f>'DEF - 6  p1, FF1 Inputs '!F30</f>
        <v>219.28.c</v>
      </c>
      <c r="E33" s="224"/>
      <c r="F33" s="12">
        <f>'DEF - 6  p1, FF1 Inputs '!J75</f>
        <v>89081929</v>
      </c>
      <c r="G33" s="12"/>
      <c r="H33" s="6">
        <f>'DEF - 6  p1, FF1 Inputs '!J30</f>
        <v>95523096</v>
      </c>
      <c r="I33" s="224"/>
      <c r="J33" s="6">
        <f>(F33+H33)/2</f>
        <v>92302512.5</v>
      </c>
      <c r="L33" s="224" t="s">
        <v>183</v>
      </c>
      <c r="M33" s="7">
        <f>'DEF - 2 - Page 4 Support'!I$37</f>
        <v>7.8086404382281052E-2</v>
      </c>
      <c r="N33" s="7"/>
      <c r="O33" s="6">
        <f>IF(ISNUMBER(M33),J33*M33,"")</f>
        <v>7207571.3165755514</v>
      </c>
    </row>
    <row r="34" spans="1:17" ht="13.5" thickBot="1" x14ac:dyDescent="0.25">
      <c r="A34" s="224">
        <f>A33+1</f>
        <v>11</v>
      </c>
      <c r="B34" s="9"/>
      <c r="C34" s="4" t="str">
        <f>'DEF - 6  p1, FF1 Inputs '!E20</f>
        <v>Intangible Amort. Reserve</v>
      </c>
      <c r="D34" s="224" t="str">
        <f>'DEF - 6  p1, FF1 Inputs '!F20</f>
        <v>200.21.c</v>
      </c>
      <c r="E34" s="224"/>
      <c r="F34" s="12">
        <f>'DEF - 6  p1, FF1 Inputs '!J70</f>
        <v>138037065</v>
      </c>
      <c r="G34" s="12"/>
      <c r="H34" s="6">
        <f>'DEF - 6  p1, FF1 Inputs '!J20</f>
        <v>129155675</v>
      </c>
      <c r="I34" s="224"/>
      <c r="J34" s="6">
        <f>(F34+H34)/2</f>
        <v>133596370</v>
      </c>
      <c r="L34" s="224" t="s">
        <v>183</v>
      </c>
      <c r="M34" s="7">
        <f>M33</f>
        <v>7.8086404382281052E-2</v>
      </c>
      <c r="N34" s="7"/>
      <c r="O34" s="6">
        <f>IF(ISNUMBER(M34),J34*M34,"")</f>
        <v>10432060.171824841</v>
      </c>
    </row>
    <row r="35" spans="1:17" ht="13.5" thickTop="1" x14ac:dyDescent="0.2">
      <c r="A35" s="224">
        <f>A34+1</f>
        <v>12</v>
      </c>
      <c r="B35" s="9" t="s">
        <v>29</v>
      </c>
      <c r="D35" s="224"/>
      <c r="E35" s="224"/>
      <c r="F35" s="12"/>
      <c r="G35" s="12"/>
      <c r="H35" s="12"/>
      <c r="I35" s="224"/>
      <c r="J35" s="13">
        <f>J26+J28+SUM(J32:J34)</f>
        <v>4831144390.5156031</v>
      </c>
      <c r="L35" s="224"/>
      <c r="M35" s="7"/>
      <c r="N35" s="7"/>
      <c r="O35" s="13">
        <f>SUM(O26:O34)</f>
        <v>532014078.64785874</v>
      </c>
    </row>
    <row r="36" spans="1:17" x14ac:dyDescent="0.2">
      <c r="A36" s="224"/>
      <c r="B36" s="9"/>
      <c r="D36" s="224"/>
      <c r="E36" s="224"/>
      <c r="F36" s="12"/>
      <c r="G36" s="12"/>
      <c r="H36" s="12"/>
      <c r="I36" s="224"/>
      <c r="L36" s="224"/>
    </row>
    <row r="37" spans="1:17" x14ac:dyDescent="0.2">
      <c r="A37" s="224"/>
      <c r="B37" s="9" t="s">
        <v>30</v>
      </c>
      <c r="D37" s="224"/>
      <c r="E37" s="224"/>
      <c r="F37" s="12"/>
      <c r="G37" s="12"/>
      <c r="H37" s="12"/>
      <c r="I37" s="224"/>
      <c r="L37" s="224"/>
      <c r="O37" s="6"/>
    </row>
    <row r="38" spans="1:17" x14ac:dyDescent="0.2">
      <c r="A38" s="224">
        <f>A35+1</f>
        <v>13</v>
      </c>
      <c r="B38" s="9"/>
      <c r="C38" s="4" t="s">
        <v>177</v>
      </c>
      <c r="D38" s="224" t="s">
        <v>42</v>
      </c>
      <c r="E38" s="224"/>
      <c r="F38" s="12"/>
      <c r="G38" s="12"/>
      <c r="H38" s="12"/>
      <c r="I38" s="224"/>
      <c r="J38" s="6">
        <f>J14-J26</f>
        <v>3510046846</v>
      </c>
      <c r="L38" s="224"/>
      <c r="O38" s="6" t="str">
        <f>IF(ISNUMBER(O14),O14-O26,"")</f>
        <v/>
      </c>
    </row>
    <row r="39" spans="1:17" x14ac:dyDescent="0.2">
      <c r="A39" s="224">
        <f>A38+1</f>
        <v>14</v>
      </c>
      <c r="B39" s="9"/>
      <c r="C39" s="4" t="s">
        <v>178</v>
      </c>
      <c r="D39" s="24" t="s">
        <v>468</v>
      </c>
      <c r="E39" s="224"/>
      <c r="F39" s="12"/>
      <c r="G39" s="12"/>
      <c r="H39" s="12"/>
      <c r="I39" s="224"/>
      <c r="J39" s="6">
        <f>J18-J30</f>
        <v>1698220484.6443973</v>
      </c>
      <c r="L39" s="224"/>
      <c r="O39" s="6">
        <f>IF(ISNUMBER(O18),O18-O30,"")</f>
        <v>1591434773.9355419</v>
      </c>
    </row>
    <row r="40" spans="1:17" x14ac:dyDescent="0.2">
      <c r="A40" s="224">
        <f>A39+1</f>
        <v>15</v>
      </c>
      <c r="B40" s="9"/>
      <c r="C40" s="4" t="s">
        <v>179</v>
      </c>
      <c r="D40" s="224" t="s">
        <v>43</v>
      </c>
      <c r="E40" s="224"/>
      <c r="F40" s="12"/>
      <c r="G40" s="12"/>
      <c r="H40" s="12"/>
      <c r="I40" s="224"/>
      <c r="J40" s="6">
        <f>J20-J32</f>
        <v>2653578167</v>
      </c>
      <c r="L40" s="224"/>
      <c r="O40" s="6" t="str">
        <f>IF(ISNUMBER(O20),O20-O32,"")</f>
        <v/>
      </c>
    </row>
    <row r="41" spans="1:17" x14ac:dyDescent="0.2">
      <c r="A41" s="224">
        <f>A40+1</f>
        <v>16</v>
      </c>
      <c r="B41" s="9"/>
      <c r="C41" s="4" t="s">
        <v>180</v>
      </c>
      <c r="D41" s="224" t="s">
        <v>44</v>
      </c>
      <c r="E41" s="224"/>
      <c r="F41" s="12"/>
      <c r="G41" s="12"/>
      <c r="H41" s="12"/>
      <c r="I41" s="224"/>
      <c r="J41" s="6">
        <f>J21-J33</f>
        <v>273680969.5</v>
      </c>
      <c r="L41" s="224"/>
      <c r="O41" s="6">
        <f>IF(ISNUMBER(O21),O21-O33,"")</f>
        <v>21370762.856111728</v>
      </c>
    </row>
    <row r="42" spans="1:17" ht="13.5" thickBot="1" x14ac:dyDescent="0.25">
      <c r="A42" s="224">
        <f>A41+1</f>
        <v>17</v>
      </c>
      <c r="B42" s="9"/>
      <c r="C42" s="4" t="s">
        <v>181</v>
      </c>
      <c r="D42" s="224" t="s">
        <v>45</v>
      </c>
      <c r="E42" s="224"/>
      <c r="F42" s="12"/>
      <c r="G42" s="12"/>
      <c r="H42" s="12"/>
      <c r="I42" s="224"/>
      <c r="J42" s="6">
        <f>J22-J34</f>
        <v>77934522</v>
      </c>
      <c r="L42" s="224"/>
      <c r="O42" s="6">
        <f>IF(ISNUMBER(O22),O22-O34,"")</f>
        <v>6085626.6002317797</v>
      </c>
    </row>
    <row r="43" spans="1:17" ht="13.5" thickTop="1" x14ac:dyDescent="0.2">
      <c r="A43" s="224">
        <f>A42+1</f>
        <v>18</v>
      </c>
      <c r="B43" s="9" t="s">
        <v>31</v>
      </c>
      <c r="D43" s="224"/>
      <c r="E43" s="224"/>
      <c r="F43" s="12"/>
      <c r="G43" s="12"/>
      <c r="H43" s="12"/>
      <c r="I43" s="224"/>
      <c r="J43" s="13">
        <f>SUM(J38:J42)</f>
        <v>8213460989.1443977</v>
      </c>
      <c r="L43" s="224" t="s">
        <v>32</v>
      </c>
      <c r="M43" s="7">
        <f>IF(J43&lt;&gt;0,O43/J43,0)</f>
        <v>0.19710219182042119</v>
      </c>
      <c r="N43" s="7"/>
      <c r="O43" s="13">
        <f>SUM(O38:O42)</f>
        <v>1618891163.3918855</v>
      </c>
    </row>
    <row r="44" spans="1:17" x14ac:dyDescent="0.2">
      <c r="A44" s="224"/>
      <c r="B44" s="9"/>
      <c r="D44" s="224"/>
      <c r="E44" s="224"/>
      <c r="F44" s="12"/>
      <c r="G44" s="12"/>
      <c r="H44" s="12"/>
      <c r="I44" s="224"/>
      <c r="L44" s="224"/>
    </row>
    <row r="45" spans="1:17" x14ac:dyDescent="0.2">
      <c r="A45" s="224"/>
      <c r="B45" s="9" t="s">
        <v>257</v>
      </c>
      <c r="D45" s="224"/>
      <c r="E45" s="224"/>
      <c r="F45" s="12"/>
      <c r="G45" s="12"/>
      <c r="H45" s="12"/>
      <c r="I45" s="224"/>
      <c r="L45" s="224"/>
    </row>
    <row r="46" spans="1:17" x14ac:dyDescent="0.2">
      <c r="A46" s="224">
        <f>A43+1</f>
        <v>19</v>
      </c>
      <c r="B46" s="9"/>
      <c r="C46" s="4" t="s">
        <v>18</v>
      </c>
      <c r="D46" s="34" t="str">
        <f>'DEF - 6  p1, FF1 Inputs '!F36</f>
        <v>234.8.b&amp;c</v>
      </c>
      <c r="E46" s="224"/>
      <c r="F46" s="12">
        <f>'DEF - 6  p1, FF1 Inputs '!H36</f>
        <v>995528084</v>
      </c>
      <c r="G46" s="12"/>
      <c r="H46" s="12">
        <f>'DEF - 6  p1, FF1 Inputs '!J36</f>
        <v>1107815236</v>
      </c>
      <c r="I46" s="224"/>
      <c r="J46" s="6">
        <f>(F46+H46)/2</f>
        <v>1051671660</v>
      </c>
      <c r="L46" s="243" t="s">
        <v>836</v>
      </c>
      <c r="M46" s="244"/>
      <c r="O46" s="157">
        <f>(SUMIF('DEF - 5 p1 PY ADIT 190'!$B:$B,"Balance in Account 190",'DEF - 5 p1 PY ADIT 190'!$I:$I)+SUMIF('DEF - 5 p3 CY ADIT 190'!$B:$B,"Balance in Account 190",'DEF - 5 p3 CY ADIT 190'!$I:$I))/2</f>
        <v>65227611.058179349</v>
      </c>
    </row>
    <row r="47" spans="1:17" x14ac:dyDescent="0.2">
      <c r="A47" s="224">
        <f>A46+1</f>
        <v>20</v>
      </c>
      <c r="B47" s="9"/>
      <c r="C47" s="4" t="s">
        <v>19</v>
      </c>
      <c r="D47" s="34" t="str">
        <f>'DEF - 6  p1, FF1 Inputs '!F45</f>
        <v>273.8.b&amp;k</v>
      </c>
      <c r="E47" s="224"/>
      <c r="F47" s="12">
        <f>'DEF - 6  p1, FF1 Inputs '!H45</f>
        <v>-3757590</v>
      </c>
      <c r="G47" s="12"/>
      <c r="H47" s="12">
        <f>'DEF - 6  p1, FF1 Inputs '!J45</f>
        <v>-3757590</v>
      </c>
      <c r="I47" s="224"/>
      <c r="J47" s="6">
        <f>(F47+H47)/2</f>
        <v>-3757590</v>
      </c>
      <c r="L47" s="243" t="s">
        <v>836</v>
      </c>
      <c r="M47" s="244"/>
      <c r="O47" s="49">
        <f>(SUMIF('DEF - 5 p2 PY ADIT 28x'!$B:$B,"Balance in Account 281",'DEF - 5 p2 PY ADIT 28x'!$I:$I))+(SUMIF('DEF - 5 p4 CY ADIT 28x'!$B:$B,"Balance in Account 281",'DEF - 5 p4 CY ADIT 28x'!$I:$I))/2</f>
        <v>0</v>
      </c>
    </row>
    <row r="48" spans="1:17" x14ac:dyDescent="0.2">
      <c r="A48" s="224">
        <f>A47+1</f>
        <v>21</v>
      </c>
      <c r="B48" s="9"/>
      <c r="C48" s="4" t="s">
        <v>20</v>
      </c>
      <c r="D48" s="34" t="str">
        <f>'DEF - 6  p1, FF1 Inputs '!F46</f>
        <v>275.2.b&amp;k</v>
      </c>
      <c r="E48" s="224"/>
      <c r="F48" s="12">
        <f>'DEF - 6  p1, FF1 Inputs '!H46</f>
        <v>-975116243</v>
      </c>
      <c r="G48" s="12"/>
      <c r="H48" s="12">
        <f>'DEF - 6  p1, FF1 Inputs '!J46</f>
        <v>-1601614562</v>
      </c>
      <c r="I48" s="224"/>
      <c r="J48" s="6">
        <f>(F48+H48)/2</f>
        <v>-1288365402.5</v>
      </c>
      <c r="L48" s="243" t="s">
        <v>836</v>
      </c>
      <c r="M48" s="244"/>
      <c r="O48" s="6">
        <f>(SUMIF('DEF - 5 p2 PY ADIT 28x'!$B:$B,"Balance in Account 282",'DEF - 5 p2 PY ADIT 28x'!$I:$I)+SUMIF('DEF - 5 p4 CY ADIT 28x'!$B:$B,"Balance in Account 282",'DEF - 5 p4 CY ADIT 28x'!$I:$I))/2</f>
        <v>-247487109.94907075</v>
      </c>
      <c r="Q48" s="49"/>
    </row>
    <row r="49" spans="1:20" ht="13.5" thickBot="1" x14ac:dyDescent="0.25">
      <c r="A49" s="224">
        <f>A48+1</f>
        <v>22</v>
      </c>
      <c r="B49" s="9"/>
      <c r="C49" s="4" t="s">
        <v>372</v>
      </c>
      <c r="D49" s="34" t="str">
        <f>'DEF - 6  p1, FF1 Inputs '!F47</f>
        <v>277.9.b&amp;k</v>
      </c>
      <c r="E49" s="224"/>
      <c r="F49" s="12">
        <f>'DEF - 6  p1, FF1 Inputs '!H47</f>
        <v>-1425000944</v>
      </c>
      <c r="G49" s="12"/>
      <c r="H49" s="12">
        <f>'DEF - 6  p1, FF1 Inputs '!J47</f>
        <v>-1227860892</v>
      </c>
      <c r="I49" s="224"/>
      <c r="J49" s="6">
        <f>(F49+H49)/2</f>
        <v>-1326430918</v>
      </c>
      <c r="L49" s="243" t="s">
        <v>836</v>
      </c>
      <c r="M49" s="244"/>
      <c r="O49" s="6">
        <f>(SUMIF('DEF - 5 p2 PY ADIT 28x'!$B:$B,"Balance in Account 283",'DEF - 5 p2 PY ADIT 28x'!$I:$I)+SUMIF('DEF - 5 p4 CY ADIT 28x'!$B:$B,"Balance in Account 283",'DEF - 5 p4 CY ADIT 28x'!$I:$I))/2</f>
        <v>-18717538.972717334</v>
      </c>
    </row>
    <row r="50" spans="1:20" ht="13.5" thickTop="1" x14ac:dyDescent="0.2">
      <c r="A50" s="224">
        <f>A49+1</f>
        <v>23</v>
      </c>
      <c r="B50" s="9" t="s">
        <v>258</v>
      </c>
      <c r="D50" s="224"/>
      <c r="E50" s="224"/>
      <c r="F50" s="12"/>
      <c r="G50" s="12"/>
      <c r="H50" s="12"/>
      <c r="I50" s="224"/>
      <c r="J50" s="13">
        <f>SUM(J46:J49)</f>
        <v>-1566882250.5</v>
      </c>
      <c r="L50" s="224"/>
      <c r="M50" s="7"/>
      <c r="N50" s="7"/>
      <c r="O50" s="13">
        <f>IF(SUM(O46:O49)=('DEF - 5 p2 PY ADIT 28x'!I47+'DEF - 5 p4 CY ADIT 28x'!I48)/2,SUM(O46:O49),"error")</f>
        <v>-200977037.86360875</v>
      </c>
    </row>
    <row r="51" spans="1:20" x14ac:dyDescent="0.2">
      <c r="A51" s="224"/>
      <c r="B51" s="9"/>
      <c r="D51" s="224"/>
      <c r="E51" s="224"/>
      <c r="F51" s="12"/>
      <c r="G51" s="12"/>
      <c r="H51" s="12"/>
      <c r="I51" s="224"/>
      <c r="L51" s="224"/>
    </row>
    <row r="52" spans="1:20" ht="25.5" customHeight="1" x14ac:dyDescent="0.2">
      <c r="A52" s="19">
        <f>A50+1</f>
        <v>24</v>
      </c>
      <c r="B52" s="241" t="s">
        <v>479</v>
      </c>
      <c r="C52" s="252"/>
      <c r="D52" s="117" t="s">
        <v>478</v>
      </c>
      <c r="E52" s="117"/>
      <c r="F52" s="253">
        <f>-'DEF - 5A Unfunded Reserves'!E31</f>
        <v>-444529948.17000026</v>
      </c>
      <c r="G52" s="253"/>
      <c r="H52" s="253">
        <f>-'DEF - 5A Unfunded Reserves'!G31</f>
        <v>-276992602.50000024</v>
      </c>
      <c r="I52" s="117"/>
      <c r="J52" s="254">
        <f>(F52+H52)/2</f>
        <v>-360761275.33500028</v>
      </c>
      <c r="K52" s="99"/>
      <c r="L52" s="255" t="s">
        <v>837</v>
      </c>
      <c r="M52" s="256"/>
      <c r="N52" s="257"/>
      <c r="O52" s="254">
        <f>-'DEF - 5A Unfunded Reserves'!N31</f>
        <v>-28170550.831276268</v>
      </c>
    </row>
    <row r="53" spans="1:20" x14ac:dyDescent="0.2">
      <c r="A53" s="224"/>
      <c r="B53" s="9"/>
      <c r="D53" s="224"/>
      <c r="E53" s="224"/>
      <c r="F53" s="12"/>
      <c r="G53" s="12"/>
      <c r="H53" s="12"/>
      <c r="I53" s="224"/>
      <c r="L53" s="224"/>
    </row>
    <row r="54" spans="1:20" ht="25.5" customHeight="1" x14ac:dyDescent="0.2">
      <c r="A54" s="19">
        <f>A52+1</f>
        <v>25</v>
      </c>
      <c r="B54" s="241" t="s">
        <v>276</v>
      </c>
      <c r="C54" s="242"/>
      <c r="D54" s="19" t="str">
        <f>'DEF - 6  p1, FF1 Inputs '!F35</f>
        <v>230a.5.f</v>
      </c>
      <c r="E54" s="19"/>
      <c r="F54" s="81">
        <f>'DEF - 6  p1, FF1 Inputs '!J76</f>
        <v>-4618198</v>
      </c>
      <c r="G54" s="81"/>
      <c r="H54" s="81">
        <f>'DEF - 6  p1, FF1 Inputs '!J35</f>
        <v>-6667985.7900000066</v>
      </c>
      <c r="I54" s="19"/>
      <c r="J54" s="21">
        <f>(F54+H54)/2</f>
        <v>-5643091.8950000033</v>
      </c>
      <c r="K54" s="22"/>
      <c r="L54" s="19" t="str">
        <f>"p. 5, l. "&amp;'DEF - 2 - Page 5 Storm, Notes'!B38</f>
        <v>p. 5, l. 16</v>
      </c>
      <c r="M54" s="23">
        <f>'DEF - 2 - Page 5 Storm, Notes'!K38</f>
        <v>2.8990598083116197</v>
      </c>
      <c r="N54" s="22"/>
      <c r="O54" s="21">
        <f>J54*M54</f>
        <v>-16359660.907403564</v>
      </c>
      <c r="R54" s="258"/>
      <c r="S54" s="259"/>
    </row>
    <row r="55" spans="1:20" x14ac:dyDescent="0.2">
      <c r="A55" s="224"/>
      <c r="B55" s="9"/>
      <c r="D55" s="224"/>
      <c r="E55" s="224"/>
      <c r="F55" s="12"/>
      <c r="G55" s="12"/>
      <c r="H55" s="12"/>
      <c r="I55" s="224"/>
      <c r="L55" s="224"/>
      <c r="R55" s="258"/>
      <c r="S55" s="259"/>
      <c r="T55" s="259"/>
    </row>
    <row r="56" spans="1:20" x14ac:dyDescent="0.2">
      <c r="A56" s="19">
        <f>A54+1</f>
        <v>26</v>
      </c>
      <c r="B56" s="9" t="s">
        <v>38</v>
      </c>
      <c r="D56" s="224" t="str">
        <f>'DEF - 6  p1, FF1 Inputs '!F26</f>
        <v>214.47.d</v>
      </c>
      <c r="E56" s="224"/>
      <c r="F56" s="12">
        <f>'DEF - 6  p1, FF1 Inputs '!J71</f>
        <v>12613437</v>
      </c>
      <c r="G56" s="12"/>
      <c r="H56" s="12">
        <f>'DEF - 6  p1, FF1 Inputs '!J26</f>
        <v>29554745</v>
      </c>
      <c r="I56" s="224"/>
      <c r="J56" s="6">
        <f>(F56+H56)/2</f>
        <v>21084091</v>
      </c>
      <c r="L56" s="224" t="s">
        <v>277</v>
      </c>
      <c r="O56" s="6">
        <f>J56</f>
        <v>21084091</v>
      </c>
      <c r="R56" s="258"/>
      <c r="S56" s="259"/>
      <c r="T56" s="259"/>
    </row>
    <row r="57" spans="1:20" x14ac:dyDescent="0.2">
      <c r="A57" s="224"/>
      <c r="B57" s="9"/>
      <c r="F57" s="6"/>
      <c r="G57" s="6"/>
      <c r="H57" s="6"/>
      <c r="L57" s="224"/>
      <c r="R57" s="258"/>
      <c r="S57" s="259"/>
      <c r="T57" s="259"/>
    </row>
    <row r="58" spans="1:20" x14ac:dyDescent="0.2">
      <c r="A58" s="19">
        <f>A56+1</f>
        <v>27</v>
      </c>
      <c r="B58" s="9" t="s">
        <v>469</v>
      </c>
      <c r="F58" s="260">
        <v>127312799.60000001</v>
      </c>
      <c r="G58" s="10"/>
      <c r="H58" s="260">
        <v>42273079.68</v>
      </c>
      <c r="J58" s="6">
        <f>(F58+H58)/2</f>
        <v>84792939.640000001</v>
      </c>
      <c r="L58" s="224"/>
      <c r="M58" s="23">
        <v>0.5</v>
      </c>
      <c r="O58" s="6">
        <f>J58*M58</f>
        <v>42396469.82</v>
      </c>
    </row>
    <row r="59" spans="1:20" ht="12.75" customHeight="1" x14ac:dyDescent="0.2">
      <c r="A59" s="224"/>
      <c r="C59" s="5"/>
      <c r="D59" s="19"/>
      <c r="E59" s="19"/>
      <c r="F59" s="20"/>
      <c r="G59" s="20"/>
      <c r="H59" s="20"/>
      <c r="I59" s="19"/>
      <c r="J59" s="21"/>
      <c r="K59" s="22"/>
      <c r="L59" s="19"/>
      <c r="M59" s="23"/>
      <c r="N59" s="22"/>
      <c r="O59" s="21"/>
    </row>
    <row r="60" spans="1:20" ht="12.75" customHeight="1" x14ac:dyDescent="0.2">
      <c r="A60" s="224"/>
      <c r="B60" s="9" t="s">
        <v>375</v>
      </c>
      <c r="C60" s="5"/>
      <c r="D60" s="19"/>
      <c r="E60" s="19"/>
      <c r="F60" s="20"/>
      <c r="G60" s="20"/>
      <c r="H60" s="20"/>
      <c r="I60" s="19"/>
      <c r="J60" s="21"/>
      <c r="K60" s="22"/>
      <c r="L60" s="19"/>
      <c r="M60" s="23"/>
      <c r="N60" s="22"/>
      <c r="O60" s="21"/>
    </row>
    <row r="61" spans="1:20" ht="12.75" customHeight="1" x14ac:dyDescent="0.2">
      <c r="A61" s="224">
        <f>A58+1</f>
        <v>28</v>
      </c>
      <c r="C61" s="26" t="s">
        <v>470</v>
      </c>
      <c r="D61" s="19"/>
      <c r="E61" s="19"/>
      <c r="F61" s="12">
        <v>0</v>
      </c>
      <c r="G61" s="12"/>
      <c r="H61" s="12">
        <v>0</v>
      </c>
      <c r="I61" s="224"/>
      <c r="J61" s="6">
        <f>(F61+H61)/2</f>
        <v>0</v>
      </c>
      <c r="K61" s="22"/>
      <c r="L61" s="19" t="s">
        <v>55</v>
      </c>
      <c r="M61" s="23">
        <v>-1</v>
      </c>
      <c r="N61" s="22"/>
      <c r="O61" s="21">
        <f>J61*M61</f>
        <v>0</v>
      </c>
    </row>
    <row r="62" spans="1:20" ht="12.75" customHeight="1" thickBot="1" x14ac:dyDescent="0.25">
      <c r="A62" s="224">
        <f>A61+1</f>
        <v>29</v>
      </c>
      <c r="C62" s="5" t="s">
        <v>255</v>
      </c>
      <c r="D62" s="19"/>
      <c r="E62" s="19"/>
      <c r="F62" s="12">
        <v>0</v>
      </c>
      <c r="G62" s="12"/>
      <c r="H62" s="12">
        <v>0</v>
      </c>
      <c r="I62" s="224"/>
      <c r="J62" s="6">
        <f>(F62+H62)/2</f>
        <v>0</v>
      </c>
      <c r="K62" s="22"/>
      <c r="L62" s="19" t="s">
        <v>55</v>
      </c>
      <c r="M62" s="23">
        <v>1</v>
      </c>
      <c r="N62" s="22"/>
      <c r="O62" s="21">
        <f>J62*M62</f>
        <v>0</v>
      </c>
    </row>
    <row r="63" spans="1:20" ht="12.75" customHeight="1" thickTop="1" x14ac:dyDescent="0.2">
      <c r="A63" s="224">
        <f>A62+1</f>
        <v>30</v>
      </c>
      <c r="B63" s="9" t="s">
        <v>259</v>
      </c>
      <c r="C63" s="26"/>
      <c r="D63" s="27"/>
      <c r="E63" s="27"/>
      <c r="F63" s="12"/>
      <c r="G63" s="12"/>
      <c r="H63" s="12"/>
      <c r="I63" s="224"/>
      <c r="J63" s="6"/>
      <c r="K63" s="22"/>
      <c r="L63" s="19"/>
      <c r="M63" s="23"/>
      <c r="N63" s="22"/>
      <c r="O63" s="13">
        <f>SUM(O61:O62)</f>
        <v>0</v>
      </c>
    </row>
    <row r="64" spans="1:20" ht="12.75" customHeight="1" x14ac:dyDescent="0.2">
      <c r="A64" s="24"/>
      <c r="B64" s="25"/>
      <c r="C64" s="26"/>
      <c r="D64" s="27"/>
      <c r="E64" s="27"/>
      <c r="F64" s="12"/>
      <c r="G64" s="12"/>
      <c r="H64" s="12"/>
      <c r="I64" s="224"/>
      <c r="J64" s="6"/>
      <c r="K64" s="22"/>
      <c r="L64" s="19"/>
      <c r="M64" s="23"/>
      <c r="N64" s="22"/>
      <c r="O64" s="21"/>
    </row>
    <row r="65" spans="1:18" x14ac:dyDescent="0.2">
      <c r="A65" s="224"/>
      <c r="B65" s="9" t="s">
        <v>39</v>
      </c>
      <c r="D65" s="224"/>
      <c r="E65" s="224"/>
      <c r="F65" s="34"/>
      <c r="G65" s="34"/>
      <c r="H65" s="34"/>
      <c r="I65" s="224"/>
      <c r="L65" s="224"/>
    </row>
    <row r="66" spans="1:18" x14ac:dyDescent="0.2">
      <c r="A66" s="224">
        <f>A63+1</f>
        <v>31</v>
      </c>
      <c r="B66" s="9"/>
      <c r="C66" s="4" t="s">
        <v>64</v>
      </c>
      <c r="D66" s="224" t="str">
        <f>"Page 3, line "&amp;'DEF - 2 - Page 3 Rev Reqt'!A34</f>
        <v>Page 3, line 17</v>
      </c>
      <c r="E66" s="224"/>
      <c r="F66" s="34"/>
      <c r="G66" s="34"/>
      <c r="H66" s="34"/>
      <c r="I66" s="224"/>
      <c r="L66" s="224"/>
      <c r="O66" s="6">
        <f>'DEF - 2 - Page 3 Rev Reqt'!K34/8</f>
        <v>6471762.0148048243</v>
      </c>
      <c r="R66" s="261"/>
    </row>
    <row r="67" spans="1:18" x14ac:dyDescent="0.2">
      <c r="A67" s="224">
        <f>A66+1</f>
        <v>32</v>
      </c>
      <c r="B67" s="9"/>
      <c r="C67" s="4" t="s">
        <v>65</v>
      </c>
      <c r="D67" s="224" t="str">
        <f>'DEF - 6  p1, FF1 Inputs '!F31</f>
        <v>227.8.b&amp;c</v>
      </c>
      <c r="E67" s="224"/>
      <c r="F67" s="12">
        <f>'DEF - 6  p1, FF1 Inputs '!H31</f>
        <v>5482316</v>
      </c>
      <c r="G67" s="34"/>
      <c r="H67" s="12">
        <f>'DEF - 6  p1, FF1 Inputs '!J31</f>
        <v>1124024</v>
      </c>
      <c r="I67" s="224"/>
      <c r="J67" s="6">
        <f>(F67+H67)/2</f>
        <v>3303170</v>
      </c>
      <c r="L67" s="24" t="s">
        <v>220</v>
      </c>
      <c r="M67" s="7">
        <f>'DEF - 2 - Page 4 Support'!I20</f>
        <v>0.93711905393061146</v>
      </c>
      <c r="N67" s="7"/>
      <c r="O67" s="6">
        <f>J67*M67</f>
        <v>3095463.5453719776</v>
      </c>
    </row>
    <row r="68" spans="1:18" x14ac:dyDescent="0.2">
      <c r="A68" s="224">
        <f>A67+1</f>
        <v>33</v>
      </c>
      <c r="B68" s="9"/>
      <c r="C68" s="4" t="s">
        <v>66</v>
      </c>
      <c r="D68" s="224" t="str">
        <f>'DEF - 6  p1, FF1 Inputs '!F32</f>
        <v>227.16.b&amp;c</v>
      </c>
      <c r="E68" s="224"/>
      <c r="F68" s="12">
        <f>'DEF - 6  p1, FF1 Inputs '!H32</f>
        <v>9773644</v>
      </c>
      <c r="G68" s="34"/>
      <c r="H68" s="12">
        <f>'DEF - 6  p1, FF1 Inputs '!J32</f>
        <v>6935715</v>
      </c>
      <c r="I68" s="224"/>
      <c r="J68" s="6">
        <f>(F68+H68)/2</f>
        <v>8354679.5</v>
      </c>
      <c r="L68" s="224" t="s">
        <v>183</v>
      </c>
      <c r="M68" s="7">
        <f>'DEF - 2 - Page 4 Support'!I37</f>
        <v>7.8086404382281052E-2</v>
      </c>
      <c r="N68" s="7"/>
      <c r="O68" s="6">
        <f>J68*M68</f>
        <v>652386.88192135363</v>
      </c>
    </row>
    <row r="69" spans="1:18" ht="13.5" thickBot="1" x14ac:dyDescent="0.25">
      <c r="A69" s="224">
        <f>A68+1</f>
        <v>34</v>
      </c>
      <c r="B69" s="9"/>
      <c r="C69" s="4" t="s">
        <v>214</v>
      </c>
      <c r="D69" s="224" t="str">
        <f>'DEF - 6  p1, FF1 Inputs '!F11</f>
        <v>111.57.c&amp;d</v>
      </c>
      <c r="E69" s="224"/>
      <c r="F69" s="12">
        <f>'DEF - 6  p1, FF1 Inputs '!H11</f>
        <v>14753158</v>
      </c>
      <c r="G69" s="34"/>
      <c r="H69" s="12">
        <f>'DEF - 6  p1, FF1 Inputs '!$J$11</f>
        <v>44032758.179999962</v>
      </c>
      <c r="I69" s="224"/>
      <c r="J69" s="6">
        <f>(F69+H69)/2</f>
        <v>29392958.089999981</v>
      </c>
      <c r="L69" s="224" t="s">
        <v>41</v>
      </c>
      <c r="M69" s="7">
        <f>M23</f>
        <v>0.16471577842680629</v>
      </c>
      <c r="N69" s="7"/>
      <c r="O69" s="6">
        <f>J69*M69</f>
        <v>4841483.9720608406</v>
      </c>
    </row>
    <row r="70" spans="1:18" ht="13.5" thickTop="1" x14ac:dyDescent="0.2">
      <c r="A70" s="224">
        <f>A69+1</f>
        <v>35</v>
      </c>
      <c r="B70" s="9" t="s">
        <v>46</v>
      </c>
      <c r="D70" s="224"/>
      <c r="E70" s="224"/>
      <c r="F70" s="34"/>
      <c r="G70" s="34"/>
      <c r="H70" s="34"/>
      <c r="I70" s="224"/>
      <c r="O70" s="13">
        <f>SUM(O66:O69)</f>
        <v>15061096.414158994</v>
      </c>
      <c r="R70" s="157"/>
    </row>
    <row r="71" spans="1:18" x14ac:dyDescent="0.2">
      <c r="A71" s="224"/>
      <c r="B71" s="9"/>
      <c r="D71" s="224"/>
      <c r="E71" s="224"/>
      <c r="F71" s="34"/>
      <c r="G71" s="34"/>
      <c r="H71" s="34"/>
      <c r="I71" s="224"/>
    </row>
    <row r="72" spans="1:18" x14ac:dyDescent="0.2">
      <c r="A72" s="224">
        <f>A70+1</f>
        <v>36</v>
      </c>
      <c r="B72" s="9" t="str">
        <f>"Rate Base (Sum of Lines "&amp;A43&amp;", "&amp;A50&amp;" thru "&amp;A58&amp;", "&amp;A63&amp;", and "&amp;A70&amp;")"</f>
        <v>Rate Base (Sum of Lines 18, 23 thru 27, 30, and 35)</v>
      </c>
      <c r="D72" s="224"/>
      <c r="E72" s="224"/>
      <c r="F72" s="224"/>
      <c r="G72" s="224"/>
      <c r="H72" s="224"/>
      <c r="I72" s="224"/>
      <c r="O72" s="6">
        <f>O43+O50+O52+O54+O56+O58+O63+O70</f>
        <v>1451925571.023756</v>
      </c>
    </row>
    <row r="73" spans="1:18" x14ac:dyDescent="0.2">
      <c r="B73" s="9"/>
    </row>
    <row r="74" spans="1:18" x14ac:dyDescent="0.2">
      <c r="B74" s="9" t="s">
        <v>251</v>
      </c>
    </row>
    <row r="75" spans="1:18" x14ac:dyDescent="0.2">
      <c r="B75" s="9"/>
    </row>
    <row r="76" spans="1:18" x14ac:dyDescent="0.2">
      <c r="A76" s="224">
        <f>A72+1</f>
        <v>37</v>
      </c>
      <c r="C76" s="4" t="str">
        <f>'DEF - 6  p1, FF1 Inputs '!E16</f>
        <v>Long-Term Debt</v>
      </c>
      <c r="D76" s="224" t="str">
        <f>'DEF - 6  p1, FF1 Inputs '!F16</f>
        <v>112.24.c&amp;d</v>
      </c>
      <c r="F76" s="6">
        <f>'DEF - 6  p1, FF1 Inputs '!H16</f>
        <v>5131230111</v>
      </c>
      <c r="G76" s="6"/>
      <c r="H76" s="6">
        <f>'DEF - 6  p1, FF1 Inputs '!J16</f>
        <v>4706995378</v>
      </c>
      <c r="I76" s="6"/>
      <c r="J76" s="6">
        <f>(F76+H76)/2</f>
        <v>4919112744.5</v>
      </c>
    </row>
    <row r="77" spans="1:18" x14ac:dyDescent="0.2">
      <c r="A77" s="224">
        <f>A76+1</f>
        <v>38</v>
      </c>
      <c r="C77" s="4" t="s">
        <v>71</v>
      </c>
      <c r="D77" s="224" t="str">
        <f>'DEF - 6  p1, FF1 Inputs '!F12</f>
        <v>111.81.c&amp;d</v>
      </c>
      <c r="F77" s="12">
        <f>'DEF - 6  p1, FF1 Inputs '!H12</f>
        <v>10424293</v>
      </c>
      <c r="G77" s="6"/>
      <c r="H77" s="12">
        <f>'DEF - 6  p1, FF1 Inputs '!J12</f>
        <v>10424293</v>
      </c>
      <c r="I77" s="6"/>
      <c r="J77" s="6">
        <f>(F77+H77)/2</f>
        <v>10424293</v>
      </c>
    </row>
    <row r="78" spans="1:18" x14ac:dyDescent="0.2">
      <c r="A78" s="224">
        <f>A77+1</f>
        <v>39</v>
      </c>
      <c r="C78" s="4" t="s">
        <v>72</v>
      </c>
      <c r="D78" s="224" t="str">
        <f>'DEF - 6  p1, FF1 Inputs '!F17</f>
        <v>113.61.c&amp;d</v>
      </c>
      <c r="F78" s="12">
        <f>'DEF - 6  p1, FF1 Inputs '!H17</f>
        <v>0</v>
      </c>
      <c r="G78" s="6"/>
      <c r="H78" s="12">
        <f>'DEF - 6  p1, FF1 Inputs '!J17</f>
        <v>0</v>
      </c>
      <c r="I78" s="6"/>
      <c r="J78" s="6">
        <f>(F78+H78)/2</f>
        <v>0</v>
      </c>
    </row>
    <row r="79" spans="1:18" ht="13.5" thickBot="1" x14ac:dyDescent="0.25">
      <c r="A79" s="224">
        <f>A78+1</f>
        <v>40</v>
      </c>
      <c r="C79" s="4" t="s">
        <v>74</v>
      </c>
      <c r="D79" s="224" t="s">
        <v>186</v>
      </c>
      <c r="F79" s="6">
        <v>0</v>
      </c>
      <c r="G79" s="6"/>
      <c r="H79" s="6">
        <v>0</v>
      </c>
      <c r="I79" s="6"/>
      <c r="J79" s="6">
        <f>(F79+H79)/2</f>
        <v>0</v>
      </c>
    </row>
    <row r="80" spans="1:18" ht="13.5" thickTop="1" x14ac:dyDescent="0.2">
      <c r="A80" s="224">
        <f>A79+1</f>
        <v>41</v>
      </c>
      <c r="C80" s="4" t="s">
        <v>75</v>
      </c>
      <c r="F80" s="6"/>
      <c r="G80" s="6"/>
      <c r="H80" s="6"/>
      <c r="I80" s="6"/>
      <c r="J80" s="13">
        <f>J76-J77+J78-J79</f>
        <v>4908688451.5</v>
      </c>
    </row>
    <row r="81" spans="1:10" ht="6" customHeight="1" x14ac:dyDescent="0.2">
      <c r="F81" s="6"/>
      <c r="G81" s="6"/>
      <c r="H81" s="6"/>
      <c r="I81" s="6"/>
      <c r="J81" s="6"/>
    </row>
    <row r="82" spans="1:10" x14ac:dyDescent="0.2">
      <c r="A82" s="224">
        <f>A80+1</f>
        <v>42</v>
      </c>
      <c r="C82" s="4" t="s">
        <v>76</v>
      </c>
      <c r="D82" s="224" t="str">
        <f>'DEF - 6  p1, FF1 Inputs '!F13</f>
        <v>112.3.c&amp;d</v>
      </c>
      <c r="F82" s="12">
        <f>'DEF - 6  p1, FF1 Inputs '!H13</f>
        <v>33496700</v>
      </c>
      <c r="G82" s="6"/>
      <c r="H82" s="12">
        <f>'DEF - 6  p1, FF1 Inputs '!J13</f>
        <v>0</v>
      </c>
      <c r="I82" s="6"/>
      <c r="J82" s="6">
        <f>(F82+H82)/2</f>
        <v>16748350</v>
      </c>
    </row>
    <row r="83" spans="1:10" ht="6" customHeight="1" x14ac:dyDescent="0.2">
      <c r="A83" s="224"/>
      <c r="F83" s="6"/>
      <c r="G83" s="6"/>
      <c r="H83" s="6"/>
      <c r="I83" s="6"/>
      <c r="J83" s="6"/>
    </row>
    <row r="84" spans="1:10" x14ac:dyDescent="0.2">
      <c r="A84" s="224"/>
      <c r="C84" s="4" t="s">
        <v>80</v>
      </c>
      <c r="F84" s="6"/>
      <c r="G84" s="6"/>
      <c r="H84" s="6"/>
      <c r="I84" s="6"/>
      <c r="J84" s="6"/>
    </row>
    <row r="85" spans="1:10" x14ac:dyDescent="0.2">
      <c r="A85" s="224">
        <f>A82+1</f>
        <v>43</v>
      </c>
      <c r="C85" s="4" t="s">
        <v>79</v>
      </c>
      <c r="D85" s="224" t="str">
        <f>'DEF - 6  p1, FF1 Inputs '!F15</f>
        <v>112.16.c&amp;d</v>
      </c>
      <c r="F85" s="12">
        <f>'DEF - 6  p1, FF1 Inputs '!H15</f>
        <v>4832441481</v>
      </c>
      <c r="G85" s="6"/>
      <c r="H85" s="12">
        <f>'DEF - 6  p1, FF1 Inputs '!J15</f>
        <v>4797115007</v>
      </c>
      <c r="I85" s="6"/>
      <c r="J85" s="6">
        <f>(F85+H85)/2</f>
        <v>4814778244</v>
      </c>
    </row>
    <row r="86" spans="1:10" x14ac:dyDescent="0.2">
      <c r="A86" s="224">
        <f>A85+1</f>
        <v>44</v>
      </c>
      <c r="C86" s="4" t="s">
        <v>77</v>
      </c>
      <c r="D86" s="224" t="str">
        <f>D82</f>
        <v>112.3.c&amp;d</v>
      </c>
      <c r="F86" s="12">
        <f>F82</f>
        <v>33496700</v>
      </c>
      <c r="G86" s="6"/>
      <c r="H86" s="12">
        <f>H82</f>
        <v>0</v>
      </c>
      <c r="I86" s="6"/>
      <c r="J86" s="6">
        <f>(F86+H86)/2</f>
        <v>16748350</v>
      </c>
    </row>
    <row r="87" spans="1:10" ht="13.5" thickBot="1" x14ac:dyDescent="0.25">
      <c r="A87" s="224">
        <f>A86+1</f>
        <v>45</v>
      </c>
      <c r="C87" s="4" t="s">
        <v>78</v>
      </c>
      <c r="D87" s="224" t="str">
        <f>'DEF - 6  p1, FF1 Inputs '!F14</f>
        <v>112.12.c&amp;d</v>
      </c>
      <c r="F87" s="12">
        <f>'DEF - 6  p1, FF1 Inputs '!H14</f>
        <v>0</v>
      </c>
      <c r="G87" s="6"/>
      <c r="H87" s="12">
        <f>'DEF - 6  p1, FF1 Inputs '!J14</f>
        <v>0</v>
      </c>
      <c r="I87" s="6"/>
      <c r="J87" s="6">
        <f>(F87+H87)/2</f>
        <v>0</v>
      </c>
    </row>
    <row r="88" spans="1:10" ht="13.5" thickTop="1" x14ac:dyDescent="0.2">
      <c r="A88" s="224">
        <f>A87+1</f>
        <v>46</v>
      </c>
      <c r="C88" s="4" t="s">
        <v>81</v>
      </c>
      <c r="F88" s="6"/>
      <c r="G88" s="6"/>
      <c r="H88" s="6"/>
      <c r="I88" s="6"/>
      <c r="J88" s="13">
        <f>J85-J86-J87</f>
        <v>4798029894</v>
      </c>
    </row>
    <row r="89" spans="1:10" x14ac:dyDescent="0.2">
      <c r="F89" s="6"/>
      <c r="G89" s="6"/>
      <c r="H89" s="6"/>
      <c r="I89" s="6"/>
      <c r="J89" s="6"/>
    </row>
    <row r="90" spans="1:10" x14ac:dyDescent="0.2">
      <c r="A90" s="224">
        <f>A88+1</f>
        <v>47</v>
      </c>
      <c r="C90" s="4" t="str">
        <f>"Total Capitalization (Sum of Lines "&amp;A80&amp;", "&amp;A82&amp;", and "&amp;A88&amp;")"</f>
        <v>Total Capitalization (Sum of Lines 41, 42, and 46)</v>
      </c>
      <c r="F90" s="6"/>
      <c r="G90" s="6"/>
      <c r="H90" s="6"/>
      <c r="I90" s="6"/>
      <c r="J90" s="6">
        <f>J80+J82+J88</f>
        <v>9723466695.5</v>
      </c>
    </row>
    <row r="91" spans="1:10" x14ac:dyDescent="0.2">
      <c r="B91" s="9"/>
      <c r="F91" s="6"/>
      <c r="G91" s="6"/>
      <c r="H91" s="6"/>
      <c r="I91" s="6"/>
      <c r="J91" s="6"/>
    </row>
    <row r="92" spans="1:10" x14ac:dyDescent="0.2">
      <c r="B92" s="9"/>
      <c r="F92" s="6"/>
      <c r="G92" s="6"/>
      <c r="H92" s="6"/>
      <c r="I92" s="6"/>
      <c r="J92" s="6"/>
    </row>
    <row r="93" spans="1:10" x14ac:dyDescent="0.2">
      <c r="B93" s="9"/>
      <c r="F93" s="6"/>
      <c r="G93" s="6"/>
      <c r="H93" s="6"/>
      <c r="I93" s="6"/>
      <c r="J93" s="6"/>
    </row>
    <row r="94" spans="1:10" x14ac:dyDescent="0.2">
      <c r="B94" s="9"/>
      <c r="F94" s="6"/>
      <c r="G94" s="6"/>
      <c r="H94" s="6"/>
      <c r="I94" s="6"/>
      <c r="J94" s="6"/>
    </row>
    <row r="95" spans="1:10" x14ac:dyDescent="0.2">
      <c r="F95" s="6"/>
      <c r="G95" s="6"/>
      <c r="H95" s="6"/>
      <c r="I95" s="6"/>
      <c r="J95" s="6"/>
    </row>
    <row r="96" spans="1:10" x14ac:dyDescent="0.2">
      <c r="F96" s="6"/>
      <c r="G96" s="6"/>
      <c r="H96" s="6"/>
      <c r="I96" s="6"/>
      <c r="J96" s="6"/>
    </row>
    <row r="97" spans="6:10" x14ac:dyDescent="0.2">
      <c r="F97" s="6"/>
      <c r="G97" s="6"/>
      <c r="H97" s="6"/>
      <c r="I97" s="6"/>
      <c r="J97" s="6"/>
    </row>
    <row r="98" spans="6:10" x14ac:dyDescent="0.2">
      <c r="F98" s="6"/>
      <c r="G98" s="6"/>
      <c r="H98" s="6"/>
      <c r="I98" s="6"/>
      <c r="J98" s="6"/>
    </row>
    <row r="99" spans="6:10" x14ac:dyDescent="0.2">
      <c r="F99" s="6"/>
      <c r="G99" s="6"/>
      <c r="H99" s="6"/>
      <c r="I99" s="6"/>
      <c r="J99" s="6"/>
    </row>
    <row r="100" spans="6:10" x14ac:dyDescent="0.2">
      <c r="F100" s="6"/>
      <c r="G100" s="6"/>
      <c r="H100" s="6"/>
      <c r="I100" s="6"/>
      <c r="J100" s="6"/>
    </row>
    <row r="101" spans="6:10" x14ac:dyDescent="0.2">
      <c r="F101" s="6"/>
      <c r="G101" s="6"/>
      <c r="H101" s="6"/>
      <c r="I101" s="6"/>
      <c r="J101" s="6"/>
    </row>
    <row r="102" spans="6:10" x14ac:dyDescent="0.2">
      <c r="F102" s="6"/>
      <c r="G102" s="6"/>
      <c r="H102" s="6"/>
      <c r="I102" s="6"/>
      <c r="J102" s="6"/>
    </row>
    <row r="103" spans="6:10" x14ac:dyDescent="0.2">
      <c r="F103" s="6"/>
      <c r="G103" s="6"/>
      <c r="H103" s="6"/>
      <c r="I103" s="6"/>
      <c r="J103" s="6"/>
    </row>
    <row r="104" spans="6:10" x14ac:dyDescent="0.2">
      <c r="F104" s="6"/>
      <c r="G104" s="6"/>
      <c r="H104" s="6"/>
      <c r="I104" s="6"/>
      <c r="J104" s="6"/>
    </row>
    <row r="105" spans="6:10" x14ac:dyDescent="0.2">
      <c r="F105" s="6"/>
      <c r="G105" s="6"/>
      <c r="H105" s="6"/>
      <c r="I105" s="6"/>
      <c r="J105" s="6"/>
    </row>
  </sheetData>
  <mergeCells count="14">
    <mergeCell ref="L48:M48"/>
    <mergeCell ref="L49:M49"/>
    <mergeCell ref="N1:P1"/>
    <mergeCell ref="L11:M11"/>
    <mergeCell ref="B54:C54"/>
    <mergeCell ref="N2:P2"/>
    <mergeCell ref="N3:P3"/>
    <mergeCell ref="A5:P5"/>
    <mergeCell ref="A6:P6"/>
    <mergeCell ref="A8:P8"/>
    <mergeCell ref="L46:M46"/>
    <mergeCell ref="L47:M47"/>
    <mergeCell ref="B52:C52"/>
    <mergeCell ref="L52:M52"/>
  </mergeCells>
  <phoneticPr fontId="0" type="noConversion"/>
  <printOptions horizontalCentered="1"/>
  <pageMargins left="0.5" right="0.5" top="0.5" bottom="0.5" header="0.5" footer="0.5"/>
  <pageSetup scale="61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zoomScaleNormal="100" workbookViewId="0"/>
  </sheetViews>
  <sheetFormatPr defaultRowHeight="12.75" x14ac:dyDescent="0.2"/>
  <cols>
    <col min="1" max="1" width="9.140625" style="4"/>
    <col min="2" max="2" width="4.7109375" style="4" customWidth="1"/>
    <col min="3" max="3" width="25.85546875" style="4" customWidth="1"/>
    <col min="4" max="4" width="14.42578125" style="4" customWidth="1"/>
    <col min="5" max="5" width="13.5703125" style="4" customWidth="1"/>
    <col min="6" max="6" width="15.140625" style="4" customWidth="1"/>
    <col min="7" max="9" width="11.7109375" style="4" customWidth="1"/>
    <col min="10" max="10" width="9" style="4" customWidth="1"/>
    <col min="11" max="11" width="9.140625" style="4"/>
    <col min="12" max="12" width="14.85546875" style="4" customWidth="1"/>
    <col min="13" max="16384" width="9.140625" style="4"/>
  </cols>
  <sheetData>
    <row r="1" spans="1:10" ht="15" x14ac:dyDescent="0.25">
      <c r="A1" s="85"/>
      <c r="B1" s="85"/>
      <c r="C1" s="85"/>
      <c r="D1" s="85"/>
      <c r="E1" s="85"/>
      <c r="F1" s="85"/>
      <c r="G1" s="85"/>
      <c r="H1" s="85"/>
      <c r="I1" s="337" t="s">
        <v>849</v>
      </c>
      <c r="J1" s="85"/>
    </row>
    <row r="2" spans="1:10" ht="15" x14ac:dyDescent="0.25">
      <c r="A2" s="85"/>
      <c r="B2" s="85"/>
      <c r="C2" s="85"/>
      <c r="D2" s="85"/>
      <c r="E2" s="85"/>
      <c r="F2" s="85"/>
      <c r="G2" s="85"/>
      <c r="H2" s="85"/>
      <c r="I2" s="337" t="s">
        <v>436</v>
      </c>
      <c r="J2" s="85"/>
    </row>
    <row r="3" spans="1:10" x14ac:dyDescent="0.2">
      <c r="A3" s="85"/>
      <c r="B3" s="85"/>
      <c r="C3" s="85"/>
      <c r="D3" s="85"/>
      <c r="E3" s="85"/>
      <c r="F3" s="85"/>
      <c r="G3" s="85"/>
      <c r="H3" s="85"/>
      <c r="I3" s="286" t="str">
        <f>"Year Ending 12/31/"&amp;YR</f>
        <v>Year Ending 12/31/2013</v>
      </c>
      <c r="J3" s="286"/>
    </row>
    <row r="4" spans="1:10" ht="31.5" customHeight="1" x14ac:dyDescent="0.2">
      <c r="A4" s="85"/>
      <c r="B4" s="85"/>
      <c r="C4" s="85"/>
      <c r="D4" s="85"/>
      <c r="E4" s="85"/>
      <c r="F4" s="85"/>
      <c r="G4" s="85"/>
      <c r="H4" s="85"/>
      <c r="I4" s="85"/>
      <c r="J4" s="85"/>
    </row>
    <row r="5" spans="1:10" x14ac:dyDescent="0.2">
      <c r="A5" s="85"/>
      <c r="B5" s="240" t="s">
        <v>850</v>
      </c>
      <c r="C5" s="240"/>
      <c r="D5" s="240"/>
      <c r="E5" s="240"/>
      <c r="F5" s="240"/>
      <c r="G5" s="240"/>
      <c r="H5" s="240"/>
      <c r="I5" s="240"/>
      <c r="J5" s="85"/>
    </row>
    <row r="6" spans="1:10" x14ac:dyDescent="0.2">
      <c r="A6" s="85"/>
      <c r="B6" s="255" t="s">
        <v>460</v>
      </c>
      <c r="C6" s="255"/>
      <c r="D6" s="255"/>
      <c r="E6" s="255"/>
      <c r="F6" s="255"/>
      <c r="G6" s="255"/>
      <c r="H6" s="255"/>
      <c r="I6" s="255"/>
      <c r="J6" s="85"/>
    </row>
    <row r="7" spans="1:10" x14ac:dyDescent="0.2">
      <c r="A7" s="85"/>
      <c r="B7" s="85"/>
      <c r="C7" s="85"/>
      <c r="D7" s="85"/>
      <c r="E7" s="85"/>
      <c r="F7" s="85"/>
      <c r="G7" s="85"/>
      <c r="H7" s="85"/>
      <c r="I7" s="85"/>
      <c r="J7" s="85"/>
    </row>
    <row r="8" spans="1:10" x14ac:dyDescent="0.2">
      <c r="A8" s="85"/>
      <c r="B8" s="85"/>
      <c r="C8" s="85"/>
      <c r="D8" s="85"/>
      <c r="E8" s="85"/>
      <c r="F8" s="85"/>
      <c r="G8" s="85"/>
      <c r="H8" s="85"/>
      <c r="I8" s="85"/>
      <c r="J8" s="85"/>
    </row>
    <row r="9" spans="1:10" x14ac:dyDescent="0.2">
      <c r="A9" s="85"/>
      <c r="B9" s="85"/>
      <c r="C9" s="85"/>
      <c r="D9" s="85"/>
      <c r="E9" s="85"/>
      <c r="F9" s="85"/>
      <c r="G9" s="85"/>
      <c r="H9" s="85"/>
      <c r="I9" s="85"/>
      <c r="J9" s="85"/>
    </row>
    <row r="10" spans="1:10" ht="36.75" x14ac:dyDescent="0.2">
      <c r="A10" s="24" t="s">
        <v>21</v>
      </c>
      <c r="B10" s="85" t="s">
        <v>444</v>
      </c>
      <c r="C10" s="85"/>
      <c r="D10" s="134" t="s">
        <v>745</v>
      </c>
      <c r="E10" s="134" t="s">
        <v>744</v>
      </c>
      <c r="F10" s="158" t="s">
        <v>826</v>
      </c>
      <c r="G10" s="24"/>
      <c r="H10" s="24" t="s">
        <v>439</v>
      </c>
      <c r="I10" s="85"/>
      <c r="J10" s="85"/>
    </row>
    <row r="11" spans="1:10" x14ac:dyDescent="0.2">
      <c r="A11" s="85"/>
      <c r="B11" s="85"/>
      <c r="C11" s="85"/>
      <c r="D11" s="85" t="s">
        <v>237</v>
      </c>
      <c r="E11" s="85"/>
      <c r="F11" s="85"/>
      <c r="G11" s="85"/>
      <c r="H11" s="85"/>
      <c r="I11" s="85"/>
      <c r="J11" s="85"/>
    </row>
    <row r="12" spans="1:10" x14ac:dyDescent="0.2">
      <c r="A12" s="85"/>
      <c r="B12" s="85" t="s">
        <v>437</v>
      </c>
      <c r="C12" s="85"/>
      <c r="D12" s="85"/>
      <c r="E12" s="85"/>
      <c r="F12" s="85"/>
      <c r="G12" s="85"/>
      <c r="H12" s="85"/>
      <c r="I12" s="85"/>
      <c r="J12" s="85"/>
    </row>
    <row r="13" spans="1:10" ht="6" customHeight="1" x14ac:dyDescent="0.2">
      <c r="A13" s="85"/>
      <c r="B13" s="85"/>
      <c r="C13" s="85"/>
      <c r="D13" s="85"/>
      <c r="E13" s="85"/>
      <c r="F13" s="85"/>
      <c r="G13" s="85"/>
      <c r="H13" s="85"/>
      <c r="I13" s="85"/>
      <c r="J13" s="85"/>
    </row>
    <row r="14" spans="1:10" x14ac:dyDescent="0.2">
      <c r="A14" s="24">
        <v>1</v>
      </c>
      <c r="B14" s="85"/>
      <c r="C14" s="85" t="s">
        <v>239</v>
      </c>
      <c r="D14" s="119">
        <v>4280977</v>
      </c>
      <c r="E14" s="119">
        <v>9919858</v>
      </c>
      <c r="F14" s="119">
        <v>167304.62</v>
      </c>
      <c r="G14" s="85"/>
      <c r="H14" s="119">
        <f>SUM(D14:G14)</f>
        <v>14368139.619999999</v>
      </c>
      <c r="I14" s="85"/>
      <c r="J14" s="85"/>
    </row>
    <row r="15" spans="1:10" x14ac:dyDescent="0.2">
      <c r="A15" s="24">
        <v>2</v>
      </c>
      <c r="B15" s="85"/>
      <c r="C15" s="85" t="s">
        <v>440</v>
      </c>
      <c r="D15" s="119">
        <v>0</v>
      </c>
      <c r="E15" s="119">
        <v>40835.530000001192</v>
      </c>
      <c r="F15" s="119">
        <v>8776.0899999999965</v>
      </c>
      <c r="G15" s="85"/>
      <c r="H15" s="119">
        <f>SUM(D15:G15)</f>
        <v>49611.620000001189</v>
      </c>
      <c r="I15" s="85"/>
      <c r="J15" s="85"/>
    </row>
    <row r="16" spans="1:10" x14ac:dyDescent="0.2">
      <c r="A16" s="24">
        <v>3</v>
      </c>
      <c r="B16" s="85"/>
      <c r="C16" s="85" t="s">
        <v>441</v>
      </c>
      <c r="D16" s="119">
        <v>0</v>
      </c>
      <c r="E16" s="119">
        <v>0</v>
      </c>
      <c r="F16" s="119">
        <v>0</v>
      </c>
      <c r="G16" s="85"/>
      <c r="H16" s="119">
        <f>SUM(D16:G16)</f>
        <v>0</v>
      </c>
      <c r="I16" s="85"/>
      <c r="J16" s="85"/>
    </row>
    <row r="17" spans="1:10" x14ac:dyDescent="0.2">
      <c r="A17" s="24">
        <v>4</v>
      </c>
      <c r="B17" s="85"/>
      <c r="C17" s="85" t="s">
        <v>442</v>
      </c>
      <c r="D17" s="119">
        <v>-8570.7099999999627</v>
      </c>
      <c r="E17" s="119">
        <v>0</v>
      </c>
      <c r="F17" s="119">
        <v>0</v>
      </c>
      <c r="G17" s="85"/>
      <c r="H17" s="119">
        <f>SUM(D17:G17)</f>
        <v>-8570.7099999999627</v>
      </c>
      <c r="I17" s="85"/>
      <c r="J17" s="85"/>
    </row>
    <row r="18" spans="1:10" x14ac:dyDescent="0.2">
      <c r="A18" s="24">
        <v>5</v>
      </c>
      <c r="B18" s="85"/>
      <c r="C18" s="85" t="s">
        <v>240</v>
      </c>
      <c r="D18" s="119">
        <v>4272406.29</v>
      </c>
      <c r="E18" s="119">
        <v>9960693.5300000012</v>
      </c>
      <c r="F18" s="119">
        <v>176080.71</v>
      </c>
      <c r="G18" s="85"/>
      <c r="H18" s="119">
        <f>SUM(H14:H17)</f>
        <v>14409180.530000001</v>
      </c>
      <c r="I18" s="85"/>
      <c r="J18" s="85"/>
    </row>
    <row r="19" spans="1:10" x14ac:dyDescent="0.2">
      <c r="A19" s="24"/>
      <c r="B19" s="85"/>
      <c r="C19" s="85"/>
      <c r="D19" s="119"/>
      <c r="E19" s="119"/>
      <c r="F19" s="119"/>
      <c r="G19" s="85"/>
      <c r="H19" s="119"/>
      <c r="I19" s="85"/>
      <c r="J19" s="85"/>
    </row>
    <row r="20" spans="1:10" x14ac:dyDescent="0.2">
      <c r="A20" s="24">
        <v>6</v>
      </c>
      <c r="B20" s="85"/>
      <c r="C20" s="85" t="s">
        <v>245</v>
      </c>
      <c r="D20" s="119">
        <v>4276691.6449999996</v>
      </c>
      <c r="E20" s="119">
        <v>9940275.7650000006</v>
      </c>
      <c r="F20" s="119">
        <v>171692.66499999998</v>
      </c>
      <c r="G20" s="85"/>
      <c r="H20" s="119">
        <f>(H14+H18)/2</f>
        <v>14388660.074999999</v>
      </c>
      <c r="I20" s="85"/>
      <c r="J20" s="85"/>
    </row>
    <row r="21" spans="1:10" x14ac:dyDescent="0.2">
      <c r="A21" s="24"/>
      <c r="B21" s="85"/>
      <c r="C21" s="85"/>
      <c r="D21" s="119"/>
      <c r="E21" s="119"/>
      <c r="F21" s="119"/>
      <c r="G21" s="85"/>
      <c r="H21" s="119"/>
      <c r="I21" s="85"/>
      <c r="J21" s="85"/>
    </row>
    <row r="22" spans="1:10" x14ac:dyDescent="0.2">
      <c r="A22" s="24"/>
      <c r="B22" s="85"/>
      <c r="C22" s="85"/>
      <c r="D22" s="119"/>
      <c r="E22" s="119"/>
      <c r="F22" s="119"/>
      <c r="G22" s="85"/>
      <c r="H22" s="119"/>
      <c r="I22" s="85"/>
      <c r="J22" s="85"/>
    </row>
    <row r="23" spans="1:10" x14ac:dyDescent="0.2">
      <c r="A23" s="24"/>
      <c r="B23" s="85" t="s">
        <v>275</v>
      </c>
      <c r="C23" s="85"/>
      <c r="D23" s="119"/>
      <c r="E23" s="119"/>
      <c r="F23" s="119"/>
      <c r="G23" s="85"/>
      <c r="H23" s="119"/>
      <c r="I23" s="85"/>
      <c r="J23" s="85"/>
    </row>
    <row r="24" spans="1:10" ht="6" customHeight="1" x14ac:dyDescent="0.2">
      <c r="A24" s="24"/>
      <c r="B24" s="85"/>
      <c r="C24" s="85"/>
      <c r="D24" s="119"/>
      <c r="E24" s="119"/>
      <c r="F24" s="119"/>
      <c r="G24" s="85"/>
      <c r="H24" s="119"/>
      <c r="I24" s="85"/>
      <c r="J24" s="85"/>
    </row>
    <row r="25" spans="1:10" x14ac:dyDescent="0.2">
      <c r="A25" s="24">
        <v>7</v>
      </c>
      <c r="B25" s="85"/>
      <c r="C25" s="85" t="s">
        <v>239</v>
      </c>
      <c r="D25" s="119">
        <v>153837</v>
      </c>
      <c r="E25" s="119">
        <v>374766</v>
      </c>
      <c r="F25" s="119">
        <v>2018</v>
      </c>
      <c r="G25" s="85"/>
      <c r="H25" s="119">
        <f>SUM(D25:G25)</f>
        <v>530621</v>
      </c>
      <c r="I25" s="85"/>
      <c r="J25" s="85"/>
    </row>
    <row r="26" spans="1:10" x14ac:dyDescent="0.2">
      <c r="A26" s="24">
        <v>8</v>
      </c>
      <c r="B26" s="85"/>
      <c r="C26" s="85" t="s">
        <v>443</v>
      </c>
      <c r="D26" s="119">
        <v>101337.77000000005</v>
      </c>
      <c r="E26" s="119">
        <v>255245.69999999995</v>
      </c>
      <c r="F26" s="119">
        <v>4341.7</v>
      </c>
      <c r="G26" s="85"/>
      <c r="H26" s="119">
        <f>SUM(D26:G26)</f>
        <v>360925.17</v>
      </c>
      <c r="I26" s="85"/>
      <c r="J26" s="85"/>
    </row>
    <row r="27" spans="1:10" x14ac:dyDescent="0.2">
      <c r="A27" s="24">
        <v>9</v>
      </c>
      <c r="B27" s="85"/>
      <c r="C27" s="85" t="s">
        <v>442</v>
      </c>
      <c r="D27" s="119">
        <v>0</v>
      </c>
      <c r="E27" s="119">
        <v>0</v>
      </c>
      <c r="F27" s="119">
        <v>0</v>
      </c>
      <c r="G27" s="85"/>
      <c r="H27" s="119">
        <f>SUM(D27:G27)</f>
        <v>0</v>
      </c>
      <c r="I27" s="85"/>
      <c r="J27" s="85"/>
    </row>
    <row r="28" spans="1:10" x14ac:dyDescent="0.2">
      <c r="A28" s="24">
        <v>10</v>
      </c>
      <c r="B28" s="85"/>
      <c r="C28" s="85" t="s">
        <v>240</v>
      </c>
      <c r="D28" s="119">
        <v>255174.77000000005</v>
      </c>
      <c r="E28" s="119">
        <v>630011.69999999995</v>
      </c>
      <c r="F28" s="119">
        <v>6359.7</v>
      </c>
      <c r="G28" s="85"/>
      <c r="H28" s="119">
        <f>SUM(H25:H27)</f>
        <v>891546.16999999993</v>
      </c>
      <c r="I28" s="85"/>
      <c r="J28" s="85"/>
    </row>
    <row r="29" spans="1:10" x14ac:dyDescent="0.2">
      <c r="A29" s="24"/>
      <c r="B29" s="85"/>
      <c r="C29" s="85"/>
      <c r="D29" s="119"/>
      <c r="E29" s="119"/>
      <c r="F29" s="119"/>
      <c r="G29" s="85"/>
      <c r="H29" s="119"/>
      <c r="I29" s="85"/>
      <c r="J29" s="85"/>
    </row>
    <row r="30" spans="1:10" x14ac:dyDescent="0.2">
      <c r="A30" s="24">
        <v>11</v>
      </c>
      <c r="B30" s="85"/>
      <c r="C30" s="85" t="s">
        <v>438</v>
      </c>
      <c r="D30" s="119">
        <v>204505.88500000001</v>
      </c>
      <c r="E30" s="119">
        <v>502388.85</v>
      </c>
      <c r="F30" s="119">
        <v>4188.8500000000004</v>
      </c>
      <c r="G30" s="85"/>
      <c r="H30" s="119">
        <f>(H25+H28)/2</f>
        <v>711083.58499999996</v>
      </c>
      <c r="I30" s="85"/>
      <c r="J30" s="85"/>
    </row>
    <row r="38" spans="3:6" x14ac:dyDescent="0.2">
      <c r="C38" s="85" t="s">
        <v>743</v>
      </c>
      <c r="D38" s="129">
        <v>40855</v>
      </c>
      <c r="E38" s="129">
        <v>40696</v>
      </c>
      <c r="F38" s="347">
        <v>41214</v>
      </c>
    </row>
  </sheetData>
  <mergeCells count="3">
    <mergeCell ref="I3:J3"/>
    <mergeCell ref="B5:I5"/>
    <mergeCell ref="B6:I6"/>
  </mergeCells>
  <printOptions horizontalCentered="1"/>
  <pageMargins left="0.5" right="0.5" top="0.5" bottom="0.25" header="0.3" footer="0.3"/>
  <pageSetup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7"/>
  <sheetViews>
    <sheetView zoomScaleNormal="100" workbookViewId="0"/>
  </sheetViews>
  <sheetFormatPr defaultRowHeight="12.75" x14ac:dyDescent="0.2"/>
  <cols>
    <col min="1" max="1" width="5" style="4" bestFit="1" customWidth="1"/>
    <col min="2" max="2" width="2.7109375" style="4" customWidth="1"/>
    <col min="3" max="3" width="40.42578125" style="4" customWidth="1"/>
    <col min="4" max="4" width="11.85546875" style="4" bestFit="1" customWidth="1"/>
    <col min="5" max="5" width="2.7109375" style="4" customWidth="1"/>
    <col min="6" max="6" width="11.7109375" style="4" bestFit="1" customWidth="1"/>
    <col min="7" max="7" width="2.7109375" style="4" customWidth="1"/>
    <col min="8" max="8" width="12.5703125" style="4" bestFit="1" customWidth="1"/>
    <col min="9" max="9" width="8.140625" style="4" bestFit="1" customWidth="1"/>
    <col min="10" max="10" width="3.7109375" style="4" customWidth="1"/>
    <col min="11" max="11" width="12.85546875" style="4" bestFit="1" customWidth="1"/>
    <col min="12" max="12" width="5.7109375" style="4" customWidth="1"/>
    <col min="13" max="14" width="9.140625" style="4"/>
    <col min="15" max="15" width="71.85546875" bestFit="1" customWidth="1"/>
    <col min="16" max="16" width="22.5703125" bestFit="1" customWidth="1"/>
    <col min="17" max="17" width="15" bestFit="1" customWidth="1"/>
    <col min="18" max="18" width="13.28515625" customWidth="1"/>
  </cols>
  <sheetData>
    <row r="1" spans="1:18" ht="15" x14ac:dyDescent="0.25">
      <c r="J1" s="245" t="s">
        <v>833</v>
      </c>
      <c r="K1" s="245"/>
      <c r="L1" s="245"/>
    </row>
    <row r="2" spans="1:18" ht="15" x14ac:dyDescent="0.25">
      <c r="J2" s="246" t="s">
        <v>209</v>
      </c>
      <c r="K2" s="246"/>
      <c r="L2" s="247"/>
    </row>
    <row r="3" spans="1:18" x14ac:dyDescent="0.2">
      <c r="J3" s="238" t="str">
        <f>FF1_Year</f>
        <v>Year Ending 12/31/2013</v>
      </c>
      <c r="K3" s="239"/>
      <c r="L3" s="239"/>
    </row>
    <row r="5" spans="1:18" x14ac:dyDescent="0.2">
      <c r="A5" s="240" t="s">
        <v>850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</row>
    <row r="6" spans="1:18" x14ac:dyDescent="0.2">
      <c r="A6" s="240" t="s">
        <v>128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</row>
    <row r="7" spans="1:18" x14ac:dyDescent="0.2">
      <c r="A7" s="222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</row>
    <row r="8" spans="1:18" x14ac:dyDescent="0.2">
      <c r="A8" s="240" t="s">
        <v>129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</row>
    <row r="10" spans="1:18" x14ac:dyDescent="0.2">
      <c r="A10" s="224"/>
    </row>
    <row r="11" spans="1:18" ht="25.5" x14ac:dyDescent="0.2">
      <c r="A11" s="222" t="s">
        <v>21</v>
      </c>
      <c r="B11" s="37" t="s">
        <v>92</v>
      </c>
      <c r="C11" s="22"/>
      <c r="D11" s="222" t="s">
        <v>4</v>
      </c>
      <c r="E11" s="222"/>
      <c r="F11" s="222" t="s">
        <v>22</v>
      </c>
      <c r="G11" s="222"/>
      <c r="H11" s="240" t="s">
        <v>23</v>
      </c>
      <c r="I11" s="240"/>
      <c r="J11" s="222"/>
      <c r="K11" s="38" t="s">
        <v>24</v>
      </c>
      <c r="L11" s="39"/>
    </row>
    <row r="12" spans="1:18" x14ac:dyDescent="0.2">
      <c r="A12" s="224"/>
    </row>
    <row r="13" spans="1:18" x14ac:dyDescent="0.2">
      <c r="A13" s="224"/>
      <c r="B13" s="9" t="s">
        <v>47</v>
      </c>
    </row>
    <row r="14" spans="1:18" x14ac:dyDescent="0.2">
      <c r="A14" s="40">
        <v>1</v>
      </c>
      <c r="B14" s="9"/>
      <c r="C14" s="4" t="str">
        <f>'DEF - 6  p1, FF1 Inputs '!E50</f>
        <v>TOTAL Transmission Expenses</v>
      </c>
      <c r="D14" s="224" t="str">
        <f>'DEF - 6  p1, FF1 Inputs '!F50</f>
        <v>321.112.b</v>
      </c>
      <c r="E14" s="224"/>
      <c r="F14" s="12">
        <f>'DEF - 6  p1, FF1 Inputs '!J50</f>
        <v>41236367.376227997</v>
      </c>
      <c r="H14" s="224"/>
      <c r="K14" s="6"/>
    </row>
    <row r="15" spans="1:18" x14ac:dyDescent="0.2">
      <c r="A15" s="224">
        <f>A14+1</f>
        <v>2</v>
      </c>
      <c r="B15" s="9"/>
      <c r="C15" s="4" t="s">
        <v>217</v>
      </c>
      <c r="D15" s="224" t="s">
        <v>219</v>
      </c>
      <c r="E15" s="224"/>
      <c r="F15" s="12">
        <f>'DEF - 6  p1, FF1 Inputs '!$J$48</f>
        <v>6300187</v>
      </c>
      <c r="H15" s="224"/>
      <c r="K15" s="6"/>
      <c r="O15" s="120"/>
      <c r="P15" s="119"/>
      <c r="Q15" s="85"/>
      <c r="R15" s="84"/>
    </row>
    <row r="16" spans="1:18" ht="13.5" thickBot="1" x14ac:dyDescent="0.25">
      <c r="A16" s="224">
        <f>A15+1</f>
        <v>3</v>
      </c>
      <c r="B16" s="9"/>
      <c r="C16" s="4" t="s">
        <v>48</v>
      </c>
      <c r="D16" s="224" t="str">
        <f>'DEF - 6  p1, FF1 Inputs '!F49</f>
        <v>321.96.b</v>
      </c>
      <c r="E16" s="224"/>
      <c r="F16" s="12">
        <f>'DEF - 6  p1, FF1 Inputs '!J49</f>
        <v>0</v>
      </c>
      <c r="H16" s="224"/>
      <c r="I16" s="7"/>
      <c r="J16" s="7"/>
      <c r="K16" s="6"/>
      <c r="O16" s="120"/>
      <c r="P16" s="141"/>
      <c r="Q16" s="85"/>
      <c r="R16" s="84"/>
    </row>
    <row r="17" spans="1:18" ht="13.5" thickTop="1" x14ac:dyDescent="0.2">
      <c r="A17" s="224">
        <f>A16+1</f>
        <v>4</v>
      </c>
      <c r="B17" s="9"/>
      <c r="C17" s="4" t="s">
        <v>49</v>
      </c>
      <c r="D17" s="224" t="s">
        <v>164</v>
      </c>
      <c r="E17" s="224"/>
      <c r="F17" s="13">
        <f>F14-F15-F16</f>
        <v>34936180.376227997</v>
      </c>
      <c r="H17" s="224" t="s">
        <v>220</v>
      </c>
      <c r="I17" s="7">
        <f>'DEF - 2 - Page 4 Support'!I25</f>
        <v>0.94866027905574934</v>
      </c>
      <c r="J17" s="7"/>
      <c r="K17" s="13">
        <f>F17*I17</f>
        <v>33142566.624854445</v>
      </c>
    </row>
    <row r="18" spans="1:18" x14ac:dyDescent="0.2">
      <c r="A18" s="224"/>
      <c r="B18" s="9"/>
      <c r="D18" s="224"/>
      <c r="E18" s="224"/>
      <c r="F18" s="6"/>
      <c r="H18" s="224"/>
      <c r="I18" s="7"/>
      <c r="J18" s="7"/>
      <c r="K18" s="6"/>
    </row>
    <row r="19" spans="1:18" x14ac:dyDescent="0.2">
      <c r="A19" s="224">
        <f>A17+1</f>
        <v>5</v>
      </c>
      <c r="B19" s="9"/>
      <c r="C19" s="4" t="str">
        <f>'DEF - 6  p1, FF1 Inputs '!E54&amp;" (Note S)"</f>
        <v>Total Admin &amp; General Expenses  (Note S)</v>
      </c>
      <c r="D19" s="224" t="str">
        <f>'DEF - 6  p1, FF1 Inputs '!F54</f>
        <v>323.197.b</v>
      </c>
      <c r="E19" s="224"/>
      <c r="F19" s="6">
        <f>'DEF - 6  p1, FF1 Inputs '!J54+R34</f>
        <v>237080208.72974125</v>
      </c>
      <c r="H19" s="224"/>
      <c r="I19" s="7"/>
      <c r="J19" s="7"/>
      <c r="K19" s="6" t="str">
        <f>IF(ISNUMBER(I19),F19*I19,"")</f>
        <v/>
      </c>
      <c r="O19" s="136" t="s">
        <v>734</v>
      </c>
      <c r="P19" s="137" t="s">
        <v>733</v>
      </c>
      <c r="Q19" s="137"/>
      <c r="R19" s="138" t="s">
        <v>710</v>
      </c>
    </row>
    <row r="20" spans="1:18" s="4" customFormat="1" x14ac:dyDescent="0.2">
      <c r="A20" s="224">
        <f>A19+1</f>
        <v>6</v>
      </c>
      <c r="B20" s="9"/>
      <c r="C20" s="4" t="str">
        <f>" Less "&amp;'DEF - 6  p1, FF1 Inputs '!E51</f>
        <v xml:space="preserve"> Less (924) Property Insurance</v>
      </c>
      <c r="D20" s="224" t="str">
        <f>'DEF - 6  p1, FF1 Inputs '!F51</f>
        <v>323.185.b</v>
      </c>
      <c r="E20" s="224"/>
      <c r="F20" s="6">
        <f>'DEF - 6  p1, FF1 Inputs '!J51</f>
        <v>11283040</v>
      </c>
      <c r="H20" s="224"/>
      <c r="I20" s="7"/>
      <c r="J20" s="7"/>
      <c r="K20" s="6"/>
      <c r="O20" s="182" t="s">
        <v>728</v>
      </c>
      <c r="P20" s="263" t="s">
        <v>725</v>
      </c>
      <c r="Q20" s="130"/>
      <c r="R20" s="139">
        <f>'DEF - 6  p1, FF1 Inputs '!J54</f>
        <v>279098778.70999998</v>
      </c>
    </row>
    <row r="21" spans="1:18" s="4" customFormat="1" x14ac:dyDescent="0.2">
      <c r="A21" s="224">
        <f>A20+1</f>
        <v>7</v>
      </c>
      <c r="B21" s="9"/>
      <c r="C21" s="4" t="str">
        <f>" Less "&amp;'DEF - 6  p1, FF1 Inputs '!E52</f>
        <v xml:space="preserve"> Less (928) Regulatory Commission Expenses</v>
      </c>
      <c r="D21" s="224" t="str">
        <f>'DEF - 6  p1, FF1 Inputs '!F52</f>
        <v>323.189.b</v>
      </c>
      <c r="E21" s="224"/>
      <c r="F21" s="6">
        <f>'DEF - 6  p1, FF1 Inputs '!J52</f>
        <v>3997496</v>
      </c>
      <c r="H21" s="224"/>
      <c r="I21" s="7"/>
      <c r="J21" s="7"/>
      <c r="K21" s="6"/>
      <c r="O21" s="182"/>
      <c r="P21" s="263"/>
      <c r="Q21" s="130"/>
      <c r="R21" s="169"/>
    </row>
    <row r="22" spans="1:18" s="4" customFormat="1" x14ac:dyDescent="0.2">
      <c r="A22" s="224">
        <f>A21+1</f>
        <v>8</v>
      </c>
      <c r="B22" s="9"/>
      <c r="C22" s="4" t="str">
        <f>" Less "&amp;'DEF - 6  p1, FF1 Inputs '!E53</f>
        <v xml:space="preserve"> Less (930.1) General Advertising Expenses</v>
      </c>
      <c r="D22" s="224" t="str">
        <f>'DEF - 6  p1, FF1 Inputs '!F53</f>
        <v>323.191.b</v>
      </c>
      <c r="E22" s="224"/>
      <c r="F22" s="6">
        <f>'DEF - 6  p1, FF1 Inputs '!J53</f>
        <v>867906</v>
      </c>
      <c r="H22" s="224"/>
      <c r="I22" s="7"/>
      <c r="J22" s="7"/>
      <c r="K22" s="6"/>
      <c r="O22" s="142" t="s">
        <v>852</v>
      </c>
      <c r="P22" s="143" t="s">
        <v>730</v>
      </c>
      <c r="Q22" s="120"/>
      <c r="R22" s="139"/>
    </row>
    <row r="23" spans="1:18" s="4" customFormat="1" ht="13.5" thickBot="1" x14ac:dyDescent="0.25">
      <c r="A23" s="224">
        <f>A22+1</f>
        <v>9</v>
      </c>
      <c r="B23" s="9"/>
      <c r="C23" s="4" t="s">
        <v>216</v>
      </c>
      <c r="D23" s="40" t="s">
        <v>215</v>
      </c>
      <c r="E23" s="224"/>
      <c r="F23" s="6">
        <f>'DEF - 6  p1, FF1 Inputs '!J55</f>
        <v>780582</v>
      </c>
      <c r="H23" s="224"/>
      <c r="I23" s="7"/>
      <c r="J23" s="7"/>
      <c r="K23" s="6"/>
      <c r="O23" s="140" t="s">
        <v>711</v>
      </c>
      <c r="P23" s="143"/>
      <c r="Q23" s="141">
        <v>-259919.38000000012</v>
      </c>
      <c r="R23" s="139"/>
    </row>
    <row r="24" spans="1:18" s="4" customFormat="1" ht="13.5" thickTop="1" x14ac:dyDescent="0.2">
      <c r="A24" s="224">
        <f>A23+1</f>
        <v>10</v>
      </c>
      <c r="B24" s="9"/>
      <c r="C24" s="4" t="s">
        <v>53</v>
      </c>
      <c r="D24" s="224"/>
      <c r="E24" s="224"/>
      <c r="F24" s="13">
        <f>F19-SUM(F20:F23)</f>
        <v>220151184.72974125</v>
      </c>
      <c r="H24" s="224" t="s">
        <v>183</v>
      </c>
      <c r="I24" s="7">
        <f>'DEF - 2 - Page 4 Support'!I37</f>
        <v>7.8086404382281052E-2</v>
      </c>
      <c r="J24" s="7"/>
      <c r="K24" s="6">
        <f>F24*I24</f>
        <v>17190814.436044831</v>
      </c>
      <c r="O24" s="140" t="s">
        <v>712</v>
      </c>
      <c r="P24" s="143"/>
      <c r="Q24" s="141">
        <v>-6213.4900000000034</v>
      </c>
      <c r="R24" s="139"/>
    </row>
    <row r="25" spans="1:18" s="4" customFormat="1" x14ac:dyDescent="0.2">
      <c r="A25" s="224"/>
      <c r="B25" s="9"/>
      <c r="D25" s="224"/>
      <c r="E25" s="224"/>
      <c r="F25" s="46"/>
      <c r="H25" s="224"/>
      <c r="I25" s="7"/>
      <c r="J25" s="7"/>
      <c r="K25" s="6"/>
      <c r="O25" s="140" t="s">
        <v>713</v>
      </c>
      <c r="P25" s="143"/>
      <c r="Q25" s="141">
        <v>-547814.85000000044</v>
      </c>
      <c r="R25" s="139"/>
    </row>
    <row r="26" spans="1:18" s="4" customFormat="1" x14ac:dyDescent="0.2">
      <c r="A26" s="224">
        <f>A24+1</f>
        <v>11</v>
      </c>
      <c r="B26" s="9"/>
      <c r="C26" s="4" t="str">
        <f>'DEF - 6  p1, FF1 Inputs '!E51</f>
        <v>(924) Property Insurance</v>
      </c>
      <c r="D26" s="224" t="str">
        <f>'DEF - 6  p1, FF1 Inputs '!F51</f>
        <v>323.185.b</v>
      </c>
      <c r="E26" s="224"/>
      <c r="F26" s="6">
        <f>'DEF - 6  p1, FF1 Inputs '!J51</f>
        <v>11283040</v>
      </c>
      <c r="H26" s="224"/>
      <c r="I26" s="7"/>
      <c r="J26" s="7"/>
      <c r="K26" s="6"/>
      <c r="O26" s="140" t="s">
        <v>714</v>
      </c>
      <c r="P26" s="143"/>
      <c r="Q26" s="141">
        <v>-97423.360000000059</v>
      </c>
      <c r="R26" s="139"/>
    </row>
    <row r="27" spans="1:18" s="4" customFormat="1" ht="13.5" thickBot="1" x14ac:dyDescent="0.25">
      <c r="A27" s="224">
        <f>A26+1</f>
        <v>12</v>
      </c>
      <c r="B27" s="9"/>
      <c r="C27" s="5" t="s">
        <v>232</v>
      </c>
      <c r="D27" s="224"/>
      <c r="E27" s="224"/>
      <c r="F27" s="10">
        <v>0</v>
      </c>
      <c r="H27" s="224"/>
      <c r="I27" s="7"/>
      <c r="J27" s="7"/>
      <c r="K27" s="6"/>
      <c r="O27" s="140" t="s">
        <v>735</v>
      </c>
      <c r="P27" s="143"/>
      <c r="Q27" s="141">
        <v>0</v>
      </c>
      <c r="R27" s="139"/>
    </row>
    <row r="28" spans="1:18" s="4" customFormat="1" ht="13.5" thickTop="1" x14ac:dyDescent="0.2">
      <c r="A28" s="224">
        <f>A27+1</f>
        <v>13</v>
      </c>
      <c r="B28" s="9"/>
      <c r="C28" s="5" t="s">
        <v>357</v>
      </c>
      <c r="D28" s="224"/>
      <c r="E28" s="224"/>
      <c r="F28" s="13">
        <f>F26+F27</f>
        <v>11283040</v>
      </c>
      <c r="H28" s="224" t="s">
        <v>41</v>
      </c>
      <c r="I28" s="7">
        <f>'DEF - 2 Page 2 Rate Base'!M23</f>
        <v>0.16471577842680629</v>
      </c>
      <c r="J28" s="7"/>
      <c r="K28" s="6">
        <f>F28*I28</f>
        <v>1858494.7166207924</v>
      </c>
      <c r="O28" s="140" t="s">
        <v>715</v>
      </c>
      <c r="P28" s="143"/>
      <c r="Q28" s="264">
        <v>0</v>
      </c>
      <c r="R28" s="139"/>
    </row>
    <row r="29" spans="1:18" s="4" customFormat="1" x14ac:dyDescent="0.2">
      <c r="A29" s="224"/>
      <c r="B29" s="9"/>
      <c r="D29" s="224"/>
      <c r="E29" s="224"/>
      <c r="F29" s="6"/>
      <c r="H29" s="224"/>
      <c r="I29" s="7"/>
      <c r="J29" s="7"/>
      <c r="K29" s="6"/>
      <c r="O29" s="142"/>
      <c r="P29" s="263"/>
      <c r="Q29" s="120"/>
      <c r="R29" s="139">
        <f>SUM(Q23:Q28)</f>
        <v>-911371.08000000066</v>
      </c>
    </row>
    <row r="30" spans="1:18" s="4" customFormat="1" x14ac:dyDescent="0.2">
      <c r="A30" s="224">
        <f>A28+1</f>
        <v>14</v>
      </c>
      <c r="B30" s="9"/>
      <c r="C30" s="4" t="s">
        <v>54</v>
      </c>
      <c r="D30" s="224" t="s">
        <v>287</v>
      </c>
      <c r="E30" s="224"/>
      <c r="F30" s="6"/>
      <c r="H30" s="224" t="s">
        <v>55</v>
      </c>
      <c r="I30" s="7">
        <v>1</v>
      </c>
      <c r="J30" s="7"/>
      <c r="K30" s="6">
        <f>F30*I30</f>
        <v>0</v>
      </c>
      <c r="O30" s="142" t="s">
        <v>853</v>
      </c>
      <c r="P30" s="143" t="s">
        <v>732</v>
      </c>
      <c r="Q30" s="120"/>
      <c r="R30" s="265">
        <v>-37145690.654383041</v>
      </c>
    </row>
    <row r="31" spans="1:18" s="4" customFormat="1" x14ac:dyDescent="0.2">
      <c r="A31" s="224">
        <f>A30+1</f>
        <v>15</v>
      </c>
      <c r="B31" s="9"/>
      <c r="C31" s="4" t="s">
        <v>56</v>
      </c>
      <c r="D31" s="224" t="s">
        <v>287</v>
      </c>
      <c r="E31" s="224"/>
      <c r="F31" s="6"/>
      <c r="H31" s="224" t="s">
        <v>55</v>
      </c>
      <c r="I31" s="7">
        <v>1</v>
      </c>
      <c r="J31" s="7"/>
      <c r="K31" s="6">
        <f>F31*I31</f>
        <v>0</v>
      </c>
      <c r="O31" s="142" t="s">
        <v>766</v>
      </c>
      <c r="P31" s="143" t="s">
        <v>729</v>
      </c>
      <c r="Q31" s="120"/>
      <c r="R31" s="265">
        <v>-629315.33999999694</v>
      </c>
    </row>
    <row r="32" spans="1:18" s="4" customFormat="1" x14ac:dyDescent="0.2">
      <c r="A32" s="224">
        <f>A31+1</f>
        <v>16</v>
      </c>
      <c r="B32" s="9"/>
      <c r="C32" s="4" t="s">
        <v>203</v>
      </c>
      <c r="D32" s="224" t="s">
        <v>202</v>
      </c>
      <c r="E32" s="224"/>
      <c r="F32" s="6">
        <f>'DEF - 2 - Page 6, PBOPs'!G50</f>
        <v>-5350222.7741999999</v>
      </c>
      <c r="H32" s="224" t="s">
        <v>183</v>
      </c>
      <c r="I32" s="7">
        <f>'DEF - 2 - Page 4 Support'!I37</f>
        <v>7.8086404382281052E-2</v>
      </c>
      <c r="J32" s="7"/>
      <c r="K32" s="6">
        <f>F32*I32</f>
        <v>-417779.65908147075</v>
      </c>
      <c r="O32" s="142" t="s">
        <v>854</v>
      </c>
      <c r="P32" s="263"/>
      <c r="Q32" s="130"/>
      <c r="R32" s="139">
        <v>-649934.1600000005</v>
      </c>
    </row>
    <row r="33" spans="1:19" s="4" customFormat="1" ht="13.5" thickBot="1" x14ac:dyDescent="0.25">
      <c r="A33" s="224"/>
      <c r="B33" s="9"/>
      <c r="D33" s="224"/>
      <c r="E33" s="224"/>
      <c r="F33" s="6"/>
      <c r="H33" s="224"/>
      <c r="I33" s="7"/>
      <c r="J33" s="7"/>
      <c r="K33" s="6"/>
      <c r="O33" s="142" t="s">
        <v>767</v>
      </c>
      <c r="P33" s="143" t="s">
        <v>731</v>
      </c>
      <c r="Q33" s="130"/>
      <c r="R33" s="139">
        <v>-2682258.7458756934</v>
      </c>
    </row>
    <row r="34" spans="1:19" s="4" customFormat="1" ht="13.5" thickTop="1" x14ac:dyDescent="0.2">
      <c r="A34" s="224">
        <f>A32+1</f>
        <v>17</v>
      </c>
      <c r="B34" s="9" t="str">
        <f>"Total O&amp;M (Sum of Lines "&amp;A17&amp;", "&amp;A24&amp;", and "&amp;A28&amp;" thru "&amp;A32&amp;")"</f>
        <v>Total O&amp;M (Sum of Lines 4, 10, and 13 thru 16)</v>
      </c>
      <c r="D34" s="224"/>
      <c r="E34" s="224"/>
      <c r="F34" s="6"/>
      <c r="H34" s="224"/>
      <c r="I34" s="7"/>
      <c r="J34" s="7"/>
      <c r="K34" s="50">
        <f>K17+K24+SUM(K26:K32)</f>
        <v>51774096.118438594</v>
      </c>
      <c r="O34" s="266" t="s">
        <v>726</v>
      </c>
      <c r="P34" s="130"/>
      <c r="Q34" s="130"/>
      <c r="R34" s="267">
        <f>SUM(R22:R33)</f>
        <v>-42018569.980258733</v>
      </c>
    </row>
    <row r="35" spans="1:19" s="4" customFormat="1" x14ac:dyDescent="0.2">
      <c r="A35" s="224"/>
      <c r="B35" s="9"/>
      <c r="D35" s="224"/>
      <c r="E35" s="224"/>
      <c r="F35" s="6"/>
      <c r="H35" s="224"/>
      <c r="I35" s="7"/>
      <c r="J35" s="7"/>
      <c r="K35" s="6"/>
      <c r="O35" s="182"/>
      <c r="P35" s="130"/>
      <c r="Q35" s="130"/>
      <c r="R35" s="169"/>
    </row>
    <row r="36" spans="1:19" s="4" customFormat="1" ht="13.5" thickBot="1" x14ac:dyDescent="0.25">
      <c r="A36" s="224"/>
      <c r="B36" s="9" t="s">
        <v>57</v>
      </c>
      <c r="D36" s="224"/>
      <c r="E36" s="224"/>
      <c r="F36" s="6"/>
      <c r="H36" s="224"/>
      <c r="I36" s="7"/>
      <c r="J36" s="7"/>
      <c r="K36" s="6"/>
      <c r="O36" s="182" t="s">
        <v>727</v>
      </c>
      <c r="P36" s="130"/>
      <c r="Q36" s="130"/>
      <c r="R36" s="268">
        <f>+R20+R34</f>
        <v>237080208.72974125</v>
      </c>
    </row>
    <row r="37" spans="1:19" s="4" customFormat="1" ht="13.5" thickTop="1" x14ac:dyDescent="0.2">
      <c r="A37" s="224">
        <f>A34+1</f>
        <v>18</v>
      </c>
      <c r="B37" s="9"/>
      <c r="C37" s="221" t="str">
        <f>'DEF - 6  p1, FF1 Inputs '!E57&amp;" (Note V)"</f>
        <v>Transmission Depr. Expense (Note V)</v>
      </c>
      <c r="D37" s="224" t="str">
        <f>'DEF - 6  p1, FF1 Inputs '!F57</f>
        <v>336.7.f</v>
      </c>
      <c r="E37" s="224"/>
      <c r="F37" s="6">
        <f>'DEF - 6  p1, FF1 Inputs '!J57</f>
        <v>48921915.079795584</v>
      </c>
      <c r="H37" s="90"/>
      <c r="I37" s="91"/>
      <c r="J37" s="91"/>
      <c r="K37" s="92"/>
      <c r="O37" s="161"/>
      <c r="P37" s="178"/>
      <c r="Q37" s="178"/>
      <c r="R37" s="179"/>
    </row>
    <row r="38" spans="1:19" x14ac:dyDescent="0.2">
      <c r="A38" s="24" t="s">
        <v>451</v>
      </c>
      <c r="B38" s="9"/>
      <c r="C38" s="95" t="s">
        <v>453</v>
      </c>
      <c r="D38" s="24" t="s">
        <v>871</v>
      </c>
      <c r="E38" s="16"/>
      <c r="F38" s="93">
        <f>'DEF - 7, Retail Radials'!H26</f>
        <v>360925.17</v>
      </c>
      <c r="G38" s="15"/>
      <c r="H38" s="16"/>
      <c r="I38" s="89"/>
      <c r="J38" s="89"/>
      <c r="K38" s="86"/>
    </row>
    <row r="39" spans="1:19" x14ac:dyDescent="0.2">
      <c r="A39" s="24" t="s">
        <v>452</v>
      </c>
      <c r="B39" s="9"/>
      <c r="C39" s="95" t="s">
        <v>455</v>
      </c>
      <c r="D39" s="24"/>
      <c r="E39" s="16"/>
      <c r="F39" s="10">
        <f>F37-F38</f>
        <v>48560989.909795582</v>
      </c>
      <c r="G39" s="15"/>
      <c r="H39" s="24" t="s">
        <v>51</v>
      </c>
      <c r="I39" s="94">
        <f>'DEF - 2 - Page 4 Support'!I20</f>
        <v>0.93711905393061146</v>
      </c>
      <c r="J39" s="94"/>
      <c r="K39" s="10">
        <f>F39*I39</f>
        <v>45507428.922201604</v>
      </c>
    </row>
    <row r="40" spans="1:19" x14ac:dyDescent="0.2">
      <c r="A40" s="224"/>
      <c r="B40" s="9"/>
      <c r="C40" s="221"/>
      <c r="D40" s="224"/>
      <c r="E40" s="224"/>
      <c r="F40" s="6"/>
      <c r="H40" s="224"/>
      <c r="I40" s="7"/>
      <c r="J40" s="7"/>
      <c r="K40" s="6"/>
    </row>
    <row r="41" spans="1:19" x14ac:dyDescent="0.2">
      <c r="A41" s="224">
        <f>A37+1</f>
        <v>19</v>
      </c>
      <c r="B41" s="9"/>
      <c r="C41" s="221" t="str">
        <f>'DEF - 6  p1, FF1 Inputs '!E58</f>
        <v>General Depr. Expense</v>
      </c>
      <c r="D41" s="224" t="str">
        <f>'DEF - 6  p1, FF1 Inputs '!F58</f>
        <v>336.10.f</v>
      </c>
      <c r="E41" s="224"/>
      <c r="F41" s="6">
        <f>'DEF - 6  p1, FF1 Inputs '!J58</f>
        <v>15613900.821056001</v>
      </c>
      <c r="H41" s="224" t="s">
        <v>183</v>
      </c>
      <c r="I41" s="7">
        <f>'DEF - 2 - Page 4 Support'!I37</f>
        <v>7.8086404382281052E-2</v>
      </c>
      <c r="J41" s="7"/>
      <c r="K41" s="6">
        <f>F41*I41</f>
        <v>1219233.3734978091</v>
      </c>
    </row>
    <row r="42" spans="1:19" ht="13.5" thickBot="1" x14ac:dyDescent="0.25">
      <c r="A42" s="224">
        <f>A41+1</f>
        <v>20</v>
      </c>
      <c r="B42" s="9"/>
      <c r="C42" s="221" t="str">
        <f>'DEF - 6  p1, FF1 Inputs '!E56&amp;" (Note E)"</f>
        <v>Intangible Amortization (Note E)</v>
      </c>
      <c r="D42" s="224" t="str">
        <f>'DEF - 6  p1, FF1 Inputs '!F56</f>
        <v>336.1.f</v>
      </c>
      <c r="E42" s="224"/>
      <c r="F42" s="6">
        <f>'DEF - 6  p1, FF1 Inputs '!J56</f>
        <v>5328911</v>
      </c>
      <c r="H42" s="224" t="s">
        <v>183</v>
      </c>
      <c r="I42" s="7">
        <f>'DEF - 2 - Page 4 Support'!I37</f>
        <v>7.8086404382281052E-2</v>
      </c>
      <c r="J42" s="7"/>
      <c r="K42" s="6">
        <f>F42*I42</f>
        <v>416115.49926318572</v>
      </c>
    </row>
    <row r="43" spans="1:19" ht="13.5" thickTop="1" x14ac:dyDescent="0.2">
      <c r="A43" s="224">
        <f>A42+1</f>
        <v>21</v>
      </c>
      <c r="B43" s="9" t="s">
        <v>60</v>
      </c>
      <c r="D43" s="224"/>
      <c r="E43" s="224"/>
      <c r="F43" s="13">
        <f>SUM(F39:F42)</f>
        <v>69503801.730851591</v>
      </c>
      <c r="H43" s="224"/>
      <c r="I43" s="7"/>
      <c r="J43" s="7"/>
      <c r="K43" s="50">
        <f>SUM(K39:K42)</f>
        <v>47142777.794962592</v>
      </c>
    </row>
    <row r="44" spans="1:19" x14ac:dyDescent="0.2">
      <c r="A44" s="224"/>
      <c r="B44" s="9"/>
      <c r="D44" s="224"/>
      <c r="E44" s="224"/>
      <c r="H44" s="224"/>
    </row>
    <row r="45" spans="1:19" x14ac:dyDescent="0.2">
      <c r="A45" s="224"/>
      <c r="B45" s="9" t="s">
        <v>124</v>
      </c>
      <c r="D45" s="224"/>
      <c r="E45" s="224"/>
      <c r="H45" s="224"/>
    </row>
    <row r="46" spans="1:19" x14ac:dyDescent="0.2">
      <c r="A46" s="224">
        <f>A43+1</f>
        <v>22</v>
      </c>
      <c r="B46" s="9"/>
      <c r="C46" s="4" t="s">
        <v>123</v>
      </c>
      <c r="D46" s="40" t="s">
        <v>63</v>
      </c>
      <c r="E46" s="40"/>
      <c r="F46" s="6">
        <f>'DEF - 6  p1, FF1 Inputs '!J37+'DEF - 6  p1, FF1 Inputs '!J38+'DEF - 6  p1, FF1 Inputs '!J40</f>
        <v>20898355.628027</v>
      </c>
      <c r="H46" s="224" t="s">
        <v>183</v>
      </c>
      <c r="I46" s="7">
        <f>'DEF - 2 - Page 4 Support'!I37</f>
        <v>7.8086404382281052E-2</v>
      </c>
      <c r="J46" s="7"/>
      <c r="K46" s="6">
        <f>F46*I46</f>
        <v>1631877.4484948353</v>
      </c>
      <c r="S46" s="123"/>
    </row>
    <row r="47" spans="1:19" ht="13.5" thickBot="1" x14ac:dyDescent="0.25">
      <c r="A47" s="224">
        <f>A46+1</f>
        <v>23</v>
      </c>
      <c r="B47" s="9"/>
      <c r="C47" s="4" t="s">
        <v>61</v>
      </c>
      <c r="D47" s="224" t="s">
        <v>63</v>
      </c>
      <c r="E47" s="224"/>
      <c r="F47" s="6">
        <f>'DEF - 6  p1, FF1 Inputs '!J39+'DEF - 6  p1, FF1 Inputs '!J41+'DEF - 6  p1, FF1 Inputs '!J42</f>
        <v>117847813</v>
      </c>
      <c r="H47" s="224" t="s">
        <v>41</v>
      </c>
      <c r="I47" s="7">
        <f>'DEF - 2 Page 2 Rate Base'!M23</f>
        <v>0.16471577842680629</v>
      </c>
      <c r="J47" s="7"/>
      <c r="K47" s="6">
        <f>F47*I47</f>
        <v>19411394.2541917</v>
      </c>
    </row>
    <row r="48" spans="1:19" ht="13.5" thickTop="1" x14ac:dyDescent="0.2">
      <c r="A48" s="224">
        <f>A47+1</f>
        <v>24</v>
      </c>
      <c r="B48" s="9" t="s">
        <v>62</v>
      </c>
      <c r="D48" s="224"/>
      <c r="E48" s="224"/>
      <c r="F48" s="13">
        <f>SUM(F45:F47)</f>
        <v>138746168.62802699</v>
      </c>
      <c r="H48" s="224"/>
      <c r="I48" s="7"/>
      <c r="J48" s="7"/>
      <c r="K48" s="50">
        <f>SUM(K45:K47)</f>
        <v>21043271.702686537</v>
      </c>
    </row>
    <row r="49" spans="1:14" x14ac:dyDescent="0.2">
      <c r="A49" s="224"/>
      <c r="B49" s="9"/>
      <c r="D49" s="224"/>
      <c r="E49" s="224"/>
      <c r="F49" s="46"/>
      <c r="H49" s="224"/>
      <c r="I49" s="7"/>
      <c r="J49" s="7"/>
      <c r="K49" s="46"/>
    </row>
    <row r="50" spans="1:14" x14ac:dyDescent="0.2">
      <c r="A50" s="224"/>
      <c r="B50" s="9" t="s">
        <v>67</v>
      </c>
      <c r="D50" s="224"/>
      <c r="E50" s="224"/>
      <c r="F50" s="6"/>
      <c r="H50" s="224"/>
      <c r="I50" s="7"/>
      <c r="J50" s="7"/>
      <c r="K50" s="6"/>
    </row>
    <row r="51" spans="1:14" x14ac:dyDescent="0.2">
      <c r="A51" s="224">
        <f>A48+1</f>
        <v>25</v>
      </c>
      <c r="B51" s="9"/>
      <c r="C51" s="4" t="str">
        <f>"Rate Base (Page 2, Line "&amp;'DEF - 2 Page 2 Rate Base'!A72&amp;") * Rate of Return (Page 4, Line "&amp;'DEF - 2 - Page 4 Support'!C56&amp;")"</f>
        <v>Rate Base (Page 2, Line 36) * Rate of Return (Page 4, Line 27)</v>
      </c>
      <c r="K51" s="51">
        <f>'DEF - 2 Page 2 Rate Base'!O72*'DEF - 2 - Page 4 Support'!I56</f>
        <v>114556927.55377434</v>
      </c>
      <c r="N51" s="6"/>
    </row>
    <row r="52" spans="1:14" x14ac:dyDescent="0.2">
      <c r="B52" s="9"/>
    </row>
    <row r="53" spans="1:14" x14ac:dyDescent="0.2">
      <c r="B53" s="9" t="s">
        <v>86</v>
      </c>
    </row>
    <row r="54" spans="1:14" ht="6" customHeight="1" x14ac:dyDescent="0.2">
      <c r="B54" s="9"/>
    </row>
    <row r="55" spans="1:14" x14ac:dyDescent="0.2">
      <c r="A55" s="224">
        <f>A51+1</f>
        <v>26</v>
      </c>
      <c r="B55" s="9"/>
      <c r="C55" s="4" t="s">
        <v>87</v>
      </c>
      <c r="D55" s="224" t="s">
        <v>365</v>
      </c>
      <c r="F55" s="17">
        <v>5.5E-2</v>
      </c>
    </row>
    <row r="56" spans="1:14" x14ac:dyDescent="0.2">
      <c r="A56" s="224">
        <f>A55+1</f>
        <v>27</v>
      </c>
      <c r="B56" s="9"/>
      <c r="C56" s="4" t="s">
        <v>88</v>
      </c>
      <c r="D56" s="224" t="s">
        <v>365</v>
      </c>
      <c r="F56" s="262">
        <v>0.35</v>
      </c>
    </row>
    <row r="57" spans="1:14" x14ac:dyDescent="0.2">
      <c r="A57" s="224">
        <f>A56+1</f>
        <v>28</v>
      </c>
      <c r="B57" s="9"/>
      <c r="C57" s="4" t="s">
        <v>89</v>
      </c>
      <c r="F57" s="17">
        <f>F55+(1-F55)*F56</f>
        <v>0.38574999999999998</v>
      </c>
    </row>
    <row r="58" spans="1:14" ht="6" customHeight="1" x14ac:dyDescent="0.2">
      <c r="A58" s="224"/>
    </row>
    <row r="59" spans="1:14" ht="15.75" x14ac:dyDescent="0.3">
      <c r="A59" s="224">
        <f>A57+1</f>
        <v>29</v>
      </c>
      <c r="C59" s="4" t="s">
        <v>264</v>
      </c>
      <c r="F59" s="17">
        <f>IF('DEF - 2 - Page 4 Support'!I56&lt;&gt;0,F57/(1-F57)*(1-'DEF - 2 - Page 4 Support'!I53/'DEF - 2 - Page 4 Support'!I56),0)</f>
        <v>0.42462507889791284</v>
      </c>
    </row>
    <row r="60" spans="1:14" x14ac:dyDescent="0.2">
      <c r="A60" s="224">
        <f>A59+1</f>
        <v>30</v>
      </c>
      <c r="C60" s="4" t="s">
        <v>90</v>
      </c>
      <c r="F60" s="52">
        <f>IF(F57&lt;&gt;0,1/(1-F57),0)</f>
        <v>1.6280016280016281</v>
      </c>
    </row>
    <row r="61" spans="1:14" x14ac:dyDescent="0.2">
      <c r="A61" s="224">
        <f>A60+1</f>
        <v>31</v>
      </c>
      <c r="C61" s="4" t="str">
        <f>'DEF - 6  p1, FF1 Inputs '!E43</f>
        <v>Amortized ITC (Negative)</v>
      </c>
      <c r="D61" s="224" t="str">
        <f>'DEF - 6  p1, FF1 Inputs '!F43</f>
        <v>266.8.f</v>
      </c>
      <c r="E61" s="224"/>
      <c r="F61" s="6">
        <f>'DEF - 6  p1, FF1 Inputs '!J43</f>
        <v>-1307003</v>
      </c>
    </row>
    <row r="62" spans="1:14" ht="6" customHeight="1" x14ac:dyDescent="0.2">
      <c r="A62" s="224"/>
      <c r="H62" s="224"/>
      <c r="I62" s="7"/>
      <c r="J62" s="7"/>
      <c r="K62" s="6"/>
    </row>
    <row r="63" spans="1:14" x14ac:dyDescent="0.2">
      <c r="A63" s="224">
        <f>A61+1</f>
        <v>32</v>
      </c>
      <c r="C63" s="4" t="str">
        <f>"Income Taxes Calculated (Line "&amp;A51&amp;" * Line "&amp;A59&amp;")"</f>
        <v>Income Taxes Calculated (Line 25 * Line 29)</v>
      </c>
      <c r="H63" s="224"/>
      <c r="I63" s="7"/>
      <c r="J63" s="7"/>
      <c r="K63" s="6">
        <f>F59*K51</f>
        <v>48643744.400823914</v>
      </c>
    </row>
    <row r="64" spans="1:14" ht="13.5" thickBot="1" x14ac:dyDescent="0.25">
      <c r="A64" s="224">
        <f>A63+1</f>
        <v>33</v>
      </c>
      <c r="C64" s="4" t="str">
        <f>"ITC Adjustment (Line "&amp;A60&amp;" * Line "&amp;A61&amp;")"</f>
        <v>ITC Adjustment (Line 30 * Line 31)</v>
      </c>
      <c r="F64" s="6">
        <f>F61*F60</f>
        <v>-2127803.0118030119</v>
      </c>
      <c r="H64" s="224" t="s">
        <v>37</v>
      </c>
      <c r="I64" s="7">
        <f>'DEF - 2 Page 2 Rate Base'!M43</f>
        <v>0.19710219182042119</v>
      </c>
      <c r="J64" s="7"/>
      <c r="K64" s="6">
        <f>F64*I64</f>
        <v>-419394.63738846715</v>
      </c>
    </row>
    <row r="65" spans="1:11" ht="13.5" thickTop="1" x14ac:dyDescent="0.2">
      <c r="A65" s="224">
        <f>A64+1</f>
        <v>34</v>
      </c>
      <c r="B65" s="9" t="s">
        <v>91</v>
      </c>
      <c r="K65" s="50">
        <f>K63+K64</f>
        <v>48224349.763435446</v>
      </c>
    </row>
    <row r="66" spans="1:11" x14ac:dyDescent="0.2">
      <c r="A66" s="224"/>
    </row>
    <row r="67" spans="1:11" x14ac:dyDescent="0.2">
      <c r="A67" s="224">
        <f>A65+1</f>
        <v>35</v>
      </c>
      <c r="B67" s="9" t="str">
        <f>"TOTAL REVENUE REQUIREMENT (Sum of Lines "&amp;A34&amp;", "&amp;A43&amp;", "&amp;A48&amp;", "&amp;A51&amp;", and "&amp;A65&amp;")"</f>
        <v>TOTAL REVENUE REQUIREMENT (Sum of Lines 17, 21, 24, 25, and 34)</v>
      </c>
      <c r="K67" s="51">
        <f>K34+K43+K48+K51+K65</f>
        <v>282741422.93329751</v>
      </c>
    </row>
  </sheetData>
  <mergeCells count="7">
    <mergeCell ref="J1:L1"/>
    <mergeCell ref="H11:I11"/>
    <mergeCell ref="J2:L2"/>
    <mergeCell ref="J3:L3"/>
    <mergeCell ref="A5:L5"/>
    <mergeCell ref="A6:L6"/>
    <mergeCell ref="A8:L8"/>
  </mergeCells>
  <phoneticPr fontId="0" type="noConversion"/>
  <printOptions horizontalCentered="1"/>
  <pageMargins left="0.5" right="0.5" top="0.5" bottom="0.5" header="0.5" footer="0.5"/>
  <pageSetup scale="6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zoomScaleNormal="100" workbookViewId="0">
      <selection activeCell="N20" sqref="N20"/>
    </sheetView>
  </sheetViews>
  <sheetFormatPr defaultRowHeight="12.75" x14ac:dyDescent="0.2"/>
  <cols>
    <col min="1" max="2" width="2.7109375" style="4" customWidth="1"/>
    <col min="3" max="3" width="5" style="4" bestFit="1" customWidth="1"/>
    <col min="4" max="4" width="3.7109375" style="4" customWidth="1"/>
    <col min="5" max="5" width="36.85546875" style="4" customWidth="1"/>
    <col min="6" max="6" width="7.85546875" style="4" customWidth="1"/>
    <col min="7" max="7" width="14.5703125" style="4" bestFit="1" customWidth="1"/>
    <col min="8" max="8" width="2.7109375" style="4" customWidth="1"/>
    <col min="9" max="9" width="13.85546875" style="4" bestFit="1" customWidth="1"/>
    <col min="10" max="10" width="9.140625" style="4"/>
    <col min="11" max="11" width="11.5703125" style="4" customWidth="1"/>
    <col min="12" max="12" width="9.140625" style="4"/>
    <col min="13" max="13" width="9.28515625" style="4" bestFit="1" customWidth="1"/>
    <col min="14" max="14" width="11.85546875" style="4" customWidth="1"/>
    <col min="15" max="16384" width="9.140625" style="4"/>
  </cols>
  <sheetData>
    <row r="1" spans="1:20" ht="15" x14ac:dyDescent="0.25">
      <c r="J1" s="245" t="s">
        <v>833</v>
      </c>
      <c r="K1" s="245"/>
    </row>
    <row r="2" spans="1:20" ht="15" x14ac:dyDescent="0.25">
      <c r="J2" s="246" t="s">
        <v>212</v>
      </c>
      <c r="K2" s="247"/>
    </row>
    <row r="3" spans="1:20" x14ac:dyDescent="0.2">
      <c r="J3" s="238" t="str">
        <f>FF1_Year</f>
        <v>Year Ending 12/31/2013</v>
      </c>
      <c r="K3" s="239"/>
    </row>
    <row r="5" spans="1:20" x14ac:dyDescent="0.2">
      <c r="A5" s="240" t="s">
        <v>850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P5" s="9" t="s">
        <v>718</v>
      </c>
      <c r="Q5" s="9"/>
      <c r="R5" s="9"/>
    </row>
    <row r="6" spans="1:20" x14ac:dyDescent="0.2">
      <c r="A6" s="240" t="s">
        <v>128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P6" s="85"/>
      <c r="Q6" s="85"/>
      <c r="R6" s="85"/>
    </row>
    <row r="7" spans="1:20" x14ac:dyDescent="0.2">
      <c r="A7" s="222"/>
      <c r="B7" s="222"/>
      <c r="C7" s="222"/>
      <c r="D7" s="222"/>
      <c r="E7" s="222"/>
      <c r="F7" s="222"/>
      <c r="G7" s="222"/>
      <c r="H7" s="222"/>
      <c r="I7" s="222"/>
      <c r="J7" s="222"/>
      <c r="K7" s="222"/>
      <c r="P7" s="85"/>
      <c r="Q7" s="85" t="s">
        <v>228</v>
      </c>
      <c r="R7" s="94">
        <v>0</v>
      </c>
      <c r="S7" s="197"/>
      <c r="T7" s="197"/>
    </row>
    <row r="8" spans="1:20" x14ac:dyDescent="0.2">
      <c r="A8" s="240" t="s">
        <v>130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P8" s="85"/>
      <c r="Q8" s="85" t="s">
        <v>41</v>
      </c>
      <c r="R8" s="94">
        <f>'DEF - 2 Page 2 Rate Base'!M23</f>
        <v>0.16471577842680629</v>
      </c>
      <c r="S8" s="197"/>
      <c r="T8" s="197"/>
    </row>
    <row r="9" spans="1:20" x14ac:dyDescent="0.2">
      <c r="P9" s="85"/>
      <c r="Q9" s="85" t="s">
        <v>226</v>
      </c>
      <c r="R9" s="94">
        <f>LABOR_ALLOC</f>
        <v>7.8086404382281052E-2</v>
      </c>
      <c r="S9" s="197"/>
      <c r="T9" s="197"/>
    </row>
    <row r="10" spans="1:20" x14ac:dyDescent="0.2">
      <c r="P10" s="85"/>
      <c r="Q10" s="85" t="s">
        <v>37</v>
      </c>
      <c r="R10" s="94">
        <f>'DEF - 2 Page 2 Rate Base'!M43</f>
        <v>0.19710219182042119</v>
      </c>
      <c r="S10" s="197"/>
      <c r="T10" s="197"/>
    </row>
    <row r="11" spans="1:20" x14ac:dyDescent="0.2">
      <c r="C11" s="222" t="s">
        <v>21</v>
      </c>
      <c r="D11" s="37"/>
      <c r="E11" s="22"/>
      <c r="F11" s="22"/>
      <c r="G11" s="222" t="s">
        <v>4</v>
      </c>
      <c r="H11" s="222"/>
      <c r="I11" s="222" t="s">
        <v>22</v>
      </c>
      <c r="J11" s="222"/>
      <c r="K11" s="38"/>
      <c r="P11" s="85"/>
      <c r="Q11" s="85" t="s">
        <v>699</v>
      </c>
      <c r="R11" s="94">
        <v>1</v>
      </c>
      <c r="S11" s="197"/>
      <c r="T11" s="197"/>
    </row>
    <row r="12" spans="1:20" x14ac:dyDescent="0.2">
      <c r="P12" s="85"/>
      <c r="Q12" s="85" t="s">
        <v>229</v>
      </c>
      <c r="R12" s="94">
        <v>0</v>
      </c>
      <c r="S12" s="197"/>
      <c r="T12" s="197"/>
    </row>
    <row r="13" spans="1:20" x14ac:dyDescent="0.2">
      <c r="D13" s="9" t="s">
        <v>267</v>
      </c>
      <c r="G13" s="224"/>
      <c r="H13" s="224"/>
      <c r="P13" s="85"/>
      <c r="Q13" s="85" t="s">
        <v>227</v>
      </c>
      <c r="R13" s="94">
        <v>0</v>
      </c>
      <c r="S13" s="197"/>
      <c r="T13" s="197"/>
    </row>
    <row r="14" spans="1:20" x14ac:dyDescent="0.2">
      <c r="C14" s="224">
        <v>1</v>
      </c>
      <c r="E14" s="85" t="s">
        <v>480</v>
      </c>
      <c r="G14" s="24" t="s">
        <v>481</v>
      </c>
      <c r="H14" s="224"/>
      <c r="I14" s="6">
        <f>'DEF - 2 Page 2 Rate Base'!J18</f>
        <v>2247109598.5750003</v>
      </c>
      <c r="P14" s="85"/>
      <c r="Q14" s="85" t="s">
        <v>225</v>
      </c>
      <c r="R14" s="94">
        <v>0</v>
      </c>
      <c r="S14" s="197"/>
      <c r="T14" s="197"/>
    </row>
    <row r="15" spans="1:20" x14ac:dyDescent="0.2">
      <c r="C15" s="224">
        <v>2</v>
      </c>
      <c r="E15" s="4" t="s">
        <v>68</v>
      </c>
      <c r="G15" s="224" t="s">
        <v>838</v>
      </c>
      <c r="H15" s="224"/>
      <c r="I15" s="6">
        <f>'DEF - 4, p2 Step Ups '!G79</f>
        <v>94149116.439999983</v>
      </c>
      <c r="M15" s="85" t="s">
        <v>890</v>
      </c>
      <c r="N15" s="85"/>
      <c r="P15" s="85"/>
      <c r="Q15" s="85" t="s">
        <v>719</v>
      </c>
      <c r="R15" s="94">
        <f>'DEF - 2 - Page 5 Storm, Notes'!I26</f>
        <v>0.8498729351098574</v>
      </c>
      <c r="S15" s="197"/>
      <c r="T15" s="197"/>
    </row>
    <row r="16" spans="1:20" x14ac:dyDescent="0.2">
      <c r="C16" s="224">
        <v>3</v>
      </c>
      <c r="E16" s="4" t="s">
        <v>218</v>
      </c>
      <c r="G16" s="224" t="s">
        <v>838</v>
      </c>
      <c r="H16" s="224"/>
      <c r="I16" s="6">
        <f>'DEF - 4, Order 2003 '!J85</f>
        <v>7566913</v>
      </c>
      <c r="M16" s="85" t="s">
        <v>716</v>
      </c>
      <c r="N16" s="85"/>
      <c r="P16" s="85"/>
      <c r="Q16" s="85" t="s">
        <v>51</v>
      </c>
      <c r="R16" s="94">
        <f>TP_ALLOC</f>
        <v>0.93711905393061146</v>
      </c>
      <c r="S16" s="197"/>
      <c r="T16" s="197"/>
    </row>
    <row r="17" spans="3:20" ht="13.5" thickBot="1" x14ac:dyDescent="0.25">
      <c r="C17" s="224">
        <v>4</v>
      </c>
      <c r="E17" s="4" t="s">
        <v>268</v>
      </c>
      <c r="G17" s="224" t="s">
        <v>126</v>
      </c>
      <c r="H17" s="224"/>
      <c r="I17" s="6">
        <f>N20</f>
        <v>39584348.039999999</v>
      </c>
      <c r="M17" s="85">
        <f>YR</f>
        <v>2013</v>
      </c>
      <c r="N17" s="119">
        <v>40724629.289999999</v>
      </c>
      <c r="Q17" s="85" t="s">
        <v>220</v>
      </c>
      <c r="R17" s="4">
        <f>TExp_ALLOC</f>
        <v>0.94866027905574934</v>
      </c>
      <c r="S17" s="198"/>
      <c r="T17" s="198"/>
    </row>
    <row r="18" spans="3:20" ht="13.5" thickTop="1" x14ac:dyDescent="0.2">
      <c r="C18" s="224">
        <v>5</v>
      </c>
      <c r="E18" s="4" t="s">
        <v>269</v>
      </c>
      <c r="G18" s="224"/>
      <c r="H18" s="224"/>
      <c r="I18" s="13">
        <f>I14-SUM(I15:I17)</f>
        <v>2105809221.0950003</v>
      </c>
      <c r="M18" s="85">
        <f>+M17-1</f>
        <v>2012</v>
      </c>
      <c r="N18" s="119">
        <v>38444066.789999999</v>
      </c>
    </row>
    <row r="19" spans="3:20" ht="6" customHeight="1" x14ac:dyDescent="0.2">
      <c r="C19" s="224"/>
      <c r="G19" s="224"/>
      <c r="H19" s="224"/>
      <c r="M19" s="85"/>
      <c r="N19" s="85"/>
    </row>
    <row r="20" spans="3:20" x14ac:dyDescent="0.2">
      <c r="C20" s="224">
        <v>6</v>
      </c>
      <c r="D20" s="9" t="s">
        <v>270</v>
      </c>
      <c r="G20" s="224" t="s">
        <v>164</v>
      </c>
      <c r="H20" s="224"/>
      <c r="I20" s="14">
        <f>IF(I14&lt;&gt;0,I18/I14,0)</f>
        <v>0.93711905393061146</v>
      </c>
      <c r="M20" s="85" t="s">
        <v>717</v>
      </c>
      <c r="N20" s="119">
        <f>(N18+N17)/2</f>
        <v>39584348.039999999</v>
      </c>
    </row>
    <row r="21" spans="3:20" x14ac:dyDescent="0.2">
      <c r="C21" s="224"/>
      <c r="G21" s="224"/>
      <c r="H21" s="224"/>
    </row>
    <row r="22" spans="3:20" x14ac:dyDescent="0.2">
      <c r="C22" s="224">
        <v>7</v>
      </c>
      <c r="E22" s="85" t="s">
        <v>482</v>
      </c>
      <c r="G22" s="224"/>
      <c r="H22" s="224"/>
      <c r="I22" s="6">
        <f>I18+I17</f>
        <v>2145393569.1350002</v>
      </c>
    </row>
    <row r="23" spans="3:20" x14ac:dyDescent="0.2">
      <c r="C23" s="24" t="s">
        <v>456</v>
      </c>
      <c r="D23" s="15"/>
      <c r="E23" s="85" t="s">
        <v>457</v>
      </c>
      <c r="F23" s="15"/>
      <c r="G23" s="16"/>
      <c r="H23" s="16"/>
      <c r="I23" s="10">
        <f>I14+'DEF - 2 Page 2 Rate Base'!J17</f>
        <v>2261498258.6500001</v>
      </c>
    </row>
    <row r="24" spans="3:20" ht="6" customHeight="1" x14ac:dyDescent="0.2">
      <c r="C24" s="71"/>
      <c r="E24" s="53"/>
      <c r="G24" s="224"/>
      <c r="H24" s="224"/>
      <c r="I24" s="6"/>
    </row>
    <row r="25" spans="3:20" x14ac:dyDescent="0.2">
      <c r="C25" s="224">
        <v>8</v>
      </c>
      <c r="D25" s="9" t="s">
        <v>483</v>
      </c>
      <c r="G25" s="224"/>
      <c r="H25" s="224"/>
      <c r="I25" s="14">
        <f>IF(I23&lt;&gt;0,I22/I23,0)</f>
        <v>0.94866027905574934</v>
      </c>
    </row>
    <row r="26" spans="3:20" x14ac:dyDescent="0.2">
      <c r="C26" s="224"/>
      <c r="G26" s="224"/>
      <c r="H26" s="224"/>
    </row>
    <row r="27" spans="3:20" x14ac:dyDescent="0.2">
      <c r="D27" s="9" t="s">
        <v>69</v>
      </c>
      <c r="G27" s="224"/>
      <c r="H27" s="224"/>
    </row>
    <row r="28" spans="3:20" x14ac:dyDescent="0.2">
      <c r="C28" s="224">
        <v>9</v>
      </c>
      <c r="E28" s="4" t="str">
        <f>'DEF - 6  p1, FF1 Inputs '!E61</f>
        <v>Total Direct Payroll - O&amp;M Labor</v>
      </c>
      <c r="G28" s="224" t="str">
        <f>'DEF - 6  p1, FF1 Inputs '!F61</f>
        <v>354.28.b</v>
      </c>
      <c r="H28" s="224"/>
      <c r="I28" s="6">
        <f>'DEF - 6  p1, FF1 Inputs '!J61</f>
        <v>317814547</v>
      </c>
    </row>
    <row r="29" spans="3:20" x14ac:dyDescent="0.2">
      <c r="C29" s="224">
        <v>10</v>
      </c>
      <c r="E29" s="4" t="str">
        <f>'DEF - 6  p1, FF1 Inputs '!E60</f>
        <v>A&amp;G Labor</v>
      </c>
      <c r="G29" s="224" t="str">
        <f>'DEF - 6  p1, FF1 Inputs '!F60</f>
        <v>354.27.b</v>
      </c>
      <c r="H29" s="224"/>
      <c r="I29" s="6">
        <f>'DEF - 6  p1, FF1 Inputs '!J60</f>
        <v>79058105.709999993</v>
      </c>
    </row>
    <row r="30" spans="3:20" ht="13.5" thickBot="1" x14ac:dyDescent="0.25">
      <c r="C30" s="224">
        <v>11</v>
      </c>
      <c r="E30" s="4" t="s">
        <v>233</v>
      </c>
      <c r="G30" s="224"/>
      <c r="H30" s="224"/>
      <c r="I30" s="10">
        <f>-'DEF - 6  p1, FF1 Inputs '!U60</f>
        <v>502890.29</v>
      </c>
    </row>
    <row r="31" spans="3:20" ht="13.5" thickTop="1" x14ac:dyDescent="0.2">
      <c r="C31" s="224">
        <v>12</v>
      </c>
      <c r="E31" s="4" t="s">
        <v>265</v>
      </c>
      <c r="G31" s="224"/>
      <c r="H31" s="224"/>
      <c r="I31" s="13">
        <f>I28-I29+I30</f>
        <v>239259331.58000001</v>
      </c>
    </row>
    <row r="32" spans="3:20" ht="6" customHeight="1" x14ac:dyDescent="0.2">
      <c r="C32" s="224"/>
      <c r="G32" s="224"/>
      <c r="H32" s="224"/>
      <c r="I32" s="6"/>
    </row>
    <row r="33" spans="3:9" x14ac:dyDescent="0.2">
      <c r="C33" s="224">
        <v>13</v>
      </c>
      <c r="E33" s="4" t="str">
        <f>'DEF - 6  p1, FF1 Inputs '!E59</f>
        <v>Transmission O&amp;M Labor</v>
      </c>
      <c r="G33" s="224" t="str">
        <f>'DEF - 6  p1, FF1 Inputs '!F59</f>
        <v>354.21.b</v>
      </c>
      <c r="H33" s="224"/>
      <c r="I33" s="6">
        <f>'DEF - 6  p1, FF1 Inputs '!J59</f>
        <v>20064186</v>
      </c>
    </row>
    <row r="34" spans="3:9" ht="6" customHeight="1" x14ac:dyDescent="0.2">
      <c r="C34" s="224"/>
      <c r="G34" s="224"/>
      <c r="H34" s="224"/>
      <c r="I34" s="6"/>
    </row>
    <row r="35" spans="3:9" ht="12.75" customHeight="1" x14ac:dyDescent="0.2">
      <c r="C35" s="224">
        <v>14</v>
      </c>
      <c r="D35" s="9" t="s">
        <v>266</v>
      </c>
      <c r="G35" s="224"/>
      <c r="H35" s="224"/>
      <c r="I35" s="14">
        <f>IF(I31&lt;&gt;0,I33/I31,0)</f>
        <v>8.3859575580613174E-2</v>
      </c>
    </row>
    <row r="36" spans="3:9" ht="6" customHeight="1" x14ac:dyDescent="0.2">
      <c r="C36" s="224"/>
      <c r="G36" s="224"/>
      <c r="H36" s="224"/>
      <c r="I36" s="6"/>
    </row>
    <row r="37" spans="3:9" x14ac:dyDescent="0.2">
      <c r="C37" s="224">
        <v>15</v>
      </c>
      <c r="D37" s="9" t="s">
        <v>484</v>
      </c>
      <c r="G37" s="224" t="s">
        <v>164</v>
      </c>
      <c r="H37" s="224"/>
      <c r="I37" s="14">
        <f>IF(I23&lt;&gt;0,I18/I23*I35,0)</f>
        <v>7.8086404382281052E-2</v>
      </c>
    </row>
    <row r="38" spans="3:9" x14ac:dyDescent="0.2">
      <c r="C38" s="224"/>
      <c r="G38" s="224"/>
      <c r="H38" s="224"/>
    </row>
    <row r="39" spans="3:9" x14ac:dyDescent="0.2">
      <c r="C39" s="224"/>
      <c r="D39" s="9" t="s">
        <v>246</v>
      </c>
      <c r="G39" s="224"/>
      <c r="H39" s="224"/>
    </row>
    <row r="40" spans="3:9" ht="6" customHeight="1" x14ac:dyDescent="0.2">
      <c r="C40" s="224"/>
      <c r="G40" s="224"/>
      <c r="H40" s="224"/>
    </row>
    <row r="41" spans="3:9" x14ac:dyDescent="0.2">
      <c r="C41" s="224">
        <v>16</v>
      </c>
      <c r="E41" s="4" t="s">
        <v>885</v>
      </c>
      <c r="G41" s="224" t="str">
        <f>'DEF - 6  p1, FF1 Inputs '!F18</f>
        <v>117.62 thru 67.c</v>
      </c>
      <c r="H41" s="224"/>
      <c r="I41" s="6">
        <f>'DEF - 6  p1, FF1 Inputs '!J18</f>
        <v>248449563.78999999</v>
      </c>
    </row>
    <row r="42" spans="3:9" ht="13.5" thickBot="1" x14ac:dyDescent="0.25">
      <c r="C42" s="224">
        <v>17</v>
      </c>
      <c r="E42" s="4" t="s">
        <v>73</v>
      </c>
      <c r="G42" s="224" t="s">
        <v>186</v>
      </c>
      <c r="H42" s="224"/>
      <c r="I42" s="6">
        <v>0</v>
      </c>
    </row>
    <row r="43" spans="3:9" ht="13.5" thickTop="1" x14ac:dyDescent="0.2">
      <c r="C43" s="224">
        <v>18</v>
      </c>
      <c r="E43" s="4" t="s">
        <v>886</v>
      </c>
      <c r="G43" s="224"/>
      <c r="H43" s="224"/>
      <c r="I43" s="13">
        <f>I41-I42</f>
        <v>248449563.78999999</v>
      </c>
    </row>
    <row r="44" spans="3:9" ht="11.25" customHeight="1" x14ac:dyDescent="0.2">
      <c r="C44" s="224"/>
      <c r="G44" s="224"/>
      <c r="H44" s="224"/>
      <c r="I44" s="6"/>
    </row>
    <row r="45" spans="3:9" x14ac:dyDescent="0.2">
      <c r="C45" s="224">
        <v>19</v>
      </c>
      <c r="E45" s="4" t="s">
        <v>70</v>
      </c>
      <c r="G45" s="224" t="str">
        <f>'DEF - 6  p1, FF1 Inputs '!F19</f>
        <v>118.29.c</v>
      </c>
      <c r="H45" s="224"/>
      <c r="I45" s="6">
        <f>'DEF - 6  p1, FF1 Inputs '!J19</f>
        <v>274570</v>
      </c>
    </row>
    <row r="46" spans="3:9" ht="12" customHeight="1" x14ac:dyDescent="0.2">
      <c r="C46" s="224"/>
      <c r="G46" s="224"/>
      <c r="H46" s="224"/>
    </row>
    <row r="47" spans="3:9" x14ac:dyDescent="0.2">
      <c r="C47" s="224">
        <v>20</v>
      </c>
      <c r="E47" s="4" t="s">
        <v>887</v>
      </c>
      <c r="G47" s="224" t="str">
        <f>"p.2, line "&amp;'DEF - 2 Page 2 Rate Base'!A80</f>
        <v>p.2, line 41</v>
      </c>
      <c r="H47" s="224"/>
      <c r="I47" s="46">
        <f>'DEF - 2 Page 2 Rate Base'!J80</f>
        <v>4908688451.5</v>
      </c>
    </row>
    <row r="48" spans="3:9" x14ac:dyDescent="0.2">
      <c r="C48" s="224">
        <v>21</v>
      </c>
      <c r="E48" s="4" t="str">
        <f>'DEF - 2 Page 2 Rate Base'!C82</f>
        <v>Preferred Stock</v>
      </c>
      <c r="G48" s="224" t="str">
        <f>"p.2, line "&amp;'DEF - 2 Page 2 Rate Base'!A82</f>
        <v>p.2, line 42</v>
      </c>
      <c r="H48" s="224"/>
      <c r="I48" s="6">
        <f>'DEF - 2 Page 2 Rate Base'!J82</f>
        <v>16748350</v>
      </c>
    </row>
    <row r="49" spans="3:9" ht="13.5" thickBot="1" x14ac:dyDescent="0.25">
      <c r="C49" s="224">
        <v>22</v>
      </c>
      <c r="E49" s="4" t="s">
        <v>81</v>
      </c>
      <c r="G49" s="224" t="str">
        <f>"p.2, line "&amp;'DEF - 2 Page 2 Rate Base'!A88</f>
        <v>p.2, line 46</v>
      </c>
      <c r="I49" s="47">
        <f>'DEF - 2 Page 2 Rate Base'!J88</f>
        <v>4798029894</v>
      </c>
    </row>
    <row r="50" spans="3:9" ht="13.5" thickTop="1" x14ac:dyDescent="0.2">
      <c r="C50" s="224">
        <v>23</v>
      </c>
      <c r="E50" s="4" t="s">
        <v>373</v>
      </c>
      <c r="I50" s="13">
        <f>I47+I48+I49</f>
        <v>9723466695.5</v>
      </c>
    </row>
    <row r="52" spans="3:9" x14ac:dyDescent="0.2">
      <c r="D52" s="15" t="s">
        <v>374</v>
      </c>
      <c r="E52" s="15"/>
      <c r="F52" s="16" t="s">
        <v>82</v>
      </c>
      <c r="G52" s="16" t="s">
        <v>83</v>
      </c>
      <c r="H52" s="16"/>
      <c r="I52" s="16" t="s">
        <v>84</v>
      </c>
    </row>
    <row r="53" spans="3:9" x14ac:dyDescent="0.2">
      <c r="C53" s="224">
        <v>24</v>
      </c>
      <c r="E53" s="4" t="s">
        <v>887</v>
      </c>
      <c r="F53" s="17">
        <f>IF(I$50&lt;&gt;0,I47/I$50,0)</f>
        <v>0.50482904968160491</v>
      </c>
      <c r="G53" s="17">
        <f>IF(I47&lt;&gt;0,I43/I47,0)</f>
        <v>5.0614245789846087E-2</v>
      </c>
      <c r="H53" s="17"/>
      <c r="I53" s="17">
        <f>F53*G53</f>
        <v>2.5551541602439172E-2</v>
      </c>
    </row>
    <row r="54" spans="3:9" x14ac:dyDescent="0.2">
      <c r="C54" s="224">
        <v>25</v>
      </c>
      <c r="E54" s="4" t="s">
        <v>76</v>
      </c>
      <c r="F54" s="17">
        <f t="shared" ref="F54:F55" si="0">IF(I$50&lt;&gt;0,I48/I$50,0)</f>
        <v>1.7224669476937789E-3</v>
      </c>
      <c r="G54" s="17">
        <f>IF(I48&lt;&gt;0,I45/I48,0)</f>
        <v>1.6393853722904046E-2</v>
      </c>
      <c r="H54" s="17"/>
      <c r="I54" s="17">
        <f>F54*G54</f>
        <v>2.8237871183028824E-5</v>
      </c>
    </row>
    <row r="55" spans="3:9" ht="13.5" thickBot="1" x14ac:dyDescent="0.25">
      <c r="C55" s="224">
        <v>26</v>
      </c>
      <c r="E55" s="4" t="s">
        <v>85</v>
      </c>
      <c r="F55" s="17">
        <f t="shared" si="0"/>
        <v>0.49344848337070135</v>
      </c>
      <c r="G55" s="18">
        <v>0.108</v>
      </c>
      <c r="H55" s="18"/>
      <c r="I55" s="17">
        <f>F55*G55</f>
        <v>5.3292436204035745E-2</v>
      </c>
    </row>
    <row r="56" spans="3:9" ht="15" thickTop="1" x14ac:dyDescent="0.25">
      <c r="C56" s="224">
        <v>27</v>
      </c>
      <c r="E56" s="9" t="s">
        <v>131</v>
      </c>
      <c r="I56" s="220">
        <f>ROUND(SUM(I53:I55),4)</f>
        <v>7.8899999999999998E-2</v>
      </c>
    </row>
  </sheetData>
  <mergeCells count="6">
    <mergeCell ref="A8:K8"/>
    <mergeCell ref="J1:K1"/>
    <mergeCell ref="J2:K2"/>
    <mergeCell ref="J3:K3"/>
    <mergeCell ref="A5:K5"/>
    <mergeCell ref="A6:K6"/>
  </mergeCells>
  <phoneticPr fontId="0" type="noConversion"/>
  <printOptions horizontalCentered="1"/>
  <pageMargins left="0.5" right="0.5" top="0.5" bottom="0.5" header="0.5" footer="0.5"/>
  <pageSetup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1"/>
  <sheetViews>
    <sheetView workbookViewId="0"/>
  </sheetViews>
  <sheetFormatPr defaultRowHeight="12.75" x14ac:dyDescent="0.2"/>
  <cols>
    <col min="1" max="1" width="2.7109375" style="4" customWidth="1"/>
    <col min="2" max="2" width="8.42578125" style="4" bestFit="1" customWidth="1"/>
    <col min="3" max="3" width="2.7109375" style="4" customWidth="1"/>
    <col min="4" max="4" width="34.7109375" style="4" customWidth="1"/>
    <col min="5" max="5" width="12.42578125" style="4" customWidth="1"/>
    <col min="6" max="6" width="11.7109375" style="4" bestFit="1" customWidth="1"/>
    <col min="7" max="7" width="2.7109375" style="4" customWidth="1"/>
    <col min="8" max="8" width="8" style="4" bestFit="1" customWidth="1"/>
    <col min="9" max="9" width="8.140625" style="4" bestFit="1" customWidth="1"/>
    <col min="10" max="10" width="6.7109375" style="4" customWidth="1"/>
    <col min="11" max="11" width="13.7109375" style="4" customWidth="1"/>
    <col min="12" max="12" width="27.140625" style="4" customWidth="1"/>
    <col min="13" max="16384" width="9.140625" style="4"/>
  </cols>
  <sheetData>
    <row r="1" spans="1:13" ht="15" x14ac:dyDescent="0.25">
      <c r="K1" s="226"/>
      <c r="L1" s="226" t="s">
        <v>833</v>
      </c>
    </row>
    <row r="2" spans="1:13" ht="15" x14ac:dyDescent="0.25">
      <c r="F2" s="4" t="s">
        <v>237</v>
      </c>
      <c r="K2" s="226"/>
      <c r="L2" s="226" t="s">
        <v>204</v>
      </c>
    </row>
    <row r="3" spans="1:13" x14ac:dyDescent="0.2">
      <c r="K3" s="225"/>
      <c r="L3" s="348" t="str">
        <f>FF1_Year</f>
        <v>Year Ending 12/31/2013</v>
      </c>
    </row>
    <row r="5" spans="1:13" x14ac:dyDescent="0.2">
      <c r="A5" s="240" t="s">
        <v>850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</row>
    <row r="6" spans="1:13" x14ac:dyDescent="0.2">
      <c r="A6" s="240" t="s">
        <v>128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</row>
    <row r="7" spans="1:13" x14ac:dyDescent="0.2">
      <c r="A7" s="222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</row>
    <row r="8" spans="1:13" x14ac:dyDescent="0.2">
      <c r="A8" s="240" t="s">
        <v>132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</row>
    <row r="10" spans="1:13" x14ac:dyDescent="0.2">
      <c r="B10" s="224"/>
    </row>
    <row r="11" spans="1:13" ht="25.5" x14ac:dyDescent="0.2">
      <c r="B11" s="222" t="s">
        <v>21</v>
      </c>
      <c r="C11" s="37"/>
      <c r="D11" s="22"/>
      <c r="E11" s="222" t="s">
        <v>4</v>
      </c>
      <c r="F11" s="222" t="s">
        <v>22</v>
      </c>
      <c r="G11" s="222"/>
      <c r="H11" s="240" t="s">
        <v>23</v>
      </c>
      <c r="I11" s="240"/>
      <c r="J11" s="222"/>
      <c r="K11" s="38" t="s">
        <v>24</v>
      </c>
      <c r="L11" s="39"/>
    </row>
    <row r="12" spans="1:13" x14ac:dyDescent="0.2">
      <c r="B12" s="224"/>
      <c r="C12" s="9"/>
    </row>
    <row r="13" spans="1:13" x14ac:dyDescent="0.2">
      <c r="B13" s="40">
        <v>1</v>
      </c>
      <c r="C13" s="9" t="s">
        <v>171</v>
      </c>
      <c r="E13" s="224" t="str">
        <f>'DEF - 6  p1, FF1 Inputs '!F33</f>
        <v>230a.5.b</v>
      </c>
      <c r="F13" s="6">
        <f>'DEF - 6  p1, FF1 Inputs '!J33</f>
        <v>2025020</v>
      </c>
      <c r="H13" s="224"/>
      <c r="I13" s="7"/>
      <c r="J13" s="7"/>
      <c r="K13" s="46"/>
      <c r="M13" s="6"/>
    </row>
    <row r="14" spans="1:13" ht="13.5" thickBot="1" x14ac:dyDescent="0.25">
      <c r="B14" s="40">
        <v>2</v>
      </c>
      <c r="C14" s="9"/>
      <c r="D14" s="4" t="s">
        <v>168</v>
      </c>
      <c r="E14" s="224" t="s">
        <v>195</v>
      </c>
      <c r="F14" s="349">
        <f>14534920/15796861</f>
        <v>0.92011444552180333</v>
      </c>
      <c r="H14" s="224" t="s">
        <v>173</v>
      </c>
      <c r="I14" s="7"/>
      <c r="J14" s="7"/>
      <c r="K14" s="46"/>
      <c r="M14" s="53"/>
    </row>
    <row r="15" spans="1:13" ht="13.5" thickTop="1" x14ac:dyDescent="0.2">
      <c r="B15" s="40">
        <v>3</v>
      </c>
      <c r="C15" s="9" t="s">
        <v>172</v>
      </c>
      <c r="E15" s="224"/>
      <c r="F15" s="13">
        <f>F13*F14</f>
        <v>1863250.1544705622</v>
      </c>
      <c r="H15" s="71" t="s">
        <v>434</v>
      </c>
      <c r="I15" s="7">
        <f>1055859696/1143125894</f>
        <v>0.92366002864772823</v>
      </c>
      <c r="J15" s="7"/>
      <c r="K15" s="46">
        <f>F15*I15</f>
        <v>1721009.6910561635</v>
      </c>
    </row>
    <row r="16" spans="1:13" x14ac:dyDescent="0.2">
      <c r="B16" s="40"/>
      <c r="C16" s="9"/>
      <c r="E16" s="224"/>
      <c r="F16" s="12"/>
      <c r="H16" s="224"/>
      <c r="I16" s="7"/>
      <c r="J16" s="7"/>
      <c r="K16" s="46"/>
    </row>
    <row r="17" spans="2:11" x14ac:dyDescent="0.2">
      <c r="B17" s="40"/>
      <c r="C17" s="9" t="s">
        <v>384</v>
      </c>
      <c r="E17" s="224"/>
      <c r="F17" s="12"/>
      <c r="H17" s="224"/>
      <c r="I17" s="7"/>
      <c r="J17" s="7"/>
      <c r="K17" s="46"/>
    </row>
    <row r="18" spans="2:11" ht="6" customHeight="1" x14ac:dyDescent="0.2">
      <c r="B18" s="40"/>
      <c r="C18" s="9"/>
      <c r="E18" s="224"/>
      <c r="F18" s="12"/>
      <c r="H18" s="224"/>
      <c r="I18" s="7"/>
      <c r="J18" s="7"/>
      <c r="K18" s="46"/>
    </row>
    <row r="19" spans="2:11" ht="12.75" customHeight="1" x14ac:dyDescent="0.2">
      <c r="B19" s="350">
        <v>4</v>
      </c>
      <c r="C19" s="9"/>
      <c r="D19" s="223" t="s">
        <v>280</v>
      </c>
      <c r="E19" s="19" t="str">
        <f>'DEF - 6  p1, FF1 Inputs '!F35</f>
        <v>230a.5.f</v>
      </c>
      <c r="F19" s="81">
        <v>15658702</v>
      </c>
      <c r="G19" s="223"/>
      <c r="H19" s="54" t="s">
        <v>369</v>
      </c>
      <c r="I19" s="7">
        <f>F14*I15</f>
        <v>0.8498729351098574</v>
      </c>
      <c r="J19" s="351"/>
      <c r="K19" s="81">
        <f>F19*I19</f>
        <v>13307907.028750595</v>
      </c>
    </row>
    <row r="20" spans="2:11" ht="6" customHeight="1" x14ac:dyDescent="0.2">
      <c r="B20" s="40"/>
      <c r="C20" s="9"/>
      <c r="E20" s="224"/>
      <c r="F20" s="12"/>
      <c r="H20" s="224"/>
      <c r="I20" s="7"/>
      <c r="J20" s="7"/>
      <c r="K20" s="46"/>
    </row>
    <row r="21" spans="2:11" ht="12.75" customHeight="1" x14ac:dyDescent="0.2">
      <c r="B21" s="40"/>
      <c r="C21" s="9"/>
      <c r="D21" s="4" t="s">
        <v>174</v>
      </c>
      <c r="E21" s="224"/>
      <c r="F21" s="12"/>
      <c r="H21" s="224"/>
      <c r="I21" s="7"/>
      <c r="J21" s="7"/>
      <c r="K21" s="46"/>
    </row>
    <row r="22" spans="2:11" ht="12.75" customHeight="1" x14ac:dyDescent="0.2">
      <c r="B22" s="40">
        <v>5</v>
      </c>
      <c r="C22" s="9"/>
      <c r="D22" s="4" t="s">
        <v>175</v>
      </c>
      <c r="E22" s="224" t="s">
        <v>254</v>
      </c>
      <c r="F22" s="12">
        <v>434000</v>
      </c>
      <c r="H22" s="224" t="s">
        <v>369</v>
      </c>
      <c r="I22" s="7">
        <f>F22/6000000</f>
        <v>7.2333333333333333E-2</v>
      </c>
      <c r="J22" s="7"/>
      <c r="K22" s="46"/>
    </row>
    <row r="23" spans="2:11" ht="12.75" customHeight="1" x14ac:dyDescent="0.2">
      <c r="B23" s="40">
        <v>6</v>
      </c>
      <c r="C23" s="9"/>
      <c r="D23" s="4" t="s">
        <v>176</v>
      </c>
      <c r="E23" s="224"/>
      <c r="F23" s="12">
        <f>130000000/(1-I22)</f>
        <v>140136543.29859865</v>
      </c>
      <c r="H23" s="224"/>
      <c r="I23" s="7"/>
      <c r="J23" s="7"/>
      <c r="K23" s="46"/>
    </row>
    <row r="24" spans="2:11" ht="12.75" customHeight="1" x14ac:dyDescent="0.2">
      <c r="B24" s="40">
        <v>7</v>
      </c>
      <c r="C24" s="9"/>
      <c r="D24" s="53" t="s">
        <v>279</v>
      </c>
      <c r="E24" s="224"/>
      <c r="F24" s="12">
        <f>F23-130000000</f>
        <v>10136543.298598647</v>
      </c>
      <c r="H24" s="54" t="s">
        <v>369</v>
      </c>
      <c r="I24" s="7">
        <f>I19</f>
        <v>0.8498729351098574</v>
      </c>
      <c r="J24" s="351"/>
      <c r="K24" s="81">
        <f>F24*I24</f>
        <v>8614773.8050481882</v>
      </c>
    </row>
    <row r="25" spans="2:11" ht="12.75" customHeight="1" x14ac:dyDescent="0.2">
      <c r="B25" s="40"/>
      <c r="C25" s="9"/>
      <c r="E25" s="224"/>
      <c r="F25" s="12"/>
      <c r="H25" s="224"/>
      <c r="I25" s="7"/>
      <c r="J25" s="7"/>
      <c r="K25" s="46"/>
    </row>
    <row r="26" spans="2:11" ht="12.75" customHeight="1" x14ac:dyDescent="0.2">
      <c r="B26" s="40">
        <f>B24+1</f>
        <v>8</v>
      </c>
      <c r="C26" s="9" t="s">
        <v>385</v>
      </c>
      <c r="E26" s="224" t="s">
        <v>254</v>
      </c>
      <c r="F26" s="12">
        <f>F22</f>
        <v>434000</v>
      </c>
      <c r="G26" s="223"/>
      <c r="H26" s="54" t="s">
        <v>369</v>
      </c>
      <c r="I26" s="7">
        <f>I19</f>
        <v>0.8498729351098574</v>
      </c>
      <c r="J26" s="351"/>
      <c r="K26" s="12">
        <f>F26*I26</f>
        <v>368844.85383767809</v>
      </c>
    </row>
    <row r="27" spans="2:11" ht="12.75" customHeight="1" x14ac:dyDescent="0.2">
      <c r="B27" s="40"/>
      <c r="C27" s="9"/>
      <c r="E27" s="224"/>
      <c r="F27" s="12"/>
      <c r="G27" s="223"/>
      <c r="H27" s="54"/>
      <c r="I27" s="351"/>
      <c r="J27" s="351"/>
      <c r="K27" s="12"/>
    </row>
    <row r="28" spans="2:11" ht="12.75" customHeight="1" x14ac:dyDescent="0.2">
      <c r="B28" s="40">
        <f>B26+1</f>
        <v>9</v>
      </c>
      <c r="C28" s="9" t="s">
        <v>872</v>
      </c>
      <c r="E28" s="224"/>
      <c r="F28" s="12"/>
      <c r="G28" s="223"/>
      <c r="H28" s="54"/>
      <c r="I28" s="351"/>
      <c r="J28" s="351"/>
      <c r="K28" s="352">
        <f>'DEF - 6 p2, Levelized Storm'!F42</f>
        <v>140.49561401738774</v>
      </c>
    </row>
    <row r="29" spans="2:11" ht="12.75" customHeight="1" x14ac:dyDescent="0.2">
      <c r="B29" s="40"/>
      <c r="C29" s="9"/>
      <c r="E29" s="224"/>
      <c r="F29" s="12"/>
      <c r="G29" s="223"/>
      <c r="H29" s="54"/>
      <c r="I29" s="351"/>
      <c r="J29" s="351"/>
      <c r="K29" s="12"/>
    </row>
    <row r="30" spans="2:11" x14ac:dyDescent="0.2">
      <c r="B30" s="224"/>
      <c r="C30" s="9" t="s">
        <v>93</v>
      </c>
      <c r="E30" s="224"/>
      <c r="F30" s="12"/>
      <c r="H30" s="224"/>
      <c r="I30" s="7"/>
      <c r="J30" s="7"/>
      <c r="K30" s="6"/>
    </row>
    <row r="31" spans="2:11" x14ac:dyDescent="0.2">
      <c r="B31" s="224">
        <f>B28+1</f>
        <v>10</v>
      </c>
      <c r="C31" s="9"/>
      <c r="D31" s="221" t="str">
        <f>'DEF - 6  p1, FF1 Inputs '!E62</f>
        <v>Firm Network Service for Self</v>
      </c>
      <c r="E31" s="224" t="str">
        <f>'DEF - 6  p1, FF1 Inputs '!F62</f>
        <v>400.17.e</v>
      </c>
      <c r="F31" s="6">
        <f>'DEF - 6  p1, FF1 Inputs '!$J$62</f>
        <v>84456</v>
      </c>
      <c r="H31" s="224"/>
      <c r="I31" s="7">
        <v>0</v>
      </c>
      <c r="J31" s="7"/>
      <c r="K31" s="6">
        <f>IF(ISNUMBER(I31),F31*I31,"")</f>
        <v>0</v>
      </c>
    </row>
    <row r="32" spans="2:11" x14ac:dyDescent="0.2">
      <c r="B32" s="224">
        <f>B31+1</f>
        <v>11</v>
      </c>
      <c r="C32" s="9"/>
      <c r="D32" s="221" t="str">
        <f>'DEF - 6  p1, FF1 Inputs '!E63&amp;" (Note K)"</f>
        <v>Firm Network Service for Others (Note K)</v>
      </c>
      <c r="E32" s="224" t="str">
        <f>'DEF - 6  p1, FF1 Inputs '!F63</f>
        <v>400.17.f</v>
      </c>
      <c r="F32" s="6">
        <f>'DEF - 6  p1, FF1 Inputs '!$J$63</f>
        <v>31432</v>
      </c>
      <c r="H32" s="224"/>
      <c r="I32" s="7">
        <v>1</v>
      </c>
      <c r="J32" s="7"/>
      <c r="K32" s="6">
        <f>IF(ISNUMBER(I32),F32*I32,"")</f>
        <v>31432</v>
      </c>
    </row>
    <row r="33" spans="2:12" x14ac:dyDescent="0.2">
      <c r="B33" s="224">
        <f>B32+1</f>
        <v>12</v>
      </c>
      <c r="C33" s="9"/>
      <c r="D33" s="221" t="str">
        <f>'DEF - 6  p1, FF1 Inputs '!E64</f>
        <v>Long-Term Firm PTP Reservations</v>
      </c>
      <c r="E33" s="224" t="str">
        <f>'DEF - 6  p1, FF1 Inputs '!F64</f>
        <v>400.17.g</v>
      </c>
      <c r="F33" s="6">
        <f>'DEF - 6  p1, FF1 Inputs '!$J$64</f>
        <v>3109</v>
      </c>
      <c r="H33" s="224"/>
      <c r="I33" s="7">
        <v>1</v>
      </c>
      <c r="J33" s="7"/>
      <c r="K33" s="6">
        <f>IF(ISNUMBER(I33),F33*I33,"")</f>
        <v>3109</v>
      </c>
    </row>
    <row r="34" spans="2:12" x14ac:dyDescent="0.2">
      <c r="B34" s="224">
        <f>B33+1</f>
        <v>13</v>
      </c>
      <c r="C34" s="9"/>
      <c r="D34" s="221" t="str">
        <f>'DEF - 6  p1, FF1 Inputs '!E65</f>
        <v>Other Long-Term Firm Service</v>
      </c>
      <c r="E34" s="224" t="str">
        <f>'DEF - 6  p1, FF1 Inputs '!F65</f>
        <v>400.17.h</v>
      </c>
      <c r="F34" s="6">
        <f>'DEF - 6  p1, FF1 Inputs '!$J$65</f>
        <v>486</v>
      </c>
      <c r="H34" s="224"/>
      <c r="I34" s="7">
        <v>1</v>
      </c>
      <c r="J34" s="7"/>
      <c r="K34" s="6">
        <f>IF(ISNUMBER(I34),F34*I34,"")</f>
        <v>486</v>
      </c>
    </row>
    <row r="35" spans="2:12" ht="13.5" thickBot="1" x14ac:dyDescent="0.25">
      <c r="B35" s="224">
        <f>B34+1</f>
        <v>14</v>
      </c>
      <c r="C35" s="9"/>
      <c r="D35" s="53" t="s">
        <v>235</v>
      </c>
      <c r="E35" s="224"/>
      <c r="F35" s="10">
        <v>0</v>
      </c>
      <c r="H35" s="224"/>
      <c r="I35" s="7">
        <v>1</v>
      </c>
      <c r="J35" s="7"/>
      <c r="K35" s="6">
        <f>F35*I35</f>
        <v>0</v>
      </c>
    </row>
    <row r="36" spans="2:12" ht="13.5" thickTop="1" x14ac:dyDescent="0.2">
      <c r="B36" s="224">
        <f>B35+1</f>
        <v>15</v>
      </c>
      <c r="C36" s="9"/>
      <c r="D36" s="4" t="s">
        <v>888</v>
      </c>
      <c r="E36" s="224"/>
      <c r="F36" s="13">
        <f>SUM(F31:F35)</f>
        <v>119483</v>
      </c>
      <c r="H36" s="224"/>
      <c r="I36" s="7"/>
      <c r="J36" s="7"/>
      <c r="K36" s="13">
        <f>SUM(K31:K35)</f>
        <v>35027</v>
      </c>
    </row>
    <row r="37" spans="2:12" x14ac:dyDescent="0.2">
      <c r="B37" s="224"/>
      <c r="C37" s="9"/>
      <c r="E37" s="224"/>
      <c r="F37" s="46"/>
      <c r="H37" s="224"/>
      <c r="I37" s="7"/>
      <c r="J37" s="7"/>
      <c r="K37" s="6"/>
    </row>
    <row r="38" spans="2:12" x14ac:dyDescent="0.2">
      <c r="B38" s="224">
        <f>B36+1</f>
        <v>16</v>
      </c>
      <c r="C38" s="9" t="s">
        <v>392</v>
      </c>
      <c r="E38" s="224"/>
      <c r="F38" s="6"/>
      <c r="H38" s="224"/>
      <c r="I38" s="7"/>
      <c r="J38" s="7"/>
      <c r="K38" s="353">
        <f>F36/K36*I15*F14</f>
        <v>2.8990598083116197</v>
      </c>
      <c r="L38" s="157"/>
    </row>
    <row r="40" spans="2:12" ht="3" customHeight="1" x14ac:dyDescent="0.2"/>
    <row r="41" spans="2:12" ht="6" customHeight="1" x14ac:dyDescent="0.2"/>
    <row r="42" spans="2:12" x14ac:dyDescent="0.2">
      <c r="B42" s="19" t="s">
        <v>97</v>
      </c>
      <c r="C42" s="4" t="s">
        <v>273</v>
      </c>
    </row>
    <row r="43" spans="2:12" x14ac:dyDescent="0.2">
      <c r="B43" s="19" t="s">
        <v>98</v>
      </c>
      <c r="C43" s="4" t="s">
        <v>775</v>
      </c>
    </row>
    <row r="44" spans="2:12" x14ac:dyDescent="0.2">
      <c r="B44" s="19"/>
      <c r="C44" s="4" t="s">
        <v>776</v>
      </c>
    </row>
    <row r="45" spans="2:12" x14ac:dyDescent="0.2">
      <c r="B45" s="19" t="s">
        <v>99</v>
      </c>
      <c r="C45" s="4" t="s">
        <v>121</v>
      </c>
    </row>
    <row r="46" spans="2:12" x14ac:dyDescent="0.2">
      <c r="B46" s="19" t="s">
        <v>100</v>
      </c>
      <c r="C46" s="4" t="s">
        <v>288</v>
      </c>
    </row>
    <row r="47" spans="2:12" x14ac:dyDescent="0.2">
      <c r="B47" s="19" t="s">
        <v>101</v>
      </c>
      <c r="C47" s="4" t="s">
        <v>278</v>
      </c>
    </row>
    <row r="48" spans="2:12" x14ac:dyDescent="0.2">
      <c r="B48" s="19" t="s">
        <v>122</v>
      </c>
      <c r="C48" s="4" t="s">
        <v>777</v>
      </c>
    </row>
    <row r="49" spans="2:3" x14ac:dyDescent="0.2">
      <c r="B49" s="19"/>
      <c r="C49" s="4" t="s">
        <v>778</v>
      </c>
    </row>
    <row r="50" spans="2:3" x14ac:dyDescent="0.2">
      <c r="B50" s="19" t="s">
        <v>125</v>
      </c>
      <c r="C50" s="4" t="s">
        <v>166</v>
      </c>
    </row>
    <row r="51" spans="2:3" ht="12.75" customHeight="1" x14ac:dyDescent="0.2">
      <c r="B51" s="19" t="s">
        <v>165</v>
      </c>
      <c r="C51" s="85" t="s">
        <v>779</v>
      </c>
    </row>
    <row r="52" spans="2:3" ht="12.75" customHeight="1" x14ac:dyDescent="0.2">
      <c r="B52" s="19"/>
      <c r="C52" s="85" t="s">
        <v>780</v>
      </c>
    </row>
    <row r="53" spans="2:3" x14ac:dyDescent="0.2">
      <c r="B53" s="19" t="s">
        <v>187</v>
      </c>
      <c r="C53" s="4" t="s">
        <v>839</v>
      </c>
    </row>
    <row r="54" spans="2:3" x14ac:dyDescent="0.2">
      <c r="C54" s="4" t="s">
        <v>781</v>
      </c>
    </row>
    <row r="55" spans="2:3" x14ac:dyDescent="0.2">
      <c r="B55" s="19" t="s">
        <v>196</v>
      </c>
      <c r="C55" s="4" t="s">
        <v>782</v>
      </c>
    </row>
    <row r="56" spans="2:3" x14ac:dyDescent="0.2">
      <c r="C56" s="4" t="s">
        <v>783</v>
      </c>
    </row>
    <row r="57" spans="2:3" x14ac:dyDescent="0.2">
      <c r="B57" s="19" t="s">
        <v>197</v>
      </c>
      <c r="C57" s="4" t="s">
        <v>199</v>
      </c>
    </row>
    <row r="58" spans="2:3" x14ac:dyDescent="0.2">
      <c r="B58" s="19" t="s">
        <v>286</v>
      </c>
      <c r="C58" s="85" t="s">
        <v>467</v>
      </c>
    </row>
    <row r="59" spans="2:3" x14ac:dyDescent="0.2">
      <c r="B59" s="19" t="s">
        <v>366</v>
      </c>
      <c r="C59" s="4" t="s">
        <v>784</v>
      </c>
    </row>
    <row r="60" spans="2:3" x14ac:dyDescent="0.2">
      <c r="B60" s="19" t="s">
        <v>370</v>
      </c>
      <c r="C60" s="4" t="s">
        <v>785</v>
      </c>
    </row>
    <row r="61" spans="2:3" x14ac:dyDescent="0.2">
      <c r="C61" s="4" t="s">
        <v>786</v>
      </c>
    </row>
    <row r="62" spans="2:3" x14ac:dyDescent="0.2">
      <c r="B62" s="224" t="s">
        <v>376</v>
      </c>
      <c r="C62" s="4" t="s">
        <v>840</v>
      </c>
    </row>
    <row r="63" spans="2:3" x14ac:dyDescent="0.2">
      <c r="C63" s="4" t="s">
        <v>787</v>
      </c>
    </row>
    <row r="64" spans="2:3" x14ac:dyDescent="0.2">
      <c r="B64" s="354" t="s">
        <v>388</v>
      </c>
      <c r="C64" s="4" t="s">
        <v>788</v>
      </c>
    </row>
    <row r="65" spans="2:6" x14ac:dyDescent="0.2">
      <c r="C65" s="4" t="s">
        <v>841</v>
      </c>
    </row>
    <row r="66" spans="2:6" x14ac:dyDescent="0.2">
      <c r="B66" s="224" t="s">
        <v>389</v>
      </c>
      <c r="C66" s="4" t="s">
        <v>789</v>
      </c>
    </row>
    <row r="67" spans="2:6" x14ac:dyDescent="0.2">
      <c r="C67" s="4" t="s">
        <v>790</v>
      </c>
    </row>
    <row r="68" spans="2:6" x14ac:dyDescent="0.2">
      <c r="B68" s="354" t="s">
        <v>390</v>
      </c>
      <c r="C68" s="4" t="s">
        <v>791</v>
      </c>
    </row>
    <row r="69" spans="2:6" x14ac:dyDescent="0.2">
      <c r="C69" s="4" t="s">
        <v>792</v>
      </c>
    </row>
    <row r="70" spans="2:6" x14ac:dyDescent="0.2">
      <c r="B70" s="24" t="s">
        <v>459</v>
      </c>
      <c r="C70" s="85" t="s">
        <v>793</v>
      </c>
    </row>
    <row r="71" spans="2:6" x14ac:dyDescent="0.2">
      <c r="B71" s="24"/>
      <c r="C71" s="85" t="s">
        <v>842</v>
      </c>
    </row>
    <row r="72" spans="2:6" x14ac:dyDescent="0.2">
      <c r="B72" s="24"/>
      <c r="C72" s="85" t="s">
        <v>794</v>
      </c>
    </row>
    <row r="73" spans="2:6" x14ac:dyDescent="0.2">
      <c r="B73" s="85"/>
      <c r="C73" s="85" t="s">
        <v>795</v>
      </c>
    </row>
    <row r="74" spans="2:6" x14ac:dyDescent="0.2">
      <c r="B74" s="24" t="s">
        <v>458</v>
      </c>
      <c r="C74" s="85" t="s">
        <v>463</v>
      </c>
    </row>
    <row r="75" spans="2:6" x14ac:dyDescent="0.2">
      <c r="B75" s="24" t="s">
        <v>464</v>
      </c>
      <c r="C75" s="85" t="s">
        <v>796</v>
      </c>
    </row>
    <row r="76" spans="2:6" x14ac:dyDescent="0.2">
      <c r="B76" s="24"/>
      <c r="C76" s="85" t="s">
        <v>797</v>
      </c>
    </row>
    <row r="77" spans="2:6" x14ac:dyDescent="0.2">
      <c r="B77" s="24"/>
      <c r="C77" s="85" t="s">
        <v>798</v>
      </c>
    </row>
    <row r="78" spans="2:6" x14ac:dyDescent="0.2">
      <c r="B78" s="24"/>
      <c r="C78" s="85" t="s">
        <v>799</v>
      </c>
    </row>
    <row r="79" spans="2:6" x14ac:dyDescent="0.2">
      <c r="B79" s="24" t="s">
        <v>465</v>
      </c>
      <c r="C79" s="85" t="s">
        <v>800</v>
      </c>
    </row>
    <row r="80" spans="2:6" x14ac:dyDescent="0.2">
      <c r="B80" s="16"/>
      <c r="C80" s="85" t="s">
        <v>801</v>
      </c>
      <c r="D80" s="85"/>
      <c r="E80" s="15"/>
      <c r="F80" s="15"/>
    </row>
    <row r="81" spans="2:11" x14ac:dyDescent="0.2">
      <c r="B81" s="24" t="s">
        <v>466</v>
      </c>
      <c r="C81" s="85" t="s">
        <v>843</v>
      </c>
      <c r="D81" s="85"/>
      <c r="E81" s="15"/>
      <c r="F81" s="15"/>
      <c r="G81" s="15"/>
      <c r="H81" s="15"/>
      <c r="I81" s="15"/>
      <c r="J81" s="15"/>
      <c r="K81" s="15"/>
    </row>
    <row r="82" spans="2:11" x14ac:dyDescent="0.2">
      <c r="B82" s="85"/>
      <c r="C82" s="85" t="s">
        <v>802</v>
      </c>
      <c r="D82" s="85"/>
    </row>
    <row r="83" spans="2:11" x14ac:dyDescent="0.2">
      <c r="B83" s="85"/>
      <c r="C83" s="85" t="s">
        <v>844</v>
      </c>
      <c r="D83" s="85"/>
    </row>
    <row r="84" spans="2:11" x14ac:dyDescent="0.2">
      <c r="B84" s="85"/>
      <c r="C84" s="85" t="s">
        <v>803</v>
      </c>
      <c r="D84" s="85"/>
    </row>
    <row r="85" spans="2:11" x14ac:dyDescent="0.2">
      <c r="B85" s="85"/>
      <c r="C85" s="85" t="s">
        <v>804</v>
      </c>
      <c r="D85" s="85"/>
    </row>
    <row r="86" spans="2:11" x14ac:dyDescent="0.2">
      <c r="B86" s="85"/>
      <c r="C86" s="85" t="s">
        <v>845</v>
      </c>
      <c r="D86" s="85"/>
    </row>
    <row r="87" spans="2:11" x14ac:dyDescent="0.2">
      <c r="B87" s="85"/>
      <c r="C87" s="85" t="s">
        <v>846</v>
      </c>
      <c r="D87" s="85"/>
    </row>
    <row r="88" spans="2:11" x14ac:dyDescent="0.2">
      <c r="B88" s="85"/>
      <c r="C88" s="85" t="s">
        <v>805</v>
      </c>
      <c r="D88" s="85"/>
    </row>
    <row r="89" spans="2:11" x14ac:dyDescent="0.2">
      <c r="B89" s="85"/>
      <c r="C89" s="85" t="s">
        <v>806</v>
      </c>
      <c r="D89" s="85"/>
    </row>
    <row r="90" spans="2:11" x14ac:dyDescent="0.2">
      <c r="B90" s="85"/>
      <c r="C90" s="85" t="s">
        <v>807</v>
      </c>
      <c r="D90" s="85"/>
    </row>
    <row r="91" spans="2:11" x14ac:dyDescent="0.2">
      <c r="B91" s="85"/>
      <c r="C91" s="85"/>
      <c r="D91" s="85"/>
    </row>
  </sheetData>
  <mergeCells count="4">
    <mergeCell ref="H11:I11"/>
    <mergeCell ref="A5:L5"/>
    <mergeCell ref="A6:L6"/>
    <mergeCell ref="A8:L8"/>
  </mergeCells>
  <phoneticPr fontId="0" type="noConversion"/>
  <printOptions horizontalCentered="1"/>
  <pageMargins left="0.5" right="0.5" top="0.5" bottom="0.5" header="0.5" footer="0.5"/>
  <pageSetup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workbookViewId="0"/>
  </sheetViews>
  <sheetFormatPr defaultRowHeight="12.75" x14ac:dyDescent="0.2"/>
  <cols>
    <col min="1" max="2" width="3.7109375" style="4" customWidth="1"/>
    <col min="3" max="3" width="9.140625" style="4"/>
    <col min="4" max="4" width="6.85546875" style="4" customWidth="1"/>
    <col min="5" max="5" width="9.140625" style="4"/>
    <col min="6" max="6" width="5.7109375" style="4" customWidth="1"/>
    <col min="7" max="7" width="11.7109375" style="4" customWidth="1"/>
    <col min="8" max="9" width="9.140625" style="4"/>
    <col min="10" max="10" width="5.85546875" style="4" customWidth="1"/>
    <col min="11" max="16384" width="9.140625" style="4"/>
  </cols>
  <sheetData>
    <row r="1" spans="1:13" ht="15" x14ac:dyDescent="0.25">
      <c r="K1" s="245" t="s">
        <v>833</v>
      </c>
      <c r="L1" s="245"/>
      <c r="M1" s="245"/>
    </row>
    <row r="2" spans="1:13" ht="15" x14ac:dyDescent="0.25">
      <c r="K2" s="246" t="s">
        <v>205</v>
      </c>
      <c r="L2" s="246"/>
      <c r="M2" s="247"/>
    </row>
    <row r="3" spans="1:13" x14ac:dyDescent="0.2">
      <c r="K3" s="238" t="str">
        <f>FF1_Year</f>
        <v>Year Ending 12/31/2013</v>
      </c>
      <c r="L3" s="239"/>
      <c r="M3" s="239"/>
    </row>
    <row r="6" spans="1:13" x14ac:dyDescent="0.2">
      <c r="A6" s="240" t="s">
        <v>850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4"/>
    </row>
    <row r="7" spans="1:13" x14ac:dyDescent="0.2">
      <c r="A7" s="240" t="s">
        <v>128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4"/>
    </row>
    <row r="8" spans="1:13" x14ac:dyDescent="0.2">
      <c r="A8" s="222"/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3" x14ac:dyDescent="0.2">
      <c r="A9" s="269" t="s">
        <v>206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70"/>
    </row>
    <row r="13" spans="1:13" x14ac:dyDescent="0.2">
      <c r="A13" s="9" t="s">
        <v>208</v>
      </c>
    </row>
    <row r="46" spans="1:7" x14ac:dyDescent="0.2">
      <c r="A46" s="9" t="str">
        <f>YR&amp;" Per Book Amount:"</f>
        <v>2013 Per Book Amount:</v>
      </c>
      <c r="G46" s="6">
        <v>27541222.7742</v>
      </c>
    </row>
    <row r="47" spans="1:7" x14ac:dyDescent="0.2">
      <c r="G47" s="6"/>
    </row>
    <row r="48" spans="1:7" x14ac:dyDescent="0.2">
      <c r="C48" s="4" t="s">
        <v>207</v>
      </c>
      <c r="G48" s="6">
        <v>22191000</v>
      </c>
    </row>
    <row r="49" spans="1:7" x14ac:dyDescent="0.2">
      <c r="G49" s="6"/>
    </row>
    <row r="50" spans="1:7" x14ac:dyDescent="0.2">
      <c r="A50" s="271" t="s">
        <v>213</v>
      </c>
      <c r="G50" s="6">
        <f>G48-G46</f>
        <v>-5350222.7741999999</v>
      </c>
    </row>
  </sheetData>
  <mergeCells count="6">
    <mergeCell ref="A6:M6"/>
    <mergeCell ref="A7:M7"/>
    <mergeCell ref="A9:M9"/>
    <mergeCell ref="K1:M1"/>
    <mergeCell ref="K2:M2"/>
    <mergeCell ref="K3:M3"/>
  </mergeCells>
  <phoneticPr fontId="15" type="noConversion"/>
  <printOptions horizontalCentered="1"/>
  <pageMargins left="0.5" right="0.5" top="0.5" bottom="0.5" header="0.5" footer="0.5"/>
  <pageSetup scale="96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zoomScaleNormal="100" workbookViewId="0"/>
  </sheetViews>
  <sheetFormatPr defaultRowHeight="12.75" x14ac:dyDescent="0.2"/>
  <cols>
    <col min="1" max="1" width="5.7109375" style="4" customWidth="1"/>
    <col min="2" max="2" width="43.85546875" style="4" customWidth="1"/>
    <col min="3" max="3" width="4.7109375" style="4" customWidth="1"/>
    <col min="4" max="4" width="12.28515625" style="4" bestFit="1" customWidth="1"/>
    <col min="5" max="5" width="4.7109375" style="4" customWidth="1"/>
    <col min="6" max="6" width="12.140625" style="4" bestFit="1" customWidth="1"/>
    <col min="7" max="7" width="18.42578125" style="4" customWidth="1"/>
    <col min="8" max="8" width="11.42578125" style="4" customWidth="1"/>
    <col min="9" max="16384" width="9.140625" style="4"/>
  </cols>
  <sheetData>
    <row r="1" spans="1:9" ht="15" x14ac:dyDescent="0.25">
      <c r="G1" s="246" t="s">
        <v>835</v>
      </c>
      <c r="H1" s="246"/>
    </row>
    <row r="2" spans="1:9" ht="15" x14ac:dyDescent="0.25">
      <c r="G2" s="227" t="s">
        <v>184</v>
      </c>
      <c r="H2" s="227"/>
    </row>
    <row r="3" spans="1:9" x14ac:dyDescent="0.2">
      <c r="G3" s="238" t="str">
        <f>FF1_Year</f>
        <v>Year Ending 12/31/2013</v>
      </c>
      <c r="H3" s="239"/>
    </row>
    <row r="4" spans="1:9" x14ac:dyDescent="0.2">
      <c r="G4" s="221"/>
      <c r="H4" s="221"/>
    </row>
    <row r="6" spans="1:9" x14ac:dyDescent="0.2">
      <c r="A6" s="240" t="s">
        <v>850</v>
      </c>
      <c r="B6" s="240"/>
      <c r="C6" s="240"/>
      <c r="D6" s="240"/>
      <c r="E6" s="240"/>
      <c r="F6" s="240"/>
      <c r="G6" s="240"/>
      <c r="H6" s="240"/>
      <c r="I6" s="272"/>
    </row>
    <row r="7" spans="1:9" x14ac:dyDescent="0.2">
      <c r="A7" s="269" t="s">
        <v>359</v>
      </c>
      <c r="B7" s="269"/>
      <c r="C7" s="269"/>
      <c r="D7" s="269"/>
      <c r="E7" s="269"/>
      <c r="F7" s="269"/>
      <c r="G7" s="269"/>
      <c r="H7" s="269"/>
    </row>
    <row r="8" spans="1:9" x14ac:dyDescent="0.2">
      <c r="A8" s="269" t="s">
        <v>360</v>
      </c>
      <c r="B8" s="269"/>
      <c r="C8" s="269"/>
      <c r="D8" s="269"/>
      <c r="E8" s="269"/>
      <c r="F8" s="269"/>
      <c r="G8" s="269"/>
      <c r="H8" s="269"/>
    </row>
    <row r="9" spans="1:9" x14ac:dyDescent="0.2">
      <c r="B9" s="272"/>
      <c r="D9" s="6"/>
      <c r="E9" s="6"/>
      <c r="F9" s="6"/>
      <c r="G9" s="6"/>
      <c r="H9" s="6"/>
    </row>
    <row r="10" spans="1:9" x14ac:dyDescent="0.2">
      <c r="A10" s="85"/>
      <c r="B10" s="85"/>
      <c r="C10" s="85"/>
      <c r="D10" s="96" t="s">
        <v>360</v>
      </c>
      <c r="E10" s="9"/>
      <c r="F10" s="97" t="s">
        <v>260</v>
      </c>
      <c r="G10" s="98" t="s">
        <v>489</v>
      </c>
      <c r="H10" s="6"/>
    </row>
    <row r="11" spans="1:9" x14ac:dyDescent="0.2">
      <c r="A11" s="85"/>
      <c r="B11" s="99" t="s">
        <v>490</v>
      </c>
      <c r="C11" s="99"/>
      <c r="D11" s="100">
        <v>9153197.1300000027</v>
      </c>
      <c r="E11" s="99"/>
      <c r="F11" s="100"/>
      <c r="G11" s="99"/>
      <c r="H11" s="6"/>
    </row>
    <row r="12" spans="1:9" x14ac:dyDescent="0.2">
      <c r="A12" s="85"/>
      <c r="B12" s="99" t="s">
        <v>491</v>
      </c>
      <c r="C12" s="99"/>
      <c r="D12" s="100">
        <v>291925</v>
      </c>
      <c r="E12" s="99"/>
      <c r="F12" s="100">
        <f>D12</f>
        <v>291925</v>
      </c>
      <c r="G12" s="99"/>
      <c r="H12" s="6"/>
    </row>
    <row r="13" spans="1:9" x14ac:dyDescent="0.2">
      <c r="A13" s="85"/>
      <c r="B13" s="99" t="s">
        <v>492</v>
      </c>
      <c r="C13" s="99"/>
      <c r="D13" s="100">
        <v>2131565</v>
      </c>
      <c r="E13" s="99"/>
      <c r="F13" s="100">
        <f>D13</f>
        <v>2131565</v>
      </c>
      <c r="G13" s="99"/>
      <c r="H13" s="6"/>
    </row>
    <row r="14" spans="1:9" x14ac:dyDescent="0.2">
      <c r="A14" s="85"/>
      <c r="B14" s="99" t="s">
        <v>493</v>
      </c>
      <c r="C14" s="99"/>
      <c r="D14" s="100">
        <v>66751046.840000011</v>
      </c>
      <c r="E14" s="99"/>
      <c r="F14" s="100"/>
      <c r="G14" s="99"/>
      <c r="H14" s="6"/>
    </row>
    <row r="15" spans="1:9" x14ac:dyDescent="0.2">
      <c r="A15" s="85"/>
      <c r="B15" s="99" t="s">
        <v>494</v>
      </c>
      <c r="C15" s="99"/>
      <c r="D15" s="100">
        <v>617.88</v>
      </c>
      <c r="E15" s="99"/>
      <c r="F15" s="100">
        <f>D15</f>
        <v>617.88</v>
      </c>
      <c r="G15" s="99"/>
      <c r="H15" s="6"/>
    </row>
    <row r="16" spans="1:9" x14ac:dyDescent="0.2">
      <c r="A16" s="85"/>
      <c r="B16" s="99" t="s">
        <v>495</v>
      </c>
      <c r="C16" s="99"/>
      <c r="D16" s="100">
        <v>640846.67999999993</v>
      </c>
      <c r="E16" s="99"/>
      <c r="F16" s="100">
        <f>D16</f>
        <v>640846.67999999993</v>
      </c>
      <c r="G16" s="99"/>
      <c r="H16" s="6"/>
    </row>
    <row r="17" spans="1:8" x14ac:dyDescent="0.2">
      <c r="A17" s="85"/>
      <c r="B17" s="99" t="s">
        <v>496</v>
      </c>
      <c r="C17" s="99"/>
      <c r="D17" s="100">
        <v>42000</v>
      </c>
      <c r="E17" s="99"/>
      <c r="F17" s="100">
        <f>D17</f>
        <v>42000</v>
      </c>
      <c r="G17" s="99"/>
      <c r="H17" s="6"/>
    </row>
    <row r="18" spans="1:8" x14ac:dyDescent="0.2">
      <c r="A18" s="85"/>
      <c r="B18" s="99" t="s">
        <v>497</v>
      </c>
      <c r="C18" s="99"/>
      <c r="D18" s="100">
        <v>7002875.9000000004</v>
      </c>
      <c r="E18" s="99"/>
      <c r="F18" s="100"/>
      <c r="G18" s="99"/>
      <c r="H18" s="6"/>
    </row>
    <row r="19" spans="1:8" x14ac:dyDescent="0.2">
      <c r="A19" s="85"/>
      <c r="B19" s="99" t="s">
        <v>498</v>
      </c>
      <c r="C19" s="99"/>
      <c r="D19" s="100">
        <v>325699.78999999992</v>
      </c>
      <c r="E19" s="99"/>
      <c r="F19" s="100"/>
      <c r="G19" s="99"/>
      <c r="H19" s="6"/>
    </row>
    <row r="20" spans="1:8" x14ac:dyDescent="0.2">
      <c r="A20" s="85"/>
      <c r="B20" s="99" t="s">
        <v>499</v>
      </c>
      <c r="C20" s="99"/>
      <c r="D20" s="100">
        <v>281656.68</v>
      </c>
      <c r="E20" s="99"/>
      <c r="F20" s="100"/>
      <c r="G20" s="99"/>
      <c r="H20" s="6"/>
    </row>
    <row r="21" spans="1:8" x14ac:dyDescent="0.2">
      <c r="A21" s="85"/>
      <c r="B21" s="101" t="s">
        <v>500</v>
      </c>
      <c r="C21" s="99"/>
      <c r="D21" s="100">
        <v>229079.36999999997</v>
      </c>
      <c r="E21" s="99"/>
      <c r="F21" s="100"/>
      <c r="G21" s="99"/>
      <c r="H21" s="6"/>
    </row>
    <row r="22" spans="1:8" x14ac:dyDescent="0.2">
      <c r="A22" s="85"/>
      <c r="B22" s="99" t="s">
        <v>501</v>
      </c>
      <c r="C22" s="99"/>
      <c r="D22" s="100">
        <v>1002970.5800000001</v>
      </c>
      <c r="E22" s="99"/>
      <c r="F22" s="100"/>
      <c r="G22" s="99"/>
      <c r="H22" s="6"/>
    </row>
    <row r="23" spans="1:8" x14ac:dyDescent="0.2">
      <c r="A23" s="85"/>
      <c r="B23" s="99" t="s">
        <v>502</v>
      </c>
      <c r="C23" s="99"/>
      <c r="D23" s="100">
        <v>2387.0700000000002</v>
      </c>
      <c r="E23" s="99"/>
      <c r="F23" s="100"/>
      <c r="G23" s="99"/>
      <c r="H23" s="6"/>
    </row>
    <row r="24" spans="1:8" x14ac:dyDescent="0.2">
      <c r="A24" s="85"/>
      <c r="B24" s="99" t="s">
        <v>503</v>
      </c>
      <c r="C24" s="99"/>
      <c r="D24" s="100">
        <v>658228.99999999988</v>
      </c>
      <c r="E24" s="99"/>
      <c r="F24" s="100">
        <f>D24</f>
        <v>658228.99999999988</v>
      </c>
      <c r="G24" s="99"/>
      <c r="H24" s="10"/>
    </row>
    <row r="25" spans="1:8" x14ac:dyDescent="0.2">
      <c r="A25" s="85"/>
      <c r="B25" s="99" t="s">
        <v>504</v>
      </c>
      <c r="C25" s="99"/>
      <c r="D25" s="100"/>
      <c r="E25" s="99"/>
      <c r="F25" s="100">
        <f>D25*VLOOKUP("LABOR",ALLOCATORS,2,FALSE)</f>
        <v>0</v>
      </c>
      <c r="G25" s="99" t="s">
        <v>505</v>
      </c>
      <c r="H25" s="6"/>
    </row>
    <row r="26" spans="1:8" x14ac:dyDescent="0.2">
      <c r="A26" s="85"/>
      <c r="B26" s="99" t="s">
        <v>506</v>
      </c>
      <c r="C26" s="99"/>
      <c r="D26" s="100"/>
      <c r="E26" s="99"/>
      <c r="F26" s="100">
        <f>D26*VLOOKUP("LABOR",ALLOCATORS,2,FALSE)</f>
        <v>0</v>
      </c>
      <c r="G26" s="99" t="s">
        <v>505</v>
      </c>
      <c r="H26" s="6"/>
    </row>
    <row r="27" spans="1:8" x14ac:dyDescent="0.2">
      <c r="A27" s="85"/>
      <c r="B27" s="99" t="s">
        <v>507</v>
      </c>
      <c r="C27" s="99"/>
      <c r="D27" s="100">
        <v>265304.27000000014</v>
      </c>
      <c r="E27" s="99"/>
      <c r="F27" s="100">
        <f>D27*VLOOKUP("LABOR",ALLOCATORS,2,FALSE)</f>
        <v>20716.656511565885</v>
      </c>
      <c r="G27" s="99" t="s">
        <v>505</v>
      </c>
      <c r="H27" s="6"/>
    </row>
    <row r="28" spans="1:8" ht="3.75" customHeight="1" x14ac:dyDescent="0.2">
      <c r="A28" s="85"/>
      <c r="B28" s="99"/>
      <c r="C28" s="99"/>
      <c r="D28" s="100"/>
      <c r="E28" s="99"/>
      <c r="F28" s="100"/>
      <c r="G28" s="99"/>
      <c r="H28" s="10"/>
    </row>
    <row r="29" spans="1:8" ht="4.5" customHeight="1" x14ac:dyDescent="0.2">
      <c r="B29" s="272"/>
      <c r="D29" s="10"/>
      <c r="E29" s="10"/>
      <c r="F29" s="116"/>
      <c r="G29" s="6"/>
      <c r="H29" s="6"/>
    </row>
    <row r="30" spans="1:8" ht="13.5" thickBot="1" x14ac:dyDescent="0.25">
      <c r="B30" s="273" t="s">
        <v>261</v>
      </c>
      <c r="C30" s="273"/>
      <c r="D30" s="274">
        <f>SUM(D11:D28)</f>
        <v>88779401.190000027</v>
      </c>
      <c r="E30" s="51"/>
      <c r="F30" s="274">
        <f>SUM(F11:F28)</f>
        <v>3785900.2165115653</v>
      </c>
      <c r="G30" s="6"/>
      <c r="H30" s="6"/>
    </row>
    <row r="31" spans="1:8" ht="13.5" thickTop="1" x14ac:dyDescent="0.2"/>
    <row r="34" spans="1:7" x14ac:dyDescent="0.2">
      <c r="A34" s="130"/>
      <c r="B34" s="130"/>
      <c r="C34" s="130"/>
      <c r="D34" s="130"/>
      <c r="E34" s="130"/>
      <c r="F34" s="130"/>
    </row>
    <row r="35" spans="1:7" x14ac:dyDescent="0.2">
      <c r="A35" s="275"/>
      <c r="B35" s="276"/>
      <c r="C35" s="276"/>
      <c r="D35" s="277"/>
      <c r="E35" s="278"/>
      <c r="F35" s="277"/>
      <c r="G35" s="279"/>
    </row>
    <row r="36" spans="1:7" x14ac:dyDescent="0.2">
      <c r="A36" s="130"/>
      <c r="B36" s="280"/>
      <c r="C36" s="276"/>
      <c r="D36" s="277"/>
      <c r="E36" s="277"/>
      <c r="F36" s="277"/>
      <c r="G36" s="279"/>
    </row>
    <row r="37" spans="1:7" ht="15" x14ac:dyDescent="0.25">
      <c r="A37" s="281"/>
      <c r="B37" s="280"/>
      <c r="C37" s="130"/>
      <c r="D37" s="130"/>
      <c r="E37" s="130"/>
      <c r="F37" s="130"/>
    </row>
    <row r="38" spans="1:7" x14ac:dyDescent="0.2">
      <c r="A38" s="130"/>
      <c r="B38" s="130"/>
      <c r="C38" s="130"/>
      <c r="D38" s="130"/>
      <c r="E38" s="130"/>
      <c r="F38" s="130"/>
    </row>
    <row r="39" spans="1:7" x14ac:dyDescent="0.2">
      <c r="A39" s="130"/>
      <c r="B39" s="280"/>
      <c r="C39" s="130"/>
      <c r="D39" s="130"/>
      <c r="E39" s="130"/>
      <c r="F39" s="130"/>
    </row>
    <row r="40" spans="1:7" x14ac:dyDescent="0.2">
      <c r="A40" s="130"/>
      <c r="B40" s="280"/>
      <c r="C40" s="130"/>
      <c r="D40" s="130"/>
      <c r="E40" s="130"/>
      <c r="F40" s="282"/>
    </row>
    <row r="41" spans="1:7" x14ac:dyDescent="0.2">
      <c r="A41" s="130"/>
      <c r="B41" s="130"/>
      <c r="C41" s="130"/>
      <c r="D41" s="130"/>
      <c r="E41" s="130"/>
      <c r="F41" s="130"/>
    </row>
    <row r="42" spans="1:7" x14ac:dyDescent="0.2">
      <c r="A42" s="120"/>
      <c r="B42" s="283"/>
      <c r="C42" s="130"/>
      <c r="D42" s="130"/>
      <c r="E42" s="130"/>
      <c r="F42" s="130"/>
    </row>
    <row r="43" spans="1:7" x14ac:dyDescent="0.2">
      <c r="A43" s="130"/>
      <c r="B43" s="280"/>
      <c r="C43" s="284"/>
      <c r="D43" s="284"/>
      <c r="E43" s="284"/>
      <c r="F43" s="282"/>
      <c r="G43" s="124"/>
    </row>
    <row r="44" spans="1:7" x14ac:dyDescent="0.2">
      <c r="A44" s="284"/>
      <c r="B44" s="280"/>
      <c r="C44" s="284"/>
      <c r="D44" s="284"/>
      <c r="E44" s="284"/>
      <c r="F44" s="282"/>
      <c r="G44" s="124"/>
    </row>
    <row r="45" spans="1:7" x14ac:dyDescent="0.2">
      <c r="A45" s="284"/>
      <c r="B45" s="284"/>
      <c r="C45" s="284"/>
      <c r="D45" s="284"/>
      <c r="E45" s="284"/>
      <c r="F45" s="285"/>
      <c r="G45" s="124"/>
    </row>
  </sheetData>
  <mergeCells count="5">
    <mergeCell ref="A8:H8"/>
    <mergeCell ref="G1:H1"/>
    <mergeCell ref="G3:H3"/>
    <mergeCell ref="A6:H6"/>
    <mergeCell ref="A7:H7"/>
  </mergeCells>
  <phoneticPr fontId="15" type="noConversion"/>
  <pageMargins left="0.5" right="0.5" top="0.5" bottom="0.5" header="0.5" footer="0.5"/>
  <pageSetup scale="8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7"/>
  <sheetViews>
    <sheetView zoomScale="130" zoomScaleNormal="130" workbookViewId="0"/>
  </sheetViews>
  <sheetFormatPr defaultColWidth="9.140625" defaultRowHeight="12.75" x14ac:dyDescent="0.2"/>
  <cols>
    <col min="1" max="1" width="1.7109375" style="85" customWidth="1"/>
    <col min="2" max="2" width="17.42578125" style="85" bestFit="1" customWidth="1"/>
    <col min="3" max="3" width="1.7109375" style="85" customWidth="1"/>
    <col min="4" max="4" width="42.28515625" style="85" customWidth="1"/>
    <col min="5" max="5" width="13.140625" style="85" bestFit="1" customWidth="1"/>
    <col min="6" max="6" width="14.42578125" style="85" bestFit="1" customWidth="1"/>
    <col min="7" max="7" width="15.140625" style="85" bestFit="1" customWidth="1"/>
    <col min="8" max="8" width="5.85546875" style="85" customWidth="1"/>
    <col min="9" max="9" width="13.7109375" style="85" bestFit="1" customWidth="1"/>
    <col min="10" max="16384" width="9.140625" style="85"/>
  </cols>
  <sheetData>
    <row r="1" spans="1:9" ht="15" x14ac:dyDescent="0.25">
      <c r="G1" s="246" t="s">
        <v>835</v>
      </c>
      <c r="H1" s="246"/>
    </row>
    <row r="2" spans="1:9" ht="15" x14ac:dyDescent="0.25">
      <c r="G2" s="227" t="s">
        <v>185</v>
      </c>
      <c r="H2" s="227"/>
    </row>
    <row r="3" spans="1:9" x14ac:dyDescent="0.2">
      <c r="G3" s="286" t="str">
        <f>FF1_Year</f>
        <v>Year Ending 12/31/2013</v>
      </c>
      <c r="H3" s="286"/>
    </row>
    <row r="5" spans="1:9" x14ac:dyDescent="0.2">
      <c r="A5" s="240" t="s">
        <v>850</v>
      </c>
      <c r="B5" s="240"/>
      <c r="C5" s="240"/>
      <c r="D5" s="240"/>
      <c r="E5" s="240"/>
      <c r="F5" s="240"/>
      <c r="G5" s="240"/>
      <c r="H5" s="240"/>
    </row>
    <row r="6" spans="1:9" x14ac:dyDescent="0.2">
      <c r="A6" s="255" t="s">
        <v>361</v>
      </c>
      <c r="B6" s="255"/>
      <c r="C6" s="255"/>
      <c r="D6" s="255"/>
      <c r="E6" s="255"/>
      <c r="F6" s="255"/>
      <c r="G6" s="255"/>
      <c r="H6" s="255"/>
    </row>
    <row r="7" spans="1:9" x14ac:dyDescent="0.2">
      <c r="A7" s="255" t="s">
        <v>435</v>
      </c>
      <c r="B7" s="255"/>
      <c r="C7" s="255"/>
      <c r="D7" s="255"/>
      <c r="E7" s="255"/>
      <c r="F7" s="255"/>
      <c r="G7" s="255"/>
      <c r="H7" s="255"/>
    </row>
    <row r="10" spans="1:9" x14ac:dyDescent="0.2">
      <c r="B10" s="287" t="s">
        <v>111</v>
      </c>
      <c r="C10" s="38"/>
      <c r="D10" s="39" t="s">
        <v>112</v>
      </c>
      <c r="E10" s="39" t="s">
        <v>113</v>
      </c>
      <c r="F10" s="39" t="s">
        <v>114</v>
      </c>
      <c r="G10" s="39" t="s">
        <v>118</v>
      </c>
    </row>
    <row r="11" spans="1:9" x14ac:dyDescent="0.2">
      <c r="B11" s="287"/>
      <c r="C11" s="38"/>
      <c r="D11" s="39" t="s">
        <v>115</v>
      </c>
      <c r="E11" s="39" t="s">
        <v>116</v>
      </c>
      <c r="F11" s="39" t="s">
        <v>117</v>
      </c>
      <c r="G11" s="39" t="s">
        <v>119</v>
      </c>
    </row>
    <row r="12" spans="1:9" ht="6.75" customHeight="1" x14ac:dyDescent="0.2">
      <c r="B12" s="38"/>
      <c r="C12" s="38"/>
      <c r="D12" s="39"/>
      <c r="E12" s="39"/>
      <c r="F12" s="39"/>
      <c r="G12" s="39"/>
    </row>
    <row r="13" spans="1:9" ht="15.75" x14ac:dyDescent="0.25">
      <c r="B13" s="120" t="s">
        <v>508</v>
      </c>
      <c r="C13" s="121"/>
      <c r="D13" s="191" t="s">
        <v>865</v>
      </c>
      <c r="E13" s="127" t="s">
        <v>509</v>
      </c>
      <c r="F13" s="127" t="s">
        <v>510</v>
      </c>
      <c r="G13" s="288">
        <v>20395</v>
      </c>
      <c r="I13" s="122"/>
    </row>
    <row r="14" spans="1:9" ht="15.75" x14ac:dyDescent="0.25">
      <c r="B14" s="120" t="s">
        <v>511</v>
      </c>
      <c r="C14" s="121"/>
      <c r="D14" s="126" t="s">
        <v>512</v>
      </c>
      <c r="E14" s="127" t="s">
        <v>513</v>
      </c>
      <c r="F14" s="127" t="s">
        <v>514</v>
      </c>
      <c r="G14" s="288">
        <v>1016074</v>
      </c>
      <c r="I14" s="122"/>
    </row>
    <row r="15" spans="1:9" ht="15.75" x14ac:dyDescent="0.25">
      <c r="B15" s="120" t="s">
        <v>515</v>
      </c>
      <c r="C15" s="121"/>
      <c r="D15" s="126" t="s">
        <v>516</v>
      </c>
      <c r="E15" s="127" t="s">
        <v>517</v>
      </c>
      <c r="F15" s="127" t="s">
        <v>518</v>
      </c>
      <c r="G15" s="288">
        <v>5515</v>
      </c>
      <c r="I15" s="122"/>
    </row>
    <row r="16" spans="1:9" ht="15.75" x14ac:dyDescent="0.25">
      <c r="B16" s="120" t="s">
        <v>519</v>
      </c>
      <c r="C16" s="121"/>
      <c r="D16" s="126" t="s">
        <v>520</v>
      </c>
      <c r="E16" s="127" t="s">
        <v>517</v>
      </c>
      <c r="F16" s="127" t="s">
        <v>521</v>
      </c>
      <c r="G16" s="288">
        <v>9</v>
      </c>
      <c r="I16" s="122"/>
    </row>
    <row r="17" spans="2:9" ht="15.75" x14ac:dyDescent="0.25">
      <c r="B17" s="120" t="s">
        <v>522</v>
      </c>
      <c r="C17" s="121"/>
      <c r="D17" s="126" t="s">
        <v>523</v>
      </c>
      <c r="E17" s="127" t="s">
        <v>517</v>
      </c>
      <c r="F17" s="127" t="s">
        <v>524</v>
      </c>
      <c r="G17" s="288">
        <v>0</v>
      </c>
      <c r="I17" s="122"/>
    </row>
    <row r="18" spans="2:9" ht="15.75" x14ac:dyDescent="0.25">
      <c r="B18" s="120" t="s">
        <v>525</v>
      </c>
      <c r="C18" s="121"/>
      <c r="D18" s="126" t="s">
        <v>526</v>
      </c>
      <c r="E18" s="127" t="s">
        <v>517</v>
      </c>
      <c r="F18" s="127" t="s">
        <v>527</v>
      </c>
      <c r="G18" s="288">
        <v>0</v>
      </c>
      <c r="I18" s="122"/>
    </row>
    <row r="19" spans="2:9" ht="15.75" x14ac:dyDescent="0.25">
      <c r="B19" s="120" t="s">
        <v>528</v>
      </c>
      <c r="C19" s="121"/>
      <c r="D19" s="126" t="s">
        <v>529</v>
      </c>
      <c r="E19" s="127" t="s">
        <v>517</v>
      </c>
      <c r="F19" s="127" t="s">
        <v>530</v>
      </c>
      <c r="G19" s="288">
        <v>0</v>
      </c>
      <c r="I19" s="122"/>
    </row>
    <row r="20" spans="2:9" ht="15.75" x14ac:dyDescent="0.25">
      <c r="B20" s="120" t="s">
        <v>531</v>
      </c>
      <c r="C20" s="121"/>
      <c r="D20" s="126" t="s">
        <v>532</v>
      </c>
      <c r="E20" s="127" t="s">
        <v>517</v>
      </c>
      <c r="F20" s="127" t="s">
        <v>533</v>
      </c>
      <c r="G20" s="288">
        <v>1791</v>
      </c>
      <c r="I20" s="122"/>
    </row>
    <row r="21" spans="2:9" ht="15.75" x14ac:dyDescent="0.25">
      <c r="B21" s="120" t="s">
        <v>534</v>
      </c>
      <c r="C21" s="121"/>
      <c r="D21" s="126" t="s">
        <v>535</v>
      </c>
      <c r="E21" s="127" t="s">
        <v>517</v>
      </c>
      <c r="F21" s="127" t="s">
        <v>536</v>
      </c>
      <c r="G21" s="288">
        <v>1890</v>
      </c>
      <c r="I21" s="122"/>
    </row>
    <row r="22" spans="2:9" ht="15.75" x14ac:dyDescent="0.25">
      <c r="B22" s="120" t="s">
        <v>537</v>
      </c>
      <c r="C22" s="121"/>
      <c r="D22" s="126" t="s">
        <v>538</v>
      </c>
      <c r="E22" s="127" t="s">
        <v>517</v>
      </c>
      <c r="F22" s="127" t="s">
        <v>539</v>
      </c>
      <c r="G22" s="288">
        <v>0</v>
      </c>
      <c r="I22" s="122"/>
    </row>
    <row r="23" spans="2:9" ht="15.75" x14ac:dyDescent="0.25">
      <c r="B23" s="120" t="s">
        <v>540</v>
      </c>
      <c r="C23" s="121"/>
      <c r="D23" s="126" t="s">
        <v>538</v>
      </c>
      <c r="E23" s="128" t="s">
        <v>513</v>
      </c>
      <c r="F23" s="128" t="s">
        <v>741</v>
      </c>
      <c r="G23" s="288">
        <v>10724304</v>
      </c>
      <c r="I23" s="122"/>
    </row>
    <row r="24" spans="2:9" ht="15.75" x14ac:dyDescent="0.25">
      <c r="B24" s="120" t="s">
        <v>543</v>
      </c>
      <c r="C24" s="121"/>
      <c r="D24" s="126" t="s">
        <v>736</v>
      </c>
      <c r="E24" s="128" t="s">
        <v>513</v>
      </c>
      <c r="F24" s="128" t="s">
        <v>592</v>
      </c>
      <c r="G24" s="288">
        <v>458439</v>
      </c>
      <c r="I24" s="122"/>
    </row>
    <row r="25" spans="2:9" ht="15.75" x14ac:dyDescent="0.25">
      <c r="B25" s="120" t="s">
        <v>546</v>
      </c>
      <c r="C25" s="121"/>
      <c r="D25" s="126" t="s">
        <v>541</v>
      </c>
      <c r="E25" s="128" t="s">
        <v>517</v>
      </c>
      <c r="F25" s="128" t="s">
        <v>542</v>
      </c>
      <c r="G25" s="288">
        <v>2982</v>
      </c>
      <c r="I25" s="122"/>
    </row>
    <row r="26" spans="2:9" ht="15.75" x14ac:dyDescent="0.25">
      <c r="B26" s="120" t="s">
        <v>549</v>
      </c>
      <c r="C26" s="121"/>
      <c r="D26" s="126" t="s">
        <v>544</v>
      </c>
      <c r="E26" s="128" t="s">
        <v>517</v>
      </c>
      <c r="F26" s="128" t="s">
        <v>545</v>
      </c>
      <c r="G26" s="288">
        <v>0</v>
      </c>
      <c r="I26" s="122"/>
    </row>
    <row r="27" spans="2:9" ht="15.75" x14ac:dyDescent="0.25">
      <c r="B27" s="120" t="s">
        <v>553</v>
      </c>
      <c r="C27" s="121"/>
      <c r="D27" s="126" t="s">
        <v>547</v>
      </c>
      <c r="E27" s="127" t="s">
        <v>509</v>
      </c>
      <c r="F27" s="128" t="s">
        <v>548</v>
      </c>
      <c r="G27" s="288">
        <v>368681</v>
      </c>
      <c r="I27" s="122"/>
    </row>
    <row r="28" spans="2:9" ht="15.75" x14ac:dyDescent="0.25">
      <c r="B28" s="120" t="s">
        <v>556</v>
      </c>
      <c r="C28" s="121"/>
      <c r="D28" s="126" t="s">
        <v>550</v>
      </c>
      <c r="E28" s="128" t="s">
        <v>551</v>
      </c>
      <c r="F28" s="128" t="s">
        <v>552</v>
      </c>
      <c r="G28" s="288">
        <v>1346456</v>
      </c>
      <c r="I28" s="122"/>
    </row>
    <row r="29" spans="2:9" ht="15.75" x14ac:dyDescent="0.25">
      <c r="B29" s="120" t="s">
        <v>558</v>
      </c>
      <c r="C29" s="121"/>
      <c r="D29" s="126" t="s">
        <v>862</v>
      </c>
      <c r="E29" s="128" t="s">
        <v>513</v>
      </c>
      <c r="F29" s="128" t="s">
        <v>863</v>
      </c>
      <c r="G29" s="288">
        <v>74953</v>
      </c>
      <c r="I29" s="122"/>
    </row>
    <row r="30" spans="2:9" ht="15.75" x14ac:dyDescent="0.25">
      <c r="B30" s="120" t="s">
        <v>561</v>
      </c>
      <c r="C30" s="121"/>
      <c r="D30" s="126" t="s">
        <v>554</v>
      </c>
      <c r="E30" s="128" t="s">
        <v>509</v>
      </c>
      <c r="F30" s="128" t="s">
        <v>555</v>
      </c>
      <c r="G30" s="288">
        <v>1251998</v>
      </c>
      <c r="I30" s="122"/>
    </row>
    <row r="31" spans="2:9" ht="15.75" x14ac:dyDescent="0.25">
      <c r="B31" s="120" t="s">
        <v>564</v>
      </c>
      <c r="C31" s="121"/>
      <c r="D31" s="126" t="s">
        <v>554</v>
      </c>
      <c r="E31" s="128" t="s">
        <v>517</v>
      </c>
      <c r="F31" s="128" t="s">
        <v>557</v>
      </c>
      <c r="G31" s="288">
        <v>19</v>
      </c>
      <c r="I31" s="122"/>
    </row>
    <row r="32" spans="2:9" ht="15.75" x14ac:dyDescent="0.25">
      <c r="B32" s="120" t="s">
        <v>567</v>
      </c>
      <c r="C32" s="121"/>
      <c r="D32" s="126" t="s">
        <v>554</v>
      </c>
      <c r="E32" s="128" t="s">
        <v>559</v>
      </c>
      <c r="F32" s="128" t="s">
        <v>560</v>
      </c>
      <c r="G32" s="288">
        <v>0</v>
      </c>
      <c r="I32" s="122"/>
    </row>
    <row r="33" spans="2:9" ht="15.75" x14ac:dyDescent="0.25">
      <c r="B33" s="120" t="s">
        <v>570</v>
      </c>
      <c r="C33" s="121"/>
      <c r="D33" s="126" t="s">
        <v>562</v>
      </c>
      <c r="E33" s="128" t="s">
        <v>509</v>
      </c>
      <c r="F33" s="128" t="s">
        <v>563</v>
      </c>
      <c r="G33" s="288">
        <v>176913</v>
      </c>
      <c r="I33" s="122"/>
    </row>
    <row r="34" spans="2:9" ht="15.75" x14ac:dyDescent="0.25">
      <c r="B34" s="120" t="s">
        <v>573</v>
      </c>
      <c r="C34" s="121"/>
      <c r="D34" s="126" t="s">
        <v>565</v>
      </c>
      <c r="E34" s="127" t="s">
        <v>517</v>
      </c>
      <c r="F34" s="128" t="s">
        <v>566</v>
      </c>
      <c r="G34" s="288">
        <v>12809</v>
      </c>
      <c r="I34" s="122"/>
    </row>
    <row r="35" spans="2:9" ht="15.75" x14ac:dyDescent="0.25">
      <c r="B35" s="120" t="s">
        <v>576</v>
      </c>
      <c r="C35" s="121"/>
      <c r="D35" s="126" t="s">
        <v>568</v>
      </c>
      <c r="E35" s="128" t="s">
        <v>513</v>
      </c>
      <c r="F35" s="128" t="s">
        <v>569</v>
      </c>
      <c r="G35" s="288">
        <v>590406</v>
      </c>
      <c r="I35" s="122"/>
    </row>
    <row r="36" spans="2:9" ht="15.75" x14ac:dyDescent="0.25">
      <c r="B36" s="120" t="s">
        <v>578</v>
      </c>
      <c r="C36" s="121"/>
      <c r="D36" s="126" t="s">
        <v>571</v>
      </c>
      <c r="E36" s="128" t="s">
        <v>517</v>
      </c>
      <c r="F36" s="128" t="s">
        <v>572</v>
      </c>
      <c r="G36" s="288">
        <v>0</v>
      </c>
      <c r="I36" s="122"/>
    </row>
    <row r="37" spans="2:9" ht="15.75" x14ac:dyDescent="0.25">
      <c r="B37" s="120" t="s">
        <v>580</v>
      </c>
      <c r="C37" s="121"/>
      <c r="D37" s="126" t="s">
        <v>574</v>
      </c>
      <c r="E37" s="128" t="s">
        <v>509</v>
      </c>
      <c r="F37" s="128" t="s">
        <v>575</v>
      </c>
      <c r="G37" s="288">
        <v>143906</v>
      </c>
      <c r="I37" s="122"/>
    </row>
    <row r="38" spans="2:9" ht="15.75" x14ac:dyDescent="0.25">
      <c r="B38" s="120" t="s">
        <v>583</v>
      </c>
      <c r="C38" s="121"/>
      <c r="D38" s="126" t="s">
        <v>574</v>
      </c>
      <c r="E38" s="128" t="s">
        <v>509</v>
      </c>
      <c r="F38" s="128" t="s">
        <v>577</v>
      </c>
      <c r="G38" s="288">
        <v>783445</v>
      </c>
      <c r="I38" s="122"/>
    </row>
    <row r="39" spans="2:9" ht="15.75" x14ac:dyDescent="0.25">
      <c r="B39" s="120" t="s">
        <v>586</v>
      </c>
      <c r="C39" s="121"/>
      <c r="D39" s="126" t="s">
        <v>574</v>
      </c>
      <c r="E39" s="128" t="s">
        <v>509</v>
      </c>
      <c r="F39" s="128" t="s">
        <v>577</v>
      </c>
      <c r="G39" s="288">
        <v>190824</v>
      </c>
      <c r="I39" s="122"/>
    </row>
    <row r="40" spans="2:9" ht="15.75" x14ac:dyDescent="0.25">
      <c r="B40" s="120" t="s">
        <v>589</v>
      </c>
      <c r="C40" s="121"/>
      <c r="D40" s="126" t="s">
        <v>574</v>
      </c>
      <c r="E40" s="128" t="s">
        <v>517</v>
      </c>
      <c r="F40" s="128" t="s">
        <v>579</v>
      </c>
      <c r="G40" s="288">
        <v>7717</v>
      </c>
      <c r="I40" s="122"/>
    </row>
    <row r="41" spans="2:9" ht="15.75" x14ac:dyDescent="0.25">
      <c r="B41" s="120" t="s">
        <v>591</v>
      </c>
      <c r="C41" s="121"/>
      <c r="D41" s="191" t="s">
        <v>581</v>
      </c>
      <c r="E41" s="128" t="s">
        <v>517</v>
      </c>
      <c r="F41" s="128" t="s">
        <v>582</v>
      </c>
      <c r="G41" s="288">
        <v>444</v>
      </c>
      <c r="I41" s="122"/>
    </row>
    <row r="42" spans="2:9" ht="15.75" x14ac:dyDescent="0.25">
      <c r="B42" s="120" t="s">
        <v>593</v>
      </c>
      <c r="C42" s="121"/>
      <c r="D42" s="126" t="s">
        <v>584</v>
      </c>
      <c r="E42" s="128" t="s">
        <v>509</v>
      </c>
      <c r="F42" s="128" t="s">
        <v>585</v>
      </c>
      <c r="G42" s="288">
        <v>717106</v>
      </c>
      <c r="I42" s="122"/>
    </row>
    <row r="43" spans="2:9" ht="15.75" x14ac:dyDescent="0.25">
      <c r="B43" s="120" t="s">
        <v>596</v>
      </c>
      <c r="C43" s="121"/>
      <c r="D43" s="126" t="s">
        <v>587</v>
      </c>
      <c r="E43" s="128" t="s">
        <v>509</v>
      </c>
      <c r="F43" s="128" t="s">
        <v>588</v>
      </c>
      <c r="G43" s="288">
        <v>410676</v>
      </c>
      <c r="I43" s="122"/>
    </row>
    <row r="44" spans="2:9" ht="15.75" x14ac:dyDescent="0.25">
      <c r="B44" s="120" t="s">
        <v>599</v>
      </c>
      <c r="C44" s="121"/>
      <c r="D44" s="126" t="s">
        <v>587</v>
      </c>
      <c r="E44" s="127" t="s">
        <v>517</v>
      </c>
      <c r="F44" s="128" t="s">
        <v>590</v>
      </c>
      <c r="G44" s="288">
        <v>15458</v>
      </c>
      <c r="I44" s="122"/>
    </row>
    <row r="45" spans="2:9" ht="15.75" x14ac:dyDescent="0.25">
      <c r="B45" s="120" t="s">
        <v>602</v>
      </c>
      <c r="C45" s="121"/>
      <c r="D45" s="126" t="s">
        <v>587</v>
      </c>
      <c r="E45" s="127" t="s">
        <v>559</v>
      </c>
      <c r="F45" s="128" t="s">
        <v>527</v>
      </c>
      <c r="G45" s="288">
        <v>0</v>
      </c>
      <c r="I45" s="122"/>
    </row>
    <row r="46" spans="2:9" ht="15.75" x14ac:dyDescent="0.25">
      <c r="B46" s="120" t="s">
        <v>604</v>
      </c>
      <c r="C46" s="121"/>
      <c r="D46" s="126" t="s">
        <v>594</v>
      </c>
      <c r="E46" s="127" t="s">
        <v>517</v>
      </c>
      <c r="F46" s="128" t="s">
        <v>595</v>
      </c>
      <c r="G46" s="288">
        <v>164</v>
      </c>
      <c r="I46" s="192"/>
    </row>
    <row r="47" spans="2:9" ht="15.75" x14ac:dyDescent="0.25">
      <c r="B47" s="120" t="s">
        <v>607</v>
      </c>
      <c r="C47" s="121"/>
      <c r="D47" s="126" t="s">
        <v>597</v>
      </c>
      <c r="E47" s="128" t="s">
        <v>517</v>
      </c>
      <c r="F47" s="128" t="s">
        <v>598</v>
      </c>
      <c r="G47" s="288">
        <v>0</v>
      </c>
      <c r="I47" s="122"/>
    </row>
    <row r="48" spans="2:9" ht="15.75" x14ac:dyDescent="0.25">
      <c r="B48" s="120" t="s">
        <v>609</v>
      </c>
      <c r="C48" s="121"/>
      <c r="D48" s="126" t="s">
        <v>597</v>
      </c>
      <c r="E48" s="128" t="s">
        <v>513</v>
      </c>
      <c r="F48" s="128" t="s">
        <v>740</v>
      </c>
      <c r="G48" s="288">
        <v>5509526</v>
      </c>
      <c r="I48" s="122"/>
    </row>
    <row r="49" spans="2:9" ht="15.75" x14ac:dyDescent="0.25">
      <c r="B49" s="120" t="s">
        <v>611</v>
      </c>
      <c r="C49" s="121"/>
      <c r="D49" s="126" t="s">
        <v>600</v>
      </c>
      <c r="E49" s="128" t="s">
        <v>509</v>
      </c>
      <c r="F49" s="128" t="s">
        <v>601</v>
      </c>
      <c r="G49" s="288">
        <v>0</v>
      </c>
      <c r="I49" s="122"/>
    </row>
    <row r="50" spans="2:9" ht="15.75" x14ac:dyDescent="0.25">
      <c r="B50" s="120" t="s">
        <v>614</v>
      </c>
      <c r="C50" s="121"/>
      <c r="D50" s="126" t="s">
        <v>600</v>
      </c>
      <c r="E50" s="127" t="s">
        <v>517</v>
      </c>
      <c r="F50" s="128" t="s">
        <v>603</v>
      </c>
      <c r="G50" s="288">
        <v>0</v>
      </c>
      <c r="I50" s="122"/>
    </row>
    <row r="51" spans="2:9" ht="15.75" x14ac:dyDescent="0.25">
      <c r="B51" s="120" t="s">
        <v>617</v>
      </c>
      <c r="C51" s="121"/>
      <c r="D51" s="126" t="s">
        <v>605</v>
      </c>
      <c r="E51" s="128" t="s">
        <v>559</v>
      </c>
      <c r="F51" s="128" t="s">
        <v>606</v>
      </c>
      <c r="G51" s="288">
        <v>392901</v>
      </c>
      <c r="I51" s="122"/>
    </row>
    <row r="52" spans="2:9" ht="15.75" x14ac:dyDescent="0.25">
      <c r="B52" s="120" t="s">
        <v>619</v>
      </c>
      <c r="C52" s="121"/>
      <c r="D52" s="126" t="s">
        <v>605</v>
      </c>
      <c r="E52" s="127" t="s">
        <v>517</v>
      </c>
      <c r="F52" s="128" t="s">
        <v>608</v>
      </c>
      <c r="G52" s="288">
        <v>11754</v>
      </c>
      <c r="I52" s="122"/>
    </row>
    <row r="53" spans="2:9" ht="15.75" x14ac:dyDescent="0.25">
      <c r="B53" s="120" t="s">
        <v>621</v>
      </c>
      <c r="C53" s="121"/>
      <c r="D53" s="126" t="s">
        <v>605</v>
      </c>
      <c r="E53" s="128" t="s">
        <v>513</v>
      </c>
      <c r="F53" s="128" t="s">
        <v>610</v>
      </c>
      <c r="G53" s="288">
        <v>63807430</v>
      </c>
      <c r="I53" s="122"/>
    </row>
    <row r="54" spans="2:9" ht="15.75" x14ac:dyDescent="0.25">
      <c r="B54" s="120" t="s">
        <v>624</v>
      </c>
      <c r="C54" s="121"/>
      <c r="D54" s="126" t="s">
        <v>612</v>
      </c>
      <c r="E54" s="128" t="s">
        <v>517</v>
      </c>
      <c r="F54" s="128" t="s">
        <v>613</v>
      </c>
      <c r="G54" s="288">
        <v>4032</v>
      </c>
      <c r="I54" s="122"/>
    </row>
    <row r="55" spans="2:9" ht="15.75" x14ac:dyDescent="0.25">
      <c r="B55" s="120" t="s">
        <v>626</v>
      </c>
      <c r="C55" s="121"/>
      <c r="D55" s="126" t="s">
        <v>615</v>
      </c>
      <c r="E55" s="128" t="s">
        <v>509</v>
      </c>
      <c r="F55" s="128" t="s">
        <v>616</v>
      </c>
      <c r="G55" s="288">
        <v>339783</v>
      </c>
      <c r="I55" s="122"/>
    </row>
    <row r="56" spans="2:9" ht="15.75" x14ac:dyDescent="0.25">
      <c r="B56" s="120" t="s">
        <v>627</v>
      </c>
      <c r="C56" s="121"/>
      <c r="D56" s="126" t="s">
        <v>615</v>
      </c>
      <c r="E56" s="128" t="s">
        <v>509</v>
      </c>
      <c r="F56" s="128" t="s">
        <v>618</v>
      </c>
      <c r="G56" s="288">
        <v>41263</v>
      </c>
      <c r="I56" s="122"/>
    </row>
    <row r="57" spans="2:9" ht="15.75" x14ac:dyDescent="0.25">
      <c r="B57" s="120" t="s">
        <v>629</v>
      </c>
      <c r="C57" s="121"/>
      <c r="D57" s="126" t="s">
        <v>615</v>
      </c>
      <c r="E57" s="128" t="s">
        <v>517</v>
      </c>
      <c r="F57" s="128" t="s">
        <v>620</v>
      </c>
      <c r="G57" s="288">
        <v>13887</v>
      </c>
      <c r="I57" s="122"/>
    </row>
    <row r="58" spans="2:9" ht="15.75" x14ac:dyDescent="0.25">
      <c r="B58" s="120" t="s">
        <v>632</v>
      </c>
      <c r="C58" s="121"/>
      <c r="D58" s="126" t="s">
        <v>622</v>
      </c>
      <c r="E58" s="128" t="s">
        <v>509</v>
      </c>
      <c r="F58" s="128" t="s">
        <v>623</v>
      </c>
      <c r="G58" s="288">
        <v>101130</v>
      </c>
      <c r="I58" s="122"/>
    </row>
    <row r="59" spans="2:9" ht="15.75" x14ac:dyDescent="0.25">
      <c r="B59" s="120" t="s">
        <v>635</v>
      </c>
      <c r="C59" s="121"/>
      <c r="D59" s="126" t="s">
        <v>622</v>
      </c>
      <c r="E59" s="128" t="s">
        <v>517</v>
      </c>
      <c r="F59" s="128" t="s">
        <v>625</v>
      </c>
      <c r="G59" s="288">
        <v>419898</v>
      </c>
      <c r="I59" s="122"/>
    </row>
    <row r="60" spans="2:9" ht="15.75" x14ac:dyDescent="0.25">
      <c r="B60" s="120" t="s">
        <v>637</v>
      </c>
      <c r="C60" s="121"/>
      <c r="D60" s="126" t="s">
        <v>622</v>
      </c>
      <c r="E60" s="128" t="s">
        <v>559</v>
      </c>
      <c r="F60" s="128" t="s">
        <v>628</v>
      </c>
      <c r="G60" s="288">
        <v>1236</v>
      </c>
      <c r="I60" s="122"/>
    </row>
    <row r="61" spans="2:9" ht="15.75" x14ac:dyDescent="0.25">
      <c r="B61" s="120" t="s">
        <v>638</v>
      </c>
      <c r="C61" s="121"/>
      <c r="D61" s="126" t="s">
        <v>630</v>
      </c>
      <c r="E61" s="128" t="s">
        <v>517</v>
      </c>
      <c r="F61" s="128" t="s">
        <v>631</v>
      </c>
      <c r="G61" s="288">
        <v>763</v>
      </c>
      <c r="I61" s="122"/>
    </row>
    <row r="62" spans="2:9" ht="15.75" x14ac:dyDescent="0.25">
      <c r="B62" s="120" t="s">
        <v>640</v>
      </c>
      <c r="C62" s="121"/>
      <c r="D62" s="126" t="s">
        <v>633</v>
      </c>
      <c r="E62" s="128" t="s">
        <v>509</v>
      </c>
      <c r="F62" s="128" t="s">
        <v>634</v>
      </c>
      <c r="G62" s="288">
        <v>382598</v>
      </c>
      <c r="I62" s="122"/>
    </row>
    <row r="63" spans="2:9" ht="15.75" x14ac:dyDescent="0.25">
      <c r="B63" s="120" t="s">
        <v>642</v>
      </c>
      <c r="C63" s="121"/>
      <c r="D63" s="126" t="s">
        <v>633</v>
      </c>
      <c r="E63" s="128" t="s">
        <v>509</v>
      </c>
      <c r="F63" s="128" t="s">
        <v>636</v>
      </c>
      <c r="G63" s="288">
        <v>1389225</v>
      </c>
      <c r="I63" s="122"/>
    </row>
    <row r="64" spans="2:9" ht="15.75" x14ac:dyDescent="0.25">
      <c r="B64" s="120" t="s">
        <v>645</v>
      </c>
      <c r="C64" s="121"/>
      <c r="D64" s="126" t="s">
        <v>633</v>
      </c>
      <c r="E64" s="128" t="s">
        <v>559</v>
      </c>
      <c r="F64" s="128" t="s">
        <v>639</v>
      </c>
      <c r="G64" s="288">
        <v>0</v>
      </c>
      <c r="I64" s="122"/>
    </row>
    <row r="65" spans="2:9" ht="15.75" x14ac:dyDescent="0.25">
      <c r="B65" s="120" t="s">
        <v>648</v>
      </c>
      <c r="C65" s="121"/>
      <c r="D65" s="126" t="s">
        <v>633</v>
      </c>
      <c r="E65" s="128" t="s">
        <v>517</v>
      </c>
      <c r="F65" s="128" t="s">
        <v>641</v>
      </c>
      <c r="G65" s="288">
        <v>17465</v>
      </c>
      <c r="I65" s="122"/>
    </row>
    <row r="66" spans="2:9" ht="15.75" x14ac:dyDescent="0.25">
      <c r="B66" s="120" t="s">
        <v>650</v>
      </c>
      <c r="C66" s="121"/>
      <c r="D66" s="126" t="s">
        <v>739</v>
      </c>
      <c r="E66" s="127" t="s">
        <v>513</v>
      </c>
      <c r="F66" s="128" t="s">
        <v>742</v>
      </c>
      <c r="G66" s="288">
        <v>285433</v>
      </c>
      <c r="I66" s="122"/>
    </row>
    <row r="67" spans="2:9" ht="15.75" x14ac:dyDescent="0.25">
      <c r="B67" s="120" t="s">
        <v>653</v>
      </c>
      <c r="C67" s="121"/>
      <c r="D67" s="126" t="s">
        <v>643</v>
      </c>
      <c r="E67" s="128" t="s">
        <v>513</v>
      </c>
      <c r="F67" s="128" t="s">
        <v>644</v>
      </c>
      <c r="G67" s="288">
        <v>213444</v>
      </c>
      <c r="I67" s="122"/>
    </row>
    <row r="68" spans="2:9" ht="15.75" x14ac:dyDescent="0.25">
      <c r="B68" s="120" t="s">
        <v>656</v>
      </c>
      <c r="C68" s="121"/>
      <c r="D68" s="126" t="s">
        <v>646</v>
      </c>
      <c r="E68" s="128" t="s">
        <v>513</v>
      </c>
      <c r="F68" s="128" t="s">
        <v>647</v>
      </c>
      <c r="G68" s="288">
        <v>2297678</v>
      </c>
      <c r="I68" s="122"/>
    </row>
    <row r="69" spans="2:9" ht="15.75" x14ac:dyDescent="0.25">
      <c r="B69" s="120" t="s">
        <v>658</v>
      </c>
      <c r="C69" s="121"/>
      <c r="D69" s="126" t="s">
        <v>861</v>
      </c>
      <c r="E69" s="128" t="s">
        <v>517</v>
      </c>
      <c r="F69" s="128" t="s">
        <v>649</v>
      </c>
      <c r="G69" s="288">
        <v>-96865</v>
      </c>
      <c r="I69" s="122"/>
    </row>
    <row r="70" spans="2:9" ht="15.75" x14ac:dyDescent="0.25">
      <c r="B70" s="120" t="s">
        <v>660</v>
      </c>
      <c r="C70" s="121"/>
      <c r="D70" s="126" t="s">
        <v>861</v>
      </c>
      <c r="E70" s="128" t="s">
        <v>559</v>
      </c>
      <c r="F70" s="128" t="s">
        <v>649</v>
      </c>
      <c r="G70" s="288">
        <v>-138313</v>
      </c>
      <c r="I70" s="122"/>
    </row>
    <row r="71" spans="2:9" ht="15.75" x14ac:dyDescent="0.25">
      <c r="B71" s="120" t="s">
        <v>663</v>
      </c>
      <c r="C71" s="121"/>
      <c r="D71" s="126" t="s">
        <v>651</v>
      </c>
      <c r="E71" s="127" t="s">
        <v>652</v>
      </c>
      <c r="F71" s="128" t="s">
        <v>539</v>
      </c>
      <c r="G71" s="288">
        <v>0</v>
      </c>
      <c r="I71" s="122"/>
    </row>
    <row r="72" spans="2:9" ht="15.75" x14ac:dyDescent="0.25">
      <c r="B72" s="120" t="s">
        <v>665</v>
      </c>
      <c r="C72" s="121"/>
      <c r="D72" s="126" t="s">
        <v>654</v>
      </c>
      <c r="E72" s="127" t="s">
        <v>652</v>
      </c>
      <c r="F72" s="127" t="s">
        <v>655</v>
      </c>
      <c r="G72" s="288">
        <v>0</v>
      </c>
      <c r="I72" s="122"/>
    </row>
    <row r="73" spans="2:9" ht="15.75" x14ac:dyDescent="0.25">
      <c r="B73" s="120" t="s">
        <v>667</v>
      </c>
      <c r="C73" s="121"/>
      <c r="D73" s="126" t="s">
        <v>657</v>
      </c>
      <c r="E73" s="128" t="s">
        <v>652</v>
      </c>
      <c r="F73" s="127" t="s">
        <v>662</v>
      </c>
      <c r="G73" s="288">
        <v>0</v>
      </c>
      <c r="I73" s="122"/>
    </row>
    <row r="74" spans="2:9" ht="15.75" x14ac:dyDescent="0.25">
      <c r="B74" s="120" t="s">
        <v>669</v>
      </c>
      <c r="C74" s="121"/>
      <c r="D74" s="126" t="s">
        <v>659</v>
      </c>
      <c r="E74" s="127" t="s">
        <v>652</v>
      </c>
      <c r="F74" s="127" t="s">
        <v>655</v>
      </c>
      <c r="G74" s="288">
        <v>522729</v>
      </c>
      <c r="I74" s="122"/>
    </row>
    <row r="75" spans="2:9" ht="15.75" x14ac:dyDescent="0.25">
      <c r="B75" s="120" t="s">
        <v>672</v>
      </c>
      <c r="C75" s="121"/>
      <c r="D75" s="126" t="s">
        <v>661</v>
      </c>
      <c r="E75" s="127" t="s">
        <v>517</v>
      </c>
      <c r="F75" s="127" t="s">
        <v>655</v>
      </c>
      <c r="G75" s="288">
        <v>0</v>
      </c>
      <c r="I75" s="122"/>
    </row>
    <row r="76" spans="2:9" ht="15.75" x14ac:dyDescent="0.25">
      <c r="B76" s="120" t="s">
        <v>675</v>
      </c>
      <c r="C76" s="121"/>
      <c r="D76" s="126" t="s">
        <v>664</v>
      </c>
      <c r="E76" s="128" t="s">
        <v>652</v>
      </c>
      <c r="F76" s="127" t="s">
        <v>655</v>
      </c>
      <c r="G76" s="288">
        <v>0</v>
      </c>
      <c r="I76" s="122"/>
    </row>
    <row r="77" spans="2:9" ht="15" customHeight="1" x14ac:dyDescent="0.25">
      <c r="B77" s="120" t="s">
        <v>737</v>
      </c>
      <c r="C77" s="38"/>
      <c r="D77" s="126" t="s">
        <v>666</v>
      </c>
      <c r="E77" s="127" t="s">
        <v>517</v>
      </c>
      <c r="F77" s="128" t="s">
        <v>655</v>
      </c>
      <c r="G77" s="288">
        <v>0</v>
      </c>
    </row>
    <row r="78" spans="2:9" ht="15" customHeight="1" x14ac:dyDescent="0.25">
      <c r="B78" s="120" t="s">
        <v>738</v>
      </c>
      <c r="D78" s="126" t="s">
        <v>668</v>
      </c>
      <c r="E78" s="127" t="s">
        <v>517</v>
      </c>
      <c r="F78" s="128" t="s">
        <v>655</v>
      </c>
      <c r="G78" s="288">
        <v>0</v>
      </c>
    </row>
    <row r="79" spans="2:9" ht="15" x14ac:dyDescent="0.25">
      <c r="B79" s="120" t="s">
        <v>827</v>
      </c>
      <c r="D79" s="126" t="s">
        <v>670</v>
      </c>
      <c r="E79" s="128" t="s">
        <v>517</v>
      </c>
      <c r="F79" s="128" t="s">
        <v>671</v>
      </c>
      <c r="G79" s="288">
        <v>0</v>
      </c>
    </row>
    <row r="80" spans="2:9" ht="15" x14ac:dyDescent="0.25">
      <c r="B80" s="120" t="s">
        <v>828</v>
      </c>
      <c r="D80" s="126" t="s">
        <v>673</v>
      </c>
      <c r="E80" s="128" t="s">
        <v>517</v>
      </c>
      <c r="F80" s="128" t="s">
        <v>674</v>
      </c>
      <c r="G80" s="288">
        <v>0</v>
      </c>
    </row>
    <row r="81" spans="2:9" ht="15" x14ac:dyDescent="0.25">
      <c r="B81" s="120" t="s">
        <v>829</v>
      </c>
      <c r="D81" s="126" t="s">
        <v>676</v>
      </c>
      <c r="E81" s="128" t="s">
        <v>517</v>
      </c>
      <c r="F81" s="128" t="s">
        <v>655</v>
      </c>
      <c r="G81" s="288">
        <v>0</v>
      </c>
    </row>
    <row r="82" spans="2:9" ht="12.75" customHeight="1" x14ac:dyDescent="0.25">
      <c r="B82" s="120" t="s">
        <v>856</v>
      </c>
      <c r="D82" s="189" t="s">
        <v>830</v>
      </c>
      <c r="E82" s="128" t="s">
        <v>517</v>
      </c>
      <c r="F82" s="128" t="s">
        <v>655</v>
      </c>
      <c r="G82" s="288">
        <v>273</v>
      </c>
      <c r="I82" s="85" t="s">
        <v>237</v>
      </c>
    </row>
    <row r="83" spans="2:9" ht="15" x14ac:dyDescent="0.25">
      <c r="B83" s="120" t="s">
        <v>857</v>
      </c>
      <c r="D83" s="189" t="s">
        <v>831</v>
      </c>
      <c r="E83" s="128" t="s">
        <v>517</v>
      </c>
      <c r="F83" s="128" t="s">
        <v>655</v>
      </c>
      <c r="G83" s="288">
        <v>0</v>
      </c>
      <c r="I83" s="85" t="s">
        <v>237</v>
      </c>
    </row>
    <row r="84" spans="2:9" ht="15" x14ac:dyDescent="0.25">
      <c r="B84" s="120" t="s">
        <v>858</v>
      </c>
      <c r="D84" s="189" t="s">
        <v>860</v>
      </c>
      <c r="E84" s="128" t="s">
        <v>517</v>
      </c>
      <c r="F84" s="128" t="s">
        <v>662</v>
      </c>
      <c r="G84" s="288">
        <v>982</v>
      </c>
    </row>
    <row r="85" spans="2:9" ht="15" x14ac:dyDescent="0.25">
      <c r="B85" s="120" t="s">
        <v>859</v>
      </c>
      <c r="D85" s="189" t="s">
        <v>832</v>
      </c>
      <c r="E85" s="128" t="s">
        <v>517</v>
      </c>
      <c r="F85" s="128" t="s">
        <v>655</v>
      </c>
      <c r="G85" s="288">
        <v>398</v>
      </c>
    </row>
    <row r="86" spans="2:9" ht="13.5" thickBot="1" x14ac:dyDescent="0.25">
      <c r="D86" s="39"/>
      <c r="E86" s="39"/>
      <c r="F86" s="39"/>
      <c r="G86" s="39"/>
    </row>
    <row r="87" spans="2:9" ht="13.5" thickTop="1" x14ac:dyDescent="0.2">
      <c r="D87" s="9" t="s">
        <v>120</v>
      </c>
      <c r="E87" s="9"/>
      <c r="F87" s="9"/>
      <c r="G87" s="50">
        <f>SUM(G13:G85)</f>
        <v>93842024</v>
      </c>
    </row>
    <row r="89" spans="2:9" x14ac:dyDescent="0.2">
      <c r="D89" s="9" t="s">
        <v>198</v>
      </c>
      <c r="E89" s="9"/>
      <c r="F89" s="9"/>
      <c r="G89" s="80">
        <f>SUMIF($E$13:$E$85,"NF",$G$13:$G$85)</f>
        <v>421385</v>
      </c>
    </row>
    <row r="90" spans="2:9" x14ac:dyDescent="0.2">
      <c r="D90" s="9" t="s">
        <v>272</v>
      </c>
      <c r="G90" s="80">
        <f>SUMIF($E$13:$E$85,"SFP",$G$13:$G$85)</f>
        <v>255824</v>
      </c>
    </row>
    <row r="92" spans="2:9" x14ac:dyDescent="0.2">
      <c r="D92" s="9" t="s">
        <v>234</v>
      </c>
      <c r="G92" s="51">
        <f>G89+G90</f>
        <v>677209</v>
      </c>
    </row>
    <row r="93" spans="2:9" x14ac:dyDescent="0.2">
      <c r="D93" s="9"/>
      <c r="G93" s="51"/>
    </row>
    <row r="94" spans="2:9" x14ac:dyDescent="0.2">
      <c r="D94" s="9" t="s">
        <v>271</v>
      </c>
      <c r="G94" s="51">
        <v>44024.210408474988</v>
      </c>
    </row>
    <row r="95" spans="2:9" ht="13.5" thickBot="1" x14ac:dyDescent="0.25">
      <c r="D95" s="9" t="s">
        <v>878</v>
      </c>
      <c r="G95" s="289">
        <v>44558.103298821501</v>
      </c>
    </row>
    <row r="97" spans="4:7" x14ac:dyDescent="0.2">
      <c r="D97" s="9" t="s">
        <v>236</v>
      </c>
      <c r="G97" s="51">
        <f>G92+G94+G95</f>
        <v>765791.3137072965</v>
      </c>
    </row>
  </sheetData>
  <mergeCells count="6">
    <mergeCell ref="B10:B11"/>
    <mergeCell ref="G1:H1"/>
    <mergeCell ref="G3:H3"/>
    <mergeCell ref="A5:H5"/>
    <mergeCell ref="A6:H6"/>
    <mergeCell ref="A7:H7"/>
  </mergeCells>
  <phoneticPr fontId="0" type="noConversion"/>
  <printOptions horizontalCentered="1"/>
  <pageMargins left="0.5" right="0.5" top="0.5" bottom="0.25" header="0.5" footer="0.5"/>
  <pageSetup scale="5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workbookViewId="0"/>
  </sheetViews>
  <sheetFormatPr defaultColWidth="9.140625" defaultRowHeight="12.75" x14ac:dyDescent="0.2"/>
  <cols>
    <col min="1" max="1" width="5.7109375" style="85" customWidth="1"/>
    <col min="2" max="2" width="18.7109375" style="85" customWidth="1"/>
    <col min="3" max="3" width="9.140625" style="85"/>
    <col min="4" max="4" width="5.7109375" style="85" customWidth="1"/>
    <col min="5" max="5" width="11" style="85" bestFit="1" customWidth="1"/>
    <col min="6" max="6" width="5.7109375" style="85" customWidth="1"/>
    <col min="7" max="7" width="13.7109375" style="85" customWidth="1"/>
    <col min="8" max="8" width="5.7109375" style="85" customWidth="1"/>
    <col min="9" max="9" width="14.85546875" style="85" customWidth="1"/>
    <col min="10" max="10" width="5.7109375" style="85" customWidth="1"/>
    <col min="11" max="16384" width="9.140625" style="85"/>
  </cols>
  <sheetData>
    <row r="1" spans="1:10" ht="15" x14ac:dyDescent="0.25">
      <c r="I1" s="246" t="s">
        <v>838</v>
      </c>
      <c r="J1" s="246"/>
    </row>
    <row r="2" spans="1:10" ht="15" x14ac:dyDescent="0.25">
      <c r="I2" s="227" t="s">
        <v>362</v>
      </c>
      <c r="J2" s="227"/>
    </row>
    <row r="3" spans="1:10" x14ac:dyDescent="0.2">
      <c r="I3" s="286" t="str">
        <f>FF1_Year</f>
        <v>Year Ending 12/31/2013</v>
      </c>
      <c r="J3" s="286"/>
    </row>
    <row r="5" spans="1:10" x14ac:dyDescent="0.2">
      <c r="A5" s="240" t="s">
        <v>850</v>
      </c>
      <c r="B5" s="240"/>
      <c r="C5" s="240"/>
      <c r="D5" s="240"/>
      <c r="E5" s="240"/>
      <c r="F5" s="240"/>
      <c r="G5" s="240"/>
      <c r="H5" s="240"/>
      <c r="I5" s="240"/>
      <c r="J5" s="240"/>
    </row>
    <row r="6" spans="1:10" x14ac:dyDescent="0.2">
      <c r="A6" s="255" t="s">
        <v>146</v>
      </c>
      <c r="B6" s="255"/>
      <c r="C6" s="255"/>
      <c r="D6" s="255"/>
      <c r="E6" s="255"/>
      <c r="F6" s="255"/>
      <c r="G6" s="255"/>
      <c r="H6" s="255"/>
      <c r="I6" s="255"/>
      <c r="J6" s="255"/>
    </row>
    <row r="8" spans="1:10" x14ac:dyDescent="0.2">
      <c r="B8" s="121"/>
      <c r="C8" s="121"/>
      <c r="D8" s="121"/>
      <c r="E8" s="121"/>
      <c r="F8" s="121"/>
      <c r="G8" s="121"/>
      <c r="H8" s="121"/>
      <c r="I8" s="121"/>
      <c r="J8" s="121"/>
    </row>
    <row r="9" spans="1:10" x14ac:dyDescent="0.2">
      <c r="B9" s="121"/>
      <c r="C9" s="121"/>
      <c r="D9" s="121"/>
      <c r="E9" s="290" t="s">
        <v>133</v>
      </c>
      <c r="F9" s="290"/>
      <c r="G9" s="290"/>
      <c r="H9" s="290"/>
      <c r="I9" s="121"/>
      <c r="J9" s="121"/>
    </row>
    <row r="10" spans="1:10" x14ac:dyDescent="0.2">
      <c r="B10" s="291" t="s">
        <v>134</v>
      </c>
      <c r="C10" s="292" t="s">
        <v>201</v>
      </c>
      <c r="D10" s="121"/>
      <c r="E10" s="293" t="s">
        <v>200</v>
      </c>
      <c r="F10" s="128"/>
      <c r="G10" s="294" t="s">
        <v>135</v>
      </c>
      <c r="H10" s="294"/>
      <c r="I10" s="294" t="s">
        <v>145</v>
      </c>
    </row>
    <row r="11" spans="1:10" x14ac:dyDescent="0.2">
      <c r="B11" s="102" t="s">
        <v>136</v>
      </c>
      <c r="C11" s="102" t="s">
        <v>977</v>
      </c>
      <c r="D11" s="102"/>
      <c r="E11" s="102" t="s">
        <v>978</v>
      </c>
      <c r="F11" s="102"/>
      <c r="G11" s="105">
        <v>26556</v>
      </c>
      <c r="H11" s="103"/>
      <c r="I11" s="104">
        <v>1994</v>
      </c>
    </row>
    <row r="12" spans="1:10" x14ac:dyDescent="0.2">
      <c r="B12" s="102"/>
      <c r="C12" s="102" t="s">
        <v>979</v>
      </c>
      <c r="D12" s="102"/>
      <c r="E12" s="102" t="s">
        <v>980</v>
      </c>
      <c r="F12" s="102"/>
      <c r="G12" s="105">
        <v>91063</v>
      </c>
      <c r="H12" s="105"/>
      <c r="I12" s="104">
        <v>1993</v>
      </c>
    </row>
    <row r="13" spans="1:10" x14ac:dyDescent="0.2">
      <c r="B13" s="102"/>
      <c r="C13" s="102"/>
      <c r="D13" s="102"/>
      <c r="E13" s="102"/>
      <c r="F13" s="102"/>
      <c r="G13" s="105">
        <v>616305</v>
      </c>
      <c r="H13" s="105"/>
      <c r="I13" s="104">
        <v>1994</v>
      </c>
    </row>
    <row r="14" spans="1:10" x14ac:dyDescent="0.2">
      <c r="B14" s="102"/>
      <c r="C14" s="102"/>
      <c r="D14" s="102"/>
      <c r="E14" s="102"/>
      <c r="F14" s="102"/>
      <c r="G14" s="106">
        <f>SUM(G11:G13)</f>
        <v>733924</v>
      </c>
      <c r="H14" s="107"/>
      <c r="I14" s="104"/>
    </row>
    <row r="15" spans="1:10" x14ac:dyDescent="0.2">
      <c r="B15" s="102"/>
      <c r="C15" s="102"/>
      <c r="D15" s="102"/>
      <c r="E15" s="102"/>
      <c r="F15" s="102"/>
      <c r="G15" s="105"/>
      <c r="H15" s="105"/>
      <c r="I15" s="104"/>
    </row>
    <row r="16" spans="1:10" x14ac:dyDescent="0.2">
      <c r="B16" s="102" t="s">
        <v>137</v>
      </c>
      <c r="C16" s="102" t="s">
        <v>977</v>
      </c>
      <c r="D16" s="102"/>
      <c r="E16" s="102" t="s">
        <v>981</v>
      </c>
      <c r="F16" s="108"/>
      <c r="G16" s="105">
        <v>1012350.2</v>
      </c>
      <c r="H16" s="105"/>
      <c r="I16" s="104">
        <v>2013</v>
      </c>
    </row>
    <row r="17" spans="2:9" x14ac:dyDescent="0.2">
      <c r="B17" s="102"/>
      <c r="C17" s="102"/>
      <c r="D17" s="102"/>
      <c r="E17" s="102" t="s">
        <v>982</v>
      </c>
      <c r="F17" s="108"/>
      <c r="G17" s="105">
        <v>624845</v>
      </c>
      <c r="H17" s="105"/>
      <c r="I17" s="104">
        <v>1980</v>
      </c>
    </row>
    <row r="18" spans="2:9" x14ac:dyDescent="0.2">
      <c r="B18" s="102"/>
      <c r="C18" s="102" t="s">
        <v>979</v>
      </c>
      <c r="D18" s="102"/>
      <c r="E18" s="102" t="s">
        <v>983</v>
      </c>
      <c r="F18" s="108"/>
      <c r="G18" s="105">
        <v>729043.11</v>
      </c>
      <c r="H18" s="105"/>
      <c r="I18" s="104">
        <v>2013</v>
      </c>
    </row>
    <row r="19" spans="2:9" x14ac:dyDescent="0.2">
      <c r="B19" s="102"/>
      <c r="C19" s="102"/>
      <c r="D19" s="102"/>
      <c r="E19" s="102"/>
      <c r="F19" s="102"/>
      <c r="G19" s="106">
        <f>SUM(G16:G18)</f>
        <v>2366238.31</v>
      </c>
      <c r="H19" s="107"/>
      <c r="I19" s="104"/>
    </row>
    <row r="20" spans="2:9" x14ac:dyDescent="0.2">
      <c r="B20" s="102"/>
      <c r="C20" s="102"/>
      <c r="D20" s="102"/>
      <c r="E20" s="102"/>
      <c r="F20" s="102"/>
      <c r="G20" s="105"/>
      <c r="H20" s="105"/>
      <c r="I20" s="104"/>
    </row>
    <row r="21" spans="2:9" x14ac:dyDescent="0.2">
      <c r="B21" s="102" t="s">
        <v>138</v>
      </c>
      <c r="C21" s="102" t="s">
        <v>677</v>
      </c>
      <c r="D21" s="102"/>
      <c r="E21" s="102" t="s">
        <v>984</v>
      </c>
      <c r="F21" s="102"/>
      <c r="G21" s="105">
        <v>7597018.5771428579</v>
      </c>
      <c r="H21" s="105"/>
      <c r="I21" s="102">
        <v>2009</v>
      </c>
    </row>
    <row r="22" spans="2:9" x14ac:dyDescent="0.2">
      <c r="B22" s="102"/>
      <c r="C22" s="102"/>
      <c r="D22" s="102"/>
      <c r="E22" s="102" t="s">
        <v>985</v>
      </c>
      <c r="F22" s="102"/>
      <c r="G22" s="105">
        <v>2532339.5257142861</v>
      </c>
      <c r="H22" s="105"/>
      <c r="I22" s="102">
        <v>2009</v>
      </c>
    </row>
    <row r="23" spans="2:9" x14ac:dyDescent="0.2">
      <c r="B23" s="102"/>
      <c r="C23" s="102"/>
      <c r="D23" s="102"/>
      <c r="E23" s="102" t="s">
        <v>986</v>
      </c>
      <c r="F23" s="102"/>
      <c r="G23" s="105">
        <v>2532339.5257142861</v>
      </c>
      <c r="H23" s="105"/>
      <c r="I23" s="102">
        <v>2009</v>
      </c>
    </row>
    <row r="24" spans="2:9" x14ac:dyDescent="0.2">
      <c r="B24" s="102"/>
      <c r="C24" s="102"/>
      <c r="D24" s="102"/>
      <c r="E24" s="102" t="s">
        <v>987</v>
      </c>
      <c r="F24" s="108"/>
      <c r="G24" s="105">
        <v>2532339.5257142861</v>
      </c>
      <c r="H24" s="105"/>
      <c r="I24" s="102">
        <v>2009</v>
      </c>
    </row>
    <row r="25" spans="2:9" x14ac:dyDescent="0.2">
      <c r="B25" s="102"/>
      <c r="C25" s="102"/>
      <c r="D25" s="102"/>
      <c r="E25" s="102" t="s">
        <v>988</v>
      </c>
      <c r="F25" s="108"/>
      <c r="G25" s="105">
        <v>2532339.5257142861</v>
      </c>
      <c r="H25" s="105"/>
      <c r="I25" s="102">
        <v>2009</v>
      </c>
    </row>
    <row r="26" spans="2:9" x14ac:dyDescent="0.2">
      <c r="B26" s="102"/>
      <c r="C26" s="102" t="s">
        <v>989</v>
      </c>
      <c r="D26" s="102"/>
      <c r="E26" s="102" t="s">
        <v>982</v>
      </c>
      <c r="F26" s="102"/>
      <c r="G26" s="105">
        <v>185875</v>
      </c>
      <c r="H26" s="105"/>
      <c r="I26" s="102">
        <v>1972</v>
      </c>
    </row>
    <row r="27" spans="2:9" x14ac:dyDescent="0.2">
      <c r="B27" s="102"/>
      <c r="C27" s="102" t="s">
        <v>977</v>
      </c>
      <c r="D27" s="102"/>
      <c r="E27" s="102" t="s">
        <v>990</v>
      </c>
      <c r="F27" s="108"/>
      <c r="G27" s="105">
        <v>1695061.27</v>
      </c>
      <c r="H27" s="105"/>
      <c r="I27" s="102">
        <v>2013</v>
      </c>
    </row>
    <row r="28" spans="2:9" x14ac:dyDescent="0.2">
      <c r="B28" s="102"/>
      <c r="C28" s="102"/>
      <c r="D28" s="102"/>
      <c r="E28" s="102"/>
      <c r="F28" s="102"/>
      <c r="G28" s="106">
        <f>SUM(G21:G27)</f>
        <v>19607312.950000003</v>
      </c>
      <c r="H28" s="107"/>
      <c r="I28" s="104"/>
    </row>
    <row r="29" spans="2:9" x14ac:dyDescent="0.2">
      <c r="B29" s="102"/>
      <c r="C29" s="102"/>
      <c r="D29" s="102"/>
      <c r="E29" s="102"/>
      <c r="F29" s="102"/>
      <c r="G29" s="105"/>
      <c r="H29" s="105"/>
      <c r="I29" s="104"/>
    </row>
    <row r="30" spans="2:9" x14ac:dyDescent="0.2">
      <c r="B30" s="102" t="s">
        <v>139</v>
      </c>
      <c r="C30" s="102" t="s">
        <v>989</v>
      </c>
      <c r="D30" s="102"/>
      <c r="E30" s="102" t="s">
        <v>982</v>
      </c>
      <c r="F30" s="108"/>
      <c r="G30" s="105">
        <v>192812.03</v>
      </c>
      <c r="H30" s="105"/>
      <c r="I30" s="102">
        <v>1969</v>
      </c>
    </row>
    <row r="31" spans="2:9" x14ac:dyDescent="0.2">
      <c r="B31" s="102"/>
      <c r="C31" s="102"/>
      <c r="D31" s="102"/>
      <c r="E31" s="102"/>
      <c r="F31" s="108"/>
      <c r="G31" s="105">
        <v>4188</v>
      </c>
      <c r="H31" s="105"/>
      <c r="I31" s="102">
        <v>1983</v>
      </c>
    </row>
    <row r="32" spans="2:9" x14ac:dyDescent="0.2">
      <c r="B32" s="102"/>
      <c r="C32" s="102" t="s">
        <v>977</v>
      </c>
      <c r="D32" s="102"/>
      <c r="E32" s="102" t="s">
        <v>990</v>
      </c>
      <c r="F32" s="108"/>
      <c r="G32" s="105">
        <v>186947</v>
      </c>
      <c r="H32" s="105"/>
      <c r="I32" s="102">
        <v>1973</v>
      </c>
    </row>
    <row r="33" spans="2:9" x14ac:dyDescent="0.2">
      <c r="B33" s="102"/>
      <c r="C33" s="102"/>
      <c r="D33" s="102"/>
      <c r="E33" s="102"/>
      <c r="F33" s="108"/>
      <c r="G33" s="105">
        <v>13993</v>
      </c>
      <c r="H33" s="105"/>
      <c r="I33" s="102">
        <v>1984</v>
      </c>
    </row>
    <row r="34" spans="2:9" x14ac:dyDescent="0.2">
      <c r="B34" s="102"/>
      <c r="C34" s="102"/>
      <c r="D34" s="102"/>
      <c r="E34" s="102" t="s">
        <v>991</v>
      </c>
      <c r="F34" s="108"/>
      <c r="G34" s="105">
        <v>186947</v>
      </c>
      <c r="H34" s="105"/>
      <c r="I34" s="102">
        <v>1973</v>
      </c>
    </row>
    <row r="35" spans="2:9" x14ac:dyDescent="0.2">
      <c r="B35" s="102"/>
      <c r="C35" s="102"/>
      <c r="D35" s="102"/>
      <c r="E35" s="102"/>
      <c r="F35" s="102"/>
      <c r="G35" s="106">
        <f>SUM(G30:G34)</f>
        <v>584887.03</v>
      </c>
      <c r="H35" s="107"/>
      <c r="I35" s="104"/>
    </row>
    <row r="36" spans="2:9" x14ac:dyDescent="0.2">
      <c r="B36" s="102"/>
      <c r="C36" s="102"/>
      <c r="D36" s="102"/>
      <c r="E36" s="102"/>
      <c r="F36" s="102"/>
      <c r="G36" s="105"/>
      <c r="H36" s="105"/>
      <c r="I36" s="104"/>
    </row>
    <row r="37" spans="2:9" x14ac:dyDescent="0.2">
      <c r="B37" s="102" t="s">
        <v>140</v>
      </c>
      <c r="C37" s="105" t="s">
        <v>992</v>
      </c>
      <c r="D37" s="102"/>
      <c r="E37" s="105" t="s">
        <v>993</v>
      </c>
      <c r="F37" s="108"/>
      <c r="G37" s="105">
        <v>182984</v>
      </c>
      <c r="H37" s="105"/>
      <c r="I37" s="102">
        <v>1953</v>
      </c>
    </row>
    <row r="38" spans="2:9" x14ac:dyDescent="0.2">
      <c r="B38" s="102"/>
      <c r="C38" s="105" t="s">
        <v>994</v>
      </c>
      <c r="D38" s="102"/>
      <c r="E38" s="105" t="s">
        <v>995</v>
      </c>
      <c r="F38" s="108"/>
      <c r="G38" s="105">
        <v>139629</v>
      </c>
      <c r="H38" s="105"/>
      <c r="I38" s="102">
        <v>1954</v>
      </c>
    </row>
    <row r="39" spans="2:9" x14ac:dyDescent="0.2">
      <c r="B39" s="102"/>
      <c r="C39" s="105" t="s">
        <v>996</v>
      </c>
      <c r="D39" s="102"/>
      <c r="E39" s="105" t="s">
        <v>997</v>
      </c>
      <c r="F39" s="108"/>
      <c r="G39" s="295">
        <v>365792.41000000003</v>
      </c>
      <c r="H39" s="105"/>
      <c r="I39" s="102">
        <v>1956</v>
      </c>
    </row>
    <row r="40" spans="2:9" x14ac:dyDescent="0.2">
      <c r="B40" s="102"/>
      <c r="C40" s="102"/>
      <c r="D40" s="102"/>
      <c r="E40" s="102"/>
      <c r="F40" s="102"/>
      <c r="G40" s="107">
        <f>SUM(G37:G39)</f>
        <v>688405.41</v>
      </c>
      <c r="H40" s="107"/>
      <c r="I40" s="104"/>
    </row>
    <row r="41" spans="2:9" x14ac:dyDescent="0.2">
      <c r="B41" s="102"/>
      <c r="C41" s="102"/>
      <c r="D41" s="102"/>
      <c r="E41" s="102"/>
      <c r="F41" s="102"/>
      <c r="G41" s="105"/>
      <c r="H41" s="105"/>
      <c r="I41" s="104"/>
    </row>
    <row r="42" spans="2:9" x14ac:dyDescent="0.2">
      <c r="B42" s="102"/>
      <c r="C42" s="102"/>
      <c r="D42" s="102"/>
      <c r="E42" s="102"/>
      <c r="F42" s="102"/>
      <c r="G42" s="105"/>
      <c r="H42" s="105"/>
      <c r="I42" s="104"/>
    </row>
    <row r="43" spans="2:9" x14ac:dyDescent="0.2">
      <c r="B43" s="102" t="s">
        <v>141</v>
      </c>
      <c r="C43" s="102" t="s">
        <v>996</v>
      </c>
      <c r="D43" s="102"/>
      <c r="E43" s="102" t="s">
        <v>981</v>
      </c>
      <c r="F43" s="102"/>
      <c r="G43" s="105">
        <v>67645.22</v>
      </c>
      <c r="H43" s="105"/>
      <c r="I43" s="102">
        <v>1970</v>
      </c>
    </row>
    <row r="44" spans="2:9" x14ac:dyDescent="0.2">
      <c r="B44" s="102"/>
      <c r="C44" s="102"/>
      <c r="D44" s="102"/>
      <c r="E44" s="102"/>
      <c r="F44" s="102"/>
      <c r="G44" s="106">
        <f>SUM(G43:G43)</f>
        <v>67645.22</v>
      </c>
      <c r="H44" s="107"/>
      <c r="I44" s="104"/>
    </row>
    <row r="45" spans="2:9" x14ac:dyDescent="0.2">
      <c r="B45" s="102"/>
      <c r="C45" s="102"/>
      <c r="D45" s="102"/>
      <c r="E45" s="102"/>
      <c r="F45" s="102"/>
      <c r="G45" s="105"/>
      <c r="H45" s="105"/>
      <c r="I45" s="104"/>
    </row>
    <row r="46" spans="2:9" x14ac:dyDescent="0.2">
      <c r="B46" s="102" t="s">
        <v>142</v>
      </c>
      <c r="C46" s="102" t="s">
        <v>977</v>
      </c>
      <c r="D46" s="102"/>
      <c r="E46" s="102" t="s">
        <v>982</v>
      </c>
      <c r="F46" s="108"/>
      <c r="G46" s="105">
        <v>228101</v>
      </c>
      <c r="H46" s="105"/>
      <c r="I46" s="102">
        <v>1974</v>
      </c>
    </row>
    <row r="47" spans="2:9" x14ac:dyDescent="0.2">
      <c r="B47" s="102"/>
      <c r="C47" s="102"/>
      <c r="D47" s="102"/>
      <c r="E47" s="102"/>
      <c r="F47" s="108"/>
      <c r="G47" s="105">
        <v>15981</v>
      </c>
      <c r="H47" s="105"/>
      <c r="I47" s="102">
        <v>1986</v>
      </c>
    </row>
    <row r="48" spans="2:9" x14ac:dyDescent="0.2">
      <c r="B48" s="102"/>
      <c r="C48" s="102" t="s">
        <v>979</v>
      </c>
      <c r="D48" s="102"/>
      <c r="E48" s="102" t="s">
        <v>990</v>
      </c>
      <c r="F48" s="108"/>
      <c r="G48" s="105">
        <v>228101</v>
      </c>
      <c r="H48" s="105"/>
      <c r="I48" s="102">
        <v>1974</v>
      </c>
    </row>
    <row r="49" spans="2:9" x14ac:dyDescent="0.2">
      <c r="B49" s="102"/>
      <c r="C49" s="102" t="s">
        <v>998</v>
      </c>
      <c r="D49" s="102"/>
      <c r="E49" s="102" t="s">
        <v>999</v>
      </c>
      <c r="F49" s="108"/>
      <c r="G49" s="105">
        <v>223625.74</v>
      </c>
      <c r="H49" s="105"/>
      <c r="I49" s="102">
        <v>1974</v>
      </c>
    </row>
    <row r="50" spans="2:9" x14ac:dyDescent="0.2">
      <c r="B50" s="102"/>
      <c r="C50" s="102" t="s">
        <v>1000</v>
      </c>
      <c r="D50" s="102"/>
      <c r="E50" s="102" t="s">
        <v>1001</v>
      </c>
      <c r="F50" s="108"/>
      <c r="G50" s="105">
        <v>876976.55</v>
      </c>
      <c r="H50" s="105"/>
      <c r="I50" s="102">
        <v>1993</v>
      </c>
    </row>
    <row r="51" spans="2:9" x14ac:dyDescent="0.2">
      <c r="B51" s="102"/>
      <c r="C51" s="102" t="s">
        <v>1002</v>
      </c>
      <c r="D51" s="102"/>
      <c r="E51" s="102" t="s">
        <v>1003</v>
      </c>
      <c r="F51" s="108"/>
      <c r="G51" s="105">
        <v>940013.97</v>
      </c>
      <c r="H51" s="105"/>
      <c r="I51" s="102">
        <v>1993</v>
      </c>
    </row>
    <row r="52" spans="2:9" x14ac:dyDescent="0.2">
      <c r="B52" s="102"/>
      <c r="C52" s="102" t="s">
        <v>1004</v>
      </c>
      <c r="D52" s="102"/>
      <c r="E52" s="102" t="s">
        <v>1005</v>
      </c>
      <c r="F52" s="108"/>
      <c r="G52" s="105">
        <v>901511</v>
      </c>
      <c r="H52" s="105"/>
      <c r="I52" s="102">
        <v>1993</v>
      </c>
    </row>
    <row r="53" spans="2:9" x14ac:dyDescent="0.2">
      <c r="B53" s="102"/>
      <c r="C53" s="102" t="s">
        <v>1006</v>
      </c>
      <c r="D53" s="102"/>
      <c r="E53" s="102" t="s">
        <v>1007</v>
      </c>
      <c r="F53" s="108"/>
      <c r="G53" s="105">
        <v>873814.51</v>
      </c>
      <c r="H53" s="105"/>
      <c r="I53" s="102">
        <v>1993</v>
      </c>
    </row>
    <row r="54" spans="2:9" x14ac:dyDescent="0.2">
      <c r="B54" s="102"/>
      <c r="C54" s="102"/>
      <c r="D54" s="102"/>
      <c r="E54" s="102" t="s">
        <v>1008</v>
      </c>
      <c r="F54" s="108"/>
      <c r="G54" s="105">
        <v>1720888.48</v>
      </c>
      <c r="H54" s="105"/>
      <c r="I54" s="102">
        <v>2003</v>
      </c>
    </row>
    <row r="55" spans="2:9" x14ac:dyDescent="0.2">
      <c r="B55" s="102"/>
      <c r="C55" s="102"/>
      <c r="D55" s="102"/>
      <c r="E55" s="102" t="s">
        <v>991</v>
      </c>
      <c r="F55" s="108"/>
      <c r="G55" s="105">
        <v>3996480.23</v>
      </c>
      <c r="H55" s="105"/>
      <c r="I55" s="102">
        <v>2008</v>
      </c>
    </row>
    <row r="56" spans="2:9" x14ac:dyDescent="0.2">
      <c r="B56" s="102"/>
      <c r="C56" s="102"/>
      <c r="D56" s="102"/>
      <c r="E56" s="102"/>
      <c r="F56" s="102"/>
      <c r="G56" s="106">
        <f>SUM(G46:G55)</f>
        <v>10005493.48</v>
      </c>
      <c r="H56" s="107"/>
      <c r="I56" s="104"/>
    </row>
    <row r="57" spans="2:9" x14ac:dyDescent="0.2">
      <c r="B57" s="102"/>
      <c r="C57" s="102"/>
      <c r="D57" s="102"/>
      <c r="E57" s="102"/>
      <c r="F57" s="102"/>
      <c r="G57" s="105"/>
      <c r="H57" s="105"/>
      <c r="I57" s="104"/>
    </row>
    <row r="58" spans="2:9" x14ac:dyDescent="0.2">
      <c r="B58" s="102" t="s">
        <v>143</v>
      </c>
      <c r="C58" s="102" t="s">
        <v>1009</v>
      </c>
      <c r="D58" s="102"/>
      <c r="E58" s="102" t="s">
        <v>1010</v>
      </c>
      <c r="F58" s="108"/>
      <c r="G58" s="105">
        <v>901156</v>
      </c>
      <c r="H58" s="105"/>
      <c r="I58" s="102">
        <v>1997</v>
      </c>
    </row>
    <row r="59" spans="2:9" x14ac:dyDescent="0.2">
      <c r="B59" s="102"/>
      <c r="C59" s="102"/>
      <c r="D59" s="102"/>
      <c r="E59" s="102"/>
      <c r="F59" s="102"/>
      <c r="G59" s="106">
        <f>SUM(G58:G58)</f>
        <v>901156</v>
      </c>
      <c r="H59" s="107"/>
      <c r="I59" s="104"/>
    </row>
    <row r="60" spans="2:9" ht="4.5" customHeight="1" x14ac:dyDescent="0.2">
      <c r="B60" s="121"/>
      <c r="C60" s="121"/>
      <c r="D60" s="121"/>
      <c r="E60" s="121"/>
      <c r="F60" s="121"/>
      <c r="G60" s="296"/>
      <c r="H60" s="297"/>
    </row>
    <row r="61" spans="2:9" x14ac:dyDescent="0.2">
      <c r="B61" s="121" t="s">
        <v>720</v>
      </c>
      <c r="C61" s="121"/>
      <c r="D61" s="121"/>
      <c r="E61" s="121"/>
      <c r="F61" s="121"/>
      <c r="G61" s="298">
        <f>SUM(G11:G60)/2</f>
        <v>34955062.399999991</v>
      </c>
      <c r="H61" s="299"/>
    </row>
  </sheetData>
  <mergeCells count="4">
    <mergeCell ref="I1:J1"/>
    <mergeCell ref="I3:J3"/>
    <mergeCell ref="A5:J5"/>
    <mergeCell ref="A6:J6"/>
  </mergeCells>
  <printOptions horizontalCentered="1"/>
  <pageMargins left="0.5" right="0.5" top="0.5" bottom="0.5" header="0.5" footer="0.5"/>
  <pageSetup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32</vt:i4>
      </vt:variant>
    </vt:vector>
  </HeadingPairs>
  <TitlesOfParts>
    <vt:vector size="52" baseType="lpstr">
      <vt:lpstr>DEF - 2 -Page 1 Summary</vt:lpstr>
      <vt:lpstr>DEF - 2 Page 2 Rate Base</vt:lpstr>
      <vt:lpstr>DEF - 2 - Page 3 Rev Reqt</vt:lpstr>
      <vt:lpstr>DEF - 2 - Page 4 Support</vt:lpstr>
      <vt:lpstr>DEF - 2 - Page 5 Storm, Notes</vt:lpstr>
      <vt:lpstr>DEF - 2 - Page 6, PBOPs</vt:lpstr>
      <vt:lpstr>DEF - 3, p1, 454 Rev Credits</vt:lpstr>
      <vt:lpstr>DEF - 3,  p2, 456 Rev Credits</vt:lpstr>
      <vt:lpstr>DEF - 4, p1 Step Ups</vt:lpstr>
      <vt:lpstr>DEF - 4, p2 Step Ups </vt:lpstr>
      <vt:lpstr>DEF - 4, Order 2003 </vt:lpstr>
      <vt:lpstr>DEF - 5 p1 PY ADIT 190</vt:lpstr>
      <vt:lpstr>DEF - 5 p2 PY ADIT 28x</vt:lpstr>
      <vt:lpstr>DEF - 5 p3 CY ADIT 190</vt:lpstr>
      <vt:lpstr>DEF - 5 p4 CY ADIT 28x</vt:lpstr>
      <vt:lpstr>DEF - 5A Unfunded Reserves</vt:lpstr>
      <vt:lpstr>DEF - 6  p1, FF1 Inputs </vt:lpstr>
      <vt:lpstr>DEF - 6 p2, Levelized Storm</vt:lpstr>
      <vt:lpstr>DEF - 6 p3, Prepay Accting</vt:lpstr>
      <vt:lpstr>DEF - 7, Retail Radials</vt:lpstr>
      <vt:lpstr>_YR</vt:lpstr>
      <vt:lpstr>ALLOCATORS</vt:lpstr>
      <vt:lpstr>FF1_Year</vt:lpstr>
      <vt:lpstr>L_YR</vt:lpstr>
      <vt:lpstr>L_YR_P</vt:lpstr>
      <vt:lpstr>LABOR_ALLOC</vt:lpstr>
      <vt:lpstr>'DEF - 2 - Page 3 Rev Reqt'!Print_Area</vt:lpstr>
      <vt:lpstr>'DEF - 2 - Page 4 Support'!Print_Area</vt:lpstr>
      <vt:lpstr>'DEF - 2 - Page 5 Storm, Notes'!Print_Area</vt:lpstr>
      <vt:lpstr>'DEF - 2 - Page 6, PBOPs'!Print_Area</vt:lpstr>
      <vt:lpstr>'DEF - 2 -Page 1 Summary'!Print_Area</vt:lpstr>
      <vt:lpstr>'DEF - 2 Page 2 Rate Base'!Print_Area</vt:lpstr>
      <vt:lpstr>'DEF - 3,  p2, 456 Rev Credits'!Print_Area</vt:lpstr>
      <vt:lpstr>'DEF - 3, p1, 454 Rev Credits'!Print_Area</vt:lpstr>
      <vt:lpstr>'DEF - 4, Order 2003 '!Print_Area</vt:lpstr>
      <vt:lpstr>'DEF - 4, p1 Step Ups'!Print_Area</vt:lpstr>
      <vt:lpstr>'DEF - 4, p2 Step Ups '!Print_Area</vt:lpstr>
      <vt:lpstr>'DEF - 5 p1 PY ADIT 190'!Print_Area</vt:lpstr>
      <vt:lpstr>'DEF - 5 p2 PY ADIT 28x'!Print_Area</vt:lpstr>
      <vt:lpstr>'DEF - 5 p3 CY ADIT 190'!Print_Area</vt:lpstr>
      <vt:lpstr>'DEF - 5 p4 CY ADIT 28x'!Print_Area</vt:lpstr>
      <vt:lpstr>'DEF - 5A Unfunded Reserves'!Print_Area</vt:lpstr>
      <vt:lpstr>'DEF - 6  p1, FF1 Inputs '!Print_Area</vt:lpstr>
      <vt:lpstr>'DEF - 6 p2, Levelized Storm'!Print_Area</vt:lpstr>
      <vt:lpstr>'DEF - 6 p3, Prepay Accting'!Print_Area</vt:lpstr>
      <vt:lpstr>'DEF - 7, Retail Radials'!Print_Area</vt:lpstr>
      <vt:lpstr>'DEF - 4, Order 2003 '!Print_Titles</vt:lpstr>
      <vt:lpstr>'DEF - 4, p1 Step Ups'!Print_Titles</vt:lpstr>
      <vt:lpstr>'DEF - 4, p2 Step Ups '!Print_Titles</vt:lpstr>
      <vt:lpstr>TExp_ALLOC</vt:lpstr>
      <vt:lpstr>TP_ALLOC</vt:lpstr>
      <vt:lpstr>YR</vt:lpstr>
    </vt:vector>
  </TitlesOfParts>
  <Company>Progress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R. Morecroft, P.E.</dc:creator>
  <cp:lastModifiedBy>Christopher R. Morecroft</cp:lastModifiedBy>
  <cp:lastPrinted>2013-05-01T18:06:22Z</cp:lastPrinted>
  <dcterms:created xsi:type="dcterms:W3CDTF">2007-01-29T20:10:20Z</dcterms:created>
  <dcterms:modified xsi:type="dcterms:W3CDTF">2014-05-12T18:09:40Z</dcterms:modified>
</cp:coreProperties>
</file>