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-120" windowWidth="20736" windowHeight="10020"/>
  </bookViews>
  <sheets>
    <sheet name="DEF - 2 -Page 1 Summary" sheetId="8" r:id="rId1"/>
    <sheet name="DEF - 2 Page 2 Rate Base" sheetId="4" r:id="rId2"/>
    <sheet name="DEF - 2 - Page 3 Rev Reqt" sheetId="5" r:id="rId3"/>
    <sheet name="DEF - 2 - Page 4 Support" sheetId="3" r:id="rId4"/>
    <sheet name="DEF - 2 - Page 5 Storm" sheetId="23" r:id="rId5"/>
    <sheet name="DEF - 2 - Page 6 Notes" sheetId="14" r:id="rId6"/>
    <sheet name="DEF - 3, p1, 454 Rev Credits" sheetId="22" r:id="rId7"/>
    <sheet name="DEF - 3,  p2, 456 Rev Credits" sheetId="2" r:id="rId8"/>
    <sheet name="DEF - 4, p1 Step Ups" sheetId="36" r:id="rId9"/>
    <sheet name="DEF - 4, p2 Step Ups " sheetId="11" r:id="rId10"/>
    <sheet name="DEF - 4, p3 Order 2003 " sheetId="26" r:id="rId11"/>
    <sheet name="DEF - 5 p1 PY ADIT 190" sheetId="37" r:id="rId12"/>
    <sheet name="DEF - 5 p2 PY ADIT 28x" sheetId="21" r:id="rId13"/>
    <sheet name="DEF - 5 p3 CY ADIT 190" sheetId="39" r:id="rId14"/>
    <sheet name="DEF - 5 p4 CY ADIT 28x" sheetId="28" r:id="rId15"/>
    <sheet name="DEF - 5A Unfunded Reserves" sheetId="35" r:id="rId16"/>
    <sheet name="DEF - 6  p1, FF1 Inputs " sheetId="12" r:id="rId17"/>
    <sheet name="DEF - 6 p2, Levelized Storm" sheetId="32" r:id="rId18"/>
    <sheet name="DEF - 6 p3, Prepay Accting" sheetId="25" r:id="rId19"/>
    <sheet name="DEF - 7, Retail Radials" sheetId="33" r:id="rId20"/>
    <sheet name="DEF - 8 Depreciation Rates" sheetId="42" r:id="rId21"/>
    <sheet name="DEF - 9 CWIP Projects" sheetId="41" r:id="rId22"/>
  </sheets>
  <externalReferences>
    <externalReference r:id="rId23"/>
    <externalReference r:id="rId24"/>
    <externalReference r:id="rId25"/>
  </externalReferences>
  <definedNames>
    <definedName name="___fsd44" localSheetId="20" hidden="1">{#N/A,#N/A,FALSE,"Aging Summary";#N/A,#N/A,FALSE,"Ratio Analysis";#N/A,#N/A,FALSE,"Test 120 Day Accts";#N/A,#N/A,FALSE,"Tickmarks"}</definedName>
    <definedName name="___fsd44" localSheetId="21" hidden="1">{#N/A,#N/A,FALSE,"Aging Summary";#N/A,#N/A,FALSE,"Ratio Analysis";#N/A,#N/A,FALSE,"Test 120 Day Accts";#N/A,#N/A,FALSE,"Tickmarks"}</definedName>
    <definedName name="___fsd44" hidden="1">{#N/A,#N/A,FALSE,"Aging Summary";#N/A,#N/A,FALSE,"Ratio Analysis";#N/A,#N/A,FALSE,"Test 120 Day Accts";#N/A,#N/A,FALSE,"Tickmarks"}</definedName>
    <definedName name="__123Graph_A" localSheetId="8" hidden="1">[1]Provision!#REF!</definedName>
    <definedName name="__123Graph_A" localSheetId="11" hidden="1">[1]Provision!#REF!</definedName>
    <definedName name="__123Graph_A" localSheetId="13" hidden="1">[1]Provision!#REF!</definedName>
    <definedName name="__123Graph_A" localSheetId="15" hidden="1">[1]Provision!#REF!</definedName>
    <definedName name="__123Graph_A" hidden="1">[1]Provision!#REF!</definedName>
    <definedName name="__123Graph_B" localSheetId="8" hidden="1">[1]Provision!#REF!</definedName>
    <definedName name="__123Graph_B" localSheetId="11" hidden="1">[1]Provision!#REF!</definedName>
    <definedName name="__123Graph_B" localSheetId="13" hidden="1">[1]Provision!#REF!</definedName>
    <definedName name="__123Graph_B" localSheetId="15" hidden="1">[1]Provision!#REF!</definedName>
    <definedName name="__123Graph_B" hidden="1">[1]Provision!#REF!</definedName>
    <definedName name="__123Graph_C" localSheetId="8" hidden="1">[1]Provision!#REF!</definedName>
    <definedName name="__123Graph_C" localSheetId="11" hidden="1">[1]Provision!#REF!</definedName>
    <definedName name="__123Graph_C" localSheetId="13" hidden="1">[1]Provision!#REF!</definedName>
    <definedName name="__123Graph_C" localSheetId="15" hidden="1">[1]Provision!#REF!</definedName>
    <definedName name="__123Graph_C" hidden="1">[1]Provision!#REF!</definedName>
    <definedName name="__123Graph_D" localSheetId="8" hidden="1">[1]Provision!#REF!</definedName>
    <definedName name="__123Graph_D" localSheetId="11" hidden="1">[1]Provision!#REF!</definedName>
    <definedName name="__123Graph_D" localSheetId="13" hidden="1">[1]Provision!#REF!</definedName>
    <definedName name="__123Graph_D" localSheetId="15" hidden="1">[1]Provision!#REF!</definedName>
    <definedName name="__123Graph_D" hidden="1">[1]Provision!#REF!</definedName>
    <definedName name="__123Graph_E" localSheetId="8" hidden="1">[1]Provision!#REF!</definedName>
    <definedName name="__123Graph_E" localSheetId="11" hidden="1">[1]Provision!#REF!</definedName>
    <definedName name="__123Graph_E" localSheetId="13" hidden="1">[1]Provision!#REF!</definedName>
    <definedName name="__123Graph_E" localSheetId="15" hidden="1">[1]Provision!#REF!</definedName>
    <definedName name="__123Graph_E" hidden="1">[1]Provision!#REF!</definedName>
    <definedName name="__123Graph_X" localSheetId="8" hidden="1">[1]Provision!#REF!</definedName>
    <definedName name="__123Graph_X" localSheetId="11" hidden="1">[1]Provision!#REF!</definedName>
    <definedName name="__123Graph_X" localSheetId="13" hidden="1">[1]Provision!#REF!</definedName>
    <definedName name="__123Graph_X" localSheetId="15" hidden="1">[1]Provision!#REF!</definedName>
    <definedName name="__123Graph_X" hidden="1">[1]Provision!#REF!</definedName>
    <definedName name="__fsd44" localSheetId="20" hidden="1">{#N/A,#N/A,FALSE,"Aging Summary";#N/A,#N/A,FALSE,"Ratio Analysis";#N/A,#N/A,FALSE,"Test 120 Day Accts";#N/A,#N/A,FALSE,"Tickmarks"}</definedName>
    <definedName name="__fsd44" localSheetId="21" hidden="1">{#N/A,#N/A,FALSE,"Aging Summary";#N/A,#N/A,FALSE,"Ratio Analysis";#N/A,#N/A,FALSE,"Test 120 Day Accts";#N/A,#N/A,FALSE,"Tickmarks"}</definedName>
    <definedName name="__fsd44" hidden="1">{#N/A,#N/A,FALSE,"Aging Summary";#N/A,#N/A,FALSE,"Ratio Analysis";#N/A,#N/A,FALSE,"Test 120 Day Accts";#N/A,#N/A,FALSE,"Tickmarks"}</definedName>
    <definedName name="_Fill" localSheetId="8" hidden="1">#REF!</definedName>
    <definedName name="_Fill" localSheetId="11" hidden="1">#REF!</definedName>
    <definedName name="_Fill" localSheetId="13" hidden="1">#REF!</definedName>
    <definedName name="_Fill" localSheetId="15" hidden="1">#REF!</definedName>
    <definedName name="_Fill" localSheetId="21" hidden="1">#REF!</definedName>
    <definedName name="_Fill" hidden="1">#REF!</definedName>
    <definedName name="_fsd44" localSheetId="4" hidden="1">{#N/A,#N/A,FALSE,"Aging Summary";#N/A,#N/A,FALSE,"Ratio Analysis";#N/A,#N/A,FALSE,"Test 120 Day Accts";#N/A,#N/A,FALSE,"Tickmarks"}</definedName>
    <definedName name="_fsd44" localSheetId="10" hidden="1">{#N/A,#N/A,FALSE,"Aging Summary";#N/A,#N/A,FALSE,"Ratio Analysis";#N/A,#N/A,FALSE,"Test 120 Day Accts";#N/A,#N/A,FALSE,"Tickmarks"}</definedName>
    <definedName name="_fsd44" localSheetId="11" hidden="1">{#N/A,#N/A,FALSE,"Aging Summary";#N/A,#N/A,FALSE,"Ratio Analysis";#N/A,#N/A,FALSE,"Test 120 Day Accts";#N/A,#N/A,FALSE,"Tickmarks"}</definedName>
    <definedName name="_fsd44" localSheetId="12" hidden="1">{#N/A,#N/A,FALSE,"Aging Summary";#N/A,#N/A,FALSE,"Ratio Analysis";#N/A,#N/A,FALSE,"Test 120 Day Accts";#N/A,#N/A,FALSE,"Tickmarks"}</definedName>
    <definedName name="_fsd44" localSheetId="13" hidden="1">{#N/A,#N/A,FALSE,"Aging Summary";#N/A,#N/A,FALSE,"Ratio Analysis";#N/A,#N/A,FALSE,"Test 120 Day Accts";#N/A,#N/A,FALSE,"Tickmarks"}</definedName>
    <definedName name="_fsd44" localSheetId="14" hidden="1">{#N/A,#N/A,FALSE,"Aging Summary";#N/A,#N/A,FALSE,"Ratio Analysis";#N/A,#N/A,FALSE,"Test 120 Day Accts";#N/A,#N/A,FALSE,"Tickmarks"}</definedName>
    <definedName name="_fsd44" localSheetId="15" hidden="1">{#N/A,#N/A,FALSE,"Aging Summary";#N/A,#N/A,FALSE,"Ratio Analysis";#N/A,#N/A,FALSE,"Test 120 Day Accts";#N/A,#N/A,FALSE,"Tickmarks"}</definedName>
    <definedName name="_fsd44" localSheetId="17" hidden="1">{#N/A,#N/A,FALSE,"Aging Summary";#N/A,#N/A,FALSE,"Ratio Analysis";#N/A,#N/A,FALSE,"Test 120 Day Accts";#N/A,#N/A,FALSE,"Tickmarks"}</definedName>
    <definedName name="_fsd44" localSheetId="20" hidden="1">{#N/A,#N/A,FALSE,"Aging Summary";#N/A,#N/A,FALSE,"Ratio Analysis";#N/A,#N/A,FALSE,"Test 120 Day Accts";#N/A,#N/A,FALSE,"Tickmarks"}</definedName>
    <definedName name="_fsd44" localSheetId="21" hidden="1">{#N/A,#N/A,FALSE,"Aging Summary";#N/A,#N/A,FALSE,"Ratio Analysis";#N/A,#N/A,FALSE,"Test 120 Day Accts";#N/A,#N/A,FALSE,"Tickmarks"}</definedName>
    <definedName name="_fsd44" hidden="1">{#N/A,#N/A,FALSE,"Aging Summary";#N/A,#N/A,FALSE,"Ratio Analysis";#N/A,#N/A,FALSE,"Test 120 Day Accts";#N/A,#N/A,FALSE,"Tickmarks"}</definedName>
    <definedName name="_Key1" localSheetId="8" hidden="1">#REF!</definedName>
    <definedName name="_Key1" localSheetId="11" hidden="1">#REF!</definedName>
    <definedName name="_Key1" localSheetId="13" hidden="1">#REF!</definedName>
    <definedName name="_Key1" localSheetId="15" hidden="1">#REF!</definedName>
    <definedName name="_Key1" localSheetId="21" hidden="1">#REF!</definedName>
    <definedName name="_Key1" hidden="1">#REF!</definedName>
    <definedName name="_Key2" localSheetId="8" hidden="1">#REF!</definedName>
    <definedName name="_Key2" localSheetId="11" hidden="1">#REF!</definedName>
    <definedName name="_Key2" localSheetId="13" hidden="1">#REF!</definedName>
    <definedName name="_Key2" localSheetId="15" hidden="1">#REF!</definedName>
    <definedName name="_Key2" localSheetId="21" hidden="1">#REF!</definedName>
    <definedName name="_Key2" hidden="1">#REF!</definedName>
    <definedName name="_Order1" hidden="1">0</definedName>
    <definedName name="_Order2" hidden="1">0</definedName>
    <definedName name="_Sort" localSheetId="8" hidden="1">#REF!</definedName>
    <definedName name="_Sort" localSheetId="11" hidden="1">#REF!</definedName>
    <definedName name="_Sort" localSheetId="13" hidden="1">#REF!</definedName>
    <definedName name="_Sort" localSheetId="15" hidden="1">#REF!</definedName>
    <definedName name="_Sort" localSheetId="21" hidden="1">#REF!</definedName>
    <definedName name="_Sort" hidden="1">#REF!</definedName>
    <definedName name="_Table1_In1" localSheetId="8" hidden="1">#REF!</definedName>
    <definedName name="_Table1_In1" localSheetId="11" hidden="1">#REF!</definedName>
    <definedName name="_Table1_In1" localSheetId="13" hidden="1">#REF!</definedName>
    <definedName name="_Table1_In1" localSheetId="15" hidden="1">#REF!</definedName>
    <definedName name="_Table1_In1" localSheetId="21" hidden="1">#REF!</definedName>
    <definedName name="_Table1_In1" hidden="1">#REF!</definedName>
    <definedName name="_Table1_Out" localSheetId="8" hidden="1">#REF!</definedName>
    <definedName name="_Table1_Out" localSheetId="11" hidden="1">#REF!</definedName>
    <definedName name="_Table1_Out" localSheetId="13" hidden="1">#REF!</definedName>
    <definedName name="_Table1_Out" localSheetId="15" hidden="1">#REF!</definedName>
    <definedName name="_Table1_Out" localSheetId="21" hidden="1">#REF!</definedName>
    <definedName name="_Table1_Out" hidden="1">#REF!</definedName>
    <definedName name="_Table2_In1" localSheetId="8" hidden="1">#REF!</definedName>
    <definedName name="_Table2_In1" localSheetId="11" hidden="1">#REF!</definedName>
    <definedName name="_Table2_In1" localSheetId="13" hidden="1">#REF!</definedName>
    <definedName name="_Table2_In1" localSheetId="15" hidden="1">#REF!</definedName>
    <definedName name="_Table2_In1" hidden="1">#REF!</definedName>
    <definedName name="_Table2_Out" localSheetId="8" hidden="1">#REF!</definedName>
    <definedName name="_Table2_Out" localSheetId="11" hidden="1">#REF!</definedName>
    <definedName name="_Table2_Out" localSheetId="13" hidden="1">#REF!</definedName>
    <definedName name="_Table2_Out" localSheetId="15" hidden="1">#REF!</definedName>
    <definedName name="_Table2_Out" hidden="1">#REF!</definedName>
    <definedName name="_YR">'DEF - 2 -Page 1 Summary'!$P$1</definedName>
    <definedName name="Alloc_Factors">#REF!</definedName>
    <definedName name="ALLOC_TABLE">#REF!</definedName>
    <definedName name="ALLOCATORS" localSheetId="20">'[2]DEF - 2 - Page 4 Support'!#REF!</definedName>
    <definedName name="ALLOCATORS">'DEF - 2 - Page 4 Support'!$Q$7:$R$17</definedName>
    <definedName name="AS2DocOpenMode" hidden="1">"AS2DocumentBrowse"</definedName>
    <definedName name="FF1_YEAR" localSheetId="20">'[2]DEF - 2 -Page 1 Summary'!$J$6</definedName>
    <definedName name="FF1_Year">'DEF - 6  p1, FF1 Inputs '!$K$3</definedName>
    <definedName name="frt" localSheetId="4" hidden="1">{#N/A,#N/A,FALSE,"Aging Summary";#N/A,#N/A,FALSE,"Ratio Analysis";#N/A,#N/A,FALSE,"Test 120 Day Accts";#N/A,#N/A,FALSE,"Tickmarks"}</definedName>
    <definedName name="frt" localSheetId="10" hidden="1">{#N/A,#N/A,FALSE,"Aging Summary";#N/A,#N/A,FALSE,"Ratio Analysis";#N/A,#N/A,FALSE,"Test 120 Day Accts";#N/A,#N/A,FALSE,"Tickmarks"}</definedName>
    <definedName name="frt" localSheetId="11" hidden="1">{#N/A,#N/A,FALSE,"Aging Summary";#N/A,#N/A,FALSE,"Ratio Analysis";#N/A,#N/A,FALSE,"Test 120 Day Accts";#N/A,#N/A,FALSE,"Tickmarks"}</definedName>
    <definedName name="frt" localSheetId="12" hidden="1">{#N/A,#N/A,FALSE,"Aging Summary";#N/A,#N/A,FALSE,"Ratio Analysis";#N/A,#N/A,FALSE,"Test 120 Day Accts";#N/A,#N/A,FALSE,"Tickmarks"}</definedName>
    <definedName name="frt" localSheetId="13" hidden="1">{#N/A,#N/A,FALSE,"Aging Summary";#N/A,#N/A,FALSE,"Ratio Analysis";#N/A,#N/A,FALSE,"Test 120 Day Accts";#N/A,#N/A,FALSE,"Tickmarks"}</definedName>
    <definedName name="frt" localSheetId="14" hidden="1">{#N/A,#N/A,FALSE,"Aging Summary";#N/A,#N/A,FALSE,"Ratio Analysis";#N/A,#N/A,FALSE,"Test 120 Day Accts";#N/A,#N/A,FALSE,"Tickmarks"}</definedName>
    <definedName name="frt" localSheetId="15" hidden="1">{#N/A,#N/A,FALSE,"Aging Summary";#N/A,#N/A,FALSE,"Ratio Analysis";#N/A,#N/A,FALSE,"Test 120 Day Accts";#N/A,#N/A,FALSE,"Tickmarks"}</definedName>
    <definedName name="frt" localSheetId="17" hidden="1">{#N/A,#N/A,FALSE,"Aging Summary";#N/A,#N/A,FALSE,"Ratio Analysis";#N/A,#N/A,FALSE,"Test 120 Day Accts";#N/A,#N/A,FALSE,"Tickmarks"}</definedName>
    <definedName name="frt" localSheetId="20" hidden="1">{#N/A,#N/A,FALSE,"Aging Summary";#N/A,#N/A,FALSE,"Ratio Analysis";#N/A,#N/A,FALSE,"Test 120 Day Accts";#N/A,#N/A,FALSE,"Tickmarks"}</definedName>
    <definedName name="frt" localSheetId="21" hidden="1">{#N/A,#N/A,FALSE,"Aging Summary";#N/A,#N/A,FALSE,"Ratio Analysis";#N/A,#N/A,FALSE,"Test 120 Day Accts";#N/A,#N/A,FALSE,"Tickmarks"}</definedName>
    <definedName name="frt" hidden="1">{#N/A,#N/A,FALSE,"Aging Summary";#N/A,#N/A,FALSE,"Ratio Analysis";#N/A,#N/A,FALSE,"Test 120 Day Accts";#N/A,#N/A,FALSE,"Tickmarks"}</definedName>
    <definedName name="fsd" localSheetId="4" hidden="1">{#N/A,#N/A,FALSE,"Aging Summary";#N/A,#N/A,FALSE,"Ratio Analysis";#N/A,#N/A,FALSE,"Test 120 Day Accts";#N/A,#N/A,FALSE,"Tickmarks"}</definedName>
    <definedName name="fsd" localSheetId="10" hidden="1">{#N/A,#N/A,FALSE,"Aging Summary";#N/A,#N/A,FALSE,"Ratio Analysis";#N/A,#N/A,FALSE,"Test 120 Day Accts";#N/A,#N/A,FALSE,"Tickmarks"}</definedName>
    <definedName name="fsd" localSheetId="11" hidden="1">{#N/A,#N/A,FALSE,"Aging Summary";#N/A,#N/A,FALSE,"Ratio Analysis";#N/A,#N/A,FALSE,"Test 120 Day Accts";#N/A,#N/A,FALSE,"Tickmarks"}</definedName>
    <definedName name="fsd" localSheetId="12" hidden="1">{#N/A,#N/A,FALSE,"Aging Summary";#N/A,#N/A,FALSE,"Ratio Analysis";#N/A,#N/A,FALSE,"Test 120 Day Accts";#N/A,#N/A,FALSE,"Tickmarks"}</definedName>
    <definedName name="fsd" localSheetId="13" hidden="1">{#N/A,#N/A,FALSE,"Aging Summary";#N/A,#N/A,FALSE,"Ratio Analysis";#N/A,#N/A,FALSE,"Test 120 Day Accts";#N/A,#N/A,FALSE,"Tickmarks"}</definedName>
    <definedName name="fsd" localSheetId="14" hidden="1">{#N/A,#N/A,FALSE,"Aging Summary";#N/A,#N/A,FALSE,"Ratio Analysis";#N/A,#N/A,FALSE,"Test 120 Day Accts";#N/A,#N/A,FALSE,"Tickmarks"}</definedName>
    <definedName name="fsd" localSheetId="15" hidden="1">{#N/A,#N/A,FALSE,"Aging Summary";#N/A,#N/A,FALSE,"Ratio Analysis";#N/A,#N/A,FALSE,"Test 120 Day Accts";#N/A,#N/A,FALSE,"Tickmarks"}</definedName>
    <definedName name="fsd" localSheetId="17" hidden="1">{#N/A,#N/A,FALSE,"Aging Summary";#N/A,#N/A,FALSE,"Ratio Analysis";#N/A,#N/A,FALSE,"Test 120 Day Accts";#N/A,#N/A,FALSE,"Tickmarks"}</definedName>
    <definedName name="fsd" localSheetId="20" hidden="1">{#N/A,#N/A,FALSE,"Aging Summary";#N/A,#N/A,FALSE,"Ratio Analysis";#N/A,#N/A,FALSE,"Test 120 Day Accts";#N/A,#N/A,FALSE,"Tickmarks"}</definedName>
    <definedName name="fsd" localSheetId="21" hidden="1">{#N/A,#N/A,FALSE,"Aging Summary";#N/A,#N/A,FALSE,"Ratio Analysis";#N/A,#N/A,FALSE,"Test 120 Day Accts";#N/A,#N/A,FALSE,"Tickmarks"}</definedName>
    <definedName name="fsd" hidden="1">{#N/A,#N/A,FALSE,"Aging Summary";#N/A,#N/A,FALSE,"Ratio Analysis";#N/A,#N/A,FALSE,"Test 120 Day Accts";#N/A,#N/A,FALSE,"Tickmarks"}</definedName>
    <definedName name="kkk" localSheetId="4" hidden="1">{#N/A,#N/A,FALSE,"Aging Summary";#N/A,#N/A,FALSE,"Ratio Analysis";#N/A,#N/A,FALSE,"Test 120 Day Accts";#N/A,#N/A,FALSE,"Tickmarks"}</definedName>
    <definedName name="kkk" localSheetId="10" hidden="1">{#N/A,#N/A,FALSE,"Aging Summary";#N/A,#N/A,FALSE,"Ratio Analysis";#N/A,#N/A,FALSE,"Test 120 Day Accts";#N/A,#N/A,FALSE,"Tickmarks"}</definedName>
    <definedName name="kkk" localSheetId="11" hidden="1">{#N/A,#N/A,FALSE,"Aging Summary";#N/A,#N/A,FALSE,"Ratio Analysis";#N/A,#N/A,FALSE,"Test 120 Day Accts";#N/A,#N/A,FALSE,"Tickmarks"}</definedName>
    <definedName name="kkk" localSheetId="12" hidden="1">{#N/A,#N/A,FALSE,"Aging Summary";#N/A,#N/A,FALSE,"Ratio Analysis";#N/A,#N/A,FALSE,"Test 120 Day Accts";#N/A,#N/A,FALSE,"Tickmarks"}</definedName>
    <definedName name="kkk" localSheetId="13" hidden="1">{#N/A,#N/A,FALSE,"Aging Summary";#N/A,#N/A,FALSE,"Ratio Analysis";#N/A,#N/A,FALSE,"Test 120 Day Accts";#N/A,#N/A,FALSE,"Tickmarks"}</definedName>
    <definedName name="kkk" localSheetId="14" hidden="1">{#N/A,#N/A,FALSE,"Aging Summary";#N/A,#N/A,FALSE,"Ratio Analysis";#N/A,#N/A,FALSE,"Test 120 Day Accts";#N/A,#N/A,FALSE,"Tickmarks"}</definedName>
    <definedName name="kkk" localSheetId="15" hidden="1">{#N/A,#N/A,FALSE,"Aging Summary";#N/A,#N/A,FALSE,"Ratio Analysis";#N/A,#N/A,FALSE,"Test 120 Day Accts";#N/A,#N/A,FALSE,"Tickmarks"}</definedName>
    <definedName name="kkk" localSheetId="17" hidden="1">{#N/A,#N/A,FALSE,"Aging Summary";#N/A,#N/A,FALSE,"Ratio Analysis";#N/A,#N/A,FALSE,"Test 120 Day Accts";#N/A,#N/A,FALSE,"Tickmarks"}</definedName>
    <definedName name="kkk" localSheetId="20" hidden="1">{#N/A,#N/A,FALSE,"Aging Summary";#N/A,#N/A,FALSE,"Ratio Analysis";#N/A,#N/A,FALSE,"Test 120 Day Accts";#N/A,#N/A,FALSE,"Tickmarks"}</definedName>
    <definedName name="kkk" localSheetId="21" hidden="1">{#N/A,#N/A,FALSE,"Aging Summary";#N/A,#N/A,FALSE,"Ratio Analysis";#N/A,#N/A,FALSE,"Test 120 Day Accts";#N/A,#N/A,FALSE,"Tickmarks"}</definedName>
    <definedName name="kkk" hidden="1">{#N/A,#N/A,FALSE,"Aging Summary";#N/A,#N/A,FALSE,"Ratio Analysis";#N/A,#N/A,FALSE,"Test 120 Day Accts";#N/A,#N/A,FALSE,"Tickmarks"}</definedName>
    <definedName name="L_YR">'DEF - 2 -Page 1 Summary'!$P$2</definedName>
    <definedName name="L_YR_P">'DEF - 2 -Page 1 Summary'!$P$3</definedName>
    <definedName name="LABOR_ALLOC">'DEF - 2 - Page 4 Support'!$I$37</definedName>
    <definedName name="lku" localSheetId="4" hidden="1">{#N/A,#N/A,FALSE,"Aging Summary";#N/A,#N/A,FALSE,"Ratio Analysis";#N/A,#N/A,FALSE,"Test 120 Day Accts";#N/A,#N/A,FALSE,"Tickmarks"}</definedName>
    <definedName name="lku" localSheetId="10" hidden="1">{#N/A,#N/A,FALSE,"Aging Summary";#N/A,#N/A,FALSE,"Ratio Analysis";#N/A,#N/A,FALSE,"Test 120 Day Accts";#N/A,#N/A,FALSE,"Tickmarks"}</definedName>
    <definedName name="lku" localSheetId="11" hidden="1">{#N/A,#N/A,FALSE,"Aging Summary";#N/A,#N/A,FALSE,"Ratio Analysis";#N/A,#N/A,FALSE,"Test 120 Day Accts";#N/A,#N/A,FALSE,"Tickmarks"}</definedName>
    <definedName name="lku" localSheetId="12" hidden="1">{#N/A,#N/A,FALSE,"Aging Summary";#N/A,#N/A,FALSE,"Ratio Analysis";#N/A,#N/A,FALSE,"Test 120 Day Accts";#N/A,#N/A,FALSE,"Tickmarks"}</definedName>
    <definedName name="lku" localSheetId="13" hidden="1">{#N/A,#N/A,FALSE,"Aging Summary";#N/A,#N/A,FALSE,"Ratio Analysis";#N/A,#N/A,FALSE,"Test 120 Day Accts";#N/A,#N/A,FALSE,"Tickmarks"}</definedName>
    <definedName name="lku" localSheetId="14" hidden="1">{#N/A,#N/A,FALSE,"Aging Summary";#N/A,#N/A,FALSE,"Ratio Analysis";#N/A,#N/A,FALSE,"Test 120 Day Accts";#N/A,#N/A,FALSE,"Tickmarks"}</definedName>
    <definedName name="lku" localSheetId="15" hidden="1">{#N/A,#N/A,FALSE,"Aging Summary";#N/A,#N/A,FALSE,"Ratio Analysis";#N/A,#N/A,FALSE,"Test 120 Day Accts";#N/A,#N/A,FALSE,"Tickmarks"}</definedName>
    <definedName name="lku" localSheetId="17" hidden="1">{#N/A,#N/A,FALSE,"Aging Summary";#N/A,#N/A,FALSE,"Ratio Analysis";#N/A,#N/A,FALSE,"Test 120 Day Accts";#N/A,#N/A,FALSE,"Tickmarks"}</definedName>
    <definedName name="lku" localSheetId="20" hidden="1">{#N/A,#N/A,FALSE,"Aging Summary";#N/A,#N/A,FALSE,"Ratio Analysis";#N/A,#N/A,FALSE,"Test 120 Day Accts";#N/A,#N/A,FALSE,"Tickmarks"}</definedName>
    <definedName name="lku" localSheetId="21" hidden="1">{#N/A,#N/A,FALSE,"Aging Summary";#N/A,#N/A,FALSE,"Ratio Analysis";#N/A,#N/A,FALSE,"Test 120 Day Accts";#N/A,#N/A,FALSE,"Tickmarks"}</definedName>
    <definedName name="lku" hidden="1">{#N/A,#N/A,FALSE,"Aging Summary";#N/A,#N/A,FALSE,"Ratio Analysis";#N/A,#N/A,FALSE,"Test 120 Day Accts";#N/A,#N/A,FALSE,"Tickmarks"}</definedName>
    <definedName name="lll" localSheetId="4" hidden="1">{#N/A,#N/A,FALSE,"Aging Summary";#N/A,#N/A,FALSE,"Ratio Analysis";#N/A,#N/A,FALSE,"Test 120 Day Accts";#N/A,#N/A,FALSE,"Tickmarks"}</definedName>
    <definedName name="lll" localSheetId="10" hidden="1">{#N/A,#N/A,FALSE,"Aging Summary";#N/A,#N/A,FALSE,"Ratio Analysis";#N/A,#N/A,FALSE,"Test 120 Day Accts";#N/A,#N/A,FALSE,"Tickmarks"}</definedName>
    <definedName name="lll" localSheetId="11" hidden="1">{#N/A,#N/A,FALSE,"Aging Summary";#N/A,#N/A,FALSE,"Ratio Analysis";#N/A,#N/A,FALSE,"Test 120 Day Accts";#N/A,#N/A,FALSE,"Tickmarks"}</definedName>
    <definedName name="lll" localSheetId="12" hidden="1">{#N/A,#N/A,FALSE,"Aging Summary";#N/A,#N/A,FALSE,"Ratio Analysis";#N/A,#N/A,FALSE,"Test 120 Day Accts";#N/A,#N/A,FALSE,"Tickmarks"}</definedName>
    <definedName name="lll" localSheetId="13" hidden="1">{#N/A,#N/A,FALSE,"Aging Summary";#N/A,#N/A,FALSE,"Ratio Analysis";#N/A,#N/A,FALSE,"Test 120 Day Accts";#N/A,#N/A,FALSE,"Tickmarks"}</definedName>
    <definedName name="lll" localSheetId="14" hidden="1">{#N/A,#N/A,FALSE,"Aging Summary";#N/A,#N/A,FALSE,"Ratio Analysis";#N/A,#N/A,FALSE,"Test 120 Day Accts";#N/A,#N/A,FALSE,"Tickmarks"}</definedName>
    <definedName name="lll" localSheetId="15" hidden="1">{#N/A,#N/A,FALSE,"Aging Summary";#N/A,#N/A,FALSE,"Ratio Analysis";#N/A,#N/A,FALSE,"Test 120 Day Accts";#N/A,#N/A,FALSE,"Tickmarks"}</definedName>
    <definedName name="lll" localSheetId="17" hidden="1">{#N/A,#N/A,FALSE,"Aging Summary";#N/A,#N/A,FALSE,"Ratio Analysis";#N/A,#N/A,FALSE,"Test 120 Day Accts";#N/A,#N/A,FALSE,"Tickmarks"}</definedName>
    <definedName name="lll" localSheetId="20" hidden="1">{#N/A,#N/A,FALSE,"Aging Summary";#N/A,#N/A,FALSE,"Ratio Analysis";#N/A,#N/A,FALSE,"Test 120 Day Accts";#N/A,#N/A,FALSE,"Tickmarks"}</definedName>
    <definedName name="lll" localSheetId="21" hidden="1">{#N/A,#N/A,FALSE,"Aging Summary";#N/A,#N/A,FALSE,"Ratio Analysis";#N/A,#N/A,FALSE,"Test 120 Day Accts";#N/A,#N/A,FALSE,"Tickmarks"}</definedName>
    <definedName name="lll" hidden="1">{#N/A,#N/A,FALSE,"Aging Summary";#N/A,#N/A,FALSE,"Ratio Analysis";#N/A,#N/A,FALSE,"Test 120 Day Accts";#N/A,#N/A,FALSE,"Tickmarks"}</definedName>
    <definedName name="oiu" localSheetId="4" hidden="1">{#N/A,#N/A,FALSE,"Aging Summary";#N/A,#N/A,FALSE,"Ratio Analysis";#N/A,#N/A,FALSE,"Test 120 Day Accts";#N/A,#N/A,FALSE,"Tickmarks"}</definedName>
    <definedName name="oiu" localSheetId="10" hidden="1">{#N/A,#N/A,FALSE,"Aging Summary";#N/A,#N/A,FALSE,"Ratio Analysis";#N/A,#N/A,FALSE,"Test 120 Day Accts";#N/A,#N/A,FALSE,"Tickmarks"}</definedName>
    <definedName name="oiu" localSheetId="11" hidden="1">{#N/A,#N/A,FALSE,"Aging Summary";#N/A,#N/A,FALSE,"Ratio Analysis";#N/A,#N/A,FALSE,"Test 120 Day Accts";#N/A,#N/A,FALSE,"Tickmarks"}</definedName>
    <definedName name="oiu" localSheetId="12" hidden="1">{#N/A,#N/A,FALSE,"Aging Summary";#N/A,#N/A,FALSE,"Ratio Analysis";#N/A,#N/A,FALSE,"Test 120 Day Accts";#N/A,#N/A,FALSE,"Tickmarks"}</definedName>
    <definedName name="oiu" localSheetId="13" hidden="1">{#N/A,#N/A,FALSE,"Aging Summary";#N/A,#N/A,FALSE,"Ratio Analysis";#N/A,#N/A,FALSE,"Test 120 Day Accts";#N/A,#N/A,FALSE,"Tickmarks"}</definedName>
    <definedName name="oiu" localSheetId="14" hidden="1">{#N/A,#N/A,FALSE,"Aging Summary";#N/A,#N/A,FALSE,"Ratio Analysis";#N/A,#N/A,FALSE,"Test 120 Day Accts";#N/A,#N/A,FALSE,"Tickmarks"}</definedName>
    <definedName name="oiu" localSheetId="15" hidden="1">{#N/A,#N/A,FALSE,"Aging Summary";#N/A,#N/A,FALSE,"Ratio Analysis";#N/A,#N/A,FALSE,"Test 120 Day Accts";#N/A,#N/A,FALSE,"Tickmarks"}</definedName>
    <definedName name="oiu" localSheetId="17" hidden="1">{#N/A,#N/A,FALSE,"Aging Summary";#N/A,#N/A,FALSE,"Ratio Analysis";#N/A,#N/A,FALSE,"Test 120 Day Accts";#N/A,#N/A,FALSE,"Tickmarks"}</definedName>
    <definedName name="oiu" localSheetId="20" hidden="1">{#N/A,#N/A,FALSE,"Aging Summary";#N/A,#N/A,FALSE,"Ratio Analysis";#N/A,#N/A,FALSE,"Test 120 Day Accts";#N/A,#N/A,FALSE,"Tickmarks"}</definedName>
    <definedName name="oiu" localSheetId="21" hidden="1">{#N/A,#N/A,FALSE,"Aging Summary";#N/A,#N/A,FALSE,"Ratio Analysis";#N/A,#N/A,FALSE,"Test 120 Day Accts";#N/A,#N/A,FALSE,"Tickmarks"}</definedName>
    <definedName name="oiu" hidden="1">{#N/A,#N/A,FALSE,"Aging Summary";#N/A,#N/A,FALSE,"Ratio Analysis";#N/A,#N/A,FALSE,"Test 120 Day Accts";#N/A,#N/A,FALSE,"Tickmarks"}</definedName>
    <definedName name="op" localSheetId="4" hidden="1">{#N/A,#N/A,FALSE,"Aging Summary";#N/A,#N/A,FALSE,"Ratio Analysis";#N/A,#N/A,FALSE,"Test 120 Day Accts";#N/A,#N/A,FALSE,"Tickmarks"}</definedName>
    <definedName name="op" localSheetId="10" hidden="1">{#N/A,#N/A,FALSE,"Aging Summary";#N/A,#N/A,FALSE,"Ratio Analysis";#N/A,#N/A,FALSE,"Test 120 Day Accts";#N/A,#N/A,FALSE,"Tickmarks"}</definedName>
    <definedName name="op" localSheetId="11" hidden="1">{#N/A,#N/A,FALSE,"Aging Summary";#N/A,#N/A,FALSE,"Ratio Analysis";#N/A,#N/A,FALSE,"Test 120 Day Accts";#N/A,#N/A,FALSE,"Tickmarks"}</definedName>
    <definedName name="op" localSheetId="12" hidden="1">{#N/A,#N/A,FALSE,"Aging Summary";#N/A,#N/A,FALSE,"Ratio Analysis";#N/A,#N/A,FALSE,"Test 120 Day Accts";#N/A,#N/A,FALSE,"Tickmarks"}</definedName>
    <definedName name="op" localSheetId="13" hidden="1">{#N/A,#N/A,FALSE,"Aging Summary";#N/A,#N/A,FALSE,"Ratio Analysis";#N/A,#N/A,FALSE,"Test 120 Day Accts";#N/A,#N/A,FALSE,"Tickmarks"}</definedName>
    <definedName name="op" localSheetId="14" hidden="1">{#N/A,#N/A,FALSE,"Aging Summary";#N/A,#N/A,FALSE,"Ratio Analysis";#N/A,#N/A,FALSE,"Test 120 Day Accts";#N/A,#N/A,FALSE,"Tickmarks"}</definedName>
    <definedName name="op" localSheetId="15" hidden="1">{#N/A,#N/A,FALSE,"Aging Summary";#N/A,#N/A,FALSE,"Ratio Analysis";#N/A,#N/A,FALSE,"Test 120 Day Accts";#N/A,#N/A,FALSE,"Tickmarks"}</definedName>
    <definedName name="op" localSheetId="17" hidden="1">{#N/A,#N/A,FALSE,"Aging Summary";#N/A,#N/A,FALSE,"Ratio Analysis";#N/A,#N/A,FALSE,"Test 120 Day Accts";#N/A,#N/A,FALSE,"Tickmarks"}</definedName>
    <definedName name="op" localSheetId="20" hidden="1">{#N/A,#N/A,FALSE,"Aging Summary";#N/A,#N/A,FALSE,"Ratio Analysis";#N/A,#N/A,FALSE,"Test 120 Day Accts";#N/A,#N/A,FALSE,"Tickmarks"}</definedName>
    <definedName name="op" localSheetId="21" hidden="1">{#N/A,#N/A,FALSE,"Aging Summary";#N/A,#N/A,FALSE,"Ratio Analysis";#N/A,#N/A,FALSE,"Test 120 Day Accts";#N/A,#N/A,FALSE,"Tickmarks"}</definedName>
    <definedName name="op" hidden="1">{#N/A,#N/A,FALSE,"Aging Summary";#N/A,#N/A,FALSE,"Ratio Analysis";#N/A,#N/A,FALSE,"Test 120 Day Accts";#N/A,#N/A,FALSE,"Tickmarks"}</definedName>
    <definedName name="p" localSheetId="4" hidden="1">{#N/A,#N/A,FALSE,"Aging Summary";#N/A,#N/A,FALSE,"Ratio Analysis";#N/A,#N/A,FALSE,"Test 120 Day Accts";#N/A,#N/A,FALSE,"Tickmarks"}</definedName>
    <definedName name="p" localSheetId="10" hidden="1">{#N/A,#N/A,FALSE,"Aging Summary";#N/A,#N/A,FALSE,"Ratio Analysis";#N/A,#N/A,FALSE,"Test 120 Day Accts";#N/A,#N/A,FALSE,"Tickmarks"}</definedName>
    <definedName name="p" localSheetId="11" hidden="1">{#N/A,#N/A,FALSE,"Aging Summary";#N/A,#N/A,FALSE,"Ratio Analysis";#N/A,#N/A,FALSE,"Test 120 Day Accts";#N/A,#N/A,FALSE,"Tickmarks"}</definedName>
    <definedName name="p" localSheetId="12" hidden="1">{#N/A,#N/A,FALSE,"Aging Summary";#N/A,#N/A,FALSE,"Ratio Analysis";#N/A,#N/A,FALSE,"Test 120 Day Accts";#N/A,#N/A,FALSE,"Tickmarks"}</definedName>
    <definedName name="p" localSheetId="13" hidden="1">{#N/A,#N/A,FALSE,"Aging Summary";#N/A,#N/A,FALSE,"Ratio Analysis";#N/A,#N/A,FALSE,"Test 120 Day Accts";#N/A,#N/A,FALSE,"Tickmarks"}</definedName>
    <definedName name="p" localSheetId="14" hidden="1">{#N/A,#N/A,FALSE,"Aging Summary";#N/A,#N/A,FALSE,"Ratio Analysis";#N/A,#N/A,FALSE,"Test 120 Day Accts";#N/A,#N/A,FALSE,"Tickmarks"}</definedName>
    <definedName name="p" localSheetId="15" hidden="1">{#N/A,#N/A,FALSE,"Aging Summary";#N/A,#N/A,FALSE,"Ratio Analysis";#N/A,#N/A,FALSE,"Test 120 Day Accts";#N/A,#N/A,FALSE,"Tickmarks"}</definedName>
    <definedName name="p" localSheetId="17" hidden="1">{#N/A,#N/A,FALSE,"Aging Summary";#N/A,#N/A,FALSE,"Ratio Analysis";#N/A,#N/A,FALSE,"Test 120 Day Accts";#N/A,#N/A,FALSE,"Tickmarks"}</definedName>
    <definedName name="p" localSheetId="20" hidden="1">{#N/A,#N/A,FALSE,"Aging Summary";#N/A,#N/A,FALSE,"Ratio Analysis";#N/A,#N/A,FALSE,"Test 120 Day Accts";#N/A,#N/A,FALSE,"Tickmarks"}</definedName>
    <definedName name="p" localSheetId="21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aul" localSheetId="8" hidden="1">#REF!</definedName>
    <definedName name="paul" localSheetId="11" hidden="1">#REF!</definedName>
    <definedName name="paul" localSheetId="13" hidden="1">#REF!</definedName>
    <definedName name="paul" localSheetId="15" hidden="1">#REF!</definedName>
    <definedName name="paul" localSheetId="21" hidden="1">#REF!</definedName>
    <definedName name="paul" hidden="1">#REF!</definedName>
    <definedName name="pesc1" localSheetId="4" hidden="1">{#N/A,#N/A,FALSE,"Aging Summary";#N/A,#N/A,FALSE,"Ratio Analysis";#N/A,#N/A,FALSE,"Test 120 Day Accts";#N/A,#N/A,FALSE,"Tickmarks"}</definedName>
    <definedName name="pesc1" localSheetId="10" hidden="1">{#N/A,#N/A,FALSE,"Aging Summary";#N/A,#N/A,FALSE,"Ratio Analysis";#N/A,#N/A,FALSE,"Test 120 Day Accts";#N/A,#N/A,FALSE,"Tickmarks"}</definedName>
    <definedName name="pesc1" localSheetId="11" hidden="1">{#N/A,#N/A,FALSE,"Aging Summary";#N/A,#N/A,FALSE,"Ratio Analysis";#N/A,#N/A,FALSE,"Test 120 Day Accts";#N/A,#N/A,FALSE,"Tickmarks"}</definedName>
    <definedName name="pesc1" localSheetId="12" hidden="1">{#N/A,#N/A,FALSE,"Aging Summary";#N/A,#N/A,FALSE,"Ratio Analysis";#N/A,#N/A,FALSE,"Test 120 Day Accts";#N/A,#N/A,FALSE,"Tickmarks"}</definedName>
    <definedName name="pesc1" localSheetId="13" hidden="1">{#N/A,#N/A,FALSE,"Aging Summary";#N/A,#N/A,FALSE,"Ratio Analysis";#N/A,#N/A,FALSE,"Test 120 Day Accts";#N/A,#N/A,FALSE,"Tickmarks"}</definedName>
    <definedName name="pesc1" localSheetId="14" hidden="1">{#N/A,#N/A,FALSE,"Aging Summary";#N/A,#N/A,FALSE,"Ratio Analysis";#N/A,#N/A,FALSE,"Test 120 Day Accts";#N/A,#N/A,FALSE,"Tickmarks"}</definedName>
    <definedName name="pesc1" localSheetId="15" hidden="1">{#N/A,#N/A,FALSE,"Aging Summary";#N/A,#N/A,FALSE,"Ratio Analysis";#N/A,#N/A,FALSE,"Test 120 Day Accts";#N/A,#N/A,FALSE,"Tickmarks"}</definedName>
    <definedName name="pesc1" localSheetId="17" hidden="1">{#N/A,#N/A,FALSE,"Aging Summary";#N/A,#N/A,FALSE,"Ratio Analysis";#N/A,#N/A,FALSE,"Test 120 Day Accts";#N/A,#N/A,FALSE,"Tickmarks"}</definedName>
    <definedName name="pesc1" localSheetId="20" hidden="1">{#N/A,#N/A,FALSE,"Aging Summary";#N/A,#N/A,FALSE,"Ratio Analysis";#N/A,#N/A,FALSE,"Test 120 Day Accts";#N/A,#N/A,FALSE,"Tickmarks"}</definedName>
    <definedName name="pesc1" localSheetId="21" hidden="1">{#N/A,#N/A,FALSE,"Aging Summary";#N/A,#N/A,FALSE,"Ratio Analysis";#N/A,#N/A,FALSE,"Test 120 Day Accts";#N/A,#N/A,FALSE,"Tickmarks"}</definedName>
    <definedName name="pesc1" hidden="1">{#N/A,#N/A,FALSE,"Aging Summary";#N/A,#N/A,FALSE,"Ratio Analysis";#N/A,#N/A,FALSE,"Test 120 Day Accts";#N/A,#N/A,FALSE,"Tickmarks"}</definedName>
    <definedName name="ppp" localSheetId="4" hidden="1">{#N/A,#N/A,FALSE,"Aging Summary";#N/A,#N/A,FALSE,"Ratio Analysis";#N/A,#N/A,FALSE,"Test 120 Day Accts";#N/A,#N/A,FALSE,"Tickmarks"}</definedName>
    <definedName name="ppp" localSheetId="10" hidden="1">{#N/A,#N/A,FALSE,"Aging Summary";#N/A,#N/A,FALSE,"Ratio Analysis";#N/A,#N/A,FALSE,"Test 120 Day Accts";#N/A,#N/A,FALSE,"Tickmarks"}</definedName>
    <definedName name="ppp" localSheetId="11" hidden="1">{#N/A,#N/A,FALSE,"Aging Summary";#N/A,#N/A,FALSE,"Ratio Analysis";#N/A,#N/A,FALSE,"Test 120 Day Accts";#N/A,#N/A,FALSE,"Tickmarks"}</definedName>
    <definedName name="ppp" localSheetId="12" hidden="1">{#N/A,#N/A,FALSE,"Aging Summary";#N/A,#N/A,FALSE,"Ratio Analysis";#N/A,#N/A,FALSE,"Test 120 Day Accts";#N/A,#N/A,FALSE,"Tickmarks"}</definedName>
    <definedName name="ppp" localSheetId="13" hidden="1">{#N/A,#N/A,FALSE,"Aging Summary";#N/A,#N/A,FALSE,"Ratio Analysis";#N/A,#N/A,FALSE,"Test 120 Day Accts";#N/A,#N/A,FALSE,"Tickmarks"}</definedName>
    <definedName name="ppp" localSheetId="14" hidden="1">{#N/A,#N/A,FALSE,"Aging Summary";#N/A,#N/A,FALSE,"Ratio Analysis";#N/A,#N/A,FALSE,"Test 120 Day Accts";#N/A,#N/A,FALSE,"Tickmarks"}</definedName>
    <definedName name="ppp" localSheetId="15" hidden="1">{#N/A,#N/A,FALSE,"Aging Summary";#N/A,#N/A,FALSE,"Ratio Analysis";#N/A,#N/A,FALSE,"Test 120 Day Accts";#N/A,#N/A,FALSE,"Tickmarks"}</definedName>
    <definedName name="ppp" localSheetId="17" hidden="1">{#N/A,#N/A,FALSE,"Aging Summary";#N/A,#N/A,FALSE,"Ratio Analysis";#N/A,#N/A,FALSE,"Test 120 Day Accts";#N/A,#N/A,FALSE,"Tickmarks"}</definedName>
    <definedName name="ppp" localSheetId="20" hidden="1">{#N/A,#N/A,FALSE,"Aging Summary";#N/A,#N/A,FALSE,"Ratio Analysis";#N/A,#N/A,FALSE,"Test 120 Day Accts";#N/A,#N/A,FALSE,"Tickmarks"}</definedName>
    <definedName name="ppp" localSheetId="21" hidden="1">{#N/A,#N/A,FALSE,"Aging Summary";#N/A,#N/A,FALSE,"Ratio Analysis";#N/A,#N/A,FALSE,"Test 120 Day Accts";#N/A,#N/A,FALSE,"Tickmarks"}</definedName>
    <definedName name="ppp" hidden="1">{#N/A,#N/A,FALSE,"Aging Summary";#N/A,#N/A,FALSE,"Ratio Analysis";#N/A,#N/A,FALSE,"Test 120 Day Accts";#N/A,#N/A,FALSE,"Tickmarks"}</definedName>
    <definedName name="_xlnm.Print_Area" localSheetId="2">'DEF - 2 - Page 3 Rev Reqt'!$A$1:$L$67</definedName>
    <definedName name="_xlnm.Print_Area" localSheetId="3">'DEF - 2 - Page 4 Support'!$A$1:$K$56</definedName>
    <definedName name="_xlnm.Print_Area" localSheetId="4">'DEF - 2 - Page 5 Storm'!$A$1:$L$93</definedName>
    <definedName name="_xlnm.Print_Area" localSheetId="5">'DEF - 2 - Page 6 Notes'!$A$1:$M$51</definedName>
    <definedName name="_xlnm.Print_Area" localSheetId="0">'DEF - 2 -Page 1 Summary'!$A$4:$L$45</definedName>
    <definedName name="_xlnm.Print_Area" localSheetId="1">'DEF - 2 Page 2 Rate Base'!$A$1:$P$95</definedName>
    <definedName name="_xlnm.Print_Area" localSheetId="7">'DEF - 3,  p2, 456 Rev Credits'!$A$1:$H$95</definedName>
    <definedName name="_xlnm.Print_Area" localSheetId="6">'DEF - 3, p1, 454 Rev Credits'!$A$1:$H$33</definedName>
    <definedName name="_xlnm.Print_Area" localSheetId="8">'DEF - 4, p1 Step Ups'!$A$1:$J$62</definedName>
    <definedName name="_xlnm.Print_Area" localSheetId="9">'DEF - 4, p2 Step Ups '!$A$1:$J$77</definedName>
    <definedName name="_xlnm.Print_Area" localSheetId="10">'DEF - 4, p3 Order 2003 '!$A$1:$K$87</definedName>
    <definedName name="_xlnm.Print_Area" localSheetId="11">'DEF - 5 p1 PY ADIT 190'!$A$1:$J$71</definedName>
    <definedName name="_xlnm.Print_Area" localSheetId="12">'DEF - 5 p2 PY ADIT 28x'!$A$1:$J$49</definedName>
    <definedName name="_xlnm.Print_Area" localSheetId="13">'DEF - 5 p3 CY ADIT 190'!$A$1:$J$86</definedName>
    <definedName name="_xlnm.Print_Area" localSheetId="14">'DEF - 5 p4 CY ADIT 28x'!$A$1:$J$48</definedName>
    <definedName name="_xlnm.Print_Area" localSheetId="15">'DEF - 5A Unfunded Reserves'!$A$1:$O$31</definedName>
    <definedName name="_xlnm.Print_Area" localSheetId="16">'DEF - 6  p1, FF1 Inputs '!$A$1:$L$79</definedName>
    <definedName name="_xlnm.Print_Area" localSheetId="17">'DEF - 6 p2, Levelized Storm'!$A$1:$L$72</definedName>
    <definedName name="_xlnm.Print_Area" localSheetId="18">'DEF - 6 p3, Prepay Accting'!$A$1:$I$67</definedName>
    <definedName name="_xlnm.Print_Area" localSheetId="19">'DEF - 7, Retail Radials'!$A$1:$K$31</definedName>
    <definedName name="_xlnm.Print_Area" localSheetId="20">'DEF - 8 Depreciation Rates'!$A$1:$D$327</definedName>
    <definedName name="_xlnm.Print_Area" localSheetId="21">'DEF - 9 CWIP Projects'!$A$1:$C$184</definedName>
    <definedName name="_xlnm.Print_Titles" localSheetId="8">'DEF - 4, p1 Step Ups'!$1:$10</definedName>
    <definedName name="_xlnm.Print_Titles" localSheetId="9">'DEF - 4, p2 Step Ups '!$1:$9</definedName>
    <definedName name="_xlnm.Print_Titles" localSheetId="10">'DEF - 4, p3 Order 2003 '!$1:$11</definedName>
    <definedName name="ret" localSheetId="4" hidden="1">{#N/A,#N/A,FALSE,"Aging Summary";#N/A,#N/A,FALSE,"Ratio Analysis";#N/A,#N/A,FALSE,"Test 120 Day Accts";#N/A,#N/A,FALSE,"Tickmarks"}</definedName>
    <definedName name="ret" localSheetId="10" hidden="1">{#N/A,#N/A,FALSE,"Aging Summary";#N/A,#N/A,FALSE,"Ratio Analysis";#N/A,#N/A,FALSE,"Test 120 Day Accts";#N/A,#N/A,FALSE,"Tickmarks"}</definedName>
    <definedName name="ret" localSheetId="11" hidden="1">{#N/A,#N/A,FALSE,"Aging Summary";#N/A,#N/A,FALSE,"Ratio Analysis";#N/A,#N/A,FALSE,"Test 120 Day Accts";#N/A,#N/A,FALSE,"Tickmarks"}</definedName>
    <definedName name="ret" localSheetId="12" hidden="1">{#N/A,#N/A,FALSE,"Aging Summary";#N/A,#N/A,FALSE,"Ratio Analysis";#N/A,#N/A,FALSE,"Test 120 Day Accts";#N/A,#N/A,FALSE,"Tickmarks"}</definedName>
    <definedName name="ret" localSheetId="13" hidden="1">{#N/A,#N/A,FALSE,"Aging Summary";#N/A,#N/A,FALSE,"Ratio Analysis";#N/A,#N/A,FALSE,"Test 120 Day Accts";#N/A,#N/A,FALSE,"Tickmarks"}</definedName>
    <definedName name="ret" localSheetId="14" hidden="1">{#N/A,#N/A,FALSE,"Aging Summary";#N/A,#N/A,FALSE,"Ratio Analysis";#N/A,#N/A,FALSE,"Test 120 Day Accts";#N/A,#N/A,FALSE,"Tickmarks"}</definedName>
    <definedName name="ret" localSheetId="15" hidden="1">{#N/A,#N/A,FALSE,"Aging Summary";#N/A,#N/A,FALSE,"Ratio Analysis";#N/A,#N/A,FALSE,"Test 120 Day Accts";#N/A,#N/A,FALSE,"Tickmarks"}</definedName>
    <definedName name="ret" localSheetId="17" hidden="1">{#N/A,#N/A,FALSE,"Aging Summary";#N/A,#N/A,FALSE,"Ratio Analysis";#N/A,#N/A,FALSE,"Test 120 Day Accts";#N/A,#N/A,FALSE,"Tickmarks"}</definedName>
    <definedName name="ret" localSheetId="20" hidden="1">{#N/A,#N/A,FALSE,"Aging Summary";#N/A,#N/A,FALSE,"Ratio Analysis";#N/A,#N/A,FALSE,"Test 120 Day Accts";#N/A,#N/A,FALSE,"Tickmarks"}</definedName>
    <definedName name="ret" localSheetId="21" hidden="1">{#N/A,#N/A,FALSE,"Aging Summary";#N/A,#N/A,FALSE,"Ratio Analysis";#N/A,#N/A,FALSE,"Test 120 Day Accts";#N/A,#N/A,FALSE,"Tickmarks"}</definedName>
    <definedName name="ret" hidden="1">{#N/A,#N/A,FALSE,"Aging Summary";#N/A,#N/A,FALSE,"Ratio Analysis";#N/A,#N/A,FALSE,"Test 120 Day Accts";#N/A,#N/A,FALSE,"Tickmarks"}</definedName>
    <definedName name="rt" localSheetId="4" hidden="1">{#N/A,#N/A,FALSE,"Aging Summary";#N/A,#N/A,FALSE,"Ratio Analysis";#N/A,#N/A,FALSE,"Test 120 Day Accts";#N/A,#N/A,FALSE,"Tickmarks"}</definedName>
    <definedName name="rt" localSheetId="10" hidden="1">{#N/A,#N/A,FALSE,"Aging Summary";#N/A,#N/A,FALSE,"Ratio Analysis";#N/A,#N/A,FALSE,"Test 120 Day Accts";#N/A,#N/A,FALSE,"Tickmarks"}</definedName>
    <definedName name="rt" localSheetId="11" hidden="1">{#N/A,#N/A,FALSE,"Aging Summary";#N/A,#N/A,FALSE,"Ratio Analysis";#N/A,#N/A,FALSE,"Test 120 Day Accts";#N/A,#N/A,FALSE,"Tickmarks"}</definedName>
    <definedName name="rt" localSheetId="12" hidden="1">{#N/A,#N/A,FALSE,"Aging Summary";#N/A,#N/A,FALSE,"Ratio Analysis";#N/A,#N/A,FALSE,"Test 120 Day Accts";#N/A,#N/A,FALSE,"Tickmarks"}</definedName>
    <definedName name="rt" localSheetId="13" hidden="1">{#N/A,#N/A,FALSE,"Aging Summary";#N/A,#N/A,FALSE,"Ratio Analysis";#N/A,#N/A,FALSE,"Test 120 Day Accts";#N/A,#N/A,FALSE,"Tickmarks"}</definedName>
    <definedName name="rt" localSheetId="14" hidden="1">{#N/A,#N/A,FALSE,"Aging Summary";#N/A,#N/A,FALSE,"Ratio Analysis";#N/A,#N/A,FALSE,"Test 120 Day Accts";#N/A,#N/A,FALSE,"Tickmarks"}</definedName>
    <definedName name="rt" localSheetId="15" hidden="1">{#N/A,#N/A,FALSE,"Aging Summary";#N/A,#N/A,FALSE,"Ratio Analysis";#N/A,#N/A,FALSE,"Test 120 Day Accts";#N/A,#N/A,FALSE,"Tickmarks"}</definedName>
    <definedName name="rt" localSheetId="17" hidden="1">{#N/A,#N/A,FALSE,"Aging Summary";#N/A,#N/A,FALSE,"Ratio Analysis";#N/A,#N/A,FALSE,"Test 120 Day Accts";#N/A,#N/A,FALSE,"Tickmarks"}</definedName>
    <definedName name="rt" localSheetId="20" hidden="1">{#N/A,#N/A,FALSE,"Aging Summary";#N/A,#N/A,FALSE,"Ratio Analysis";#N/A,#N/A,FALSE,"Test 120 Day Accts";#N/A,#N/A,FALSE,"Tickmarks"}</definedName>
    <definedName name="rt" localSheetId="21" hidden="1">{#N/A,#N/A,FALSE,"Aging Summary";#N/A,#N/A,FALSE,"Ratio Analysis";#N/A,#N/A,FALSE,"Test 120 Day Accts";#N/A,#N/A,FALSE,"Tickmarks"}</definedName>
    <definedName name="rt" hidden="1">{#N/A,#N/A,FALSE,"Aging Summary";#N/A,#N/A,FALSE,"Ratio Analysis";#N/A,#N/A,FALSE,"Test 120 Day Accts";#N/A,#N/A,FALSE,"Tickmarks"}</definedName>
    <definedName name="temp" localSheetId="4" hidden="1">{#N/A,#N/A,FALSE,"Aging Summary";#N/A,#N/A,FALSE,"Ratio Analysis";#N/A,#N/A,FALSE,"Test 120 Day Accts";#N/A,#N/A,FALSE,"Tickmarks"}</definedName>
    <definedName name="temp" localSheetId="10" hidden="1">{#N/A,#N/A,FALSE,"Aging Summary";#N/A,#N/A,FALSE,"Ratio Analysis";#N/A,#N/A,FALSE,"Test 120 Day Accts";#N/A,#N/A,FALSE,"Tickmarks"}</definedName>
    <definedName name="temp" localSheetId="11" hidden="1">{#N/A,#N/A,FALSE,"Aging Summary";#N/A,#N/A,FALSE,"Ratio Analysis";#N/A,#N/A,FALSE,"Test 120 Day Accts";#N/A,#N/A,FALSE,"Tickmarks"}</definedName>
    <definedName name="temp" localSheetId="12" hidden="1">{#N/A,#N/A,FALSE,"Aging Summary";#N/A,#N/A,FALSE,"Ratio Analysis";#N/A,#N/A,FALSE,"Test 120 Day Accts";#N/A,#N/A,FALSE,"Tickmarks"}</definedName>
    <definedName name="temp" localSheetId="13" hidden="1">{#N/A,#N/A,FALSE,"Aging Summary";#N/A,#N/A,FALSE,"Ratio Analysis";#N/A,#N/A,FALSE,"Test 120 Day Accts";#N/A,#N/A,FALSE,"Tickmarks"}</definedName>
    <definedName name="temp" localSheetId="14" hidden="1">{#N/A,#N/A,FALSE,"Aging Summary";#N/A,#N/A,FALSE,"Ratio Analysis";#N/A,#N/A,FALSE,"Test 120 Day Accts";#N/A,#N/A,FALSE,"Tickmarks"}</definedName>
    <definedName name="temp" localSheetId="15" hidden="1">{#N/A,#N/A,FALSE,"Aging Summary";#N/A,#N/A,FALSE,"Ratio Analysis";#N/A,#N/A,FALSE,"Test 120 Day Accts";#N/A,#N/A,FALSE,"Tickmarks"}</definedName>
    <definedName name="temp" localSheetId="17" hidden="1">{#N/A,#N/A,FALSE,"Aging Summary";#N/A,#N/A,FALSE,"Ratio Analysis";#N/A,#N/A,FALSE,"Test 120 Day Accts";#N/A,#N/A,FALSE,"Tickmarks"}</definedName>
    <definedName name="temp" localSheetId="20" hidden="1">{#N/A,#N/A,FALSE,"Aging Summary";#N/A,#N/A,FALSE,"Ratio Analysis";#N/A,#N/A,FALSE,"Test 120 Day Accts";#N/A,#N/A,FALSE,"Tickmarks"}</definedName>
    <definedName name="temp" localSheetId="21" hidden="1">{#N/A,#N/A,FALSE,"Aging Summary";#N/A,#N/A,FALSE,"Ratio Analysis";#N/A,#N/A,FALSE,"Test 120 Day Accts";#N/A,#N/A,FALSE,"Tickmarks"}</definedName>
    <definedName name="temp" hidden="1">{#N/A,#N/A,FALSE,"Aging Summary";#N/A,#N/A,FALSE,"Ratio Analysis";#N/A,#N/A,FALSE,"Test 120 Day Accts";#N/A,#N/A,FALSE,"Tickmarks"}</definedName>
    <definedName name="TExp_ALLOC" localSheetId="20">'[2]DEF - 2 - Page 4 Support'!$I$25</definedName>
    <definedName name="TExp_ALLOC">'DEF - 2 - Page 4 Support'!$I$25</definedName>
    <definedName name="TP_ALLOC">'DEF - 2 - Page 4 Support'!$I$20</definedName>
    <definedName name="tre" localSheetId="4" hidden="1">{#N/A,#N/A,FALSE,"Aging Summary";#N/A,#N/A,FALSE,"Ratio Analysis";#N/A,#N/A,FALSE,"Test 120 Day Accts";#N/A,#N/A,FALSE,"Tickmarks"}</definedName>
    <definedName name="tre" localSheetId="10" hidden="1">{#N/A,#N/A,FALSE,"Aging Summary";#N/A,#N/A,FALSE,"Ratio Analysis";#N/A,#N/A,FALSE,"Test 120 Day Accts";#N/A,#N/A,FALSE,"Tickmarks"}</definedName>
    <definedName name="tre" localSheetId="11" hidden="1">{#N/A,#N/A,FALSE,"Aging Summary";#N/A,#N/A,FALSE,"Ratio Analysis";#N/A,#N/A,FALSE,"Test 120 Day Accts";#N/A,#N/A,FALSE,"Tickmarks"}</definedName>
    <definedName name="tre" localSheetId="12" hidden="1">{#N/A,#N/A,FALSE,"Aging Summary";#N/A,#N/A,FALSE,"Ratio Analysis";#N/A,#N/A,FALSE,"Test 120 Day Accts";#N/A,#N/A,FALSE,"Tickmarks"}</definedName>
    <definedName name="tre" localSheetId="13" hidden="1">{#N/A,#N/A,FALSE,"Aging Summary";#N/A,#N/A,FALSE,"Ratio Analysis";#N/A,#N/A,FALSE,"Test 120 Day Accts";#N/A,#N/A,FALSE,"Tickmarks"}</definedName>
    <definedName name="tre" localSheetId="14" hidden="1">{#N/A,#N/A,FALSE,"Aging Summary";#N/A,#N/A,FALSE,"Ratio Analysis";#N/A,#N/A,FALSE,"Test 120 Day Accts";#N/A,#N/A,FALSE,"Tickmarks"}</definedName>
    <definedName name="tre" localSheetId="15" hidden="1">{#N/A,#N/A,FALSE,"Aging Summary";#N/A,#N/A,FALSE,"Ratio Analysis";#N/A,#N/A,FALSE,"Test 120 Day Accts";#N/A,#N/A,FALSE,"Tickmarks"}</definedName>
    <definedName name="tre" localSheetId="17" hidden="1">{#N/A,#N/A,FALSE,"Aging Summary";#N/A,#N/A,FALSE,"Ratio Analysis";#N/A,#N/A,FALSE,"Test 120 Day Accts";#N/A,#N/A,FALSE,"Tickmarks"}</definedName>
    <definedName name="tre" localSheetId="20" hidden="1">{#N/A,#N/A,FALSE,"Aging Summary";#N/A,#N/A,FALSE,"Ratio Analysis";#N/A,#N/A,FALSE,"Test 120 Day Accts";#N/A,#N/A,FALSE,"Tickmarks"}</definedName>
    <definedName name="tre" localSheetId="21" hidden="1">{#N/A,#N/A,FALSE,"Aging Summary";#N/A,#N/A,FALSE,"Ratio Analysis";#N/A,#N/A,FALSE,"Test 120 Day Accts";#N/A,#N/A,FALSE,"Tickmarks"}</definedName>
    <definedName name="tre" hidden="1">{#N/A,#N/A,FALSE,"Aging Summary";#N/A,#N/A,FALSE,"Ratio Analysis";#N/A,#N/A,FALSE,"Test 120 Day Accts";#N/A,#N/A,FALSE,"Tickmarks"}</definedName>
    <definedName name="WACC">'[3]Port Value - Monthly'!$B$7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11" hidden="1">{#N/A,#N/A,FALSE,"Aging Summary";#N/A,#N/A,FALSE,"Ratio Analysis";#N/A,#N/A,FALSE,"Test 120 Day Accts";#N/A,#N/A,FALSE,"Tickmarks"}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localSheetId="13" hidden="1">{#N/A,#N/A,FALSE,"Aging Summary";#N/A,#N/A,FALSE,"Ratio Analysis";#N/A,#N/A,FALSE,"Test 120 Day Accts";#N/A,#N/A,FALSE,"Tickmarks"}</definedName>
    <definedName name="wrn.Aging._.and._.Trend._.Analysis." localSheetId="14" hidden="1">{#N/A,#N/A,FALSE,"Aging Summary";#N/A,#N/A,FALSE,"Ratio Analysis";#N/A,#N/A,FALSE,"Test 120 Day Accts";#N/A,#N/A,FALSE,"Tickmarks"}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localSheetId="17" hidden="1">{#N/A,#N/A,FALSE,"Aging Summary";#N/A,#N/A,FALSE,"Ratio Analysis";#N/A,#N/A,FALSE,"Test 120 Day Accts";#N/A,#N/A,FALSE,"Tickmarks"}</definedName>
    <definedName name="wrn.Aging._.and._.Trend._.Analysis." localSheetId="20" hidden="1">{#N/A,#N/A,FALSE,"Aging Summary";#N/A,#N/A,FALSE,"Ratio Analysis";#N/A,#N/A,FALSE,"Test 120 Day Accts";#N/A,#N/A,FALSE,"Tickmarks"}</definedName>
    <definedName name="wrn.Aging._.and._.Trend._.Analysis." localSheetId="2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tyu" localSheetId="4" hidden="1">{#N/A,#N/A,FALSE,"Aging Summary";#N/A,#N/A,FALSE,"Ratio Analysis";#N/A,#N/A,FALSE,"Test 120 Day Accts";#N/A,#N/A,FALSE,"Tickmarks"}</definedName>
    <definedName name="wtyu" localSheetId="10" hidden="1">{#N/A,#N/A,FALSE,"Aging Summary";#N/A,#N/A,FALSE,"Ratio Analysis";#N/A,#N/A,FALSE,"Test 120 Day Accts";#N/A,#N/A,FALSE,"Tickmarks"}</definedName>
    <definedName name="wtyu" localSheetId="11" hidden="1">{#N/A,#N/A,FALSE,"Aging Summary";#N/A,#N/A,FALSE,"Ratio Analysis";#N/A,#N/A,FALSE,"Test 120 Day Accts";#N/A,#N/A,FALSE,"Tickmarks"}</definedName>
    <definedName name="wtyu" localSheetId="12" hidden="1">{#N/A,#N/A,FALSE,"Aging Summary";#N/A,#N/A,FALSE,"Ratio Analysis";#N/A,#N/A,FALSE,"Test 120 Day Accts";#N/A,#N/A,FALSE,"Tickmarks"}</definedName>
    <definedName name="wtyu" localSheetId="13" hidden="1">{#N/A,#N/A,FALSE,"Aging Summary";#N/A,#N/A,FALSE,"Ratio Analysis";#N/A,#N/A,FALSE,"Test 120 Day Accts";#N/A,#N/A,FALSE,"Tickmarks"}</definedName>
    <definedName name="wtyu" localSheetId="14" hidden="1">{#N/A,#N/A,FALSE,"Aging Summary";#N/A,#N/A,FALSE,"Ratio Analysis";#N/A,#N/A,FALSE,"Test 120 Day Accts";#N/A,#N/A,FALSE,"Tickmarks"}</definedName>
    <definedName name="wtyu" localSheetId="15" hidden="1">{#N/A,#N/A,FALSE,"Aging Summary";#N/A,#N/A,FALSE,"Ratio Analysis";#N/A,#N/A,FALSE,"Test 120 Day Accts";#N/A,#N/A,FALSE,"Tickmarks"}</definedName>
    <definedName name="wtyu" localSheetId="17" hidden="1">{#N/A,#N/A,FALSE,"Aging Summary";#N/A,#N/A,FALSE,"Ratio Analysis";#N/A,#N/A,FALSE,"Test 120 Day Accts";#N/A,#N/A,FALSE,"Tickmarks"}</definedName>
    <definedName name="wtyu" localSheetId="20" hidden="1">{#N/A,#N/A,FALSE,"Aging Summary";#N/A,#N/A,FALSE,"Ratio Analysis";#N/A,#N/A,FALSE,"Test 120 Day Accts";#N/A,#N/A,FALSE,"Tickmarks"}</definedName>
    <definedName name="wtyu" localSheetId="21" hidden="1">{#N/A,#N/A,FALSE,"Aging Summary";#N/A,#N/A,FALSE,"Ratio Analysis";#N/A,#N/A,FALSE,"Test 120 Day Accts";#N/A,#N/A,FALSE,"Tickmarks"}</definedName>
    <definedName name="wtyu" hidden="1">{#N/A,#N/A,FALSE,"Aging Summary";#N/A,#N/A,FALSE,"Ratio Analysis";#N/A,#N/A,FALSE,"Test 120 Day Accts";#N/A,#N/A,FALSE,"Tickmarks"}</definedName>
    <definedName name="XRefActiveRow" localSheetId="8" hidden="1">#REF!</definedName>
    <definedName name="XRefActiveRow" localSheetId="11" hidden="1">#REF!</definedName>
    <definedName name="XRefActiveRow" localSheetId="13" hidden="1">#REF!</definedName>
    <definedName name="XRefActiveRow" localSheetId="15" hidden="1">#REF!</definedName>
    <definedName name="XRefActiveRow" localSheetId="21" hidden="1">#REF!</definedName>
    <definedName name="XRefActiveRow" hidden="1">#REF!</definedName>
    <definedName name="XRefColumnsCount" hidden="1">3</definedName>
    <definedName name="XRefCopy1Row" localSheetId="8" hidden="1">#REF!</definedName>
    <definedName name="XRefCopy1Row" localSheetId="11" hidden="1">#REF!</definedName>
    <definedName name="XRefCopy1Row" localSheetId="13" hidden="1">#REF!</definedName>
    <definedName name="XRefCopy1Row" localSheetId="15" hidden="1">#REF!</definedName>
    <definedName name="XRefCopy1Row" localSheetId="21" hidden="1">#REF!</definedName>
    <definedName name="XRefCopy1Row" hidden="1">#REF!</definedName>
    <definedName name="XRefCopy2Row" localSheetId="8" hidden="1">#REF!</definedName>
    <definedName name="XRefCopy2Row" localSheetId="11" hidden="1">#REF!</definedName>
    <definedName name="XRefCopy2Row" localSheetId="13" hidden="1">#REF!</definedName>
    <definedName name="XRefCopy2Row" localSheetId="15" hidden="1">#REF!</definedName>
    <definedName name="XRefCopy2Row" localSheetId="21" hidden="1">#REF!</definedName>
    <definedName name="XRefCopy2Row" hidden="1">#REF!</definedName>
    <definedName name="XRefCopy3Row" localSheetId="8" hidden="1">#REF!</definedName>
    <definedName name="XRefCopy3Row" localSheetId="11" hidden="1">#REF!</definedName>
    <definedName name="XRefCopy3Row" localSheetId="13" hidden="1">#REF!</definedName>
    <definedName name="XRefCopy3Row" localSheetId="15" hidden="1">#REF!</definedName>
    <definedName name="XRefCopy3Row" localSheetId="21" hidden="1">#REF!</definedName>
    <definedName name="XRefCopy3Row" hidden="1">#REF!</definedName>
    <definedName name="XRefCopyRangeCount" hidden="1">3</definedName>
    <definedName name="XRefPaste1Row" localSheetId="8" hidden="1">#REF!</definedName>
    <definedName name="XRefPaste1Row" localSheetId="11" hidden="1">#REF!</definedName>
    <definedName name="XRefPaste1Row" localSheetId="13" hidden="1">#REF!</definedName>
    <definedName name="XRefPaste1Row" localSheetId="15" hidden="1">#REF!</definedName>
    <definedName name="XRefPaste1Row" localSheetId="21" hidden="1">#REF!</definedName>
    <definedName name="XRefPaste1Row" hidden="1">#REF!</definedName>
    <definedName name="XRefPaste2Row" localSheetId="8" hidden="1">#REF!</definedName>
    <definedName name="XRefPaste2Row" localSheetId="11" hidden="1">#REF!</definedName>
    <definedName name="XRefPaste2Row" localSheetId="13" hidden="1">#REF!</definedName>
    <definedName name="XRefPaste2Row" localSheetId="15" hidden="1">#REF!</definedName>
    <definedName name="XRefPaste2Row" localSheetId="21" hidden="1">#REF!</definedName>
    <definedName name="XRefPaste2Row" hidden="1">#REF!</definedName>
    <definedName name="XRefPasteRangeCount" hidden="1">2</definedName>
    <definedName name="y" localSheetId="4" hidden="1">{#N/A,#N/A,FALSE,"Aging Summary";#N/A,#N/A,FALSE,"Ratio Analysis";#N/A,#N/A,FALSE,"Test 120 Day Accts";#N/A,#N/A,FALSE,"Tickmarks"}</definedName>
    <definedName name="y" localSheetId="10" hidden="1">{#N/A,#N/A,FALSE,"Aging Summary";#N/A,#N/A,FALSE,"Ratio Analysis";#N/A,#N/A,FALSE,"Test 120 Day Accts";#N/A,#N/A,FALSE,"Tickmarks"}</definedName>
    <definedName name="y" localSheetId="11" hidden="1">{#N/A,#N/A,FALSE,"Aging Summary";#N/A,#N/A,FALSE,"Ratio Analysis";#N/A,#N/A,FALSE,"Test 120 Day Accts";#N/A,#N/A,FALSE,"Tickmarks"}</definedName>
    <definedName name="y" localSheetId="12" hidden="1">{#N/A,#N/A,FALSE,"Aging Summary";#N/A,#N/A,FALSE,"Ratio Analysis";#N/A,#N/A,FALSE,"Test 120 Day Accts";#N/A,#N/A,FALSE,"Tickmarks"}</definedName>
    <definedName name="y" localSheetId="13" hidden="1">{#N/A,#N/A,FALSE,"Aging Summary";#N/A,#N/A,FALSE,"Ratio Analysis";#N/A,#N/A,FALSE,"Test 120 Day Accts";#N/A,#N/A,FALSE,"Tickmarks"}</definedName>
    <definedName name="y" localSheetId="14" hidden="1">{#N/A,#N/A,FALSE,"Aging Summary";#N/A,#N/A,FALSE,"Ratio Analysis";#N/A,#N/A,FALSE,"Test 120 Day Accts";#N/A,#N/A,FALSE,"Tickmarks"}</definedName>
    <definedName name="y" localSheetId="15" hidden="1">{#N/A,#N/A,FALSE,"Aging Summary";#N/A,#N/A,FALSE,"Ratio Analysis";#N/A,#N/A,FALSE,"Test 120 Day Accts";#N/A,#N/A,FALSE,"Tickmarks"}</definedName>
    <definedName name="y" localSheetId="17" hidden="1">{#N/A,#N/A,FALSE,"Aging Summary";#N/A,#N/A,FALSE,"Ratio Analysis";#N/A,#N/A,FALSE,"Test 120 Day Accts";#N/A,#N/A,FALSE,"Tickmarks"}</definedName>
    <definedName name="y" localSheetId="20" hidden="1">{#N/A,#N/A,FALSE,"Aging Summary";#N/A,#N/A,FALSE,"Ratio Analysis";#N/A,#N/A,FALSE,"Test 120 Day Accts";#N/A,#N/A,FALSE,"Tickmarks"}</definedName>
    <definedName name="y" localSheetId="21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  <definedName name="YR">'DEF - 2 -Page 1 Summary'!$P$1</definedName>
  </definedNames>
  <calcPr calcId="145621"/>
</workbook>
</file>

<file path=xl/calcChain.xml><?xml version="1.0" encoding="utf-8"?>
<calcChain xmlns="http://schemas.openxmlformats.org/spreadsheetml/2006/main">
  <c r="F50" i="12" l="1"/>
  <c r="F49" i="12"/>
  <c r="F48" i="12"/>
  <c r="F47" i="12"/>
  <c r="F28" i="12"/>
  <c r="F27" i="12"/>
  <c r="F26" i="12"/>
  <c r="F25" i="12"/>
  <c r="F24" i="12"/>
  <c r="J58" i="4" l="1"/>
  <c r="G70" i="39" l="1"/>
  <c r="I70" i="39" s="1"/>
  <c r="G69" i="39"/>
  <c r="I69" i="39" s="1"/>
  <c r="G66" i="39"/>
  <c r="I66" i="39" s="1"/>
  <c r="J14" i="12" l="1"/>
  <c r="J13" i="12"/>
  <c r="J12" i="12"/>
  <c r="J11" i="12"/>
  <c r="H14" i="12"/>
  <c r="H13" i="12"/>
  <c r="H12" i="12"/>
  <c r="H11" i="12"/>
  <c r="H50" i="4" l="1"/>
  <c r="F50" i="4"/>
  <c r="G30" i="33" l="1"/>
  <c r="G20" i="33"/>
  <c r="R34" i="5" l="1"/>
  <c r="G102" i="2" l="1"/>
  <c r="E28" i="35" l="1"/>
  <c r="O36" i="12" l="1"/>
  <c r="M46" i="12"/>
  <c r="O46" i="12" l="1"/>
  <c r="Q36" i="12"/>
  <c r="T51" i="12" l="1"/>
  <c r="T30" i="12" l="1"/>
  <c r="T29" i="12"/>
  <c r="T21" i="12"/>
  <c r="F25" i="22" l="1"/>
  <c r="G55" i="3" l="1"/>
  <c r="F56" i="5"/>
  <c r="F55" i="5"/>
  <c r="H72" i="4" l="1"/>
  <c r="H71" i="4"/>
  <c r="F72" i="4"/>
  <c r="F71" i="4"/>
  <c r="F73" i="4"/>
  <c r="H73" i="4"/>
  <c r="T76" i="12" l="1"/>
  <c r="T74" i="12"/>
  <c r="R27" i="5" l="1"/>
  <c r="R35" i="5" s="1"/>
  <c r="M71" i="4"/>
  <c r="J73" i="4"/>
  <c r="J72" i="4"/>
  <c r="J71" i="4"/>
  <c r="O71" i="4" l="1"/>
  <c r="G28" i="35"/>
  <c r="I30" i="3" l="1"/>
  <c r="J74" i="12" l="1"/>
  <c r="O44" i="12" l="1"/>
  <c r="O43" i="12"/>
  <c r="O42" i="12"/>
  <c r="O32" i="12"/>
  <c r="O31" i="12"/>
  <c r="Q31" i="12" l="1"/>
  <c r="R31" i="12" s="1"/>
  <c r="Q32" i="12"/>
  <c r="R32" i="12" l="1"/>
  <c r="O45" i="12" l="1"/>
  <c r="T73" i="12" l="1"/>
  <c r="J73" i="12" s="1"/>
  <c r="T75" i="12"/>
  <c r="J75" i="12" s="1"/>
  <c r="T77" i="12"/>
  <c r="J77" i="12" s="1"/>
  <c r="T78" i="12"/>
  <c r="J78" i="12" s="1"/>
  <c r="T79" i="12"/>
  <c r="J79" i="12" s="1"/>
  <c r="G25" i="21" l="1"/>
  <c r="G26" i="21"/>
  <c r="G27" i="21"/>
  <c r="G28" i="21"/>
  <c r="G29" i="21"/>
  <c r="G31" i="21"/>
  <c r="G32" i="21"/>
  <c r="G33" i="21"/>
  <c r="G34" i="21"/>
  <c r="G36" i="21"/>
  <c r="G37" i="21"/>
  <c r="G38" i="21"/>
  <c r="G39" i="21"/>
  <c r="G40" i="21"/>
  <c r="G42" i="21"/>
  <c r="G43" i="21"/>
  <c r="G24" i="21"/>
  <c r="G19" i="21"/>
  <c r="G20" i="21"/>
  <c r="G18" i="21"/>
  <c r="I27" i="21" l="1"/>
  <c r="I25" i="21"/>
  <c r="I43" i="21"/>
  <c r="I39" i="21"/>
  <c r="I31" i="21"/>
  <c r="I19" i="21"/>
  <c r="I33" i="21"/>
  <c r="I18" i="21"/>
  <c r="I42" i="21"/>
  <c r="I28" i="21"/>
  <c r="I26" i="21"/>
  <c r="I20" i="21"/>
  <c r="I36" i="21"/>
  <c r="I34" i="21"/>
  <c r="I24" i="21"/>
  <c r="I37" i="21"/>
  <c r="I29" i="21"/>
  <c r="I38" i="21"/>
  <c r="I40" i="21"/>
  <c r="I32" i="21"/>
  <c r="J68" i="12" l="1"/>
  <c r="G94" i="2" l="1"/>
  <c r="G95" i="2"/>
  <c r="N23" i="12" l="1"/>
  <c r="N26" i="12" l="1"/>
  <c r="N25" i="12"/>
  <c r="N22" i="12"/>
  <c r="N24" i="12" s="1"/>
  <c r="M45" i="12" l="1"/>
  <c r="M44" i="12" s="1"/>
  <c r="AD32" i="12"/>
  <c r="AD33" i="12"/>
  <c r="AD23" i="12"/>
  <c r="H15" i="12"/>
  <c r="AD15" i="12" s="1"/>
  <c r="H16" i="12"/>
  <c r="AD16" i="12" s="1"/>
  <c r="H17" i="12"/>
  <c r="AD17" i="12" s="1"/>
  <c r="H18" i="12"/>
  <c r="AD18" i="12" s="1"/>
  <c r="H19" i="12"/>
  <c r="AD19" i="12" s="1"/>
  <c r="H20" i="12"/>
  <c r="AD20" i="12" s="1"/>
  <c r="H24" i="12"/>
  <c r="AD24" i="12" s="1"/>
  <c r="H27" i="12"/>
  <c r="AD27" i="12" s="1"/>
  <c r="H28" i="12"/>
  <c r="AD28" i="12" s="1"/>
  <c r="H34" i="12"/>
  <c r="AD34" i="12" s="1"/>
  <c r="H35" i="12"/>
  <c r="AD35" i="12" s="1"/>
  <c r="H39" i="12"/>
  <c r="AD39" i="12" s="1"/>
  <c r="H47" i="12"/>
  <c r="AD47" i="12" s="1"/>
  <c r="H48" i="12"/>
  <c r="AD48" i="12" s="1"/>
  <c r="H49" i="12"/>
  <c r="AD49" i="12" s="1"/>
  <c r="H50" i="12"/>
  <c r="AD50" i="12" s="1"/>
  <c r="J15" i="12"/>
  <c r="J16" i="12"/>
  <c r="J17" i="12"/>
  <c r="J18" i="12"/>
  <c r="J19" i="12"/>
  <c r="J20" i="12"/>
  <c r="J22" i="12"/>
  <c r="J23" i="12"/>
  <c r="J24" i="12"/>
  <c r="J27" i="12"/>
  <c r="J28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2" i="12"/>
  <c r="J53" i="12"/>
  <c r="J54" i="12"/>
  <c r="J55" i="12"/>
  <c r="J56" i="12"/>
  <c r="J57" i="12"/>
  <c r="J58" i="12"/>
  <c r="J59" i="12"/>
  <c r="J61" i="12"/>
  <c r="J62" i="12"/>
  <c r="J63" i="12"/>
  <c r="J64" i="12"/>
  <c r="I28" i="3" s="1"/>
  <c r="J65" i="12"/>
  <c r="J66" i="12"/>
  <c r="J67" i="12"/>
  <c r="J69" i="12"/>
  <c r="AD11" i="12"/>
  <c r="J29" i="12"/>
  <c r="J51" i="12"/>
  <c r="J30" i="12"/>
  <c r="J25" i="12"/>
  <c r="J21" i="12"/>
  <c r="G17" i="28"/>
  <c r="G18" i="28"/>
  <c r="G12" i="21"/>
  <c r="L47" i="12" l="1"/>
  <c r="O47" i="12" s="1"/>
  <c r="I29" i="3"/>
  <c r="AD29" i="12"/>
  <c r="AD30" i="12"/>
  <c r="H25" i="12"/>
  <c r="AD25" i="12" s="1"/>
  <c r="D71" i="37"/>
  <c r="I17" i="28"/>
  <c r="I18" i="28"/>
  <c r="Q47" i="12" l="1"/>
  <c r="O26" i="12" s="1"/>
  <c r="U60" i="12" s="1"/>
  <c r="N47" i="12"/>
  <c r="Q43" i="12"/>
  <c r="N43" i="12"/>
  <c r="Q42" i="12"/>
  <c r="R42" i="12" s="1"/>
  <c r="N42" i="12"/>
  <c r="J3" i="33"/>
  <c r="K3" i="12"/>
  <c r="N3" i="35"/>
  <c r="D10" i="28"/>
  <c r="D10" i="39"/>
  <c r="D10" i="21"/>
  <c r="D10" i="37"/>
  <c r="M17" i="3"/>
  <c r="R43" i="12" l="1"/>
  <c r="G20" i="28" l="1"/>
  <c r="I20" i="28" s="1"/>
  <c r="G92" i="2" l="1"/>
  <c r="D45" i="21"/>
  <c r="D22" i="21"/>
  <c r="G17" i="21"/>
  <c r="I17" i="21" s="1"/>
  <c r="G16" i="21"/>
  <c r="I16" i="21" s="1"/>
  <c r="D13" i="21"/>
  <c r="I12" i="21"/>
  <c r="I13" i="21" s="1"/>
  <c r="G63" i="37"/>
  <c r="I63" i="37" s="1"/>
  <c r="G50" i="37"/>
  <c r="I50" i="37" s="1"/>
  <c r="G45" i="37"/>
  <c r="I45" i="37" s="1"/>
  <c r="G43" i="37"/>
  <c r="I43" i="37" s="1"/>
  <c r="G34" i="37"/>
  <c r="I34" i="37" s="1"/>
  <c r="G33" i="37"/>
  <c r="I33" i="37" s="1"/>
  <c r="G32" i="37"/>
  <c r="I32" i="37" s="1"/>
  <c r="G25" i="37"/>
  <c r="I25" i="37" s="1"/>
  <c r="G24" i="37"/>
  <c r="I24" i="37" s="1"/>
  <c r="G16" i="37"/>
  <c r="I16" i="37" s="1"/>
  <c r="G14" i="37"/>
  <c r="I14" i="37" s="1"/>
  <c r="G13" i="37"/>
  <c r="I13" i="37" s="1"/>
  <c r="G12" i="37"/>
  <c r="I12" i="37" s="1"/>
  <c r="D47" i="21" l="1"/>
  <c r="G45" i="11" l="1"/>
  <c r="G56" i="36"/>
  <c r="G44" i="36"/>
  <c r="N46" i="12" l="1"/>
  <c r="N45" i="12"/>
  <c r="Q46" i="12" l="1"/>
  <c r="J60" i="12" s="1"/>
  <c r="O35" i="12"/>
  <c r="Q35" i="12" s="1"/>
  <c r="O33" i="12"/>
  <c r="Q33" i="12" s="1"/>
  <c r="R33" i="12" s="1"/>
  <c r="R20" i="5" l="1"/>
  <c r="R37" i="5" l="1"/>
  <c r="F19" i="5"/>
  <c r="F32" i="23"/>
  <c r="F33" i="23" l="1"/>
  <c r="F34" i="23"/>
  <c r="F31" i="23"/>
  <c r="F36" i="23" l="1"/>
  <c r="K29" i="8" l="1"/>
  <c r="N44" i="12" l="1"/>
  <c r="Q45" i="12"/>
  <c r="O34" i="12"/>
  <c r="Q34" i="12" s="1"/>
  <c r="R34" i="12" s="1"/>
  <c r="Q44" i="12" l="1"/>
  <c r="R35" i="12"/>
  <c r="O23" i="12" l="1"/>
  <c r="U26" i="12" s="1"/>
  <c r="J26" i="12" s="1"/>
  <c r="O22" i="12"/>
  <c r="X26" i="12" s="1"/>
  <c r="H26" i="12" s="1"/>
  <c r="AD26" i="12" s="1"/>
  <c r="R36" i="12"/>
  <c r="R44" i="12"/>
  <c r="R45" i="12" s="1"/>
  <c r="R46" i="12" s="1"/>
  <c r="O24" i="12" s="1"/>
  <c r="U76" i="12" s="1"/>
  <c r="M18" i="3"/>
  <c r="R47" i="12" l="1"/>
  <c r="O25" i="12" s="1"/>
  <c r="U31" i="12" s="1"/>
  <c r="J31" i="12" s="1"/>
  <c r="J76" i="12"/>
  <c r="AD31" i="12" s="1"/>
  <c r="G33" i="28"/>
  <c r="G32" i="28"/>
  <c r="G31" i="28"/>
  <c r="G29" i="28"/>
  <c r="G27" i="28"/>
  <c r="G26" i="28"/>
  <c r="G25" i="28"/>
  <c r="G24" i="28"/>
  <c r="G19" i="28"/>
  <c r="G16" i="28"/>
  <c r="G12" i="28"/>
  <c r="G60" i="39"/>
  <c r="G49" i="39"/>
  <c r="G12" i="39"/>
  <c r="N20" i="3" l="1"/>
  <c r="I17" i="3" s="1"/>
  <c r="F42" i="5"/>
  <c r="G29" i="35" l="1"/>
  <c r="E29" i="35"/>
  <c r="I28" i="35"/>
  <c r="I24" i="35"/>
  <c r="I23" i="35"/>
  <c r="I22" i="35"/>
  <c r="I21" i="35"/>
  <c r="I20" i="35"/>
  <c r="I19" i="35"/>
  <c r="I18" i="35"/>
  <c r="I17" i="35"/>
  <c r="I16" i="35"/>
  <c r="I15" i="35"/>
  <c r="D46" i="28"/>
  <c r="I33" i="28"/>
  <c r="I32" i="28"/>
  <c r="I31" i="28"/>
  <c r="I29" i="28"/>
  <c r="I27" i="28"/>
  <c r="I26" i="28"/>
  <c r="I25" i="28"/>
  <c r="I24" i="28"/>
  <c r="D22" i="28"/>
  <c r="I19" i="28"/>
  <c r="I16" i="28"/>
  <c r="I12" i="28"/>
  <c r="D86" i="39"/>
  <c r="I60" i="39"/>
  <c r="I49" i="39"/>
  <c r="I12" i="39"/>
  <c r="H85" i="26"/>
  <c r="F85" i="26"/>
  <c r="J83" i="26"/>
  <c r="J81" i="26"/>
  <c r="J79" i="26"/>
  <c r="J77" i="26"/>
  <c r="J75" i="26"/>
  <c r="G72" i="11"/>
  <c r="G51" i="11"/>
  <c r="G48" i="11"/>
  <c r="G39" i="11"/>
  <c r="G30" i="11"/>
  <c r="G22" i="11"/>
  <c r="G59" i="36"/>
  <c r="G40" i="36"/>
  <c r="G35" i="36"/>
  <c r="G28" i="36"/>
  <c r="G19" i="36"/>
  <c r="G14" i="36"/>
  <c r="D31" i="22"/>
  <c r="F24" i="22"/>
  <c r="F17" i="22"/>
  <c r="F16" i="22"/>
  <c r="F15" i="22"/>
  <c r="F13" i="22"/>
  <c r="F12" i="22"/>
  <c r="I3" i="39"/>
  <c r="P3" i="8"/>
  <c r="P2" i="8"/>
  <c r="I3" i="37" l="1"/>
  <c r="I3" i="21"/>
  <c r="I25" i="35"/>
  <c r="I3" i="36"/>
  <c r="I3" i="28"/>
  <c r="G25" i="35"/>
  <c r="G31" i="35" s="1"/>
  <c r="H52" i="4" s="1"/>
  <c r="E25" i="35"/>
  <c r="E31" i="35" s="1"/>
  <c r="F52" i="4" s="1"/>
  <c r="I29" i="35"/>
  <c r="G68" i="11"/>
  <c r="G61" i="36"/>
  <c r="G75" i="11" s="1"/>
  <c r="G97" i="2"/>
  <c r="I31" i="35" l="1"/>
  <c r="J52" i="4"/>
  <c r="G64" i="11"/>
  <c r="G74" i="11" s="1"/>
  <c r="G77" i="11" l="1"/>
  <c r="F46" i="4"/>
  <c r="C37" i="5"/>
  <c r="C19" i="5"/>
  <c r="C28" i="4"/>
  <c r="C16" i="4"/>
  <c r="I13" i="28"/>
  <c r="O47" i="4" s="1"/>
  <c r="D13" i="28"/>
  <c r="D48" i="28" s="1"/>
  <c r="G3" i="2"/>
  <c r="I15" i="3" l="1"/>
  <c r="I27" i="33"/>
  <c r="I26" i="33"/>
  <c r="F38" i="5" s="1"/>
  <c r="I25" i="33"/>
  <c r="I17" i="33"/>
  <c r="I16" i="33"/>
  <c r="I15" i="33"/>
  <c r="I14" i="33"/>
  <c r="J3" i="26"/>
  <c r="I3" i="11"/>
  <c r="G3" i="22"/>
  <c r="N3" i="14"/>
  <c r="L3" i="23"/>
  <c r="J3" i="3"/>
  <c r="J3" i="5"/>
  <c r="N3" i="4"/>
  <c r="J6" i="8"/>
  <c r="I15" i="23"/>
  <c r="F15" i="5"/>
  <c r="F51" i="12"/>
  <c r="D49" i="4"/>
  <c r="A13" i="32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K30" i="32"/>
  <c r="K31" i="32"/>
  <c r="F32" i="32"/>
  <c r="G32" i="32"/>
  <c r="H32" i="32"/>
  <c r="I32" i="32"/>
  <c r="J32" i="32"/>
  <c r="F47" i="32"/>
  <c r="G47" i="32"/>
  <c r="H47" i="32"/>
  <c r="I47" i="32"/>
  <c r="J47" i="32"/>
  <c r="F48" i="32"/>
  <c r="G48" i="32"/>
  <c r="H48" i="32"/>
  <c r="I48" i="32"/>
  <c r="J48" i="32"/>
  <c r="F16" i="4"/>
  <c r="H16" i="4"/>
  <c r="F14" i="23"/>
  <c r="I22" i="23"/>
  <c r="F23" i="23" s="1"/>
  <c r="F24" i="23" s="1"/>
  <c r="F26" i="23"/>
  <c r="B26" i="23"/>
  <c r="B28" i="23" s="1"/>
  <c r="O14" i="4"/>
  <c r="O38" i="4" s="1"/>
  <c r="F28" i="4"/>
  <c r="H28" i="4"/>
  <c r="O20" i="4"/>
  <c r="O40" i="4" s="1"/>
  <c r="I33" i="3"/>
  <c r="H21" i="4"/>
  <c r="F33" i="4"/>
  <c r="H33" i="4"/>
  <c r="F22" i="4"/>
  <c r="H22" i="4"/>
  <c r="F34" i="4"/>
  <c r="H34" i="4"/>
  <c r="F32" i="4"/>
  <c r="H32" i="4"/>
  <c r="J85" i="26"/>
  <c r="I16" i="3" s="1"/>
  <c r="F68" i="12"/>
  <c r="F67" i="12"/>
  <c r="E33" i="23" s="1"/>
  <c r="F66" i="12"/>
  <c r="E32" i="23" s="1"/>
  <c r="E48" i="3"/>
  <c r="F11" i="12"/>
  <c r="C22" i="4"/>
  <c r="C21" i="4"/>
  <c r="C20" i="4"/>
  <c r="C14" i="4"/>
  <c r="C34" i="4"/>
  <c r="C33" i="4"/>
  <c r="C32" i="4"/>
  <c r="C26" i="4"/>
  <c r="F38" i="12"/>
  <c r="E19" i="23" s="1"/>
  <c r="F13" i="23"/>
  <c r="F36" i="12"/>
  <c r="E13" i="23" s="1"/>
  <c r="F62" i="12"/>
  <c r="G33" i="3" s="1"/>
  <c r="E33" i="3"/>
  <c r="F63" i="12"/>
  <c r="G29" i="3" s="1"/>
  <c r="E29" i="3"/>
  <c r="F64" i="12"/>
  <c r="G28" i="3" s="1"/>
  <c r="E28" i="3"/>
  <c r="F61" i="5"/>
  <c r="C61" i="5"/>
  <c r="F46" i="12"/>
  <c r="D61" i="5" s="1"/>
  <c r="F47" i="5"/>
  <c r="F46" i="5"/>
  <c r="F41" i="5"/>
  <c r="F37" i="5"/>
  <c r="F59" i="12"/>
  <c r="D42" i="5" s="1"/>
  <c r="F61" i="12"/>
  <c r="D41" i="5" s="1"/>
  <c r="C42" i="5"/>
  <c r="C41" i="5"/>
  <c r="F60" i="12"/>
  <c r="D37" i="5" s="1"/>
  <c r="F26" i="5"/>
  <c r="F28" i="5" s="1"/>
  <c r="F54" i="12"/>
  <c r="D26" i="5" s="1"/>
  <c r="C26" i="5"/>
  <c r="F22" i="5"/>
  <c r="F21" i="5"/>
  <c r="F20" i="5"/>
  <c r="F56" i="12"/>
  <c r="D22" i="5" s="1"/>
  <c r="F55" i="12"/>
  <c r="D21" i="5" s="1"/>
  <c r="F57" i="12"/>
  <c r="D19" i="5" s="1"/>
  <c r="F23" i="5"/>
  <c r="C22" i="5"/>
  <c r="C21" i="5"/>
  <c r="C20" i="5"/>
  <c r="F16" i="5"/>
  <c r="F52" i="12"/>
  <c r="D16" i="5" s="1"/>
  <c r="F14" i="5"/>
  <c r="F53" i="12"/>
  <c r="D14" i="5" s="1"/>
  <c r="C14" i="5"/>
  <c r="A25" i="8"/>
  <c r="A27" i="8" s="1"/>
  <c r="K34" i="23"/>
  <c r="K33" i="23"/>
  <c r="K32" i="23"/>
  <c r="K31" i="23"/>
  <c r="D32" i="23"/>
  <c r="D34" i="23"/>
  <c r="D33" i="23"/>
  <c r="D31" i="23"/>
  <c r="F65" i="12"/>
  <c r="E31" i="23" s="1"/>
  <c r="F49" i="4"/>
  <c r="H49" i="4"/>
  <c r="F21" i="4"/>
  <c r="F14" i="4"/>
  <c r="H14" i="4"/>
  <c r="F26" i="4"/>
  <c r="H26" i="4"/>
  <c r="F20" i="4"/>
  <c r="H20" i="4"/>
  <c r="A16" i="4"/>
  <c r="A20" i="4" s="1"/>
  <c r="A21" i="4" s="1"/>
  <c r="A22" i="4" s="1"/>
  <c r="A23" i="4" s="1"/>
  <c r="A26" i="4" s="1"/>
  <c r="A28" i="4" s="1"/>
  <c r="A32" i="4" s="1"/>
  <c r="A33" i="4" s="1"/>
  <c r="A34" i="4" s="1"/>
  <c r="A35" i="4" s="1"/>
  <c r="A38" i="4" s="1"/>
  <c r="A39" i="4" s="1"/>
  <c r="A40" i="4" s="1"/>
  <c r="A41" i="4" s="1"/>
  <c r="A42" i="4" s="1"/>
  <c r="A43" i="4" s="1"/>
  <c r="F54" i="4"/>
  <c r="H54" i="4"/>
  <c r="K35" i="23"/>
  <c r="F56" i="4"/>
  <c r="H56" i="4"/>
  <c r="J61" i="4"/>
  <c r="O61" i="4" s="1"/>
  <c r="J62" i="4"/>
  <c r="O62" i="4" s="1"/>
  <c r="F32" i="5"/>
  <c r="K30" i="5"/>
  <c r="K31" i="5"/>
  <c r="F67" i="4"/>
  <c r="H67" i="4"/>
  <c r="F68" i="4"/>
  <c r="H68" i="4"/>
  <c r="F81" i="4"/>
  <c r="H81" i="4"/>
  <c r="F82" i="4"/>
  <c r="H82" i="4"/>
  <c r="F83" i="4"/>
  <c r="H83" i="4"/>
  <c r="J84" i="4"/>
  <c r="F87" i="4"/>
  <c r="F91" i="4" s="1"/>
  <c r="H87" i="4"/>
  <c r="H91" i="4" s="1"/>
  <c r="F90" i="4"/>
  <c r="H90" i="4"/>
  <c r="F92" i="4"/>
  <c r="H92" i="4"/>
  <c r="I41" i="3"/>
  <c r="I43" i="3" s="1"/>
  <c r="I45" i="3"/>
  <c r="F57" i="5"/>
  <c r="K17" i="8"/>
  <c r="C20" i="25"/>
  <c r="C34" i="25" s="1"/>
  <c r="C26" i="25"/>
  <c r="C35" i="25" s="1"/>
  <c r="D27" i="25"/>
  <c r="B43" i="25" s="1"/>
  <c r="F50" i="25"/>
  <c r="A15" i="5"/>
  <c r="A16" i="5" s="1"/>
  <c r="A17" i="5" s="1"/>
  <c r="C81" i="4"/>
  <c r="F22" i="12"/>
  <c r="G45" i="3" s="1"/>
  <c r="F21" i="12"/>
  <c r="G41" i="3" s="1"/>
  <c r="F35" i="12"/>
  <c r="D68" i="4" s="1"/>
  <c r="F34" i="12"/>
  <c r="D67" i="4" s="1"/>
  <c r="F58" i="12"/>
  <c r="F17" i="12"/>
  <c r="D92" i="4" s="1"/>
  <c r="F16" i="12"/>
  <c r="D87" i="4" s="1"/>
  <c r="D91" i="4" s="1"/>
  <c r="F18" i="12"/>
  <c r="D90" i="4" s="1"/>
  <c r="F20" i="12"/>
  <c r="D83" i="4" s="1"/>
  <c r="F15" i="12"/>
  <c r="D82" i="4" s="1"/>
  <c r="F19" i="12"/>
  <c r="D81" i="4" s="1"/>
  <c r="F48" i="4"/>
  <c r="H48" i="4"/>
  <c r="F47" i="4"/>
  <c r="H47" i="4"/>
  <c r="H46" i="4"/>
  <c r="D48" i="4"/>
  <c r="D47" i="4"/>
  <c r="F39" i="12"/>
  <c r="D46" i="4" s="1"/>
  <c r="F29" i="12"/>
  <c r="D56" i="4" s="1"/>
  <c r="F79" i="12"/>
  <c r="F23" i="12"/>
  <c r="D34" i="4" s="1"/>
  <c r="F33" i="12"/>
  <c r="D33" i="4" s="1"/>
  <c r="F32" i="12"/>
  <c r="D32" i="4" s="1"/>
  <c r="F31" i="12"/>
  <c r="D28" i="4" s="1"/>
  <c r="F30" i="12"/>
  <c r="D26" i="4" s="1"/>
  <c r="F75" i="12"/>
  <c r="F78" i="12"/>
  <c r="F77" i="12"/>
  <c r="F76" i="12"/>
  <c r="F74" i="12"/>
  <c r="D22" i="4"/>
  <c r="D21" i="4"/>
  <c r="D20" i="4"/>
  <c r="D16" i="4"/>
  <c r="D14" i="4"/>
  <c r="F73" i="12"/>
  <c r="F37" i="12"/>
  <c r="F69" i="12"/>
  <c r="F40" i="12"/>
  <c r="F41" i="12"/>
  <c r="F42" i="12"/>
  <c r="F43" i="12"/>
  <c r="F44" i="12"/>
  <c r="F45" i="12"/>
  <c r="O26" i="4"/>
  <c r="O32" i="4"/>
  <c r="K19" i="5"/>
  <c r="D54" i="4" l="1"/>
  <c r="B41" i="25"/>
  <c r="B48" i="25" s="1"/>
  <c r="B49" i="25" s="1"/>
  <c r="I19" i="23"/>
  <c r="I24" i="23" s="1"/>
  <c r="K24" i="23" s="1"/>
  <c r="F18" i="32" s="1"/>
  <c r="G49" i="32"/>
  <c r="I49" i="32"/>
  <c r="J49" i="32"/>
  <c r="H49" i="32"/>
  <c r="O63" i="4"/>
  <c r="J34" i="4"/>
  <c r="J54" i="4"/>
  <c r="F24" i="5"/>
  <c r="I28" i="33"/>
  <c r="H29" i="4" s="1"/>
  <c r="J16" i="4"/>
  <c r="J14" i="4"/>
  <c r="F17" i="5"/>
  <c r="D20" i="5"/>
  <c r="E34" i="23"/>
  <c r="J87" i="4"/>
  <c r="I48" i="3" s="1"/>
  <c r="G54" i="3" s="1"/>
  <c r="J83" i="4"/>
  <c r="J49" i="4"/>
  <c r="F48" i="5"/>
  <c r="J32" i="4"/>
  <c r="J33" i="4"/>
  <c r="J48" i="4"/>
  <c r="J90" i="4"/>
  <c r="J20" i="4"/>
  <c r="J40" i="4" s="1"/>
  <c r="J28" i="4"/>
  <c r="J21" i="4"/>
  <c r="D33" i="25"/>
  <c r="B45" i="25" s="1"/>
  <c r="B44" i="25"/>
  <c r="G50" i="25"/>
  <c r="G51" i="25" s="1"/>
  <c r="F15" i="23"/>
  <c r="K15" i="23" s="1"/>
  <c r="K48" i="32"/>
  <c r="K32" i="32"/>
  <c r="J34" i="32" s="1"/>
  <c r="F60" i="5"/>
  <c r="F64" i="5" s="1"/>
  <c r="K47" i="32"/>
  <c r="I31" i="3"/>
  <c r="I35" i="3" s="1"/>
  <c r="J22" i="4"/>
  <c r="H30" i="25"/>
  <c r="H36" i="25" s="1"/>
  <c r="A46" i="4"/>
  <c r="A47" i="4" s="1"/>
  <c r="A48" i="4" s="1"/>
  <c r="A49" i="4" s="1"/>
  <c r="A29" i="8"/>
  <c r="A31" i="8" s="1"/>
  <c r="B31" i="23"/>
  <c r="B32" i="23" s="1"/>
  <c r="B33" i="23" s="1"/>
  <c r="B34" i="23" s="1"/>
  <c r="B35" i="23" s="1"/>
  <c r="B36" i="23" s="1"/>
  <c r="D32" i="8"/>
  <c r="F34" i="32"/>
  <c r="A19" i="5"/>
  <c r="A20" i="5" s="1"/>
  <c r="A21" i="5" s="1"/>
  <c r="A22" i="5" s="1"/>
  <c r="A23" i="5" s="1"/>
  <c r="A24" i="5" s="1"/>
  <c r="A26" i="5" s="1"/>
  <c r="A27" i="5" s="1"/>
  <c r="A28" i="5" s="1"/>
  <c r="A30" i="5" s="1"/>
  <c r="A31" i="5" s="1"/>
  <c r="A32" i="5" s="1"/>
  <c r="A34" i="5" s="1"/>
  <c r="J68" i="4"/>
  <c r="F49" i="32"/>
  <c r="I18" i="33"/>
  <c r="H17" i="4" s="1"/>
  <c r="F17" i="4"/>
  <c r="F29" i="4"/>
  <c r="J47" i="4"/>
  <c r="J26" i="4"/>
  <c r="F39" i="5"/>
  <c r="F43" i="5" s="1"/>
  <c r="J82" i="4"/>
  <c r="J81" i="4"/>
  <c r="K36" i="23"/>
  <c r="K38" i="23" s="1"/>
  <c r="J46" i="4"/>
  <c r="J92" i="4"/>
  <c r="J91" i="4"/>
  <c r="J67" i="4"/>
  <c r="J56" i="4"/>
  <c r="O56" i="4" s="1"/>
  <c r="I30" i="33" l="1"/>
  <c r="K19" i="23"/>
  <c r="F17" i="32" s="1"/>
  <c r="I26" i="23"/>
  <c r="I34" i="32"/>
  <c r="G34" i="32"/>
  <c r="H34" i="32"/>
  <c r="K49" i="32"/>
  <c r="B46" i="25"/>
  <c r="B51" i="25" s="1"/>
  <c r="B52" i="25" s="1"/>
  <c r="B54" i="25" s="1"/>
  <c r="J29" i="4"/>
  <c r="J30" i="4" s="1"/>
  <c r="J17" i="4"/>
  <c r="J18" i="4" s="1"/>
  <c r="J23" i="4"/>
  <c r="J41" i="4"/>
  <c r="J42" i="4"/>
  <c r="M54" i="4"/>
  <c r="O54" i="4" s="1"/>
  <c r="A50" i="4"/>
  <c r="A52" i="4" s="1"/>
  <c r="A54" i="4" s="1"/>
  <c r="A56" i="4" s="1"/>
  <c r="A58" i="4" s="1"/>
  <c r="D46" i="25"/>
  <c r="D44" i="25"/>
  <c r="J85" i="4"/>
  <c r="I47" i="3" s="1"/>
  <c r="G53" i="3" s="1"/>
  <c r="J38" i="4"/>
  <c r="J35" i="4"/>
  <c r="G70" i="32"/>
  <c r="F70" i="32"/>
  <c r="J70" i="32"/>
  <c r="K70" i="32"/>
  <c r="I70" i="32"/>
  <c r="H70" i="32"/>
  <c r="A37" i="5"/>
  <c r="A41" i="5" s="1"/>
  <c r="A42" i="5" s="1"/>
  <c r="A43" i="5" s="1"/>
  <c r="A46" i="5" s="1"/>
  <c r="A47" i="5" s="1"/>
  <c r="A48" i="5" s="1"/>
  <c r="A51" i="5" s="1"/>
  <c r="D66" i="4"/>
  <c r="A32" i="8"/>
  <c r="A33" i="8" s="1"/>
  <c r="I31" i="25"/>
  <c r="B38" i="23"/>
  <c r="L54" i="4" s="1"/>
  <c r="D29" i="8"/>
  <c r="I51" i="25"/>
  <c r="G52" i="25"/>
  <c r="J93" i="4"/>
  <c r="J50" i="4"/>
  <c r="I20" i="33"/>
  <c r="B34" i="5"/>
  <c r="D31" i="8"/>
  <c r="K26" i="23" l="1"/>
  <c r="F22" i="32" s="1"/>
  <c r="J66" i="32" s="1"/>
  <c r="R15" i="3"/>
  <c r="F19" i="32"/>
  <c r="F63" i="32"/>
  <c r="I14" i="3"/>
  <c r="I18" i="3" s="1"/>
  <c r="I22" i="3" s="1"/>
  <c r="K34" i="32"/>
  <c r="I66" i="32"/>
  <c r="D52" i="25"/>
  <c r="G66" i="32"/>
  <c r="F23" i="32"/>
  <c r="J39" i="4"/>
  <c r="J43" i="4" s="1"/>
  <c r="D54" i="25"/>
  <c r="F66" i="32"/>
  <c r="H66" i="32"/>
  <c r="D33" i="8"/>
  <c r="J95" i="4"/>
  <c r="A61" i="4"/>
  <c r="A62" i="4" s="1"/>
  <c r="A63" i="4" s="1"/>
  <c r="A66" i="4" s="1"/>
  <c r="A67" i="4" s="1"/>
  <c r="A68" i="4" s="1"/>
  <c r="A69" i="4" s="1"/>
  <c r="A75" i="4" s="1"/>
  <c r="A77" i="4" s="1"/>
  <c r="I49" i="3"/>
  <c r="I50" i="3" s="1"/>
  <c r="F55" i="3" s="1"/>
  <c r="I55" i="3" s="1"/>
  <c r="I35" i="25"/>
  <c r="H37" i="25"/>
  <c r="I38" i="25" s="1"/>
  <c r="A55" i="5"/>
  <c r="A56" i="5" s="1"/>
  <c r="A57" i="5" s="1"/>
  <c r="A59" i="5" s="1"/>
  <c r="A60" i="5" s="1"/>
  <c r="I52" i="25"/>
  <c r="I53" i="25" s="1"/>
  <c r="G53" i="25"/>
  <c r="G54" i="25" s="1"/>
  <c r="A35" i="8"/>
  <c r="D35" i="8"/>
  <c r="F25" i="32" l="1"/>
  <c r="I37" i="32" s="1"/>
  <c r="I20" i="3"/>
  <c r="R16" i="3" s="1"/>
  <c r="I23" i="3"/>
  <c r="I37" i="3" s="1"/>
  <c r="M72" i="4"/>
  <c r="O72" i="4" s="1"/>
  <c r="B77" i="4"/>
  <c r="G39" i="39"/>
  <c r="I39" i="39" s="1"/>
  <c r="G58" i="39"/>
  <c r="I58" i="39" s="1"/>
  <c r="G38" i="39"/>
  <c r="I38" i="39" s="1"/>
  <c r="G27" i="39"/>
  <c r="I27" i="39" s="1"/>
  <c r="G21" i="39"/>
  <c r="I21" i="39" s="1"/>
  <c r="G23" i="39"/>
  <c r="I23" i="39" s="1"/>
  <c r="F54" i="3"/>
  <c r="I54" i="3" s="1"/>
  <c r="G65" i="37"/>
  <c r="I65" i="37" s="1"/>
  <c r="G44" i="37"/>
  <c r="I44" i="37" s="1"/>
  <c r="G42" i="37"/>
  <c r="I42" i="37" s="1"/>
  <c r="G26" i="37"/>
  <c r="I26" i="37" s="1"/>
  <c r="G22" i="37"/>
  <c r="I22" i="37" s="1"/>
  <c r="G68" i="37"/>
  <c r="I68" i="37" s="1"/>
  <c r="G66" i="37"/>
  <c r="I66" i="37" s="1"/>
  <c r="G64" i="37"/>
  <c r="I64" i="37" s="1"/>
  <c r="G19" i="37"/>
  <c r="I19" i="37" s="1"/>
  <c r="G17" i="37"/>
  <c r="I17" i="37" s="1"/>
  <c r="C63" i="5"/>
  <c r="G37" i="32"/>
  <c r="G38" i="32"/>
  <c r="J38" i="32"/>
  <c r="F38" i="32"/>
  <c r="H37" i="32"/>
  <c r="I38" i="32"/>
  <c r="I39" i="32" s="1"/>
  <c r="H38" i="32"/>
  <c r="J37" i="32"/>
  <c r="F37" i="32"/>
  <c r="G26" i="39"/>
  <c r="I26" i="39" s="1"/>
  <c r="G42" i="39"/>
  <c r="I42" i="39" s="1"/>
  <c r="G63" i="39"/>
  <c r="I63" i="39" s="1"/>
  <c r="G17" i="39"/>
  <c r="I17" i="39" s="1"/>
  <c r="G35" i="39"/>
  <c r="I35" i="39" s="1"/>
  <c r="G18" i="39"/>
  <c r="I18" i="39" s="1"/>
  <c r="G22" i="39"/>
  <c r="I22" i="39" s="1"/>
  <c r="G36" i="39"/>
  <c r="I36" i="39" s="1"/>
  <c r="G61" i="39"/>
  <c r="I61" i="39" s="1"/>
  <c r="G19" i="39"/>
  <c r="I19" i="39" s="1"/>
  <c r="F53" i="3"/>
  <c r="I53" i="3" s="1"/>
  <c r="A81" i="4"/>
  <c r="A82" i="4" s="1"/>
  <c r="A83" i="4" s="1"/>
  <c r="A84" i="4" s="1"/>
  <c r="A85" i="4" s="1"/>
  <c r="C51" i="5"/>
  <c r="A37" i="8"/>
  <c r="D37" i="8"/>
  <c r="A61" i="5"/>
  <c r="A63" i="5" s="1"/>
  <c r="A64" i="5" s="1"/>
  <c r="A65" i="5" s="1"/>
  <c r="I39" i="5"/>
  <c r="M30" i="4"/>
  <c r="M18" i="4"/>
  <c r="I41" i="5" l="1"/>
  <c r="K41" i="5" s="1"/>
  <c r="I42" i="5"/>
  <c r="K42" i="5" s="1"/>
  <c r="M33" i="4"/>
  <c r="M34" i="4" s="1"/>
  <c r="O34" i="4" s="1"/>
  <c r="M68" i="4"/>
  <c r="O68" i="4" s="1"/>
  <c r="M21" i="4"/>
  <c r="I46" i="5"/>
  <c r="K46" i="5" s="1"/>
  <c r="I24" i="5"/>
  <c r="I32" i="5"/>
  <c r="K32" i="5" s="1"/>
  <c r="R9" i="3"/>
  <c r="G57" i="37" s="1"/>
  <c r="I57" i="37" s="1"/>
  <c r="I25" i="3"/>
  <c r="L16" i="35"/>
  <c r="N16" i="35" s="1"/>
  <c r="L20" i="35"/>
  <c r="N20" i="35" s="1"/>
  <c r="L28" i="35"/>
  <c r="N28" i="35" s="1"/>
  <c r="N29" i="35" s="1"/>
  <c r="G38" i="28"/>
  <c r="I38" i="28" s="1"/>
  <c r="L17" i="35"/>
  <c r="N17" i="35" s="1"/>
  <c r="G58" i="37"/>
  <c r="I58" i="37" s="1"/>
  <c r="G30" i="21"/>
  <c r="I30" i="21" s="1"/>
  <c r="G37" i="39"/>
  <c r="I37" i="39" s="1"/>
  <c r="L23" i="35"/>
  <c r="N23" i="35" s="1"/>
  <c r="G49" i="37"/>
  <c r="I49" i="37" s="1"/>
  <c r="G16" i="39"/>
  <c r="I16" i="39" s="1"/>
  <c r="I56" i="3"/>
  <c r="R17" i="3"/>
  <c r="M67" i="4"/>
  <c r="O67" i="4" s="1"/>
  <c r="J39" i="32"/>
  <c r="J65" i="32" s="1"/>
  <c r="K38" i="32"/>
  <c r="K37" i="32"/>
  <c r="K24" i="5"/>
  <c r="K39" i="5"/>
  <c r="F39" i="32"/>
  <c r="F65" i="32" s="1"/>
  <c r="F68" i="32" s="1"/>
  <c r="G39" i="32"/>
  <c r="G65" i="32" s="1"/>
  <c r="H39" i="32"/>
  <c r="O18" i="4"/>
  <c r="I17" i="5"/>
  <c r="G47" i="3"/>
  <c r="A87" i="4"/>
  <c r="O30" i="4"/>
  <c r="G55" i="25"/>
  <c r="I54" i="25"/>
  <c r="D41" i="8"/>
  <c r="D40" i="8"/>
  <c r="A40" i="8"/>
  <c r="C64" i="5"/>
  <c r="I65" i="32"/>
  <c r="I42" i="32"/>
  <c r="A67" i="5"/>
  <c r="D16" i="8" s="1"/>
  <c r="B67" i="5"/>
  <c r="M22" i="4"/>
  <c r="O21" i="4"/>
  <c r="O33" i="4"/>
  <c r="J42" i="32" l="1"/>
  <c r="J52" i="32" s="1"/>
  <c r="G21" i="37"/>
  <c r="I21" i="37" s="1"/>
  <c r="G68" i="39"/>
  <c r="I68" i="39" s="1"/>
  <c r="G67" i="39"/>
  <c r="I67" i="39" s="1"/>
  <c r="G67" i="37"/>
  <c r="I67" i="37" s="1"/>
  <c r="L22" i="35"/>
  <c r="N22" i="35" s="1"/>
  <c r="G60" i="37"/>
  <c r="I60" i="37" s="1"/>
  <c r="L24" i="35"/>
  <c r="N24" i="35" s="1"/>
  <c r="G36" i="37"/>
  <c r="I36" i="37" s="1"/>
  <c r="G33" i="39"/>
  <c r="I33" i="39" s="1"/>
  <c r="G24" i="39"/>
  <c r="I24" i="39" s="1"/>
  <c r="G41" i="37"/>
  <c r="I41" i="37" s="1"/>
  <c r="G44" i="39"/>
  <c r="I44" i="39" s="1"/>
  <c r="G40" i="28"/>
  <c r="I40" i="28" s="1"/>
  <c r="G38" i="37"/>
  <c r="I38" i="37" s="1"/>
  <c r="G20" i="37"/>
  <c r="I20" i="37" s="1"/>
  <c r="G28" i="28"/>
  <c r="I28" i="28" s="1"/>
  <c r="G59" i="37"/>
  <c r="I59" i="37" s="1"/>
  <c r="G56" i="37"/>
  <c r="I56" i="37" s="1"/>
  <c r="G65" i="39"/>
  <c r="I65" i="39" s="1"/>
  <c r="G61" i="37"/>
  <c r="I61" i="37" s="1"/>
  <c r="G64" i="39"/>
  <c r="I64" i="39" s="1"/>
  <c r="G43" i="39"/>
  <c r="I43" i="39" s="1"/>
  <c r="L18" i="35"/>
  <c r="N18" i="35" s="1"/>
  <c r="G37" i="37"/>
  <c r="I37" i="37" s="1"/>
  <c r="G62" i="37"/>
  <c r="I62" i="37" s="1"/>
  <c r="G41" i="39"/>
  <c r="I41" i="39" s="1"/>
  <c r="G39" i="28"/>
  <c r="I39" i="28" s="1"/>
  <c r="G23" i="37"/>
  <c r="I23" i="37" s="1"/>
  <c r="F28" i="22"/>
  <c r="L21" i="35"/>
  <c r="N21" i="35" s="1"/>
  <c r="G25" i="39"/>
  <c r="I25" i="39" s="1"/>
  <c r="G18" i="37"/>
  <c r="I18" i="37" s="1"/>
  <c r="L19" i="35"/>
  <c r="N19" i="35" s="1"/>
  <c r="G32" i="39"/>
  <c r="I32" i="39" s="1"/>
  <c r="G27" i="37"/>
  <c r="I27" i="37" s="1"/>
  <c r="G35" i="37"/>
  <c r="I35" i="37" s="1"/>
  <c r="F26" i="22"/>
  <c r="G34" i="39"/>
  <c r="I34" i="39" s="1"/>
  <c r="G39" i="37"/>
  <c r="I39" i="37" s="1"/>
  <c r="L15" i="35"/>
  <c r="N15" i="35" s="1"/>
  <c r="G55" i="37"/>
  <c r="I55" i="37" s="1"/>
  <c r="G54" i="37"/>
  <c r="I54" i="37" s="1"/>
  <c r="F27" i="22"/>
  <c r="F59" i="5"/>
  <c r="K43" i="5"/>
  <c r="F42" i="32"/>
  <c r="K28" i="23" s="1"/>
  <c r="K39" i="32"/>
  <c r="K42" i="32" s="1"/>
  <c r="K17" i="5"/>
  <c r="J53" i="32"/>
  <c r="J54" i="32" s="1"/>
  <c r="J57" i="32" s="1"/>
  <c r="G42" i="32"/>
  <c r="G52" i="32" s="1"/>
  <c r="O39" i="4"/>
  <c r="H65" i="32"/>
  <c r="H42" i="32"/>
  <c r="O22" i="4"/>
  <c r="O23" i="4" s="1"/>
  <c r="O35" i="4"/>
  <c r="A90" i="4"/>
  <c r="A91" i="4" s="1"/>
  <c r="A92" i="4" s="1"/>
  <c r="A93" i="4" s="1"/>
  <c r="G48" i="3"/>
  <c r="F72" i="32"/>
  <c r="G63" i="32"/>
  <c r="G68" i="32" s="1"/>
  <c r="A41" i="8"/>
  <c r="D44" i="8"/>
  <c r="I55" i="25"/>
  <c r="I56" i="25" s="1"/>
  <c r="G56" i="25"/>
  <c r="G57" i="25" s="1"/>
  <c r="I53" i="32"/>
  <c r="I52" i="32"/>
  <c r="O41" i="4"/>
  <c r="F31" i="22" l="1"/>
  <c r="F19" i="8" s="1"/>
  <c r="K19" i="8" s="1"/>
  <c r="N25" i="35"/>
  <c r="N31" i="35" s="1"/>
  <c r="O52" i="4" s="1"/>
  <c r="F52" i="32"/>
  <c r="G53" i="32"/>
  <c r="M23" i="4"/>
  <c r="F53" i="32"/>
  <c r="O42" i="4"/>
  <c r="O43" i="4" s="1"/>
  <c r="M43" i="4" s="1"/>
  <c r="R10" i="3" s="1"/>
  <c r="G54" i="32"/>
  <c r="G57" i="32" s="1"/>
  <c r="H52" i="32"/>
  <c r="H53" i="32"/>
  <c r="A95" i="4"/>
  <c r="C95" i="4"/>
  <c r="G49" i="3"/>
  <c r="A44" i="8"/>
  <c r="A45" i="8" s="1"/>
  <c r="D45" i="8"/>
  <c r="I54" i="32"/>
  <c r="I57" i="32" s="1"/>
  <c r="G72" i="32"/>
  <c r="H63" i="32"/>
  <c r="H68" i="32" s="1"/>
  <c r="K53" i="32" l="1"/>
  <c r="F54" i="32"/>
  <c r="F57" i="32" s="1"/>
  <c r="K52" i="32"/>
  <c r="K54" i="32" s="1"/>
  <c r="G44" i="28"/>
  <c r="I44" i="28" s="1"/>
  <c r="G13" i="39"/>
  <c r="I13" i="39" s="1"/>
  <c r="G57" i="39"/>
  <c r="I57" i="39" s="1"/>
  <c r="G30" i="28"/>
  <c r="I30" i="28" s="1"/>
  <c r="G20" i="39"/>
  <c r="I20" i="39" s="1"/>
  <c r="G54" i="39"/>
  <c r="I54" i="39" s="1"/>
  <c r="G52" i="39"/>
  <c r="I52" i="39" s="1"/>
  <c r="G53" i="39"/>
  <c r="I53" i="39" s="1"/>
  <c r="G56" i="39"/>
  <c r="I56" i="39" s="1"/>
  <c r="R8" i="3"/>
  <c r="G42" i="28" s="1"/>
  <c r="I42" i="28" s="1"/>
  <c r="G44" i="21"/>
  <c r="I44" i="21" s="1"/>
  <c r="G41" i="21"/>
  <c r="I41" i="21" s="1"/>
  <c r="G21" i="21"/>
  <c r="I21" i="21" s="1"/>
  <c r="G35" i="21"/>
  <c r="I35" i="21" s="1"/>
  <c r="G46" i="37"/>
  <c r="I46" i="37" s="1"/>
  <c r="G48" i="37"/>
  <c r="I48" i="37" s="1"/>
  <c r="G47" i="37"/>
  <c r="I47" i="37" s="1"/>
  <c r="G40" i="37"/>
  <c r="I40" i="37" s="1"/>
  <c r="G31" i="37"/>
  <c r="I31" i="37" s="1"/>
  <c r="G69" i="37"/>
  <c r="I69" i="37" s="1"/>
  <c r="I47" i="5"/>
  <c r="K47" i="5" s="1"/>
  <c r="K48" i="5" s="1"/>
  <c r="I28" i="5"/>
  <c r="G37" i="28"/>
  <c r="I37" i="28" s="1"/>
  <c r="G62" i="39"/>
  <c r="I62" i="39" s="1"/>
  <c r="G45" i="39"/>
  <c r="I45" i="39" s="1"/>
  <c r="G47" i="39"/>
  <c r="I47" i="39" s="1"/>
  <c r="G40" i="39"/>
  <c r="I40" i="39" s="1"/>
  <c r="G41" i="28"/>
  <c r="I41" i="28" s="1"/>
  <c r="G48" i="39"/>
  <c r="I48" i="39" s="1"/>
  <c r="G46" i="39"/>
  <c r="I46" i="39" s="1"/>
  <c r="G71" i="39"/>
  <c r="I71" i="39" s="1"/>
  <c r="G30" i="37"/>
  <c r="I30" i="37" s="1"/>
  <c r="G28" i="37"/>
  <c r="I28" i="37" s="1"/>
  <c r="G29" i="37"/>
  <c r="I29" i="37" s="1"/>
  <c r="G15" i="21"/>
  <c r="I15" i="21" s="1"/>
  <c r="G53" i="37"/>
  <c r="I53" i="37" s="1"/>
  <c r="G51" i="37"/>
  <c r="I51" i="37" s="1"/>
  <c r="G15" i="37"/>
  <c r="I15" i="37" s="1"/>
  <c r="G52" i="37"/>
  <c r="I52" i="37" s="1"/>
  <c r="H54" i="32"/>
  <c r="H57" i="32" s="1"/>
  <c r="K57" i="32" s="1"/>
  <c r="G43" i="28"/>
  <c r="I43" i="28" s="1"/>
  <c r="G35" i="28"/>
  <c r="I35" i="28" s="1"/>
  <c r="G15" i="28"/>
  <c r="I15" i="28" s="1"/>
  <c r="G50" i="39"/>
  <c r="I50" i="39" s="1"/>
  <c r="G30" i="39"/>
  <c r="I30" i="39" s="1"/>
  <c r="G28" i="39"/>
  <c r="I28" i="39" s="1"/>
  <c r="G36" i="28"/>
  <c r="I36" i="28" s="1"/>
  <c r="G34" i="28"/>
  <c r="I34" i="28" s="1"/>
  <c r="G51" i="39"/>
  <c r="I51" i="39" s="1"/>
  <c r="G31" i="39"/>
  <c r="I31" i="39" s="1"/>
  <c r="G29" i="39"/>
  <c r="I29" i="39" s="1"/>
  <c r="G15" i="39"/>
  <c r="I15" i="39" s="1"/>
  <c r="I63" i="32"/>
  <c r="I68" i="32" s="1"/>
  <c r="H72" i="32"/>
  <c r="I57" i="25"/>
  <c r="G58" i="25"/>
  <c r="I64" i="5"/>
  <c r="M73" i="4" l="1"/>
  <c r="O73" i="4" s="1"/>
  <c r="G14" i="39"/>
  <c r="I14" i="39" s="1"/>
  <c r="G59" i="39"/>
  <c r="I59" i="39" s="1"/>
  <c r="G55" i="39"/>
  <c r="I55" i="39" s="1"/>
  <c r="K28" i="5"/>
  <c r="K64" i="5"/>
  <c r="I71" i="37"/>
  <c r="I45" i="21"/>
  <c r="I22" i="21"/>
  <c r="I46" i="28"/>
  <c r="I22" i="28"/>
  <c r="I72" i="32"/>
  <c r="J63" i="32"/>
  <c r="J68" i="32" s="1"/>
  <c r="I58" i="25"/>
  <c r="I59" i="25" s="1"/>
  <c r="G59" i="25"/>
  <c r="G60" i="25" s="1"/>
  <c r="I86" i="39" l="1"/>
  <c r="O46" i="4" s="1"/>
  <c r="K34" i="5"/>
  <c r="O66" i="4" s="1"/>
  <c r="O75" i="4" s="1"/>
  <c r="O48" i="4"/>
  <c r="O49" i="4"/>
  <c r="I47" i="21"/>
  <c r="J72" i="32"/>
  <c r="K63" i="32"/>
  <c r="K68" i="32"/>
  <c r="K72" i="32" s="1"/>
  <c r="I48" i="28" l="1"/>
  <c r="O50" i="4" s="1"/>
  <c r="I60" i="25"/>
  <c r="G61" i="25"/>
  <c r="I61" i="25" s="1"/>
  <c r="G62" i="25" l="1"/>
  <c r="G63" i="25" s="1"/>
  <c r="I62" i="25"/>
  <c r="G65" i="25" l="1"/>
  <c r="G64" i="25"/>
  <c r="I63" i="25"/>
  <c r="I64" i="25" l="1"/>
  <c r="I65" i="25" s="1"/>
  <c r="G66" i="25"/>
  <c r="I66" i="25" l="1"/>
  <c r="I44" i="25"/>
  <c r="H45" i="25" s="1"/>
  <c r="H42" i="25"/>
  <c r="I43" i="25" s="1"/>
  <c r="F20" i="8" l="1"/>
  <c r="K20" i="8" l="1"/>
  <c r="K21" i="8" s="1"/>
  <c r="F21" i="8"/>
  <c r="O58" i="4" l="1"/>
  <c r="O77" i="4" l="1"/>
  <c r="K51" i="5" l="1"/>
  <c r="K63" i="5" l="1"/>
  <c r="K65" i="5" s="1"/>
  <c r="K67" i="5" l="1"/>
  <c r="K16" i="8" l="1"/>
  <c r="K27" i="8" s="1"/>
  <c r="K31" i="8" s="1"/>
  <c r="K33" i="8" l="1"/>
  <c r="K35" i="8" l="1"/>
  <c r="K37" i="8" s="1"/>
  <c r="K41" i="8" s="1"/>
  <c r="K45" i="8" s="1"/>
  <c r="K40" i="8" l="1"/>
  <c r="K44" i="8" s="1"/>
</calcChain>
</file>

<file path=xl/comments1.xml><?xml version="1.0" encoding="utf-8"?>
<comments xmlns="http://schemas.openxmlformats.org/spreadsheetml/2006/main">
  <authors>
    <author>:</author>
    <author>LMiller</author>
  </authors>
  <commentList>
    <comment ref="O23" authorId="0">
      <text>
        <r>
          <rPr>
            <sz val="9"/>
            <color indexed="81"/>
            <rFont val="Tahoma"/>
            <family val="2"/>
          </rPr>
          <t xml:space="preserve">NLH
new PS account formerly 9200REC
</t>
        </r>
      </text>
    </comment>
    <comment ref="O24" authorId="0">
      <text>
        <r>
          <rPr>
            <sz val="9"/>
            <color indexed="81"/>
            <rFont val="Tahoma"/>
            <family val="2"/>
          </rPr>
          <t xml:space="preserve">NLH
new PS account formerly 9210REC
</t>
        </r>
      </text>
    </comment>
    <comment ref="O25" authorId="0">
      <text>
        <r>
          <rPr>
            <sz val="9"/>
            <color indexed="81"/>
            <rFont val="Tahoma"/>
            <family val="2"/>
          </rPr>
          <t xml:space="preserve">NLH
new PS account formerly 9230REC
</t>
        </r>
      </text>
    </comment>
    <comment ref="O26" authorId="0">
      <text>
        <r>
          <rPr>
            <sz val="9"/>
            <color indexed="81"/>
            <rFont val="Tahoma"/>
            <family val="2"/>
          </rPr>
          <t xml:space="preserve">NLH
new PS account formerly 9260REC
</t>
        </r>
      </text>
    </comment>
    <comment ref="F27" authorId="1">
      <text>
        <r>
          <rPr>
            <b/>
            <sz val="8"/>
            <color indexed="81"/>
            <rFont val="Tahoma"/>
            <family val="2"/>
          </rPr>
          <t>NLH:</t>
        </r>
        <r>
          <rPr>
            <sz val="8"/>
            <color indexed="81"/>
            <rFont val="Tahoma"/>
            <family val="2"/>
          </rPr>
          <t xml:space="preserve">
Acct 0924200 in new PS Ledger
</t>
        </r>
      </text>
    </comment>
    <comment ref="O30" authorId="0">
      <text>
        <r>
          <rPr>
            <sz val="9"/>
            <color indexed="81"/>
            <rFont val="Tahoma"/>
            <family val="2"/>
          </rPr>
          <t xml:space="preserve">fully amortized in 2013 see account 182316
</t>
        </r>
      </text>
    </comment>
  </commentList>
</comments>
</file>

<file path=xl/comments2.xml><?xml version="1.0" encoding="utf-8"?>
<comments xmlns="http://schemas.openxmlformats.org/spreadsheetml/2006/main">
  <authors>
    <author>:</author>
  </authors>
  <commentList>
    <comment ref="C61" authorId="0">
      <text>
        <r>
          <rPr>
            <sz val="9"/>
            <color indexed="81"/>
            <rFont val="Tahoma"/>
            <family val="2"/>
          </rPr>
          <t>Orders 2003 and 2006 are the LGIA and SGIA</t>
        </r>
      </text>
    </comment>
  </commentList>
</comments>
</file>

<file path=xl/comments3.xml><?xml version="1.0" encoding="utf-8"?>
<comments xmlns="http://schemas.openxmlformats.org/spreadsheetml/2006/main">
  <authors>
    <author>e00058</author>
  </authors>
  <commentList>
    <comment ref="G13" authorId="0">
      <text>
        <r>
          <rPr>
            <b/>
            <sz val="8"/>
            <color indexed="81"/>
            <rFont val="Tahoma"/>
            <family val="2"/>
          </rPr>
          <t>e00058:</t>
        </r>
        <r>
          <rPr>
            <sz val="8"/>
            <color indexed="81"/>
            <rFont val="Tahoma"/>
            <family val="2"/>
          </rPr>
          <t xml:space="preserve">
All values taken directly from FF1 Page 330</t>
        </r>
      </text>
    </comment>
  </commentList>
</comments>
</file>

<file path=xl/comments4.xml><?xml version="1.0" encoding="utf-8"?>
<comments xmlns="http://schemas.openxmlformats.org/spreadsheetml/2006/main">
  <authors>
    <author>:</author>
  </authors>
  <commentList>
    <comment ref="F24" authorId="0">
      <text>
        <r>
          <rPr>
            <sz val="8"/>
            <color indexed="81"/>
            <rFont val="Tahoma"/>
            <family val="2"/>
          </rPr>
          <t>per Rob Traylor
don’t remove the 1958 asset as we need the accum reserve, ignore the dep exp on the 6609 immat</t>
        </r>
      </text>
    </comment>
  </commentList>
</comments>
</file>

<file path=xl/comments5.xml><?xml version="1.0" encoding="utf-8"?>
<comments xmlns="http://schemas.openxmlformats.org/spreadsheetml/2006/main">
  <authors>
    <author>:</author>
  </authors>
  <commentList>
    <comment ref="F19" authorId="0">
      <text>
        <r>
          <rPr>
            <sz val="9"/>
            <color indexed="81"/>
            <rFont val="Tahoma"/>
            <family val="2"/>
          </rPr>
          <t xml:space="preserve">NLH
Adjusted out by using Other Allocator - Merger related, not in CTA file
</t>
        </r>
      </text>
    </comment>
  </commentList>
</comments>
</file>

<file path=xl/comments6.xml><?xml version="1.0" encoding="utf-8"?>
<comments xmlns="http://schemas.openxmlformats.org/spreadsheetml/2006/main">
  <authors>
    <author>:</author>
  </authors>
  <commentList>
    <comment ref="F27" authorId="0">
      <text>
        <r>
          <rPr>
            <sz val="9"/>
            <color indexed="81"/>
            <rFont val="Tahoma"/>
            <family val="2"/>
          </rPr>
          <t xml:space="preserve">NLH
Adjusted out by using Other Allocator - Merger related, not in CTA file
</t>
        </r>
      </text>
    </comment>
  </commentList>
</comments>
</file>

<file path=xl/comments7.xml><?xml version="1.0" encoding="utf-8"?>
<comments xmlns="http://schemas.openxmlformats.org/spreadsheetml/2006/main">
  <authors>
    <author>:</author>
  </authors>
  <commentList>
    <comment ref="E24" authorId="0">
      <text>
        <r>
          <rPr>
            <sz val="9"/>
            <color indexed="81"/>
            <rFont val="Tahoma"/>
            <family val="2"/>
          </rPr>
          <t>NLH
excludes MGP as agreed to in 2014 annual update</t>
        </r>
      </text>
    </comment>
    <comment ref="G24" authorId="0">
      <text>
        <r>
          <rPr>
            <sz val="9"/>
            <color indexed="81"/>
            <rFont val="Tahoma"/>
            <family val="2"/>
          </rPr>
          <t>NLH
MGP was removed from this account during 2014</t>
        </r>
      </text>
    </comment>
  </commentList>
</comments>
</file>

<file path=xl/comments8.xml><?xml version="1.0" encoding="utf-8"?>
<comments xmlns="http://schemas.openxmlformats.org/spreadsheetml/2006/main">
  <authors>
    <author>LMiller</author>
    <author>:</author>
    <author>I89310</author>
    <author>ot03855</author>
  </authors>
  <commentList>
    <comment ref="H25" authorId="0">
      <text>
        <r>
          <rPr>
            <sz val="8"/>
            <color indexed="81"/>
            <rFont val="Tahoma"/>
            <family val="2"/>
          </rPr>
          <t xml:space="preserve">
excludes ARO</t>
        </r>
      </text>
    </comment>
    <comment ref="J25" authorId="0">
      <text>
        <r>
          <rPr>
            <sz val="8"/>
            <color indexed="81"/>
            <rFont val="Tahoma"/>
            <family val="2"/>
          </rPr>
          <t>excludes ARO</t>
        </r>
      </text>
    </comment>
    <comment ref="X25" authorId="1">
      <text>
        <r>
          <rPr>
            <sz val="9"/>
            <color indexed="81"/>
            <rFont val="Tahoma"/>
            <family val="2"/>
          </rPr>
          <t>prior year end bal</t>
        </r>
      </text>
    </comment>
    <comment ref="H26" authorId="2">
      <text>
        <r>
          <rPr>
            <sz val="8"/>
            <color indexed="81"/>
            <rFont val="Tahoma"/>
            <family val="2"/>
          </rPr>
          <t>Excludes 50% OATT Contra CWIP closed to plant</t>
        </r>
      </text>
    </comment>
    <comment ref="J26" authorId="3">
      <text>
        <r>
          <rPr>
            <sz val="8"/>
            <color indexed="81"/>
            <rFont val="Tahoma"/>
            <family val="2"/>
          </rPr>
          <t>Excludes 50% OATT Contra CWIP closed to plant</t>
        </r>
      </text>
    </comment>
    <comment ref="H28" authorId="0">
      <text>
        <r>
          <rPr>
            <sz val="8"/>
            <color indexed="81"/>
            <rFont val="Tahoma"/>
            <family val="2"/>
          </rPr>
          <t>excludes ARO</t>
        </r>
      </text>
    </comment>
    <comment ref="J28" authorId="0">
      <text>
        <r>
          <rPr>
            <sz val="8"/>
            <color indexed="81"/>
            <rFont val="Tahoma"/>
            <family val="2"/>
          </rPr>
          <t>excludes ARO</t>
        </r>
      </text>
    </comment>
    <comment ref="X28" authorId="1">
      <text>
        <r>
          <rPr>
            <sz val="9"/>
            <color indexed="81"/>
            <rFont val="Tahoma"/>
            <family val="2"/>
          </rPr>
          <t>prior year end bal</t>
        </r>
      </text>
    </comment>
    <comment ref="J31" authorId="3">
      <text>
        <r>
          <rPr>
            <sz val="8"/>
            <color indexed="81"/>
            <rFont val="Tahoma"/>
            <family val="2"/>
          </rPr>
          <t xml:space="preserve">Includes adjustment for OATT Contra CWIP Accum Deprec.
</t>
        </r>
      </text>
    </comment>
    <comment ref="F58" authorId="1">
      <text>
        <r>
          <rPr>
            <b/>
            <sz val="9"/>
            <color indexed="81"/>
            <rFont val="Tahoma"/>
            <charset val="1"/>
          </rPr>
          <t>::</t>
        </r>
        <r>
          <rPr>
            <sz val="9"/>
            <color indexed="81"/>
            <rFont val="Tahoma"/>
            <charset val="1"/>
          </rPr>
          <t xml:space="preserve">
this s/b lines 1-3, not just line 1, adjusted line 3 in A&amp;G section - R&amp;D
</t>
        </r>
      </text>
    </comment>
    <comment ref="J60" authorId="3">
      <text>
        <r>
          <rPr>
            <sz val="8"/>
            <color indexed="81"/>
            <rFont val="Tahoma"/>
            <family val="2"/>
          </rPr>
          <t>Includes adjustment for OATT Contra CWIP Depreciation for CY</t>
        </r>
      </text>
    </comment>
  </commentList>
</comments>
</file>

<file path=xl/sharedStrings.xml><?xml version="1.0" encoding="utf-8"?>
<sst xmlns="http://schemas.openxmlformats.org/spreadsheetml/2006/main" count="2350" uniqueCount="1376">
  <si>
    <t>Page</t>
  </si>
  <si>
    <t>Row</t>
  </si>
  <si>
    <t>Column</t>
  </si>
  <si>
    <t>Description</t>
  </si>
  <si>
    <t>Reference</t>
  </si>
  <si>
    <t>Total Direct Payroll - O&amp;M Labor</t>
  </si>
  <si>
    <t>Transmission O&amp;M Labor</t>
  </si>
  <si>
    <t>(565) Transmission of Electricity by Others</t>
  </si>
  <si>
    <t xml:space="preserve">Total Admin &amp; General Expenses </t>
  </si>
  <si>
    <t>(928) Regulatory Commission Expenses</t>
  </si>
  <si>
    <t>(930.1) General Advertising Expenses</t>
  </si>
  <si>
    <t>Plant Held for Future Use (Trans. Only)</t>
  </si>
  <si>
    <t>c</t>
  </si>
  <si>
    <t>b</t>
  </si>
  <si>
    <t>g</t>
  </si>
  <si>
    <t>d</t>
  </si>
  <si>
    <t>230a</t>
  </si>
  <si>
    <t>e</t>
  </si>
  <si>
    <t>ADIT - 190</t>
  </si>
  <si>
    <t>ADIT - 281 (Negative)</t>
  </si>
  <si>
    <t>ADIT - 282 (Negative)</t>
  </si>
  <si>
    <t>Line</t>
  </si>
  <si>
    <t>Total</t>
  </si>
  <si>
    <t>Allocator</t>
  </si>
  <si>
    <t>OATT Transmission</t>
  </si>
  <si>
    <t>RATE BASE:</t>
  </si>
  <si>
    <t>N/A</t>
  </si>
  <si>
    <t>GP =</t>
  </si>
  <si>
    <t>Total Gross Plant</t>
  </si>
  <si>
    <t>Total Accumulated Depr.</t>
  </si>
  <si>
    <t>Net Plant in Service</t>
  </si>
  <si>
    <t>Total Net Plant</t>
  </si>
  <si>
    <t>NP =</t>
  </si>
  <si>
    <t>Accum Deferred ITC - 255 (Negative)</t>
  </si>
  <si>
    <t>h</t>
  </si>
  <si>
    <t>f</t>
  </si>
  <si>
    <t>Amortized ITC (Negative)</t>
  </si>
  <si>
    <t>NP</t>
  </si>
  <si>
    <t>Plant Held for Future Use</t>
  </si>
  <si>
    <t>Working Capital:</t>
  </si>
  <si>
    <t>Prepayments</t>
  </si>
  <si>
    <t>GP</t>
  </si>
  <si>
    <t>Line 1 - Line 7</t>
  </si>
  <si>
    <t>Line 3 - Line 9</t>
  </si>
  <si>
    <t>Line 4 - Line 10</t>
  </si>
  <si>
    <t>Line 5 - Line 11</t>
  </si>
  <si>
    <t>Total Working Capital</t>
  </si>
  <si>
    <t>O&amp;M Expense</t>
  </si>
  <si>
    <t xml:space="preserve">  Less Account 565</t>
  </si>
  <si>
    <t xml:space="preserve">Net Transmission O&amp;M </t>
  </si>
  <si>
    <t>TOTAL Transmission Expenses</t>
  </si>
  <si>
    <t>TP</t>
  </si>
  <si>
    <t>(924) Property Insurance</t>
  </si>
  <si>
    <t>Net Labor Related A&amp;G</t>
  </si>
  <si>
    <t>Trans. Related Regulatory Expense</t>
  </si>
  <si>
    <t>D/A</t>
  </si>
  <si>
    <t>Trans. Related Advertising Exp.</t>
  </si>
  <si>
    <t>Depreciation Expense</t>
  </si>
  <si>
    <t>Transmission Depr. Expense</t>
  </si>
  <si>
    <t>General Depr. Expense</t>
  </si>
  <si>
    <t>Total Depreciation</t>
  </si>
  <si>
    <t>Property Related</t>
  </si>
  <si>
    <t>Total Other Taxes</t>
  </si>
  <si>
    <t>263.i</t>
  </si>
  <si>
    <t>Cash Working Capital (1/8 O&amp;M)</t>
  </si>
  <si>
    <t>M&amp;S - Transmission</t>
  </si>
  <si>
    <t>M&amp;S - Stores Expense</t>
  </si>
  <si>
    <t>Return:</t>
  </si>
  <si>
    <t>Less Gen. Step-up Transformers in 353</t>
  </si>
  <si>
    <t>Labor Allocation Factor</t>
  </si>
  <si>
    <t>Preferred Dividends (positive)</t>
  </si>
  <si>
    <t xml:space="preserve">  Less Loss on Reacquired Debt</t>
  </si>
  <si>
    <t xml:space="preserve">  Plus Gain on Reacquired Debt</t>
  </si>
  <si>
    <t xml:space="preserve">  Less Interest on Securitization Bonds</t>
  </si>
  <si>
    <t xml:space="preserve">  Less Securitization Bonds</t>
  </si>
  <si>
    <t>Net Long Term Debt</t>
  </si>
  <si>
    <t>Preferred Stock</t>
  </si>
  <si>
    <t xml:space="preserve">  Less Preferred Stock</t>
  </si>
  <si>
    <t xml:space="preserve">  Less Account 216.1</t>
  </si>
  <si>
    <t xml:space="preserve">  Proprietary Capital</t>
  </si>
  <si>
    <t>Common Stock Development:</t>
  </si>
  <si>
    <t xml:space="preserve">Common Stock </t>
  </si>
  <si>
    <t>Weight</t>
  </si>
  <si>
    <t>Cost</t>
  </si>
  <si>
    <t>Weighted Cost</t>
  </si>
  <si>
    <t>Common Equity</t>
  </si>
  <si>
    <t>Income Taxes:</t>
  </si>
  <si>
    <t>State of Florida</t>
  </si>
  <si>
    <t>Federal</t>
  </si>
  <si>
    <t xml:space="preserve">   Composite  T = State + Federal * (1 - State)</t>
  </si>
  <si>
    <t>ITC Gross Up Factor = 1 / (1 -T)</t>
  </si>
  <si>
    <t>Total Income Taxes</t>
  </si>
  <si>
    <t>EXPENSES:</t>
  </si>
  <si>
    <t>Denominator for Wholesale Transmission:</t>
  </si>
  <si>
    <t>i</t>
  </si>
  <si>
    <t>Firm Network Service for Others</t>
  </si>
  <si>
    <t>Firm Network Service for Self</t>
  </si>
  <si>
    <t>Note A:</t>
  </si>
  <si>
    <t>Note B:</t>
  </si>
  <si>
    <t>Note C:</t>
  </si>
  <si>
    <t>Note D:</t>
  </si>
  <si>
    <t>Note E:</t>
  </si>
  <si>
    <t>Total Revenue Credits</t>
  </si>
  <si>
    <t>Storm Reserve Adder</t>
  </si>
  <si>
    <t>On-Peak Days</t>
  </si>
  <si>
    <t>Off-Peak Days</t>
  </si>
  <si>
    <t>On-Peak Hours</t>
  </si>
  <si>
    <t>Off-Peak Hours</t>
  </si>
  <si>
    <t>Revenue Credits:</t>
  </si>
  <si>
    <t>Annual Firm Trans $/MW-year</t>
  </si>
  <si>
    <t xml:space="preserve">Trans. Rev Req't Rate $/MW-Mon.     </t>
  </si>
  <si>
    <t>Form 1 Reference</t>
  </si>
  <si>
    <t>Payment by</t>
  </si>
  <si>
    <t>Classification</t>
  </si>
  <si>
    <t>Rate Schedule</t>
  </si>
  <si>
    <t>(Column (b))</t>
  </si>
  <si>
    <t>(Col (d))</t>
  </si>
  <si>
    <t>(Col (e))</t>
  </si>
  <si>
    <t>Total Revenues</t>
  </si>
  <si>
    <t>(Column (n))</t>
  </si>
  <si>
    <t>Total Transmission for Others</t>
  </si>
  <si>
    <t xml:space="preserve">FERC Form 1 page 214 excluding non-transmission related items </t>
  </si>
  <si>
    <t>Note F:</t>
  </si>
  <si>
    <t xml:space="preserve">Labor Related </t>
  </si>
  <si>
    <t>Taxes Other Than Income (Note F)</t>
  </si>
  <si>
    <t>Note G:</t>
  </si>
  <si>
    <t>Note G</t>
  </si>
  <si>
    <t>Summary of Rates</t>
  </si>
  <si>
    <t>OATT Transmission Non-Levelized Rate Formula Template Using Form-1 Data</t>
  </si>
  <si>
    <t>Development of Revenue Requirements</t>
  </si>
  <si>
    <t>Supporting Allocation Factor and Return Calculations</t>
  </si>
  <si>
    <r>
      <t xml:space="preserve">     Overall Return:  R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</si>
  <si>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Peaker/</t>
  </si>
  <si>
    <t>Plant</t>
  </si>
  <si>
    <t>Book Cost</t>
  </si>
  <si>
    <t>Bayboro Pk</t>
  </si>
  <si>
    <t>Suwannee 230kv</t>
  </si>
  <si>
    <t>Bartow</t>
  </si>
  <si>
    <t>Higgins Pk</t>
  </si>
  <si>
    <t>Suwannee Plant</t>
  </si>
  <si>
    <t>Rio Pinar</t>
  </si>
  <si>
    <t>Intercession City</t>
  </si>
  <si>
    <t>P11 Seimens</t>
  </si>
  <si>
    <t>Crystal River</t>
  </si>
  <si>
    <t>Vintage</t>
  </si>
  <si>
    <t>Transmission Rate Formula Support - Account 353 Generator Step-up Transformers</t>
  </si>
  <si>
    <t>Other Long-Term Firm Service</t>
  </si>
  <si>
    <t>Other Taxes - FICA</t>
  </si>
  <si>
    <t>Other Taxes - Federal Unemployment</t>
  </si>
  <si>
    <t>Other Taxes - State Unemployment</t>
  </si>
  <si>
    <t>Other Taxes - Intangibles</t>
  </si>
  <si>
    <t>Other Taxes - Highway Use</t>
  </si>
  <si>
    <t>Other Taxes - Property County &amp; Local</t>
  </si>
  <si>
    <t>A&amp;G Labor</t>
  </si>
  <si>
    <t>Intangible Plant</t>
  </si>
  <si>
    <t>Transmission Plant</t>
  </si>
  <si>
    <t>Distribution Plant</t>
  </si>
  <si>
    <t>General Plant</t>
  </si>
  <si>
    <t>Intangible Amort. Reserve</t>
  </si>
  <si>
    <t>Production Depr. Reserve</t>
  </si>
  <si>
    <t>Transmission Depr. Reserve</t>
  </si>
  <si>
    <t>Distribution Depr. Reserve</t>
  </si>
  <si>
    <t>General Depr. Reserve</t>
  </si>
  <si>
    <t>Note H</t>
  </si>
  <si>
    <t>Note H:</t>
  </si>
  <si>
    <t>Investment in Transmission Energy Control Center included in Schedule 1 Ancillary Service cost</t>
  </si>
  <si>
    <t>Intangible Amortization</t>
  </si>
  <si>
    <t xml:space="preserve">Trans. Related Pct of Whlse Loss </t>
  </si>
  <si>
    <t>Total Extraordniary Property Loss - Wholesale</t>
  </si>
  <si>
    <t>Extraordinary Property Losses - Balance</t>
  </si>
  <si>
    <t xml:space="preserve">Whlse Extraordinary Property Loss </t>
  </si>
  <si>
    <t xml:space="preserve">Whlse Trans. Extraordinary Propery Loss </t>
  </si>
  <si>
    <t>WEPL-T</t>
  </si>
  <si>
    <t>Rebuild Reserve Equivalent to $130MM Retail:</t>
  </si>
  <si>
    <t xml:space="preserve">    Whlse Portion of $6MM Funding</t>
  </si>
  <si>
    <t xml:space="preserve">    System Total Reserve Req't = 130MM/(1 - Line 5 %)</t>
  </si>
  <si>
    <t>Net Production Plant</t>
  </si>
  <si>
    <t>Net Transmission Plant</t>
  </si>
  <si>
    <t>Net Distribution Plant</t>
  </si>
  <si>
    <t>Net General Plant</t>
  </si>
  <si>
    <t>Net Intangible Plant</t>
  </si>
  <si>
    <t>ADIT - 283  Excluding FAS 109 (Neg.)</t>
  </si>
  <si>
    <t>OATT LABOR</t>
  </si>
  <si>
    <t>Page 1 of 2</t>
  </si>
  <si>
    <t>Page 2 of 2</t>
  </si>
  <si>
    <t>Note I</t>
  </si>
  <si>
    <t>Note I:</t>
  </si>
  <si>
    <t>Total Firm Monthly Trans. $/MW-Month</t>
  </si>
  <si>
    <t>Preferred Stock Issued</t>
  </si>
  <si>
    <t>Loss on Reacquired Debt</t>
  </si>
  <si>
    <t>Account 216.1</t>
  </si>
  <si>
    <t>Proprietary Capital</t>
  </si>
  <si>
    <t>Gain on Reacquired Debt</t>
  </si>
  <si>
    <t>Transmission Rate Formula Support - List of Inputs from FERC Form-1</t>
  </si>
  <si>
    <t>Note J</t>
  </si>
  <si>
    <t>Note J:</t>
  </si>
  <si>
    <t>Note K:</t>
  </si>
  <si>
    <t>Total Classified as Non-Firm = Revenue Credit</t>
  </si>
  <si>
    <t>Includes Network Integration Service and Network Contract Demand Service</t>
  </si>
  <si>
    <t>Unit</t>
  </si>
  <si>
    <t>Bank</t>
  </si>
  <si>
    <t xml:space="preserve">Page 6 </t>
  </si>
  <si>
    <t>Adj. to Imputed Whlse PBOP Exp. - System</t>
  </si>
  <si>
    <t>Page 5 of 6</t>
  </si>
  <si>
    <t>Page 6 of 6</t>
  </si>
  <si>
    <t>Page 3 of 6</t>
  </si>
  <si>
    <t>Page 1 of 6</t>
  </si>
  <si>
    <t>Page 2 of 6</t>
  </si>
  <si>
    <t>Page 4 of 6</t>
  </si>
  <si>
    <t>Prepayments (Note L)</t>
  </si>
  <si>
    <t>335.1-3.b</t>
  </si>
  <si>
    <t xml:space="preserve"> Less Industry Dues and R&amp;D Expense</t>
  </si>
  <si>
    <t xml:space="preserve">  Less Account 561</t>
  </si>
  <si>
    <t>Less Interconnection Facilities (Order 2003)</t>
  </si>
  <si>
    <t>321.84-92.b</t>
  </si>
  <si>
    <t>TExp</t>
  </si>
  <si>
    <t>Accumulated Deferred</t>
  </si>
  <si>
    <t>Factor</t>
  </si>
  <si>
    <t>Result</t>
  </si>
  <si>
    <t>Account</t>
  </si>
  <si>
    <t>Retail</t>
  </si>
  <si>
    <t>LABOR</t>
  </si>
  <si>
    <t>PROD</t>
  </si>
  <si>
    <t>DIST</t>
  </si>
  <si>
    <t>Other</t>
  </si>
  <si>
    <t xml:space="preserve">  Total Accumulated Deferred Income Tax</t>
  </si>
  <si>
    <t>Divisor - Sum of Monthly MW Transmission System Peaks (Excludes STF)</t>
  </si>
  <si>
    <t>Less system storm reserve funding</t>
  </si>
  <si>
    <t>Adj. - RCO Labor in A&amp;G Labor</t>
  </si>
  <si>
    <t xml:space="preserve">  Total 456 NF + STF Revenue </t>
  </si>
  <si>
    <t>Contract Demand Adjustment</t>
  </si>
  <si>
    <t xml:space="preserve">  Net OATT Revenue Credit</t>
  </si>
  <si>
    <t xml:space="preserve"> </t>
  </si>
  <si>
    <t>b&amp;g</t>
  </si>
  <si>
    <t>Beginning Balance</t>
  </si>
  <si>
    <t>Ending Balance</t>
  </si>
  <si>
    <t>Ending Balance or Annual Value</t>
  </si>
  <si>
    <t>c&amp;d</t>
  </si>
  <si>
    <t>Rate Base Items from Prior Year Form 1 (Year End Value Where Not Available as Beginning Balance Above)</t>
  </si>
  <si>
    <t xml:space="preserve">Production Plant </t>
  </si>
  <si>
    <t>B/E Average</t>
  </si>
  <si>
    <t>Return and Average Capitalization:</t>
  </si>
  <si>
    <t>Plant Held for Future Use (Trans Only)</t>
  </si>
  <si>
    <t>b&amp;h</t>
  </si>
  <si>
    <t>b&amp;k</t>
  </si>
  <si>
    <t>b&amp;c</t>
  </si>
  <si>
    <t>AVERAGE CAPITALIZATION:</t>
  </si>
  <si>
    <t>Development of Rate Base and Capital Structure</t>
  </si>
  <si>
    <t>Industry Association Dues</t>
  </si>
  <si>
    <t>ER95-469</t>
  </si>
  <si>
    <t>Interest Accrued/Capitalized on Network Prepayments</t>
  </si>
  <si>
    <t>Interest Disbursed with Network Prepayment Refunds</t>
  </si>
  <si>
    <t>Adjustments to Rate Base - Deferred Taxes</t>
  </si>
  <si>
    <t>Total Deferred Tax Adjustments</t>
  </si>
  <si>
    <t>Total Network Upgrade Prepayment Adjustments</t>
  </si>
  <si>
    <t>Transmission</t>
  </si>
  <si>
    <t xml:space="preserve">   Total Account 454</t>
  </si>
  <si>
    <t>Acct 456 - NF + STF Service (x/ Ancillaries)</t>
  </si>
  <si>
    <t>Acct 454 - Transmission Related</t>
  </si>
  <si>
    <r>
      <t>Tax Rev.Req't Factor  = T / (1 -T) * (1 - Wtd.Debt.Cost/R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</si>
  <si>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Adjusted Labor w/o A&amp;G (Line 9 - Line 10 + Line 11)</t>
  </si>
  <si>
    <t>Trans Labor Factor (Line 13 / Line 12)</t>
  </si>
  <si>
    <t>B/E Avg. Transmission Plant Included in OATT Rate:</t>
  </si>
  <si>
    <t xml:space="preserve">Less Energy Control Center </t>
  </si>
  <si>
    <t xml:space="preserve">Avg.Trans Plant for OATT Rate </t>
  </si>
  <si>
    <t>TP Allocator (Line 5 / Line 1)</t>
  </si>
  <si>
    <t xml:space="preserve">  Less Associated Ancillaries</t>
  </si>
  <si>
    <t>Short Term Firm  -  Revenue Credit</t>
  </si>
  <si>
    <t>Excludes Asset Retirement Obligations from plant balances</t>
  </si>
  <si>
    <t>Gross Plant in Service (Note A):</t>
  </si>
  <si>
    <t>Accumulated Depreciation:</t>
  </si>
  <si>
    <t>Net 182.1 (+) / Storm Reserve (-) - Wholesale Transmission (Note B)</t>
  </si>
  <si>
    <t>Note C</t>
  </si>
  <si>
    <t>Excludes Retail ECCR and Sebring amortizations from Form-1 reported value</t>
  </si>
  <si>
    <t>Whlse Reserve Needed = Line 6 - $130MM</t>
  </si>
  <si>
    <t xml:space="preserve">Balance 2004 Loss as of  Jan 1, 2008 </t>
  </si>
  <si>
    <t>Line No.</t>
  </si>
  <si>
    <t>Amortize Existing Loss</t>
  </si>
  <si>
    <t>Rebuild Reserve</t>
  </si>
  <si>
    <t xml:space="preserve">  Total</t>
  </si>
  <si>
    <t>Revenue Req't - Customer Owned Facilities</t>
  </si>
  <si>
    <t>Note L:</t>
  </si>
  <si>
    <t>Note D</t>
  </si>
  <si>
    <t xml:space="preserve">Analysis of Company books. Regulatory expense excludes charges by FERC pursuant to 18 CFR § 382.201  </t>
  </si>
  <si>
    <t>PREPAYMENTS FOR NETWORK UPGRADES</t>
  </si>
  <si>
    <t>252 Customer advances for construction.</t>
  </si>
  <si>
    <t>This account shall include advances by customers for construction which are to be</t>
  </si>
  <si>
    <t>refunded either wholly or in part. When a customer is refunded the entire amount to</t>
  </si>
  <si>
    <t>which he is entitled, according to the agreement or rule under which the advance was</t>
  </si>
  <si>
    <t>made the balance, if any, remaining in this account shall be credited to the respective</t>
  </si>
  <si>
    <t>plant account.</t>
  </si>
  <si>
    <t>EXAMPLE</t>
  </si>
  <si>
    <t>NETWORK UPGRADE COST</t>
  </si>
  <si>
    <t>DEPRECIABLE LIFE</t>
  </si>
  <si>
    <t>40-YRS</t>
  </si>
  <si>
    <t>ANNUAL FERC INTEREST RATE</t>
  </si>
  <si>
    <t>ANNUALLY</t>
  </si>
  <si>
    <t>REFUND OVER 5 -YRS</t>
  </si>
  <si>
    <t>SCENARIO 1:</t>
  </si>
  <si>
    <t>SCENARIO 2:</t>
  </si>
  <si>
    <t>RECOVERY OF INTEREST:  PER AGREEMENT WITH CUSTOMERS, INTEREST</t>
  </si>
  <si>
    <t>YEAR OF IN-SERVICE:</t>
  </si>
  <si>
    <t>WILL BE RECOVERED UPON PAYMENT AND NOT AS ACCRUED.  THIS WILL</t>
  </si>
  <si>
    <t>DESCRIPTION</t>
  </si>
  <si>
    <t>FERC</t>
  </si>
  <si>
    <t>DEBIT</t>
  </si>
  <si>
    <t>CREDIT</t>
  </si>
  <si>
    <t>CREATE A REGULATORY ASSET TO RECOGNIZE THE DEFERRED COST</t>
  </si>
  <si>
    <t>ELEC. PLNT IN-SVC</t>
  </si>
  <si>
    <t>RECOVERY.</t>
  </si>
  <si>
    <t>CUSTOMER ADVANCES</t>
  </si>
  <si>
    <t>1st REFUND:</t>
  </si>
  <si>
    <t>CASH</t>
  </si>
  <si>
    <t>YR-1 NO REFUND:</t>
  </si>
  <si>
    <t>INTEREST EXP</t>
  </si>
  <si>
    <t>INTEREST ACCRUED</t>
  </si>
  <si>
    <r>
      <t xml:space="preserve">REG ASSET </t>
    </r>
    <r>
      <rPr>
        <sz val="8"/>
        <rFont val="Arial"/>
        <family val="2"/>
      </rPr>
      <t>(INTEREST ACCRUED)</t>
    </r>
  </si>
  <si>
    <t>RATE BASE</t>
  </si>
  <si>
    <t>EXPENSE</t>
  </si>
  <si>
    <t>INTEREST ACCRUED DEFERRAL</t>
  </si>
  <si>
    <t>YR-5 WITH REFUND:</t>
  </si>
  <si>
    <r>
      <t xml:space="preserve">FORMULA INPUT - EPIS </t>
    </r>
    <r>
      <rPr>
        <b/>
        <vertAlign val="subscript"/>
        <sz val="10"/>
        <rFont val="Arial"/>
        <family val="2"/>
      </rPr>
      <t>YR-1</t>
    </r>
  </si>
  <si>
    <t>BEGINNING BAL.</t>
  </si>
  <si>
    <r>
      <t xml:space="preserve">FORMULA INPUT </t>
    </r>
    <r>
      <rPr>
        <b/>
        <vertAlign val="subscript"/>
        <sz val="10"/>
        <rFont val="Arial"/>
        <family val="2"/>
      </rPr>
      <t>YR-1</t>
    </r>
  </si>
  <si>
    <r>
      <t xml:space="preserve">FORMULA INPUT - EPIS </t>
    </r>
    <r>
      <rPr>
        <b/>
        <vertAlign val="subscript"/>
        <sz val="10"/>
        <rFont val="Arial"/>
        <family val="2"/>
      </rPr>
      <t>YR-2</t>
    </r>
  </si>
  <si>
    <r>
      <t xml:space="preserve">FORMULA ACCUM. DEP </t>
    </r>
    <r>
      <rPr>
        <b/>
        <vertAlign val="subscript"/>
        <sz val="10"/>
        <rFont val="Arial"/>
        <family val="2"/>
      </rPr>
      <t>YR-2</t>
    </r>
  </si>
  <si>
    <t>IF NOT REFUNDED UNTIL YR 5, THAN:</t>
  </si>
  <si>
    <r>
      <t xml:space="preserve">FORMULA INPUT </t>
    </r>
    <r>
      <rPr>
        <b/>
        <vertAlign val="subscript"/>
        <sz val="10"/>
        <rFont val="Arial"/>
        <family val="2"/>
      </rPr>
      <t>YR-2</t>
    </r>
  </si>
  <si>
    <r>
      <t xml:space="preserve">FORMULA INPUT </t>
    </r>
    <r>
      <rPr>
        <b/>
        <vertAlign val="subscript"/>
        <sz val="10"/>
        <rFont val="Arial"/>
        <family val="2"/>
      </rPr>
      <t>YR-3</t>
    </r>
  </si>
  <si>
    <r>
      <t xml:space="preserve">FORMULA INPUT </t>
    </r>
    <r>
      <rPr>
        <b/>
        <vertAlign val="subscript"/>
        <sz val="10"/>
        <rFont val="Arial"/>
        <family val="2"/>
      </rPr>
      <t>YR-4</t>
    </r>
  </si>
  <si>
    <r>
      <t xml:space="preserve">FORMULA INPUT </t>
    </r>
    <r>
      <rPr>
        <b/>
        <vertAlign val="subscript"/>
        <sz val="10"/>
        <rFont val="Arial"/>
        <family val="2"/>
      </rPr>
      <t>YR-5</t>
    </r>
  </si>
  <si>
    <r>
      <t xml:space="preserve">INTEREST EXPENSE </t>
    </r>
    <r>
      <rPr>
        <vertAlign val="subscript"/>
        <sz val="10"/>
        <rFont val="Arial"/>
        <family val="2"/>
      </rPr>
      <t>YR-1</t>
    </r>
  </si>
  <si>
    <r>
      <t xml:space="preserve">REFUND </t>
    </r>
    <r>
      <rPr>
        <vertAlign val="subscript"/>
        <sz val="10"/>
        <rFont val="Arial"/>
        <family val="2"/>
      </rPr>
      <t>YR-1</t>
    </r>
  </si>
  <si>
    <r>
      <t xml:space="preserve">INTEREST ACCRUED </t>
    </r>
    <r>
      <rPr>
        <vertAlign val="subscript"/>
        <sz val="10"/>
        <rFont val="Arial"/>
        <family val="2"/>
      </rPr>
      <t>YR-1</t>
    </r>
  </si>
  <si>
    <r>
      <t xml:space="preserve">INTEREST EXPENSE </t>
    </r>
    <r>
      <rPr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</si>
  <si>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YR-1</t>
    </r>
  </si>
  <si>
    <r>
      <t xml:space="preserve">REFUND </t>
    </r>
    <r>
      <rPr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</si>
  <si>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</si>
  <si>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</si>
  <si>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YR-3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</si>
  <si>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YR-3</t>
    </r>
  </si>
  <si>
    <r>
      <t xml:space="preserve">INTEREST ACCRUED </t>
    </r>
    <r>
      <rPr>
        <vertAlign val="subscript"/>
        <sz val="10"/>
        <rFont val="Arial"/>
        <family val="2"/>
      </rPr>
      <t>YR-4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</si>
  <si>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YR-4</t>
    </r>
  </si>
  <si>
    <r>
      <t xml:space="preserve">INTEREST ACCRUED </t>
    </r>
    <r>
      <rPr>
        <vertAlign val="subscript"/>
        <sz val="10"/>
        <rFont val="Arial"/>
        <family val="2"/>
      </rPr>
      <t>YR-5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</si>
  <si>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YR-5</t>
    </r>
  </si>
  <si>
    <r>
      <t xml:space="preserve">REFUND </t>
    </r>
    <r>
      <rPr>
        <vertAlign val="subscript"/>
        <sz val="10"/>
        <rFont val="Arial"/>
        <family val="2"/>
      </rPr>
      <t>YR-5</t>
    </r>
  </si>
  <si>
    <t>Transmission Rate Formula Support - Interconnection Facilities</t>
  </si>
  <si>
    <t>Generation In-Service After March 15, 2000 per FERC Order 2003</t>
  </si>
  <si>
    <t>Unit(s)</t>
  </si>
  <si>
    <t>Beginning</t>
  </si>
  <si>
    <t>Balance</t>
  </si>
  <si>
    <t>Ending</t>
  </si>
  <si>
    <t>Net Allocated Property Insurance</t>
  </si>
  <si>
    <r>
      <t xml:space="preserve">Net Revenue Requirements </t>
    </r>
    <r>
      <rPr>
        <sz val="10"/>
        <rFont val="Arial"/>
        <family val="2"/>
      </rPr>
      <t>(Line 1 - Line 4 + Line 5 + Line 6)</t>
    </r>
  </si>
  <si>
    <t xml:space="preserve">Transmission Rate Formula Support -  Revenue Credits </t>
  </si>
  <si>
    <t>Account 454</t>
  </si>
  <si>
    <t>Transmission Rate Formula Support - Revenue Credits</t>
  </si>
  <si>
    <t>Page 1 of 3</t>
  </si>
  <si>
    <t>Page 2 of 3</t>
  </si>
  <si>
    <t>Page 3 of 3</t>
  </si>
  <si>
    <t>Note M</t>
  </si>
  <si>
    <t>Note M:</t>
  </si>
  <si>
    <t>Accumulated Deferred Tax Detail - Prior Year</t>
  </si>
  <si>
    <t>Accumulated Deferred Tax Detail - Current Year</t>
  </si>
  <si>
    <t>Fixed</t>
  </si>
  <si>
    <t>Note N:</t>
  </si>
  <si>
    <t xml:space="preserve">  Total Interconnection Facilities </t>
  </si>
  <si>
    <t>ADIT - 283  (Negative)</t>
  </si>
  <si>
    <t>Total Capitalization (sum Lines 20, 21, 22)</t>
  </si>
  <si>
    <t>SUMMARY CAP STRUCTURE</t>
  </si>
  <si>
    <t>Rate Base Adjustments -  Network Upgrade Prepayments (Note O):</t>
  </si>
  <si>
    <t>Note O:</t>
  </si>
  <si>
    <t xml:space="preserve">  Total 2008-2012</t>
  </si>
  <si>
    <t>STF/Non-Firm on OATT</t>
  </si>
  <si>
    <t>Storm Reserve Balance Tracking:</t>
  </si>
  <si>
    <t>Adjustment:</t>
  </si>
  <si>
    <t>2013 'til  Extraordinary Loss</t>
  </si>
  <si>
    <t>Maximum Reserve per Settlement</t>
  </si>
  <si>
    <t xml:space="preserve">LTF on OATT </t>
  </si>
  <si>
    <t>Components of Storm Amortization/Reserve Funding Adder (2008-2012 Rate Years only - Note N):</t>
  </si>
  <si>
    <t>Whlse Portion of Existing Storm Accrual</t>
  </si>
  <si>
    <t>OATT Settlement - 2004 Storm Treatment</t>
  </si>
  <si>
    <t>LEVELIZED RATE, FUNDING ADJUSTED FOR RESERVE MAXIMUM per NOTE N</t>
  </si>
  <si>
    <t xml:space="preserve">Note P:  </t>
  </si>
  <si>
    <t>Note Q:</t>
  </si>
  <si>
    <t xml:space="preserve">Note R:  </t>
  </si>
  <si>
    <t>Existing Wholesale Accrual         (Line 9)</t>
  </si>
  <si>
    <r>
      <t>Gross-up Factor for OATT Wholesale Reserve - System Basis</t>
    </r>
    <r>
      <rPr>
        <sz val="10"/>
        <rFont val="Arial"/>
        <family val="2"/>
      </rPr>
      <t xml:space="preserve"> (Total Load/Whlse Load * 0.84987)</t>
    </r>
  </si>
  <si>
    <t>Determination of Levelized Storm Damage Recovery Adder</t>
  </si>
  <si>
    <t>Total Funding Requirements</t>
  </si>
  <si>
    <t>Less:</t>
  </si>
  <si>
    <t>Amount assumed to be collected from non-OATT service:</t>
  </si>
  <si>
    <t>Annual Amount</t>
  </si>
  <si>
    <t>Five-Year Total</t>
  </si>
  <si>
    <t xml:space="preserve"> (Line 11 * 5)</t>
  </si>
  <si>
    <t>Net 5-Year Requirement</t>
  </si>
  <si>
    <t xml:space="preserve"> (Line 8 - Line 12)</t>
  </si>
  <si>
    <t>Annual Recovery Requirements</t>
  </si>
  <si>
    <t>Projected Billing Units (MW-months)</t>
  </si>
  <si>
    <t>(Projected and Fixed)</t>
  </si>
  <si>
    <t xml:space="preserve">  Total Projected Billing Units</t>
  </si>
  <si>
    <t>Annual Percentages</t>
  </si>
  <si>
    <t>(Ln 23 * Ln 6 / Ln 8 * Ln 14)</t>
  </si>
  <si>
    <t>(Ln 23 * Ln 7 / Ln 8 * Ln 14)</t>
  </si>
  <si>
    <t>Levelized Storm Damage Recovery</t>
  </si>
  <si>
    <t>Adder ($/MW-mo)</t>
  </si>
  <si>
    <t>(Line 28 / Line 21)</t>
  </si>
  <si>
    <t>Example Application of Levelized Adder and Annual True-Up</t>
  </si>
  <si>
    <t>(Actual MW-Months)</t>
  </si>
  <si>
    <t>(Actual Equiv. MW-Months)</t>
  </si>
  <si>
    <t xml:space="preserve">  Total Billing Units</t>
  </si>
  <si>
    <t>(Line 36 + Line 37)</t>
  </si>
  <si>
    <t>Actual Recoveries of Existing Loss &amp; Reserve Replenishment</t>
  </si>
  <si>
    <t>(Line 31 * Line 36)</t>
  </si>
  <si>
    <t>(Line 31 * Line 37)</t>
  </si>
  <si>
    <t xml:space="preserve">  Total Collections</t>
  </si>
  <si>
    <t>(Line 41 + Line 42)</t>
  </si>
  <si>
    <t>Over(Under) Recovery to Be Reflected</t>
  </si>
  <si>
    <t>In Annual True-Ups</t>
  </si>
  <si>
    <t>(Line 43 - Line 28)</t>
  </si>
  <si>
    <t>Funding From OATT Adder</t>
  </si>
  <si>
    <t>(Line 28)</t>
  </si>
  <si>
    <t>(Line 11)</t>
  </si>
  <si>
    <t>(Fixed - Note P)</t>
  </si>
  <si>
    <t>Actual Billing Units (MW-months) (Notes Q and R)</t>
  </si>
  <si>
    <t>62 thru 67</t>
  </si>
  <si>
    <t>20 thru 24</t>
  </si>
  <si>
    <t>84 thru 92</t>
  </si>
  <si>
    <t>(561) Transmission of Electricity by Others</t>
  </si>
  <si>
    <t>TP2006</t>
  </si>
  <si>
    <t>Account 456.1</t>
  </si>
  <si>
    <t>Page 1 of 1</t>
  </si>
  <si>
    <t>Gross Plant in Service:</t>
  </si>
  <si>
    <t>B/E Balance</t>
  </si>
  <si>
    <t>Total Projects</t>
  </si>
  <si>
    <t xml:space="preserve">  Additions</t>
  </si>
  <si>
    <t xml:space="preserve">  Retirements</t>
  </si>
  <si>
    <t xml:space="preserve">  Adjustments</t>
  </si>
  <si>
    <t xml:space="preserve">  Annual Deprecation Expense</t>
  </si>
  <si>
    <t xml:space="preserve">   Project Description:</t>
  </si>
  <si>
    <t>2A</t>
  </si>
  <si>
    <t>2B</t>
  </si>
  <si>
    <t xml:space="preserve">  Less Direct Assign Radials</t>
  </si>
  <si>
    <t>Trans. Plant w/o Direct Assign Radials</t>
  </si>
  <si>
    <t>8A</t>
  </si>
  <si>
    <t>8B</t>
  </si>
  <si>
    <t>18A</t>
  </si>
  <si>
    <t>18B</t>
  </si>
  <si>
    <t xml:space="preserve">  Less Direct Assign Radial Depr Exp</t>
  </si>
  <si>
    <t>Trans. Reserve w/o Direct Assign Radials</t>
  </si>
  <si>
    <t>Trans Depr. w/o Direct Assign Radials</t>
  </si>
  <si>
    <t>7A</t>
  </si>
  <si>
    <t>Add back D/A Radials to Total Trans Plt (line 1 + p2, l 2A)</t>
  </si>
  <si>
    <t>Note T:</t>
  </si>
  <si>
    <t>Note S:</t>
  </si>
  <si>
    <t>Transmission Rate Formula Support - Direct Assignment Retail Radials in Accordance with OATT Attachment U</t>
  </si>
  <si>
    <t xml:space="preserve">  Description</t>
  </si>
  <si>
    <t>Ending
 Balance</t>
  </si>
  <si>
    <t>Network prepayments include interest that has been accrued but not yet refunded.</t>
  </si>
  <si>
    <t>Note U:</t>
  </si>
  <si>
    <t>Note V:</t>
  </si>
  <si>
    <t>Note W:</t>
  </si>
  <si>
    <t>Line 2 - Line 8</t>
  </si>
  <si>
    <t>Transmission Related CWIP - Identified Projects (Note V):</t>
  </si>
  <si>
    <t>Outstanding Balance - Network Prepayments (Note T)</t>
  </si>
  <si>
    <r>
      <t xml:space="preserve">Unfunded </t>
    </r>
    <r>
      <rPr>
        <sz val="11"/>
        <rFont val="Calibri"/>
        <family val="2"/>
        <scheme val="minor"/>
      </rPr>
      <t xml:space="preserve"> Reserves</t>
    </r>
  </si>
  <si>
    <t>Value</t>
  </si>
  <si>
    <t>Identified Reserves:</t>
  </si>
  <si>
    <t xml:space="preserve">   Total Reserves</t>
  </si>
  <si>
    <t>Less Externally Funded Amounts:</t>
  </si>
  <si>
    <t xml:space="preserve">  Total Externally Funded Amounts</t>
  </si>
  <si>
    <t>Net Unfunded Reserves</t>
  </si>
  <si>
    <t>Note U</t>
  </si>
  <si>
    <t>Unfunded Reserves</t>
  </si>
  <si>
    <r>
      <t xml:space="preserve">Total Transmission Plant </t>
    </r>
    <r>
      <rPr>
        <sz val="10"/>
        <rFont val="Arial"/>
        <family val="2"/>
      </rPr>
      <t>w/o D/A Radials</t>
    </r>
  </si>
  <si>
    <r>
      <t>p 2, line 2</t>
    </r>
    <r>
      <rPr>
        <sz val="10"/>
        <rFont val="Arial"/>
        <family val="2"/>
      </rPr>
      <t>B</t>
    </r>
  </si>
  <si>
    <t>Add Back ECC to OATT Plant (Line 4 + Line 5)</t>
  </si>
  <si>
    <t>TExp Allocator (Expenses excluding 561 and 565) (Line 7 / Line 7A)</t>
  </si>
  <si>
    <t>OATT LABOR Allocator (Line 5 / Line 7A * Line 14)</t>
  </si>
  <si>
    <t>Year</t>
  </si>
  <si>
    <t>YR</t>
  </si>
  <si>
    <t>L_YR</t>
  </si>
  <si>
    <t>L_YR_P</t>
  </si>
  <si>
    <t>Notes</t>
  </si>
  <si>
    <t>Joint Use Pole Attachments - Distrib</t>
  </si>
  <si>
    <t>Joint Use Transmission Portion</t>
  </si>
  <si>
    <t>Transmission Tower Attachments</t>
  </si>
  <si>
    <t>Lighting Fixtures &amp; Poles</t>
  </si>
  <si>
    <t>SECI Equip Rental</t>
  </si>
  <si>
    <t>Cogen Equip Rental</t>
  </si>
  <si>
    <t>Wheelabrator Pinellas Cogen (non-CSS)</t>
  </si>
  <si>
    <t>Primary Metering &amp; Prem Distb Svc</t>
  </si>
  <si>
    <t>Premier Power Service</t>
  </si>
  <si>
    <t>Georgia Power Joint Owner-11 Rent Common Plant</t>
  </si>
  <si>
    <t>Telemetering - Miami Dade Equipment Rental</t>
  </si>
  <si>
    <t>Nuclear Participants Rent</t>
  </si>
  <si>
    <t>Lease Agreement for Antennae Use at Anclote</t>
  </si>
  <si>
    <t>Rent - Transmission - Level 3 &amp; Tower Lease</t>
  </si>
  <si>
    <t>Corporate Allocation Sublease Revenue</t>
  </si>
  <si>
    <t xml:space="preserve"> Allocated by LABOR</t>
  </si>
  <si>
    <t>General Leases - Real Estate</t>
  </si>
  <si>
    <t>Parking Lot Rent &amp; Building Rent</t>
  </si>
  <si>
    <t>328-330, line1</t>
  </si>
  <si>
    <t>LFP</t>
  </si>
  <si>
    <t>T6/72</t>
  </si>
  <si>
    <t>328-330, line2</t>
  </si>
  <si>
    <t>City of Bartow</t>
  </si>
  <si>
    <t>FNO</t>
  </si>
  <si>
    <t>T6/136</t>
  </si>
  <si>
    <t>328-330, line3</t>
  </si>
  <si>
    <t>Calpine Energy Services</t>
  </si>
  <si>
    <t>NF</t>
  </si>
  <si>
    <t>T6/106</t>
  </si>
  <si>
    <t>328-330, line4</t>
  </si>
  <si>
    <t>Cargill Power Markets, LLC.</t>
  </si>
  <si>
    <t>T6/230C</t>
  </si>
  <si>
    <t>328-330, line5</t>
  </si>
  <si>
    <t>Central Power and Lime</t>
  </si>
  <si>
    <t>T6/141</t>
  </si>
  <si>
    <t>328-330, line6</t>
  </si>
  <si>
    <t>Cobb Electric Membership</t>
  </si>
  <si>
    <t>T6/114</t>
  </si>
  <si>
    <t>328-330, line7</t>
  </si>
  <si>
    <t>Conoco, Inc.</t>
  </si>
  <si>
    <t>T6/232C</t>
  </si>
  <si>
    <t>328-330, line8</t>
  </si>
  <si>
    <t>Constellation Energy</t>
  </si>
  <si>
    <t>T6/63C</t>
  </si>
  <si>
    <t>328-330, line9</t>
  </si>
  <si>
    <t>Eagle Energy Partners</t>
  </si>
  <si>
    <t>328-330, line10</t>
  </si>
  <si>
    <t>Florida Municipal Power Authorty</t>
  </si>
  <si>
    <t>T6/31</t>
  </si>
  <si>
    <t>328-330, line11</t>
  </si>
  <si>
    <t>Florida Power &amp; Light Co.</t>
  </si>
  <si>
    <t>T6/7C</t>
  </si>
  <si>
    <t>328-330, line12</t>
  </si>
  <si>
    <t>Fortis Energy Marketing Trading</t>
  </si>
  <si>
    <t>T6/285C</t>
  </si>
  <si>
    <t>328-330, line13</t>
  </si>
  <si>
    <t>Gainesville Regional Utilities</t>
  </si>
  <si>
    <t>T6/73</t>
  </si>
  <si>
    <t>328-330, line14</t>
  </si>
  <si>
    <t>Georgia Power Company</t>
  </si>
  <si>
    <t>OLF</t>
  </si>
  <si>
    <t>FERC No. 105</t>
  </si>
  <si>
    <t>328-330, line15</t>
  </si>
  <si>
    <t>City of Homestead</t>
  </si>
  <si>
    <t>T6/130</t>
  </si>
  <si>
    <t>328-330, line16</t>
  </si>
  <si>
    <t>T6/52</t>
  </si>
  <si>
    <t>328-330, line17</t>
  </si>
  <si>
    <t>SFP</t>
  </si>
  <si>
    <t>T6/53</t>
  </si>
  <si>
    <t>328-330, line18</t>
  </si>
  <si>
    <t>Kissimmee Utility Auth</t>
  </si>
  <si>
    <t>T6/74</t>
  </si>
  <si>
    <t>328-330, line19</t>
  </si>
  <si>
    <t>Lakeland Utilites</t>
  </si>
  <si>
    <t>T6/56</t>
  </si>
  <si>
    <t>328-330, line20</t>
  </si>
  <si>
    <t>City of Mt. Dora</t>
  </si>
  <si>
    <t>T6/133</t>
  </si>
  <si>
    <t>328-330, line21</t>
  </si>
  <si>
    <t>JP Morgan Ventures</t>
  </si>
  <si>
    <t>T6/132</t>
  </si>
  <si>
    <t>328-330, line22</t>
  </si>
  <si>
    <t>Utilities Comm of New Smyrna Beach</t>
  </si>
  <si>
    <t>T6/75</t>
  </si>
  <si>
    <t>328-330, line23</t>
  </si>
  <si>
    <t>T6/138</t>
  </si>
  <si>
    <t>328-330, line24</t>
  </si>
  <si>
    <t>T6/12</t>
  </si>
  <si>
    <t>328-330, line25</t>
  </si>
  <si>
    <t>Oglethorpe Power Corp</t>
  </si>
  <si>
    <t>T6/187C</t>
  </si>
  <si>
    <t>328-330, line26</t>
  </si>
  <si>
    <t>Orange Cogen LP</t>
  </si>
  <si>
    <t>T6/77</t>
  </si>
  <si>
    <t>328-330, line27</t>
  </si>
  <si>
    <t>Orlando Utilities Commission</t>
  </si>
  <si>
    <t>T6/76</t>
  </si>
  <si>
    <t>328-330, line28</t>
  </si>
  <si>
    <t>T6/10</t>
  </si>
  <si>
    <t>328-330, line29</t>
  </si>
  <si>
    <t>T6/137</t>
  </si>
  <si>
    <t>328-330, line30</t>
  </si>
  <si>
    <t>Rainbow Energy Marketing Corp.</t>
  </si>
  <si>
    <t>T6/35C</t>
  </si>
  <si>
    <t>328-330, line31</t>
  </si>
  <si>
    <t>Reedy Creek Improvement Dist.</t>
  </si>
  <si>
    <t>T6/14</t>
  </si>
  <si>
    <t>328-330, line32</t>
  </si>
  <si>
    <t>Reliant Energy Services</t>
  </si>
  <si>
    <t>T6/92</t>
  </si>
  <si>
    <t>328-330, line33</t>
  </si>
  <si>
    <t>T6/3</t>
  </si>
  <si>
    <t>328-330, line34</t>
  </si>
  <si>
    <t>Seminole Electric Coop</t>
  </si>
  <si>
    <t>T6/24</t>
  </si>
  <si>
    <t>328.1-330.1, line1</t>
  </si>
  <si>
    <t>T6/23</t>
  </si>
  <si>
    <t>328.1-330.1, line2</t>
  </si>
  <si>
    <t>T6/143</t>
  </si>
  <si>
    <t>328.1-330.1, line3</t>
  </si>
  <si>
    <t>Southern Company of Florida</t>
  </si>
  <si>
    <t>T6/29C</t>
  </si>
  <si>
    <t>328.1-330.1, line4</t>
  </si>
  <si>
    <t>City of Tallahassee</t>
  </si>
  <si>
    <t>T6/96</t>
  </si>
  <si>
    <t>328.1-330.1, line5</t>
  </si>
  <si>
    <t>T6/97</t>
  </si>
  <si>
    <t>328.1-330.1, line6</t>
  </si>
  <si>
    <t>T6/19</t>
  </si>
  <si>
    <t>328.1-330.1, line7</t>
  </si>
  <si>
    <t>Tampa Electric Company</t>
  </si>
  <si>
    <t>T6/134</t>
  </si>
  <si>
    <t>328.1-330.1, line8</t>
  </si>
  <si>
    <t>T6/160C</t>
  </si>
  <si>
    <t>328.1-330.1, line9</t>
  </si>
  <si>
    <t>328.1-330.1, line10</t>
  </si>
  <si>
    <t>T6/25</t>
  </si>
  <si>
    <t>328.1-330.1, line11</t>
  </si>
  <si>
    <t>Tennessee Valley Authoritty</t>
  </si>
  <si>
    <t>T6/21C</t>
  </si>
  <si>
    <t>328.1-330.1, line12</t>
  </si>
  <si>
    <t>The Energy Authority</t>
  </si>
  <si>
    <t>T6/140</t>
  </si>
  <si>
    <t>328.1-330.1, line13</t>
  </si>
  <si>
    <t>T6/139</t>
  </si>
  <si>
    <t>328.1-330.1, line14</t>
  </si>
  <si>
    <t>328.1-330.1, line15</t>
  </si>
  <si>
    <t>T6/62</t>
  </si>
  <si>
    <t>328.1-330.1, line16</t>
  </si>
  <si>
    <t>T6/68C</t>
  </si>
  <si>
    <t>328.1-330.1, line17</t>
  </si>
  <si>
    <t>City of Williston</t>
  </si>
  <si>
    <t>T6/125</t>
  </si>
  <si>
    <t>328.1-330.1, line18</t>
  </si>
  <si>
    <t>City of Winter Park</t>
  </si>
  <si>
    <t>T6/124</t>
  </si>
  <si>
    <t>328.1-330.1, line19</t>
  </si>
  <si>
    <t>T6/76C</t>
  </si>
  <si>
    <t>328.1-330.1, line20</t>
  </si>
  <si>
    <t>Florida Municipal Power Auth-OS</t>
  </si>
  <si>
    <t>OS</t>
  </si>
  <si>
    <t>328.1-330.1, line21</t>
  </si>
  <si>
    <t>Reedy Creek-OS</t>
  </si>
  <si>
    <t>T6</t>
  </si>
  <si>
    <t>328.1-330.1, line22</t>
  </si>
  <si>
    <t>Seminole Electric Cooperative Inc.</t>
  </si>
  <si>
    <t>328.1-330.1, line23</t>
  </si>
  <si>
    <t>Southeastern Power Admin-OS</t>
  </si>
  <si>
    <t>328.1-330.1, line24</t>
  </si>
  <si>
    <t>Constellation Power Source</t>
  </si>
  <si>
    <t>T8</t>
  </si>
  <si>
    <t>328.1-330.1, line25</t>
  </si>
  <si>
    <t>Alabama Electric Coop</t>
  </si>
  <si>
    <t>328.1-330.1, line26</t>
  </si>
  <si>
    <t>City of New Symrna</t>
  </si>
  <si>
    <t>328.1-330.1, line27</t>
  </si>
  <si>
    <t>Pa-NJ-Maryland Int (PJM)</t>
  </si>
  <si>
    <t>328.1-330.1, line28</t>
  </si>
  <si>
    <t>Tennessee Valley Authority</t>
  </si>
  <si>
    <t>T6/70</t>
  </si>
  <si>
    <t>328.1-330.1, line29</t>
  </si>
  <si>
    <t>Carolina Power &amp; Light</t>
  </si>
  <si>
    <t>T8/76</t>
  </si>
  <si>
    <t>328.1-330.1, line30</t>
  </si>
  <si>
    <t>Duke Power</t>
  </si>
  <si>
    <t>Bartow CC</t>
  </si>
  <si>
    <t>Anclote</t>
  </si>
  <si>
    <t>Debary</t>
  </si>
  <si>
    <t>Turner Pk</t>
  </si>
  <si>
    <t>Avon Park Pk</t>
  </si>
  <si>
    <t xml:space="preserve">Univ of Fla </t>
  </si>
  <si>
    <t xml:space="preserve">Hines PB1 </t>
  </si>
  <si>
    <t>Hines PB2</t>
  </si>
  <si>
    <t xml:space="preserve">Hines PB3 </t>
  </si>
  <si>
    <t>Hines PB4</t>
  </si>
  <si>
    <t>Tiger Bay</t>
  </si>
  <si>
    <t>CC/CT System Spares</t>
  </si>
  <si>
    <t>Subtotal (p2)</t>
  </si>
  <si>
    <t>Intercession City P12-P14</t>
  </si>
  <si>
    <t>Breaker and 1/2 Scheme</t>
  </si>
  <si>
    <t>Hines 2</t>
  </si>
  <si>
    <t>Salary Continuation</t>
  </si>
  <si>
    <t>Salary Continuation Loading</t>
  </si>
  <si>
    <t>Page 1 of 4</t>
  </si>
  <si>
    <t>Page 2 of 4</t>
  </si>
  <si>
    <t>OATT</t>
  </si>
  <si>
    <t>Page 3 of 4</t>
  </si>
  <si>
    <t>Medical/Life Res Postemp Retail</t>
  </si>
  <si>
    <t>Medical/Life Res Postemp Whlse</t>
  </si>
  <si>
    <t>Funded Med/Life Res Postemp -W</t>
  </si>
  <si>
    <t>Medical/Dental/Life</t>
  </si>
  <si>
    <t>Medical/Dental/Life Loading</t>
  </si>
  <si>
    <t>Workman's Comp</t>
  </si>
  <si>
    <t>Claims</t>
  </si>
  <si>
    <t>Environmental Cleanup</t>
  </si>
  <si>
    <t>Self Insured Medical Subaccounts</t>
  </si>
  <si>
    <t>$</t>
  </si>
  <si>
    <t>YE ECC EPIS From D Crawford</t>
  </si>
  <si>
    <t>Surveillance - Manual Entry File</t>
  </si>
  <si>
    <t>AVG</t>
  </si>
  <si>
    <t>Summary of Allocation Factors:</t>
  </si>
  <si>
    <t>STORM</t>
  </si>
  <si>
    <t>Subtotal</t>
  </si>
  <si>
    <t>Subtotal from prior page</t>
  </si>
  <si>
    <t>Page 4 of 4</t>
  </si>
  <si>
    <t>EPIS</t>
  </si>
  <si>
    <t>Adjustment</t>
  </si>
  <si>
    <t>323.197.b</t>
  </si>
  <si>
    <t>Subtotal Adjustments</t>
  </si>
  <si>
    <t>Adjusted A&amp;G Expense per Line 5</t>
  </si>
  <si>
    <t>A&amp;G Expense per FF1 Input</t>
  </si>
  <si>
    <t>included in 323.(misc)</t>
  </si>
  <si>
    <t>included in 323.182,184.b</t>
  </si>
  <si>
    <t>FF1 Page</t>
  </si>
  <si>
    <t>A&amp;G Reconciliation to FF1:</t>
  </si>
  <si>
    <t>FMPA/City of Quincy</t>
  </si>
  <si>
    <t>328.1-330.1, line31</t>
  </si>
  <si>
    <t>328.1-330.1, line32</t>
  </si>
  <si>
    <t>City of Wauchula</t>
  </si>
  <si>
    <t>T6/147</t>
  </si>
  <si>
    <t>T6/148</t>
  </si>
  <si>
    <t>T6/150</t>
  </si>
  <si>
    <t>In Service Date</t>
  </si>
  <si>
    <r>
      <t xml:space="preserve">CLARCONA - Crown Point
</t>
    </r>
    <r>
      <rPr>
        <sz val="8"/>
        <rFont val="Arial"/>
        <family val="2"/>
      </rPr>
      <t>#20017130</t>
    </r>
  </si>
  <si>
    <r>
      <t xml:space="preserve">Barnum City/ Northridge
</t>
    </r>
    <r>
      <rPr>
        <sz val="8"/>
        <rFont val="Arial"/>
        <family val="2"/>
      </rPr>
      <t>#20077448</t>
    </r>
  </si>
  <si>
    <t>Total AFUDC</t>
  </si>
  <si>
    <t>Cumulative</t>
  </si>
  <si>
    <t>Total Dep Exp</t>
  </si>
  <si>
    <t>on AFUDC</t>
  </si>
  <si>
    <t>50% Recovered</t>
  </si>
  <si>
    <t>thru OATT</t>
  </si>
  <si>
    <t>in Acct 101</t>
  </si>
  <si>
    <t>Reduce by</t>
  </si>
  <si>
    <t xml:space="preserve">Remaining </t>
  </si>
  <si>
    <t xml:space="preserve">Adj needed to </t>
  </si>
  <si>
    <t>Deprec Exp</t>
  </si>
  <si>
    <t>Accum Deprec</t>
  </si>
  <si>
    <t>Deprec Expense (Acct 407) &amp; Accumulated Depreciation (Acct 108):</t>
  </si>
  <si>
    <t>Electric Plant in Service (Acct 101):</t>
  </si>
  <si>
    <t>207.58b</t>
  </si>
  <si>
    <t>207.58g</t>
  </si>
  <si>
    <t>219.25.c</t>
  </si>
  <si>
    <t>336.7.f</t>
  </si>
  <si>
    <t>Amount</t>
  </si>
  <si>
    <t>Summary</t>
  </si>
  <si>
    <t xml:space="preserve">Remove Environmental Resrv. - manufactured gas plant exps in acct 930.2 </t>
  </si>
  <si>
    <t>Remove Tax Gross-up from Service Co. for Permanent Tax Items</t>
  </si>
  <si>
    <t>OATT Contra CWIP Adjs to Reduce AFUDC Closed to Electric Plant in Service</t>
  </si>
  <si>
    <t>Less Whls</t>
  </si>
  <si>
    <t>to Acct 101 in G/L</t>
  </si>
  <si>
    <t>Portion Credited</t>
  </si>
  <si>
    <t>to EPIS</t>
  </si>
  <si>
    <t>Adj needed</t>
  </si>
  <si>
    <t>to Acct 407 in G/L</t>
  </si>
  <si>
    <t>Because the Page 2 Rate Base amounts are total system numbers, the wholesale specific loss/reserve balance is grossed up using the relationship</t>
  </si>
  <si>
    <t>between system and wholesale only transmission demands times the percent of the balance applicable to the OATT. See also Notes H and J.</t>
  </si>
  <si>
    <t>Excludes all income and gross receipts taxes.  Labor related other taxes include FICA and unemployment taxes.  Property related taxes include county</t>
  </si>
  <si>
    <t>and local property, highway use, and intangible taxes.</t>
  </si>
  <si>
    <t>The allocator "TP" is the percent of allocated gross transmission plant that is OATT related, i.e., after removal of ECC, interconnections and generator</t>
  </si>
  <si>
    <t xml:space="preserve">step-up transformer investment. </t>
  </si>
  <si>
    <t xml:space="preserve">extraordinary property losses, associated principal and interest expense are excluded in capitalization and return basis.  </t>
  </si>
  <si>
    <t>Functionalized Transmission part 182.1 Extraordinary Property Losses balance only, "WEPL-T."  Consistent with the process described in Note H above,</t>
  </si>
  <si>
    <t>the OATT-related amount of the transmission loss is then derived using the TP allocation factor</t>
  </si>
  <si>
    <t>If income tax rates change during a calendar year, the income tax rates will be pro-rated based on the number of days each income tax rate was in effect.</t>
  </si>
  <si>
    <t>Pursuant to the settlement agreement, annual amounts included in line 11 will be adjusted and reversed as necessary to ensure no overfunding of the</t>
  </si>
  <si>
    <t xml:space="preserve">wholesale reserve; i.e., the year-end reserve balance for OATT rates will not exceed the $8,614,774 shown on line 7 </t>
  </si>
  <si>
    <t>regardless of the accounting.</t>
  </si>
  <si>
    <t>Target percentages are fixed for 2008 - 2012 and were derived from projected OATT LTF billing MW-months and the MW-month equivalent  billings for STF</t>
  </si>
  <si>
    <t>Actual LTF OATT MW-Months are the sum of Lines 11 and 12 above, as reported in Form-1 for Firm Network Service for Others and  Long Term Firm</t>
  </si>
  <si>
    <t>Point-to-Point Service</t>
  </si>
  <si>
    <t>Actual STF/Non-Firm equivalent "MW-Months" are equal to monthly STF/Non-firm transmission service revenue divided by the same "Total Firm Monthly</t>
  </si>
  <si>
    <t xml:space="preserve">Trans. $/MW-Month" rate (Page 1, Line 11) from which the STF/Non-firm billing rates were derived  </t>
  </si>
  <si>
    <t>Section 2.12 of Schedule 10.3 states “The Formula Rate excludes all costs that are properly directly assigned or assignable to one or more particular</t>
  </si>
  <si>
    <t>assignable retail costs/credits booked to Account 935 and retail sales tax portion of Florida sales tax audit expense booked to Account 930.2 from Form-1</t>
  </si>
  <si>
    <t>reported value.</t>
  </si>
  <si>
    <t>The inclusion of Line 24, "Unfunded Reserves," ensures that identified "Unfunded Reserves" are appropriately excluded from rate base in the Formula Rate</t>
  </si>
  <si>
    <t>calculations.  The specific treatment of these "Unfunded Reserves" in no way precludes the Transmission Provider or interested parties from making any</t>
  </si>
  <si>
    <t>argument in any proceeding at the Commission or in any review or challenge proceeding under the Formula Rate as to the appropriate accounting or</t>
  </si>
  <si>
    <t>ratemaking treatment in the Formula Rate of any unfunded reserve.</t>
  </si>
  <si>
    <t>Template to remove the costs associated with wholesale direct assignment radials from the calculation of the OATT base rates.  A new attachment (e.g.,</t>
  </si>
  <si>
    <t>balances for gross plant and accumulated depreciation reserves separately by project.  The intent is that the accumulated depreciation reserves be</t>
  </si>
  <si>
    <t>maintained separately by customer and by project to capture the associated costs by customer and to reflect the appropriate effect of the vintage of each</t>
  </si>
  <si>
    <t>be further modified to set forth separately the costs allocated to each wholesale customer's direct assignment radials in the aggregate in separate</t>
  </si>
  <si>
    <t>columns.  Such Section 205 filing shall be made sufficiently in advance of the first occurrence of a direct assignment wholesale transmission radial to</t>
  </si>
  <si>
    <t>Balance in Account 190</t>
  </si>
  <si>
    <t>Balance in Account 281</t>
  </si>
  <si>
    <t>Balance in Account 282</t>
  </si>
  <si>
    <t>Balance in Account 283</t>
  </si>
  <si>
    <t>Total Accumulated Deferred Income Tax</t>
  </si>
  <si>
    <t>BB</t>
  </si>
  <si>
    <t>EB</t>
  </si>
  <si>
    <t>EB Adjust</t>
  </si>
  <si>
    <t>Desc</t>
  </si>
  <si>
    <t>BB Adjust</t>
  </si>
  <si>
    <t>Remove ARO in lines 15,24,34,44</t>
  </si>
  <si>
    <t>Adjust for OATT Contra CWIP</t>
  </si>
  <si>
    <t>PY</t>
  </si>
  <si>
    <r>
      <t xml:space="preserve">St. Marks Trans Sub to Dis Sub
</t>
    </r>
    <r>
      <rPr>
        <sz val="8"/>
        <rFont val="Arial"/>
        <family val="2"/>
      </rPr>
      <t>#20082836</t>
    </r>
  </si>
  <si>
    <t>328.1-330.1, line33</t>
  </si>
  <si>
    <t>328.1-330.1, line34</t>
  </si>
  <si>
    <t>328.1-330.2, line1</t>
  </si>
  <si>
    <t>Morgan Stanley Capiral Group</t>
  </si>
  <si>
    <t>Southern Company</t>
  </si>
  <si>
    <t>EDF Trading</t>
  </si>
  <si>
    <t>Exhibit DEF - 2</t>
  </si>
  <si>
    <t>Gross DEF Revenue Requirement</t>
  </si>
  <si>
    <t>Exhibit DEF - 3</t>
  </si>
  <si>
    <t>Exhibit DEF - 5</t>
  </si>
  <si>
    <t>Exhibit DEF-5A</t>
  </si>
  <si>
    <t>Exhibit DEF - 4</t>
  </si>
  <si>
    <t>To the extent DEF is authorized by the Florida Public Service Commission and issues bonds for distribution facilities to securitize retail recovery of</t>
  </si>
  <si>
    <t>Payments by DEF to an Affected System Operator pursuant to Orders 2003 or 2006 (including rehearing orders) are not to be included in the formula rate</t>
  </si>
  <si>
    <t xml:space="preserve">and non-firm transmission revenues in the September 2007 DEF financial forecast. </t>
  </si>
  <si>
    <t>customers, including costs directly assigned or assignable to DEF.”  Per Settlement of 2008 Annual Update, the amount specified excludes directly</t>
  </si>
  <si>
    <t>Should DEF construct and own radials directly assignable to wholesale customers, DEF shall make a Section 205 filing to amend its Formula Rate</t>
  </si>
  <si>
    <t>Exhibit DEF-x) shall be added to the template that sets forth the direct assignment radials by customer and by facility, showing the associated monthly</t>
  </si>
  <si>
    <t>project.  Such Exhibit DEF-x shall be structured to accommodate direct assignments to multiple wholesale customers. Exhibit DEF-2 shall be modified to</t>
  </si>
  <si>
    <t>remove the direct assignment wholesale radials from the base rate calculations in a manner consistent with retail radials, except that Exhibit DEF-2 shall</t>
  </si>
  <si>
    <t>Exhibit DEF - 5A</t>
  </si>
  <si>
    <t>Exhibit DEF - 6</t>
  </si>
  <si>
    <t>Exhibit DEF - 7</t>
  </si>
  <si>
    <t>DUKE ENERGY FLORIDA, INC.</t>
  </si>
  <si>
    <t>DUKE ENERGY FLORIDA</t>
  </si>
  <si>
    <t>Remove expense recoverable through Clauses</t>
  </si>
  <si>
    <t>Remove Integration Costs (in acct 920, 921, 923, 925, 926, 930.2, 931, 935)</t>
  </si>
  <si>
    <t>Remove Florida Rate Case Expenses (In account 930.2)</t>
  </si>
  <si>
    <t>Exelon Generation Company, LLC</t>
  </si>
  <si>
    <t>FPC Power Marketing</t>
  </si>
  <si>
    <t>Georgia Transmission Corp</t>
  </si>
  <si>
    <t>T6/156</t>
  </si>
  <si>
    <t>City of Alachua-Gainesville</t>
  </si>
  <si>
    <t>Weekly Firm/Non-Firm PTP Rate $/MW-Week</t>
  </si>
  <si>
    <t>Daily Firm/Non-Firm PTP Rates ($/MW):</t>
  </si>
  <si>
    <t>Non-Firm Hourly PTP Rates ($/MWh):</t>
  </si>
  <si>
    <t>DEF - 7, ll 1&amp;5</t>
  </si>
  <si>
    <t>DEF - 7, ll 7&amp;10</t>
  </si>
  <si>
    <t>DEF-7, line 8</t>
  </si>
  <si>
    <t>Levelized Storm Reserve Funding Rate $/MW-Month (DEF - 6, Page 2)</t>
  </si>
  <si>
    <t xml:space="preserve"> (DEF-2, Page 5, Line 4)</t>
  </si>
  <si>
    <t xml:space="preserve"> (DEF-2, Page 5, Line 7)</t>
  </si>
  <si>
    <t xml:space="preserve"> (DEF-2, Page 5, Line 8)</t>
  </si>
  <si>
    <t>Long-Term Firm PTP Reservations</t>
  </si>
  <si>
    <t>Short-Term Firm PTP Reservations</t>
  </si>
  <si>
    <t xml:space="preserve">  Less Imputed Storm Adder Ancillaries</t>
  </si>
  <si>
    <t>Remove WH Marketing Labor Costs</t>
  </si>
  <si>
    <t>Adjustment for losses for POD Service (SECI/Hardee/Vandolah)</t>
  </si>
  <si>
    <t>Adjustment for losses for POD Service (SEPA)</t>
  </si>
  <si>
    <t>Long-Term Interest Expense</t>
  </si>
  <si>
    <t>Net-Long Term Interest Expense</t>
  </si>
  <si>
    <t>Long-Term Debt</t>
  </si>
  <si>
    <r>
      <t xml:space="preserve">  Total System </t>
    </r>
    <r>
      <rPr>
        <sz val="10"/>
        <rFont val="Arial"/>
        <family val="2"/>
      </rPr>
      <t>Long-Term Firm Transmission Load</t>
    </r>
  </si>
  <si>
    <t>Note X:</t>
  </si>
  <si>
    <t xml:space="preserve">The prepayments allocable to transmission service under the Formula Rate shall exclude prepayments for service and materials under service agreements </t>
  </si>
  <si>
    <t xml:space="preserve">for the equipment replacement, or operation and maintenance, including refurbishment, of production or distribution facilities of the Company.  However, </t>
  </si>
  <si>
    <t xml:space="preserve">prepayments for such service and materials for Company-owned transmission facilities shall be allocated using the transmission plant allocator.  Remaining </t>
  </si>
  <si>
    <t>prepayments shall continue to be allocated on the basis of gross plant investment.</t>
  </si>
  <si>
    <t>34A</t>
  </si>
  <si>
    <t>34B</t>
  </si>
  <si>
    <t>34C</t>
  </si>
  <si>
    <t>34D</t>
  </si>
  <si>
    <t>Long Term Service Agreements</t>
  </si>
  <si>
    <t>Production &amp; Distribution</t>
  </si>
  <si>
    <t>111.57.c&amp;d</t>
  </si>
  <si>
    <t>Other Prepayments</t>
  </si>
  <si>
    <t xml:space="preserve">CWIP PROJECT LIST </t>
  </si>
  <si>
    <t>ER08-105 (2007)</t>
  </si>
  <si>
    <t>Nobleton Tap - Floral City Tap Rebuild</t>
  </si>
  <si>
    <t>Holder-Inverness 115 kV Line</t>
  </si>
  <si>
    <t>Holder-2nd 230/69 kV Transformer &amp; 69 kV Line</t>
  </si>
  <si>
    <t>Lecanto - 230/115 kV Substation</t>
  </si>
  <si>
    <t>Inversness - 115/69 kV Capacity Increase</t>
  </si>
  <si>
    <t>Brookridge - Hexam 115 kV Rebuild 0.12 Mile</t>
  </si>
  <si>
    <t>Hexam- Weeki Switch 115 kV Rebuild</t>
  </si>
  <si>
    <t>Brooksville West - Second Transformer</t>
  </si>
  <si>
    <t>Brooksville West - Brooksville 230 kV</t>
  </si>
  <si>
    <t>Brooksville West - Weeki Switch Line</t>
  </si>
  <si>
    <t>Zephyrhills North - New River 115 kV</t>
  </si>
  <si>
    <t>Dale Mabry - Zephyrhills North 230 kV Line</t>
  </si>
  <si>
    <t>Hudson - 3rd 230/115 kV Transformer</t>
  </si>
  <si>
    <t>Hudson - Hudson Tap 115 kV Line</t>
  </si>
  <si>
    <t>Tampa Downs Tap - New M.O.S.</t>
  </si>
  <si>
    <t>Handcart TEC - Loop TZ 69 kV</t>
  </si>
  <si>
    <t>Hudson - Heritage Pines Tap Rebuild</t>
  </si>
  <si>
    <t>Higgins - Oldsmar - Curlew Rebuild</t>
  </si>
  <si>
    <t>Largo - Taylor Avenue 69 kV Rebuild</t>
  </si>
  <si>
    <t>Ulmerton - Gateway 115 kV Rebuild</t>
  </si>
  <si>
    <t>Central Plaza - 51dt St 115 kV Rebuild</t>
  </si>
  <si>
    <t>Ulmerton - Replace 230/115 kV #3</t>
  </si>
  <si>
    <t>Ulmerton West - Replace Switch 2759</t>
  </si>
  <si>
    <t>Belleair - Largo 69 kV Rebuild</t>
  </si>
  <si>
    <t>Oakhurst - Seminole 69 kV Rebuild</t>
  </si>
  <si>
    <t>East Clearwater - Highlands Rebuild</t>
  </si>
  <si>
    <t>Northeast - Disston-230 kV &amp; Disston 230/115 kV</t>
  </si>
  <si>
    <t>Lake Tarpon - 3rd 500/230 kV Transformer</t>
  </si>
  <si>
    <t>Woodsmere, Clemont East, Avalon Area Line Rebuilds</t>
  </si>
  <si>
    <t>Rebuild Montverde-Collina Tap 69 kV Line</t>
  </si>
  <si>
    <t>Rebuild Collina Tap - Winter Garden 69 kV Line</t>
  </si>
  <si>
    <t>New "Corridor" 230/69 kV Sub</t>
  </si>
  <si>
    <t>Basinger Project</t>
  </si>
  <si>
    <t>Avon Park 230/69 kV Xfmr 1 Capacity Increase</t>
  </si>
  <si>
    <t>Second Avon Park - SunNLakes 69 kV Line</t>
  </si>
  <si>
    <t>Lockhart 230 kV 75 Mvar Capacitor Addition</t>
  </si>
  <si>
    <t>Windermere 150 MVAr 230 kV Capacitor</t>
  </si>
  <si>
    <t>Haines City East - New 230/69 kV substation</t>
  </si>
  <si>
    <t>Northridge T&amp;D Substation</t>
  </si>
  <si>
    <t>Avon Park - Ft. Meade (AF2) 115 kV conversion to 230 kV</t>
  </si>
  <si>
    <t>Lake Bryan- Wind 230 kV Ckt1 Rebuild &amp; Ckt Add</t>
  </si>
  <si>
    <t>Rebuild Windermere - Bay Hill 69 kV Line</t>
  </si>
  <si>
    <t>Rebuild Lake Bryan - Ruby 69 kV Line</t>
  </si>
  <si>
    <t>Exhibit DEF-9</t>
  </si>
  <si>
    <t>Install Meadow Woods South 336MVA Transformer</t>
  </si>
  <si>
    <t>Rebuild Pinecastle - Conway 69 kV Line</t>
  </si>
  <si>
    <t>Spring Lake 230 kV</t>
  </si>
  <si>
    <t>Rebuild Spring Lake - Keller Road 69 kV Line</t>
  </si>
  <si>
    <t>Rebuild Altamonte - Fern Park 69 kV Line</t>
  </si>
  <si>
    <t>Rebuild Altamonte 224 MVA with 336 MVA Transformer</t>
  </si>
  <si>
    <t>Rebuild West Lake Wales - Lake Wales 69 kV Lines</t>
  </si>
  <si>
    <t>Gifford - Avalon 230 kV</t>
  </si>
  <si>
    <t>Dundee to Intercession City 230 kV - Rebuild &amp; Add 2nd Circuit</t>
  </si>
  <si>
    <t>Lake Agnes (TECo) to Gifford 230 kV Tie Line</t>
  </si>
  <si>
    <t>West Lake Wales to Dundee 230 kV- Rebuild &amp; Add 2nd Circuit</t>
  </si>
  <si>
    <t>Lynne (CEC) - Permanent Capacitor Bank</t>
  </si>
  <si>
    <t>Barberville - 115/69 kV Capacity Increase</t>
  </si>
  <si>
    <t>Port St. Joe to Apalachicola New 69 kV Line</t>
  </si>
  <si>
    <t>Carrabelle to Eastpoint (JA-5&amp;6) 69 kV Rebuild - 15.84 miles</t>
  </si>
  <si>
    <t>Apalachicola to Eastpoint Double Circuit Rebuild</t>
  </si>
  <si>
    <t>Drifton to Perry (DP) 69 kV Line Rebuilds</t>
  </si>
  <si>
    <t>Bell (CFEC) - Rebuild 69 kV Line to New or Existing Tap</t>
  </si>
  <si>
    <t>Ginnie Sub- New 230/69 kV Sub and 69 kV Rebuild</t>
  </si>
  <si>
    <t>Perry-Luraville (FP-3&amp;4, 24.1mi) 69 kV Line Overload</t>
  </si>
  <si>
    <t>Fort White-Luraville (FP-1&amp;2 27.34mi) 69 kV Line Rebuild</t>
  </si>
  <si>
    <t>Central Fla - Add 3rd 500/230 kV Transformer</t>
  </si>
  <si>
    <t>Havana - Upgrade 115/69 kV Transformer</t>
  </si>
  <si>
    <t>Quincy - Upgrade 115/69 kV Transformer</t>
  </si>
  <si>
    <t>Rich Bay 230/115 kV Projects</t>
  </si>
  <si>
    <t>St. Marks - Rebuild Substation</t>
  </si>
  <si>
    <t>Loop Trenton - Old Town North Line into Wilcox 69 kV Bus</t>
  </si>
  <si>
    <t>Northeast - 32nd St 115 kV Line</t>
  </si>
  <si>
    <t>Northeast - Fortieth - Rebuild 230 kV Line</t>
  </si>
  <si>
    <t>Hines Power Block 4/Hines - West Lake Wales 230 kV Circuit 1</t>
  </si>
  <si>
    <t>Hines Power Block 5 Generations/Hines - West Lake Wales 230 kV Second Circuit</t>
  </si>
  <si>
    <t>Transmission for Levy 1 &amp; 2</t>
  </si>
  <si>
    <t>Transmission for Taylor Energy Center</t>
  </si>
  <si>
    <t>ER13-1105 (2013)</t>
  </si>
  <si>
    <t>Liberty to Jackson Bluff 69 rebuild</t>
  </si>
  <si>
    <t>Intercession City to Gifford 230kV 3000A Ckt 1</t>
  </si>
  <si>
    <t>DeLand West to Spring Garden Tap 115 and 69 kV Rebuild</t>
  </si>
  <si>
    <t>Bartow – reactor on 115kV cables</t>
  </si>
  <si>
    <t>Hudson - Golden Acres Tp - New Port Richey - 115 kV Line Rebuild</t>
  </si>
  <si>
    <t>SilvSp-Maricamp Rebuild</t>
  </si>
  <si>
    <t>Proctor Tap-Cara Tap Rebuild</t>
  </si>
  <si>
    <t>CR Retirement - Griffin Area - Limiting element Removal</t>
  </si>
  <si>
    <t>Dona Vista Sub</t>
  </si>
  <si>
    <t>Eustis-Dona Vista Line Rebuild</t>
  </si>
  <si>
    <t>Alachua Tp to Hull Road 69 kV Rebuild</t>
  </si>
  <si>
    <t>Fort White - Upgrade Banks 1 and 3</t>
  </si>
  <si>
    <t>Rebuild Jasper to Wrights Chapel to Pine Grove 115kV Tie-Line (230kV specs)</t>
  </si>
  <si>
    <t>Tallahassee to Havana rebuild as double-ckt 115 &amp; 69</t>
  </si>
  <si>
    <t>Jackson Bluff to Lake Talquin Tap 69 kV Rebuild</t>
  </si>
  <si>
    <t>Rio Pinar to FGT East - 69 kV Line Rebuild</t>
  </si>
  <si>
    <t>Avon Park to Avon Park North - 69 kV Line Rebuild</t>
  </si>
  <si>
    <t>Rebuild Bay Hill - Vineland 69 kV Line</t>
  </si>
  <si>
    <t>Rebuild Sky Lake - Pinecastle 69 kV Line</t>
  </si>
  <si>
    <t>Rebuild Rio Pinar - Narcossee 69 kV Line</t>
  </si>
  <si>
    <t>Second Intercession City 230/69 kV Xfmr</t>
  </si>
  <si>
    <t>Rebuild Intercession City - Lk Wilson 69 kV Line</t>
  </si>
  <si>
    <t>Rebuild Intc City - Barnum City 69 kV Line</t>
  </si>
  <si>
    <t>New Saw Grass 21 MVAr 69 kV Cap Bank</t>
  </si>
  <si>
    <t>Bithlo - 230/69 kV and 230 kV Loop-in</t>
  </si>
  <si>
    <t>Rio Pinar - East Orange 69 kV Line</t>
  </si>
  <si>
    <t>Orange City - 2nd 230/115 kV</t>
  </si>
  <si>
    <t>Bronson- New 230/69 kV Sub and Line Connections</t>
  </si>
  <si>
    <t>Chiefland - New 69 kV Switching Sub and Line Work</t>
  </si>
  <si>
    <t>Drifton to Perry 230 kV transmission line</t>
  </si>
  <si>
    <t>Tallahassee to Drifton 230 kV Line</t>
  </si>
  <si>
    <t>Tallahassee to Chaires 115 kV line</t>
  </si>
  <si>
    <t>Drifton Sub - Increase Size of 115 kV Capacitor Banks</t>
  </si>
  <si>
    <t>Perry -Upgrade the 100 MVA 230/69 kV XFMR</t>
  </si>
  <si>
    <t>Williston to Cara Tap 69 kV Line Rebuild</t>
  </si>
  <si>
    <t>Martin West-Reddick 69 kV Line Rebuild</t>
  </si>
  <si>
    <t>High Springs to Hull Road 69 kV Line Rebuilds (Part 1 and 2)</t>
  </si>
  <si>
    <t>High Springs to Hull Road 69 kV Line Rebuilds (Part 3)</t>
  </si>
  <si>
    <t>Dallas Substation - 230/69 kV Transformer</t>
  </si>
  <si>
    <t>Silver Springs - Ocala Tap 69 kV Rebuild</t>
  </si>
  <si>
    <t>Ross Prairie - 2nd 230/69 kV Transformer</t>
  </si>
  <si>
    <t>Groveland-Camp Lake - Rebuild 69 kV Lines</t>
  </si>
  <si>
    <t>Bushnell East 230/69 kV project</t>
  </si>
  <si>
    <t>Camp Lake- Add 2nd 230/69 kV Transformer</t>
  </si>
  <si>
    <t>Tallahassee/Oak City Tap - 2.91mi 69 kV Line Rebuild</t>
  </si>
  <si>
    <t>Atwater-Liberty - New 115 kV Line &amp; Substations</t>
  </si>
  <si>
    <t>West Leon- New 115/69 kV Sub &amp; Associated Lines</t>
  </si>
  <si>
    <t>Bartow - Northeast - (3) New 230 kV UG Cables</t>
  </si>
  <si>
    <t>Fifty First Street - Install 230/115 kV Transformer</t>
  </si>
  <si>
    <t>Deltona to Orange City ‐ New 115kV Line</t>
  </si>
  <si>
    <t>Havana to BradfordVille West ‐ 115 kV Line Rebuild, 10.53 miles, T2</t>
  </si>
  <si>
    <t>Holopaw‐Poinsett 230kV line rebuild</t>
  </si>
  <si>
    <t>Kathleen – Zephyrhills North (replaces Morgan Rd to Zephy N)</t>
  </si>
  <si>
    <t>Camp Lake ‐ Replace 168 MVA 230/69 kV Transformer</t>
  </si>
  <si>
    <t>Dallas ‐ New second 230/69 kV Transformer</t>
  </si>
  <si>
    <t>Crystal River CRCF 500 kV ‐ Limiting Elements Removal</t>
  </si>
  <si>
    <t>Perry Sub ‐ New 230/115 kV Transformer and DP 115 kV line connection</t>
  </si>
  <si>
    <t>Atwater to Quincy ‐ 115 kV Line Rebuild, 10.85 miles, T3</t>
  </si>
  <si>
    <t>Lake Wales to Crooked Lake Tap ‐ 69 kV Line Rebuild</t>
  </si>
  <si>
    <t>Citrus Center ‐ New 230/69 kV Substation</t>
  </si>
  <si>
    <t>Deland West to St. Johns Tap ‐ 69 kV Line Rebuild</t>
  </si>
  <si>
    <t>Brooksville West ‐ Loop in Brookridge to Hudson 230 kV</t>
  </si>
  <si>
    <t>Lecanto to Inverness (formerly Citrus Hills) ‐ New 115 kV line</t>
  </si>
  <si>
    <t>Dunnellon to Rainbow Springs Tap (DR) ‐ Rebuild 69 kV Line</t>
  </si>
  <si>
    <t>Brooksville to Tangerine ‐ 115 kV Line Rebuild</t>
  </si>
  <si>
    <t>Morgan Rd ‐ New 115kV Line and Sub</t>
  </si>
  <si>
    <t>Central Florida to Picciola Tap ‐ 69 kV Line Rebuild</t>
  </si>
  <si>
    <t xml:space="preserve">ER15-234 (2014) </t>
  </si>
  <si>
    <t>North Longwood to Myrtle Lake - 230 kV Line Rebuild</t>
  </si>
  <si>
    <t>North Longwood to Sylvan (FPL) - 230 kV Line Rebuild</t>
  </si>
  <si>
    <t>Debary Plant to Orange City - New 230 kV Line</t>
  </si>
  <si>
    <t>West Chapman to Winter Park East -  69 kV Line Rebuild</t>
  </si>
  <si>
    <t>Rio Pinar to Curry Ford - 230 kV Line Rebuild</t>
  </si>
  <si>
    <t>Myrtle Lake to Wekiva - 230 kV Line Rebuild</t>
  </si>
  <si>
    <t>Piedmont to Wekiva - 230 kV Line Rebuild</t>
  </si>
  <si>
    <t>Eatonville to Spring Lake - 69 kV Line Rebuild</t>
  </si>
  <si>
    <t>Avon Park to Sun-N-Lakes - Line Rebuild</t>
  </si>
  <si>
    <t>Subtotal Recoverable in A&amp;G</t>
  </si>
  <si>
    <t>This yr BB vs Last yr EB</t>
  </si>
  <si>
    <t>Adjusted to remove AFUDC accruals from CWIP projects that were included in rate base.  Qualifying CWIP excludes CWIP associated with direct</t>
  </si>
  <si>
    <t>0920100</t>
  </si>
  <si>
    <t>0921800</t>
  </si>
  <si>
    <t>0923100</t>
  </si>
  <si>
    <t>0926900</t>
  </si>
  <si>
    <t>Hines 4</t>
  </si>
  <si>
    <t>Hines 3</t>
  </si>
  <si>
    <t>Prepayments - LTSA Production</t>
  </si>
  <si>
    <t>Prepayments - LTSA Transmission</t>
  </si>
  <si>
    <t>Prepayments - Other</t>
  </si>
  <si>
    <t>Used for Check, not rolled forward</t>
  </si>
  <si>
    <t>n/a 2014 reclassed to 426</t>
  </si>
  <si>
    <t>n/a 2014 in Svc Co, no DEF</t>
  </si>
  <si>
    <t>ROE-Using 10.8% until Settlement Approved, adjust in 2014 T/U</t>
  </si>
  <si>
    <t>Federal Income Tax Rate</t>
  </si>
  <si>
    <t>Florida State Income Tax Rate</t>
  </si>
  <si>
    <t>Tax Dept</t>
  </si>
  <si>
    <t>Union Hall - Dade City 69 kV Rebuild</t>
  </si>
  <si>
    <t>BP</t>
  </si>
  <si>
    <t>n/a</t>
  </si>
  <si>
    <t>Calpine Energy Services (STF)</t>
  </si>
  <si>
    <t>Covanta</t>
  </si>
  <si>
    <t>NRG</t>
  </si>
  <si>
    <t>T6/11</t>
  </si>
  <si>
    <t>LTF</t>
  </si>
  <si>
    <t>Tampa Electric Company - Vand</t>
  </si>
  <si>
    <t>Tampa Electric Company - Wauchula</t>
  </si>
  <si>
    <t>T6/98</t>
  </si>
  <si>
    <t>T6/75C</t>
  </si>
  <si>
    <t>328.2-330.2, line2</t>
  </si>
  <si>
    <t>328.2-330.2, line3</t>
  </si>
  <si>
    <t>328.2-330.2, line4</t>
  </si>
  <si>
    <t>328.2-330.2, line5</t>
  </si>
  <si>
    <t>328.2-330.2, line6</t>
  </si>
  <si>
    <t>328.2-330.2, line7</t>
  </si>
  <si>
    <t>328.2-330.2, line8</t>
  </si>
  <si>
    <t>328.2-330.2, line9</t>
  </si>
  <si>
    <t>328.2-330.2, line10</t>
  </si>
  <si>
    <t>Verticle Bridge Line &amp; Pole Attachments</t>
  </si>
  <si>
    <t>Adjusted per terms of 2012 settlement, Account 0228101 from BS</t>
  </si>
  <si>
    <t>Remove Intercompany Moneypool Account 0430216</t>
  </si>
  <si>
    <t>Remove WH Marketing Costs</t>
  </si>
  <si>
    <t>Other Inputs to Formula</t>
  </si>
  <si>
    <t>OTHER</t>
  </si>
  <si>
    <t>Medical/Dental Life, Health &amp; Life loading, LTD</t>
  </si>
  <si>
    <t>Labor</t>
  </si>
  <si>
    <t>Tie to Financials</t>
  </si>
  <si>
    <t>Include All Transmission Related</t>
  </si>
  <si>
    <t>Adjustment for OATT Contra CWIP Depreciation for CY</t>
  </si>
  <si>
    <t>Remove ARO</t>
  </si>
  <si>
    <t>Acct 0128501-Funded Wholesale OPEBs</t>
  </si>
  <si>
    <t>0228314</t>
  </si>
  <si>
    <t>0228324</t>
  </si>
  <si>
    <t>0228250</t>
  </si>
  <si>
    <t>0228201</t>
  </si>
  <si>
    <t>0228480</t>
  </si>
  <si>
    <t>See Prepaid analysis</t>
  </si>
  <si>
    <t>Remove Integration Costs</t>
  </si>
  <si>
    <t>Balance Sheet</t>
  </si>
  <si>
    <t>Remove Service Company Legal Fees - Items not allocable to FL</t>
  </si>
  <si>
    <t>n/a amortized in 2013</t>
  </si>
  <si>
    <t>Remove CR3 Costs in A&amp;G</t>
  </si>
  <si>
    <t>Remove Integration, DEBS Legal Costs &amp; CR3</t>
  </si>
  <si>
    <t>Remove CR3 Costs</t>
  </si>
  <si>
    <t>Adjust Capital Lease</t>
  </si>
  <si>
    <t>Adjust for OATT Contra CWIP (adjusted in source cell)</t>
  </si>
  <si>
    <t>Other Experimental &amp; Gen Research Exp</t>
  </si>
  <si>
    <t>Adj from 930</t>
  </si>
  <si>
    <t>335.3.b</t>
  </si>
  <si>
    <t>Remove Experimental &amp; General Research Expenses (in 930.2)</t>
  </si>
  <si>
    <t>permit the requisite modifications to the Formula Rate Template to become effective with the in-service date of the associated facility.</t>
  </si>
  <si>
    <t>Remove ARO &amp; B/U ECC</t>
  </si>
  <si>
    <t>Remove Back Up ECC</t>
  </si>
  <si>
    <r>
      <t xml:space="preserve">Crawfordsville Sub Transformer
</t>
    </r>
    <r>
      <rPr>
        <sz val="8"/>
        <rFont val="Arial"/>
        <family val="2"/>
      </rPr>
      <t>#20082850</t>
    </r>
  </si>
  <si>
    <t>Remove ARO, Adj Cap Lease &amp; BU ECC</t>
  </si>
  <si>
    <t>Remove Integration Costs &amp; Backup ECC</t>
  </si>
  <si>
    <t>Crawfordsville sub Tx</t>
  </si>
  <si>
    <t>Excluded the Prod LTSA last year, this year in w/ 0 allocation</t>
  </si>
  <si>
    <t>204&amp;205</t>
  </si>
  <si>
    <t>206&amp;207</t>
  </si>
  <si>
    <t>266&amp;267</t>
  </si>
  <si>
    <t>272&amp;273</t>
  </si>
  <si>
    <t>274&amp;275</t>
  </si>
  <si>
    <t>267&amp;277</t>
  </si>
  <si>
    <t>Wholesale Storm Reserve Funding</t>
  </si>
  <si>
    <t>Explanatory Notes</t>
  </si>
  <si>
    <t>Beginning balance excludes $0 and ending balance excludes $0 for prepaid pensions from Form-1 A/C 165 balances.</t>
  </si>
  <si>
    <t>assignment radials.  The actual projects are listed on DEF-9.  See also Schedules 10-A.3 § 2.2 and Schedule 10.A.4.</t>
  </si>
  <si>
    <t>Exhibit DEF-8</t>
  </si>
  <si>
    <t>Page 1 of 8</t>
  </si>
  <si>
    <t>Transmission Rate Formula Support – Depreciation Rates</t>
  </si>
  <si>
    <t>The rates in the table below are those used in the calculation of depreciation expense and associated
 accumulated depreciation reserve amounts in the FERC Form 1 and reported and utilized on Exhibit DEF-2.</t>
  </si>
  <si>
    <t>Depreciation and Amortization Rates by FERC Account</t>
  </si>
  <si>
    <t>Florida PSC Approved Rate*</t>
  </si>
  <si>
    <t>STEAM PRODUCTION</t>
  </si>
  <si>
    <t>Anclote Steam</t>
  </si>
  <si>
    <t>311 Structures and Improvements</t>
  </si>
  <si>
    <t>312 Boiler Plant Equipment</t>
  </si>
  <si>
    <t>314 Turbogenerator Units</t>
  </si>
  <si>
    <t>315 Accessory Electric Equipment</t>
  </si>
  <si>
    <t>316 Misc. Power Plant Equipment</t>
  </si>
  <si>
    <t>Crystal River 1 &amp; 2 Steam</t>
  </si>
  <si>
    <t>Crystal River 4 &amp; 5 Steam</t>
  </si>
  <si>
    <t>Suwannee River Steam</t>
  </si>
  <si>
    <t>Page 2 of 8</t>
  </si>
  <si>
    <t>Bartow/Ancl. Pipeline</t>
  </si>
  <si>
    <t>Other Steam Production</t>
  </si>
  <si>
    <t>NUCLEAR PRODUCTION</t>
  </si>
  <si>
    <t xml:space="preserve">Crystal River #3 </t>
  </si>
  <si>
    <t>321 Structures and Improvements</t>
  </si>
  <si>
    <t>322 Reactor Plant Equipment</t>
  </si>
  <si>
    <t>323 Turbogenerator Units</t>
  </si>
  <si>
    <t>324 Accessory Electric Equipment</t>
  </si>
  <si>
    <t>325 Misc. Power Plant Equipment</t>
  </si>
  <si>
    <t>OTHER PRODUCTION</t>
  </si>
  <si>
    <t>Avon Park Peaking</t>
  </si>
  <si>
    <t>341 Structures and Improvements</t>
  </si>
  <si>
    <t>342 Fuel Holders, Prod. and Accessories</t>
  </si>
  <si>
    <t>343 Prime Movers</t>
  </si>
  <si>
    <t>344 Generators</t>
  </si>
  <si>
    <t>345 Accessory Electric Equipment</t>
  </si>
  <si>
    <t>346 Misc. Power Plant Equipment</t>
  </si>
  <si>
    <t>Bartow Peaking</t>
  </si>
  <si>
    <t>Page 3 of 8</t>
  </si>
  <si>
    <t>Bartow Combined Cycle</t>
  </si>
  <si>
    <t>Bayboro Peaking</t>
  </si>
  <si>
    <t>Debary Peaking</t>
  </si>
  <si>
    <t>Debary Peaking P7-10 (New)</t>
  </si>
  <si>
    <t>Higgins Peaking</t>
  </si>
  <si>
    <t>Page 4 of 8</t>
  </si>
  <si>
    <t>Hines Energy Complex</t>
  </si>
  <si>
    <t>Hines Energy Complex Unit # 2</t>
  </si>
  <si>
    <t>Hines Energy Complex Unit # 3</t>
  </si>
  <si>
    <t>Hines Energy Complex Unit # 4</t>
  </si>
  <si>
    <t>Page 5 of 8</t>
  </si>
  <si>
    <t>Intercession City Peak # 11</t>
  </si>
  <si>
    <t>Intercession City Peak P1-P6</t>
  </si>
  <si>
    <t>Intercession City Peak P12-P14</t>
  </si>
  <si>
    <t>Intercession City Peak P7-P10</t>
  </si>
  <si>
    <t>Page 6 of 8</t>
  </si>
  <si>
    <t>Rio Pinar Peaking</t>
  </si>
  <si>
    <t>Suwannee River Peaking</t>
  </si>
  <si>
    <t>Tiger Bay Cogen</t>
  </si>
  <si>
    <t>Turner Peaking</t>
  </si>
  <si>
    <t>University of Fla Cogen</t>
  </si>
  <si>
    <t>Page 7 of 8</t>
  </si>
  <si>
    <t>System-Other</t>
  </si>
  <si>
    <t>DISTRIBUTION PLANT</t>
  </si>
  <si>
    <t>360.10 Land Rights</t>
  </si>
  <si>
    <t>361.00 Structures and Improvements</t>
  </si>
  <si>
    <t>362.00 Station Equipment</t>
  </si>
  <si>
    <t>364.00 Poles, Towers and Fixtures</t>
  </si>
  <si>
    <t>365.00 Overhead Conductors and Devices</t>
  </si>
  <si>
    <t>366.00 Underground Conduit</t>
  </si>
  <si>
    <t>367.00 Underground Conductors and Devices</t>
  </si>
  <si>
    <t>368.00 Line Transformers</t>
  </si>
  <si>
    <t>369.10 Services-Overhead</t>
  </si>
  <si>
    <t>369.20 Services-Underground</t>
  </si>
  <si>
    <t>370.00 Meters</t>
  </si>
  <si>
    <t>371.00 Installation on Customers Premises</t>
  </si>
  <si>
    <t>373.00 Street Lighting and Signal Systems</t>
  </si>
  <si>
    <t>TRANSMISSION PLANT</t>
  </si>
  <si>
    <t>350.10 Land Rights</t>
  </si>
  <si>
    <t>352.00 Structures and Improvements</t>
  </si>
  <si>
    <t>353.10 Station Equipment</t>
  </si>
  <si>
    <t>353.20 Station Equipment-Station Control</t>
  </si>
  <si>
    <t>354.00 Towers and Fixtures</t>
  </si>
  <si>
    <t>355.00 Poles and Fixtures</t>
  </si>
  <si>
    <t>356.00 Overhead Conductors and Devices</t>
  </si>
  <si>
    <t>357.00 Underground Conduit</t>
  </si>
  <si>
    <t>358.00 Underground Conductors &amp; Devices</t>
  </si>
  <si>
    <t>359.00 Roads and Trails</t>
  </si>
  <si>
    <t>390.00 Structures and Improvements</t>
  </si>
  <si>
    <t>391.00 Office Furniture and Equipment</t>
  </si>
  <si>
    <t>Page 8 of 8</t>
  </si>
  <si>
    <t>Transportation Equipment</t>
  </si>
  <si>
    <t>392.10 Passenger Cars</t>
  </si>
  <si>
    <t>392.20 Light Trucks</t>
  </si>
  <si>
    <t>392.30 Heavy Trucks</t>
  </si>
  <si>
    <t>392.40 Special Trucks</t>
  </si>
  <si>
    <t>392.50 Trailers</t>
  </si>
  <si>
    <t>393.00 Stores Equipment</t>
  </si>
  <si>
    <t>394.00 Tools, Shop and Garage Equipment</t>
  </si>
  <si>
    <t>395.00 Laboratory Equipment</t>
  </si>
  <si>
    <t>396.00 Power Operated Equipment</t>
  </si>
  <si>
    <t>397.00 Communication Equipment</t>
  </si>
  <si>
    <t>398.00 Miscellaneous Equipment</t>
  </si>
  <si>
    <t>302.00 Franchise Costs</t>
  </si>
  <si>
    <t>303.00 Intangible Plant</t>
  </si>
  <si>
    <t>303.00 Misc Intangible Plant</t>
  </si>
  <si>
    <t>303.10 Customer Service System (CSS)</t>
  </si>
  <si>
    <t>* All rates are those approved in the FPSC ORDER NO. PSC-10-0131-FOF-EI, DOCKET NOS. 090079-EI, 090144-EI, 090145-EI, with the exception of Intangible Plant which was not addressed in the 2009 Rate Case.</t>
  </si>
  <si>
    <t>Consistent with Section 1(h)(i) of Schedule 10-A.1 Formula Rate Implementation Protocols, the depreciation rates are not subject to change except pursuant to a Section 205 or 206 filing under the Federal Power Act.</t>
  </si>
  <si>
    <t>Accumulated Provision for Uncollect Accounts FPC</t>
  </si>
  <si>
    <t>Accumulated Provision for Uncollect Accounts-Non Elec</t>
  </si>
  <si>
    <t>Accumulated Provision for Uncollect Accounts-Whlsl</t>
  </si>
  <si>
    <t>Inventory Reserve</t>
  </si>
  <si>
    <t>CR3 M&amp;S Inventory/Prepayments</t>
  </si>
  <si>
    <t>Interest On Income Tax Deficiency</t>
  </si>
  <si>
    <t>Curr &amp; Accr Liab - FPC LTD</t>
  </si>
  <si>
    <t>Curr &amp; Accr Liab - Severance</t>
  </si>
  <si>
    <t>Curr &amp; Accr Liab Workers Comp</t>
  </si>
  <si>
    <t>FPC LT Diability Plan</t>
  </si>
  <si>
    <t>IRU Indemnification - ST</t>
  </si>
  <si>
    <t>Accrued Bonuses</t>
  </si>
  <si>
    <t>Emission Allowances</t>
  </si>
  <si>
    <t>Unbilled Revenue - Service Charge /Equip Rent</t>
  </si>
  <si>
    <t>Unbilled Revenue - Recovery Clauses</t>
  </si>
  <si>
    <t>Accrued Vacation Pay</t>
  </si>
  <si>
    <t>Sales Tax Reserve - Audit reserves</t>
  </si>
  <si>
    <t>State Net Operating Loss</t>
  </si>
  <si>
    <t xml:space="preserve">State Income Tax </t>
  </si>
  <si>
    <t>Federal Net Operating Loss</t>
  </si>
  <si>
    <t>Charitable Contribution Carryover</t>
  </si>
  <si>
    <t>Regulatory Liability - Fuel</t>
  </si>
  <si>
    <t xml:space="preserve">Retail Unfunded - Storm Damage </t>
  </si>
  <si>
    <t>Workman's Comp Reserve</t>
  </si>
  <si>
    <t>Claims Reserve</t>
  </si>
  <si>
    <t>Supplemental Executive Retirement Plan</t>
  </si>
  <si>
    <t>2000 Class Deferred Compensation</t>
  </si>
  <si>
    <t>Perferred  Shared Sub Plan</t>
  </si>
  <si>
    <t>Environmental Cleanup Reserve</t>
  </si>
  <si>
    <t>Mngmnt Incntv Award Deferred Comp</t>
  </si>
  <si>
    <t>IRU Indemnification - LT</t>
  </si>
  <si>
    <t>Reg Liab Nuc Decom Trust Ureal Gains</t>
  </si>
  <si>
    <t>Wholesale QF Energy</t>
  </si>
  <si>
    <t>Regulatory Liability FAS 109</t>
  </si>
  <si>
    <t>Unamortized Investment Tax Credit</t>
  </si>
  <si>
    <t>Federal Credits</t>
  </si>
  <si>
    <t xml:space="preserve">Interest Rate Hedge </t>
  </si>
  <si>
    <t>Pension</t>
  </si>
  <si>
    <t>2009 Pension Regulatory Asset</t>
  </si>
  <si>
    <t>Regulatory Liability Asbestos SFAS 143</t>
  </si>
  <si>
    <t>Derivative Asset/Liabilities</t>
  </si>
  <si>
    <t>Health &amp; Life Loading</t>
  </si>
  <si>
    <t>Medical/Dental Life</t>
  </si>
  <si>
    <t>Bargaining Unit Dental Reserve</t>
  </si>
  <si>
    <t>Cur &amp; Accr Liab Medi/Detl Ins Act</t>
  </si>
  <si>
    <t>Funded Med/Life Res Post Emp</t>
  </si>
  <si>
    <t>Med/Life Res Post Emp Retail</t>
  </si>
  <si>
    <t>Med/Life Res PostEmp Whls</t>
  </si>
  <si>
    <t>OPEB Contributions to Whsl Fund</t>
  </si>
  <si>
    <t>Accrued Liability ARO</t>
  </si>
  <si>
    <t>Imputed Interest Income-City of Zephryhills loan</t>
  </si>
  <si>
    <t>Wholesale Storm Reserve</t>
  </si>
  <si>
    <t>CR3 Joint Owner Indemnification Reserve</t>
  </si>
  <si>
    <t>Rabbi Trust</t>
  </si>
  <si>
    <t>Asset Retirement Obligation offset to FERC 282</t>
  </si>
  <si>
    <t>Tie in to Financials</t>
  </si>
  <si>
    <t>Electric Plant - Pollution Control</t>
  </si>
  <si>
    <t>Electric Plant - Utility</t>
  </si>
  <si>
    <t>Electric Plant -Nuclear Cost Recovery</t>
  </si>
  <si>
    <t>Asset Retirement Obligation reclass offset to FERC 190</t>
  </si>
  <si>
    <t>Electric Plant-Nuc Decommissioning</t>
  </si>
  <si>
    <t>Deferred Depreciation - Nuclear</t>
  </si>
  <si>
    <t>Reg Asset - Cost of Removal &amp; Depreciation</t>
  </si>
  <si>
    <t>Tie to Balance Sheet</t>
  </si>
  <si>
    <t>Derivative Asset/Liability - PEF - MTM Oil</t>
  </si>
  <si>
    <t>Recovery Clause -  Nuclear</t>
  </si>
  <si>
    <t>Recovery Clause - Fuel</t>
  </si>
  <si>
    <t>Recovery Clause - Capacity</t>
  </si>
  <si>
    <t>Nuclear Decommissioning Unrealized Gains/Losses</t>
  </si>
  <si>
    <t>Reg Asset - Derivative MTM</t>
  </si>
  <si>
    <t>Reg Asset - Minimum Pension Liab</t>
  </si>
  <si>
    <t>Regulatory Asset - CR3 Rate Base</t>
  </si>
  <si>
    <t>Deferred GPIF Asset</t>
  </si>
  <si>
    <t>Accrued ECRC  - Deferred Expense Bk</t>
  </si>
  <si>
    <t>Proceeds from Auctioned SO2 Allowances</t>
  </si>
  <si>
    <t>Amort Loss Reacquired Debt</t>
  </si>
  <si>
    <t>Regulatory Asset FAS 109</t>
  </si>
  <si>
    <t>Deferred Storm Cost -Wholesale</t>
  </si>
  <si>
    <t>FAS 143 ARO Liability - LandFill</t>
  </si>
  <si>
    <t>FAS 143 - NUC DECOM</t>
  </si>
  <si>
    <t>Regulatory Asset Asbestos</t>
  </si>
  <si>
    <t>Investments</t>
  </si>
  <si>
    <t>Deferred Rate Case Expense</t>
  </si>
  <si>
    <t>CR3 PS&amp;I Fukishima and Nuclear Fire Protection</t>
  </si>
  <si>
    <t xml:space="preserve">Provision for Misc A/R Billing Uncollectibles </t>
  </si>
  <si>
    <t>Impairment CR-3</t>
  </si>
  <si>
    <t xml:space="preserve">Electric Plant - Utility </t>
  </si>
  <si>
    <t>REG ASSET - DERIV MTM OIL (LT)</t>
  </si>
  <si>
    <t>Interest Rate Swap -Reg. Asset</t>
  </si>
  <si>
    <t>Legal Reserve - Levy</t>
  </si>
  <si>
    <t>SCHM EXE Cash Bal. Plan</t>
  </si>
  <si>
    <t xml:space="preserve">Retirement Plan Funding - Underfunded </t>
  </si>
  <si>
    <t>Accrual NQ Pension ST</t>
  </si>
  <si>
    <t>Payable 401 K Incentive Match</t>
  </si>
  <si>
    <t xml:space="preserve">Receivable from the Nuclear decommissioning trust </t>
  </si>
  <si>
    <t>Other Tax Reserves</t>
  </si>
  <si>
    <t>Non-Qualified Fund MTM Earnings</t>
  </si>
  <si>
    <t>Regulatory Asset - Grantor Trust</t>
  </si>
  <si>
    <t>Reg Asset - Pension Post Retirement</t>
  </si>
  <si>
    <t>Reg Asset - Accr Pension FAS158 - FAS87NQ</t>
  </si>
  <si>
    <t>Reg Asset-Pension Post Retirement PAA-FAS 106 and Oth</t>
  </si>
  <si>
    <t>Regulatory Asset - Deferred Plant Costs</t>
  </si>
  <si>
    <t>Current Portion of Reg Asset Levy WEC Lawsuit</t>
  </si>
  <si>
    <t>Retirement Plan Expense - Overfunded</t>
  </si>
  <si>
    <t>BK 5</t>
  </si>
  <si>
    <t>Peaker #1,3</t>
  </si>
  <si>
    <t>BK 6</t>
  </si>
  <si>
    <t>Peaker #2,4</t>
  </si>
  <si>
    <t>Peaker #1</t>
  </si>
  <si>
    <t>Peaker #1,2</t>
  </si>
  <si>
    <t>Peaker #3</t>
  </si>
  <si>
    <t>ST1S</t>
  </si>
  <si>
    <t>CT1A</t>
  </si>
  <si>
    <t>CT1B</t>
  </si>
  <si>
    <t>CT1C</t>
  </si>
  <si>
    <t>CT1D</t>
  </si>
  <si>
    <t>BK 4</t>
  </si>
  <si>
    <t>Peaker #3,4</t>
  </si>
  <si>
    <t>Spare</t>
  </si>
  <si>
    <t>BK 1</t>
  </si>
  <si>
    <t>Unit #1</t>
  </si>
  <si>
    <t>BK 2</t>
  </si>
  <si>
    <t>Unit #2</t>
  </si>
  <si>
    <t>BK 3</t>
  </si>
  <si>
    <t>Unit #3</t>
  </si>
  <si>
    <t>BK 7</t>
  </si>
  <si>
    <t>Peaker #5,6</t>
  </si>
  <si>
    <t>BK 8</t>
  </si>
  <si>
    <t>Peaker #7</t>
  </si>
  <si>
    <t>BK 9</t>
  </si>
  <si>
    <t>Peaker #9</t>
  </si>
  <si>
    <t>BK 10</t>
  </si>
  <si>
    <t>Peaker #8</t>
  </si>
  <si>
    <t>BK 11</t>
  </si>
  <si>
    <t>Peaker #10</t>
  </si>
  <si>
    <t>Peaker #12-14</t>
  </si>
  <si>
    <t>BK 12</t>
  </si>
  <si>
    <t>Peaker #11</t>
  </si>
  <si>
    <t>BK 1b</t>
  </si>
  <si>
    <t>Unit #4</t>
  </si>
  <si>
    <t>Unit #5</t>
  </si>
  <si>
    <t>Peaker #4,6</t>
  </si>
  <si>
    <t>Peaker #3,5</t>
  </si>
  <si>
    <t>ST2S</t>
  </si>
  <si>
    <t>CT2A</t>
  </si>
  <si>
    <t>CT2B</t>
  </si>
  <si>
    <t>ST3S</t>
  </si>
  <si>
    <t>CT3A</t>
  </si>
  <si>
    <t>CT3B</t>
  </si>
  <si>
    <t>All</t>
  </si>
  <si>
    <t>CT1</t>
  </si>
  <si>
    <t>ST1</t>
  </si>
  <si>
    <t>CT's</t>
  </si>
  <si>
    <t>CC's</t>
  </si>
  <si>
    <t>Interim Rate Change Effective August 1, 2015 based on ROE Settlement filed July 21, 2015, includes ROE and PBOP 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</si>
</sst>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;\(0.00000\)"/>
    <numFmt numFmtId="165" formatCode="#,##0.00000_);\(#,##0.00000\)"/>
    <numFmt numFmtId="166" formatCode="#,##0.000_);\(#,##0.000\)"/>
    <numFmt numFmtId="167" formatCode="0.0%"/>
    <numFmt numFmtId="168" formatCode="0%_);\(0%\)"/>
    <numFmt numFmtId="169" formatCode="_(&quot;$&quot;* #,##0_);_(&quot;$&quot;* \(#,##0\);_(&quot;$&quot;* &quot;-&quot;??_);_(@_)"/>
    <numFmt numFmtId="170" formatCode="_(* #,##0_);_(* \(#,##0\);_(* &quot;-&quot;??_);_(@_)"/>
    <numFmt numFmtId="171" formatCode="General_)"/>
    <numFmt numFmtId="172" formatCode="_(* #,##0.00000_);_(* \(#,##0.00000\);_(* &quot;-&quot;??_);_(@_)"/>
    <numFmt numFmtId="173" formatCode="0.000000000_);\(0.000000000\)"/>
    <numFmt numFmtId="174" formatCode="#,##0.0000000000_);\(#,##0.0000000000\)"/>
    <numFmt numFmtId="175" formatCode="0.0000"/>
    <numFmt numFmtId="176" formatCode="_(* #,##0.0_);_(* \(#,##0.0\);_(* &quot;-&quot;??_);_(@_)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ahoma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color theme="9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u/>
      <sz val="8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8" fillId="0" borderId="0" applyNumberFormat="0"/>
    <xf numFmtId="43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0" fontId="19" fillId="2" borderId="0">
      <alignment horizontal="right"/>
    </xf>
    <xf numFmtId="14" fontId="4" fillId="3" borderId="1">
      <alignment horizontal="center" vertical="center" wrapText="1"/>
    </xf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1" fillId="0" borderId="1">
      <alignment horizontal="center"/>
    </xf>
    <xf numFmtId="3" fontId="22" fillId="0" borderId="0" applyFill="0" applyBorder="0" applyAlignment="0" applyProtection="0"/>
    <xf numFmtId="0" fontId="20" fillId="4" borderId="0" applyNumberFormat="0" applyFont="0" applyBorder="0" applyAlignment="0" applyProtection="0"/>
    <xf numFmtId="39" fontId="23" fillId="0" borderId="0"/>
    <xf numFmtId="0" fontId="3" fillId="0" borderId="0" applyNumberFormat="0" applyFill="0" applyBorder="0" applyAlignment="0" applyProtection="0"/>
    <xf numFmtId="0" fontId="24" fillId="0" borderId="0" applyFill="0" applyBorder="0" applyProtection="0">
      <alignment horizontal="left" vertical="top"/>
    </xf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40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73">
    <xf numFmtId="0" fontId="0" fillId="0" borderId="0" xfId="0"/>
    <xf numFmtId="37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7" fontId="0" fillId="0" borderId="2" xfId="0" applyNumberFormat="1" applyBorder="1"/>
    <xf numFmtId="37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center"/>
    </xf>
    <xf numFmtId="37" fontId="0" fillId="0" borderId="0" xfId="0" applyNumberFormat="1" applyAlignment="1">
      <alignment horizontal="right"/>
    </xf>
    <xf numFmtId="37" fontId="0" fillId="0" borderId="0" xfId="0" applyNumberForma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center" vertical="center"/>
    </xf>
    <xf numFmtId="37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5" fillId="0" borderId="0" xfId="0" applyNumberFormat="1" applyFont="1"/>
    <xf numFmtId="37" fontId="9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37" fontId="0" fillId="0" borderId="0" xfId="0" applyNumberFormat="1" applyAlignment="1">
      <alignment horizontal="right" vertical="center"/>
    </xf>
    <xf numFmtId="0" fontId="13" fillId="0" borderId="0" xfId="0" applyFont="1" applyAlignment="1">
      <alignment horizontal="left"/>
    </xf>
    <xf numFmtId="37" fontId="3" fillId="0" borderId="0" xfId="0" applyNumberFormat="1" applyFont="1"/>
    <xf numFmtId="0" fontId="13" fillId="0" borderId="0" xfId="0" applyFont="1"/>
    <xf numFmtId="0" fontId="1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quotePrefix="1" applyFont="1"/>
    <xf numFmtId="0" fontId="0" fillId="0" borderId="0" xfId="0" applyFill="1"/>
    <xf numFmtId="0" fontId="5" fillId="0" borderId="0" xfId="0" applyFont="1" applyFill="1" applyAlignment="1">
      <alignment horizontal="left" vertical="center"/>
    </xf>
    <xf numFmtId="37" fontId="0" fillId="0" borderId="0" xfId="0" applyNumberFormat="1" applyFill="1"/>
    <xf numFmtId="164" fontId="0" fillId="0" borderId="0" xfId="0" applyNumberFormat="1" applyFill="1"/>
    <xf numFmtId="0" fontId="16" fillId="0" borderId="0" xfId="0" applyFont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left"/>
    </xf>
    <xf numFmtId="0" fontId="4" fillId="0" borderId="0" xfId="0" applyFont="1" applyAlignment="1">
      <alignment horizontal="center" wrapText="1"/>
    </xf>
    <xf numFmtId="37" fontId="3" fillId="0" borderId="0" xfId="0" applyNumberFormat="1" applyFont="1" applyFill="1"/>
    <xf numFmtId="44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right"/>
    </xf>
    <xf numFmtId="37" fontId="0" fillId="0" borderId="2" xfId="0" applyNumberFormat="1" applyFill="1" applyBorder="1"/>
    <xf numFmtId="165" fontId="0" fillId="0" borderId="0" xfId="0" applyNumberForma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0" fontId="0" fillId="0" borderId="0" xfId="0" applyNumberFormat="1" applyFill="1"/>
    <xf numFmtId="10" fontId="4" fillId="0" borderId="0" xfId="0" applyNumberFormat="1" applyFont="1" applyFill="1"/>
    <xf numFmtId="0" fontId="0" fillId="0" borderId="0" xfId="0" applyFill="1" applyAlignment="1">
      <alignment horizontal="center" vertical="center"/>
    </xf>
    <xf numFmtId="37" fontId="0" fillId="0" borderId="0" xfId="0" applyNumberFormat="1" applyFill="1" applyAlignment="1">
      <alignment horizontal="center" vertical="center"/>
    </xf>
    <xf numFmtId="3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/>
    </xf>
    <xf numFmtId="0" fontId="26" fillId="0" borderId="0" xfId="0" applyFont="1" applyFill="1"/>
    <xf numFmtId="0" fontId="3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37" fontId="0" fillId="0" borderId="0" xfId="0" applyNumberFormat="1" applyFill="1" applyAlignment="1">
      <alignment horizontal="left"/>
    </xf>
    <xf numFmtId="37" fontId="17" fillId="0" borderId="0" xfId="0" applyNumberFormat="1" applyFont="1" applyFill="1"/>
    <xf numFmtId="37" fontId="25" fillId="0" borderId="0" xfId="0" applyNumberFormat="1" applyFont="1" applyFill="1"/>
    <xf numFmtId="37" fontId="16" fillId="0" borderId="0" xfId="0" applyNumberFormat="1" applyFont="1" applyFill="1"/>
    <xf numFmtId="37" fontId="4" fillId="0" borderId="0" xfId="0" applyNumberFormat="1" applyFont="1" applyFill="1" applyAlignment="1">
      <alignment horizontal="center" vertical="center"/>
    </xf>
    <xf numFmtId="37" fontId="17" fillId="0" borderId="0" xfId="0" applyNumberFormat="1" applyFont="1" applyFill="1" applyAlignment="1">
      <alignment horizontal="center"/>
    </xf>
    <xf numFmtId="37" fontId="0" fillId="0" borderId="0" xfId="0" applyNumberFormat="1" applyFill="1" applyAlignment="1">
      <alignment horizontal="center"/>
    </xf>
    <xf numFmtId="37" fontId="17" fillId="0" borderId="6" xfId="0" applyNumberFormat="1" applyFont="1" applyFill="1" applyBorder="1"/>
    <xf numFmtId="37" fontId="17" fillId="0" borderId="0" xfId="0" applyNumberFormat="1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39" fontId="0" fillId="0" borderId="0" xfId="0" applyNumberFormat="1" applyFill="1"/>
    <xf numFmtId="0" fontId="0" fillId="0" borderId="0" xfId="0" applyFill="1" applyAlignment="1">
      <alignment horizontal="left" vertical="center"/>
    </xf>
    <xf numFmtId="39" fontId="0" fillId="0" borderId="0" xfId="0" applyNumberFormat="1" applyFill="1" applyAlignment="1">
      <alignment vertical="center"/>
    </xf>
    <xf numFmtId="37" fontId="0" fillId="0" borderId="0" xfId="0" applyNumberFormat="1" applyFill="1" applyBorder="1"/>
    <xf numFmtId="37" fontId="0" fillId="0" borderId="7" xfId="0" applyNumberFormat="1" applyFill="1" applyBorder="1"/>
    <xf numFmtId="37" fontId="25" fillId="0" borderId="0" xfId="0" applyNumberFormat="1" applyFont="1" applyFill="1" applyAlignment="1">
      <alignment horizontal="center"/>
    </xf>
    <xf numFmtId="38" fontId="0" fillId="0" borderId="0" xfId="0" applyNumberFormat="1" applyFill="1"/>
    <xf numFmtId="0" fontId="27" fillId="0" borderId="0" xfId="0" applyFont="1"/>
    <xf numFmtId="37" fontId="4" fillId="0" borderId="2" xfId="0" applyNumberFormat="1" applyFont="1" applyFill="1" applyBorder="1"/>
    <xf numFmtId="37" fontId="4" fillId="0" borderId="0" xfId="0" applyNumberFormat="1" applyFont="1" applyFill="1"/>
    <xf numFmtId="166" fontId="0" fillId="0" borderId="0" xfId="0" applyNumberFormat="1" applyFill="1"/>
    <xf numFmtId="0" fontId="5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0" fontId="29" fillId="0" borderId="0" xfId="0" applyFont="1"/>
    <xf numFmtId="169" fontId="3" fillId="0" borderId="0" xfId="6" applyNumberFormat="1"/>
    <xf numFmtId="0" fontId="0" fillId="0" borderId="0" xfId="0" applyNumberFormat="1"/>
    <xf numFmtId="9" fontId="3" fillId="0" borderId="0" xfId="11"/>
    <xf numFmtId="0" fontId="4" fillId="6" borderId="0" xfId="0" applyFont="1" applyFill="1" applyBorder="1"/>
    <xf numFmtId="0" fontId="0" fillId="6" borderId="0" xfId="0" applyFill="1"/>
    <xf numFmtId="0" fontId="30" fillId="0" borderId="0" xfId="0" applyFont="1" applyFill="1"/>
    <xf numFmtId="0" fontId="0" fillId="0" borderId="3" xfId="0" applyBorder="1" applyAlignment="1">
      <alignment horizontal="center"/>
    </xf>
    <xf numFmtId="169" fontId="0" fillId="0" borderId="0" xfId="0" applyNumberFormat="1"/>
    <xf numFmtId="0" fontId="0" fillId="0" borderId="1" xfId="0" applyBorder="1"/>
    <xf numFmtId="0" fontId="4" fillId="0" borderId="1" xfId="0" applyFont="1" applyBorder="1" applyAlignment="1">
      <alignment horizontal="center"/>
    </xf>
    <xf numFmtId="169" fontId="0" fillId="0" borderId="0" xfId="0" applyNumberFormat="1" applyFill="1"/>
    <xf numFmtId="0" fontId="4" fillId="0" borderId="0" xfId="0" applyFont="1" applyBorder="1"/>
    <xf numFmtId="169" fontId="4" fillId="0" borderId="6" xfId="0" applyNumberFormat="1" applyFont="1" applyBorder="1"/>
    <xf numFmtId="0" fontId="4" fillId="0" borderId="1" xfId="0" applyFont="1" applyBorder="1"/>
    <xf numFmtId="0" fontId="5" fillId="0" borderId="0" xfId="0" applyNumberFormat="1" applyFont="1" applyBorder="1"/>
    <xf numFmtId="0" fontId="15" fillId="0" borderId="0" xfId="0" applyNumberFormat="1" applyFont="1" applyBorder="1"/>
    <xf numFmtId="5" fontId="5" fillId="0" borderId="0" xfId="0" applyNumberFormat="1" applyFont="1" applyBorder="1"/>
    <xf numFmtId="37" fontId="5" fillId="0" borderId="0" xfId="0" applyNumberFormat="1" applyFont="1" applyBorder="1"/>
    <xf numFmtId="0" fontId="5" fillId="0" borderId="0" xfId="0" quotePrefix="1" applyNumberFormat="1" applyFont="1" applyBorder="1" applyAlignment="1">
      <alignment horizontal="left"/>
    </xf>
    <xf numFmtId="0" fontId="10" fillId="0" borderId="0" xfId="0" applyNumberFormat="1" applyFont="1" applyBorder="1"/>
    <xf numFmtId="0" fontId="5" fillId="5" borderId="0" xfId="0" applyNumberFormat="1" applyFont="1" applyFill="1" applyBorder="1"/>
    <xf numFmtId="0" fontId="5" fillId="0" borderId="0" xfId="0" applyNumberFormat="1" applyFont="1" applyBorder="1" applyAlignment="1">
      <alignment horizontal="left"/>
    </xf>
    <xf numFmtId="0" fontId="0" fillId="0" borderId="0" xfId="0" applyBorder="1"/>
    <xf numFmtId="0" fontId="1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10" applyFill="1"/>
    <xf numFmtId="0" fontId="5" fillId="0" borderId="0" xfId="0" applyFont="1"/>
    <xf numFmtId="0" fontId="5" fillId="0" borderId="0" xfId="0" applyFont="1" applyFill="1" applyAlignment="1">
      <alignment horizontal="center"/>
    </xf>
    <xf numFmtId="37" fontId="5" fillId="0" borderId="0" xfId="0" applyNumberFormat="1" applyFont="1" applyFill="1"/>
    <xf numFmtId="37" fontId="3" fillId="0" borderId="0" xfId="10" applyNumberFormat="1" applyFill="1"/>
    <xf numFmtId="37" fontId="6" fillId="0" borderId="0" xfId="10" applyNumberFormat="1" applyFont="1" applyFill="1"/>
    <xf numFmtId="169" fontId="3" fillId="7" borderId="0" xfId="6" applyNumberFormat="1" applyFont="1" applyFill="1" applyAlignment="1">
      <alignment horizontal="right"/>
    </xf>
    <xf numFmtId="5" fontId="3" fillId="0" borderId="0" xfId="10" applyNumberFormat="1" applyFill="1"/>
    <xf numFmtId="37" fontId="4" fillId="0" borderId="0" xfId="10" applyNumberFormat="1" applyFont="1" applyFill="1" applyAlignment="1">
      <alignment horizontal="center" vertical="center"/>
    </xf>
    <xf numFmtId="37" fontId="15" fillId="0" borderId="0" xfId="10" applyNumberFormat="1" applyFont="1" applyFill="1"/>
    <xf numFmtId="169" fontId="5" fillId="7" borderId="0" xfId="0" applyNumberFormat="1" applyFont="1" applyFill="1"/>
    <xf numFmtId="37" fontId="4" fillId="0" borderId="0" xfId="5" applyNumberFormat="1" applyFont="1" applyFill="1"/>
    <xf numFmtId="37" fontId="0" fillId="0" borderId="0" xfId="0" applyNumberFormat="1" applyFill="1" applyAlignment="1">
      <alignment horizontal="right" vertical="center"/>
    </xf>
    <xf numFmtId="37" fontId="11" fillId="0" borderId="0" xfId="0" applyNumberFormat="1" applyFont="1" applyFill="1" applyBorder="1"/>
    <xf numFmtId="37" fontId="5" fillId="0" borderId="0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37" fontId="3" fillId="0" borderId="0" xfId="0" applyNumberFormat="1" applyFont="1" applyAlignment="1">
      <alignment horizontal="right" vertical="center"/>
    </xf>
    <xf numFmtId="37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7" fontId="6" fillId="0" borderId="0" xfId="0" applyNumberFormat="1" applyFont="1" applyFill="1"/>
    <xf numFmtId="0" fontId="29" fillId="0" borderId="0" xfId="0" applyFont="1" applyFill="1"/>
    <xf numFmtId="37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0" fontId="26" fillId="0" borderId="0" xfId="0" applyFont="1" applyFill="1" applyAlignment="1">
      <alignment horizontal="center"/>
    </xf>
    <xf numFmtId="164" fontId="26" fillId="0" borderId="0" xfId="0" applyNumberFormat="1" applyFont="1" applyFill="1"/>
    <xf numFmtId="37" fontId="26" fillId="0" borderId="0" xfId="0" applyNumberFormat="1" applyFont="1" applyFill="1"/>
    <xf numFmtId="0" fontId="32" fillId="0" borderId="0" xfId="22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4" fillId="0" borderId="0" xfId="0" applyFont="1"/>
    <xf numFmtId="0" fontId="35" fillId="0" borderId="0" xfId="0" applyFont="1" applyAlignment="1">
      <alignment vertical="center"/>
    </xf>
    <xf numFmtId="37" fontId="36" fillId="0" borderId="0" xfId="0" applyNumberFormat="1" applyFont="1"/>
    <xf numFmtId="37" fontId="35" fillId="0" borderId="0" xfId="0" applyNumberFormat="1" applyFont="1"/>
    <xf numFmtId="37" fontId="3" fillId="0" borderId="3" xfId="0" applyNumberFormat="1" applyFont="1" applyFill="1" applyBorder="1"/>
    <xf numFmtId="164" fontId="3" fillId="0" borderId="0" xfId="0" applyNumberFormat="1" applyFont="1" applyFill="1"/>
    <xf numFmtId="164" fontId="3" fillId="0" borderId="0" xfId="0" applyNumberFormat="1" applyFont="1"/>
    <xf numFmtId="0" fontId="3" fillId="0" borderId="0" xfId="0" applyFont="1" applyFill="1" applyAlignment="1">
      <alignment horizontal="left"/>
    </xf>
    <xf numFmtId="42" fontId="4" fillId="0" borderId="3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NumberFormat="1" applyFont="1"/>
    <xf numFmtId="0" fontId="6" fillId="0" borderId="0" xfId="0" applyNumberFormat="1" applyFont="1" applyAlignment="1">
      <alignment horizontal="center"/>
    </xf>
    <xf numFmtId="0" fontId="3" fillId="0" borderId="0" xfId="22" applyNumberFormat="1" applyFont="1" applyFill="1"/>
    <xf numFmtId="0" fontId="3" fillId="0" borderId="0" xfId="22" applyNumberFormat="1" applyFont="1" applyFill="1" applyAlignment="1">
      <alignment horizontal="center"/>
    </xf>
    <xf numFmtId="37" fontId="3" fillId="0" borderId="0" xfId="22" applyNumberFormat="1" applyFont="1" applyFill="1"/>
    <xf numFmtId="37" fontId="9" fillId="0" borderId="11" xfId="22" applyNumberFormat="1" applyFont="1" applyFill="1" applyBorder="1"/>
    <xf numFmtId="37" fontId="9" fillId="0" borderId="0" xfId="22" applyNumberFormat="1" applyFont="1" applyFill="1" applyBorder="1"/>
    <xf numFmtId="37" fontId="9" fillId="0" borderId="13" xfId="22" applyNumberFormat="1" applyFont="1" applyFill="1" applyBorder="1"/>
    <xf numFmtId="0" fontId="3" fillId="0" borderId="0" xfId="22" applyFont="1" applyFill="1"/>
    <xf numFmtId="0" fontId="3" fillId="0" borderId="0" xfId="22" applyNumberFormat="1" applyFont="1" applyFill="1" applyBorder="1"/>
    <xf numFmtId="0" fontId="3" fillId="0" borderId="0" xfId="22" applyNumberFormat="1" applyFont="1" applyFill="1" applyBorder="1" applyAlignment="1">
      <alignment horizontal="left"/>
    </xf>
    <xf numFmtId="0" fontId="3" fillId="0" borderId="0" xfId="22" quotePrefix="1" applyNumberFormat="1" applyFont="1" applyFill="1" applyBorder="1" applyAlignment="1">
      <alignment horizontal="left"/>
    </xf>
    <xf numFmtId="37" fontId="3" fillId="0" borderId="0" xfId="22" applyNumberFormat="1" applyFont="1" applyFill="1" applyBorder="1" applyAlignment="1">
      <alignment horizontal="center"/>
    </xf>
    <xf numFmtId="37" fontId="3" fillId="0" borderId="0" xfId="22" applyNumberFormat="1" applyFont="1" applyFill="1" applyBorder="1"/>
    <xf numFmtId="37" fontId="3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>
      <alignment vertical="center"/>
    </xf>
    <xf numFmtId="170" fontId="3" fillId="0" borderId="0" xfId="2" applyNumberFormat="1" applyFont="1" applyFill="1"/>
    <xf numFmtId="0" fontId="3" fillId="0" borderId="0" xfId="0" applyFont="1" applyFill="1" applyBorder="1"/>
    <xf numFmtId="37" fontId="3" fillId="0" borderId="0" xfId="0" applyNumberFormat="1" applyFont="1" applyAlignment="1">
      <alignment horizontal="center"/>
    </xf>
    <xf numFmtId="37" fontId="4" fillId="0" borderId="6" xfId="6" applyNumberFormat="1" applyFont="1" applyBorder="1"/>
    <xf numFmtId="37" fontId="4" fillId="0" borderId="0" xfId="0" applyNumberFormat="1" applyFont="1"/>
    <xf numFmtId="0" fontId="3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170" fontId="0" fillId="0" borderId="0" xfId="0" applyNumberFormat="1"/>
    <xf numFmtId="170" fontId="0" fillId="0" borderId="0" xfId="2" applyNumberFormat="1" applyFont="1"/>
    <xf numFmtId="172" fontId="0" fillId="0" borderId="0" xfId="2" applyNumberFormat="1" applyFont="1"/>
    <xf numFmtId="173" fontId="0" fillId="0" borderId="0" xfId="0" applyNumberFormat="1"/>
    <xf numFmtId="174" fontId="0" fillId="0" borderId="0" xfId="0" applyNumberFormat="1"/>
    <xf numFmtId="0" fontId="3" fillId="0" borderId="0" xfId="0" applyFont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170" fontId="42" fillId="0" borderId="0" xfId="2" applyNumberFormat="1" applyFont="1" applyBorder="1"/>
    <xf numFmtId="0" fontId="44" fillId="0" borderId="0" xfId="0" applyFont="1" applyFill="1"/>
    <xf numFmtId="37" fontId="4" fillId="0" borderId="0" xfId="0" applyNumberFormat="1" applyFont="1" applyFill="1" applyBorder="1"/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70" fontId="42" fillId="0" borderId="0" xfId="2" applyNumberFormat="1" applyFont="1"/>
    <xf numFmtId="0" fontId="5" fillId="0" borderId="0" xfId="0" applyFont="1" applyAlignment="1">
      <alignment vertical="center"/>
    </xf>
    <xf numFmtId="14" fontId="0" fillId="0" borderId="0" xfId="0" applyNumberFormat="1" applyFill="1" applyBorder="1" applyAlignment="1">
      <alignment horizontal="right" wrapText="1"/>
    </xf>
    <xf numFmtId="0" fontId="0" fillId="0" borderId="0" xfId="0" applyFill="1" applyBorder="1"/>
    <xf numFmtId="0" fontId="46" fillId="0" borderId="0" xfId="0" applyFont="1" applyFill="1" applyBorder="1"/>
    <xf numFmtId="0" fontId="18" fillId="0" borderId="0" xfId="0" applyFont="1" applyFill="1" applyBorder="1"/>
    <xf numFmtId="170" fontId="47" fillId="0" borderId="0" xfId="2" quotePrefix="1" applyNumberFormat="1" applyFont="1" applyFill="1" applyBorder="1"/>
    <xf numFmtId="0" fontId="41" fillId="0" borderId="0" xfId="0" applyFont="1" applyBorder="1"/>
    <xf numFmtId="0" fontId="42" fillId="0" borderId="0" xfId="0" applyFont="1" applyBorder="1"/>
    <xf numFmtId="170" fontId="42" fillId="0" borderId="0" xfId="2" quotePrefix="1" applyNumberFormat="1" applyFont="1" applyBorder="1"/>
    <xf numFmtId="0" fontId="43" fillId="0" borderId="0" xfId="0" applyFont="1" applyBorder="1"/>
    <xf numFmtId="0" fontId="48" fillId="0" borderId="0" xfId="0" applyFont="1" applyBorder="1"/>
    <xf numFmtId="170" fontId="43" fillId="0" borderId="0" xfId="2" applyNumberFormat="1" applyFont="1" applyBorder="1"/>
    <xf numFmtId="0" fontId="45" fillId="0" borderId="0" xfId="0" applyFont="1" applyBorder="1"/>
    <xf numFmtId="0" fontId="44" fillId="0" borderId="0" xfId="0" applyFont="1" applyBorder="1"/>
    <xf numFmtId="170" fontId="43" fillId="0" borderId="0" xfId="0" applyNumberFormat="1" applyFont="1" applyBorder="1"/>
    <xf numFmtId="170" fontId="3" fillId="0" borderId="0" xfId="2" applyNumberFormat="1" applyFont="1"/>
    <xf numFmtId="0" fontId="3" fillId="0" borderId="21" xfId="0" applyFont="1" applyFill="1" applyBorder="1" applyAlignment="1">
      <alignment horizontal="center" wrapText="1"/>
    </xf>
    <xf numFmtId="170" fontId="3" fillId="0" borderId="0" xfId="0" applyNumberFormat="1" applyFont="1" applyFill="1" applyBorder="1"/>
    <xf numFmtId="0" fontId="13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4" fillId="7" borderId="22" xfId="0" applyFont="1" applyFill="1" applyBorder="1" applyAlignment="1">
      <alignment horizontal="left"/>
    </xf>
    <xf numFmtId="0" fontId="4" fillId="7" borderId="23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0" fillId="0" borderId="17" xfId="0" applyBorder="1"/>
    <xf numFmtId="170" fontId="0" fillId="0" borderId="18" xfId="2" applyNumberFormat="1" applyFont="1" applyFill="1" applyBorder="1"/>
    <xf numFmtId="0" fontId="0" fillId="0" borderId="18" xfId="0" applyBorder="1"/>
    <xf numFmtId="0" fontId="3" fillId="0" borderId="17" xfId="0" applyFont="1" applyBorder="1"/>
    <xf numFmtId="0" fontId="3" fillId="0" borderId="17" xfId="0" applyFont="1" applyFill="1" applyBorder="1" applyAlignment="1">
      <alignment horizontal="left" indent="3"/>
    </xf>
    <xf numFmtId="170" fontId="3" fillId="0" borderId="0" xfId="2" applyNumberFormat="1" applyFont="1" applyFill="1" applyBorder="1"/>
    <xf numFmtId="170" fontId="0" fillId="0" borderId="25" xfId="0" applyNumberFormat="1" applyBorder="1"/>
    <xf numFmtId="170" fontId="0" fillId="0" borderId="26" xfId="0" applyNumberFormat="1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17" xfId="0" applyBorder="1" applyAlignment="1">
      <alignment horizontal="right"/>
    </xf>
    <xf numFmtId="0" fontId="3" fillId="0" borderId="17" xfId="0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Border="1"/>
    <xf numFmtId="37" fontId="6" fillId="0" borderId="0" xfId="0" applyNumberFormat="1" applyFont="1" applyAlignment="1">
      <alignment vertical="center"/>
    </xf>
    <xf numFmtId="37" fontId="3" fillId="0" borderId="2" xfId="0" applyNumberFormat="1" applyFont="1" applyBorder="1"/>
    <xf numFmtId="37" fontId="3" fillId="0" borderId="0" xfId="0" applyNumberFormat="1" applyFont="1" applyAlignment="1">
      <alignment vertical="center"/>
    </xf>
    <xf numFmtId="37" fontId="6" fillId="0" borderId="0" xfId="0" applyNumberFormat="1" applyFont="1"/>
    <xf numFmtId="37" fontId="4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37" fontId="4" fillId="0" borderId="0" xfId="0" applyNumberFormat="1" applyFont="1" applyFill="1" applyAlignment="1">
      <alignment horizontal="left" indent="1"/>
    </xf>
    <xf numFmtId="37" fontId="4" fillId="0" borderId="6" xfId="0" applyNumberFormat="1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0" fillId="0" borderId="1" xfId="0" applyFill="1" applyBorder="1"/>
    <xf numFmtId="169" fontId="3" fillId="0" borderId="0" xfId="6" applyNumberFormat="1" applyFill="1"/>
    <xf numFmtId="169" fontId="4" fillId="0" borderId="6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4" fillId="0" borderId="0" xfId="6" applyNumberFormat="1" applyFont="1" applyFill="1"/>
    <xf numFmtId="170" fontId="4" fillId="0" borderId="0" xfId="2" applyNumberFormat="1" applyFont="1" applyFill="1" applyBorder="1"/>
    <xf numFmtId="0" fontId="4" fillId="0" borderId="0" xfId="0" applyFont="1" applyFill="1" applyBorder="1"/>
    <xf numFmtId="170" fontId="3" fillId="0" borderId="0" xfId="3" applyNumberFormat="1" applyFont="1" applyFill="1"/>
    <xf numFmtId="170" fontId="0" fillId="0" borderId="0" xfId="2" applyNumberFormat="1" applyFont="1" applyFill="1"/>
    <xf numFmtId="43" fontId="0" fillId="0" borderId="0" xfId="0" applyNumberFormat="1"/>
    <xf numFmtId="0" fontId="0" fillId="0" borderId="0" xfId="0" applyAlignment="1">
      <alignment wrapText="1"/>
    </xf>
    <xf numFmtId="0" fontId="0" fillId="0" borderId="21" xfId="0" applyFill="1" applyBorder="1" applyAlignment="1">
      <alignment horizontal="center" wrapText="1"/>
    </xf>
    <xf numFmtId="0" fontId="4" fillId="0" borderId="3" xfId="1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7" xfId="0" applyFont="1" applyFill="1" applyBorder="1"/>
    <xf numFmtId="0" fontId="0" fillId="0" borderId="19" xfId="0" applyFill="1" applyBorder="1"/>
    <xf numFmtId="0" fontId="4" fillId="0" borderId="14" xfId="0" applyFont="1" applyFill="1" applyBorder="1"/>
    <xf numFmtId="0" fontId="0" fillId="0" borderId="15" xfId="0" applyFill="1" applyBorder="1"/>
    <xf numFmtId="0" fontId="0" fillId="0" borderId="16" xfId="0" applyFill="1" applyBorder="1"/>
    <xf numFmtId="0" fontId="29" fillId="0" borderId="14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right"/>
    </xf>
    <xf numFmtId="0" fontId="29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3"/>
    </xf>
    <xf numFmtId="0" fontId="0" fillId="0" borderId="18" xfId="0" applyFill="1" applyBorder="1"/>
    <xf numFmtId="170" fontId="0" fillId="0" borderId="0" xfId="0" applyNumberFormat="1" applyFill="1" applyBorder="1"/>
    <xf numFmtId="0" fontId="3" fillId="0" borderId="3" xfId="0" applyFont="1" applyFill="1" applyBorder="1" applyAlignment="1">
      <alignment horizontal="left" indent="3"/>
    </xf>
    <xf numFmtId="0" fontId="25" fillId="0" borderId="0" xfId="0" applyFont="1" applyFill="1" applyBorder="1" applyAlignment="1">
      <alignment horizontal="center"/>
    </xf>
    <xf numFmtId="0" fontId="0" fillId="0" borderId="25" xfId="0" applyFill="1" applyBorder="1"/>
    <xf numFmtId="0" fontId="25" fillId="0" borderId="18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170" fontId="4" fillId="0" borderId="18" xfId="0" applyNumberFormat="1" applyFont="1" applyFill="1" applyBorder="1"/>
    <xf numFmtId="0" fontId="0" fillId="0" borderId="3" xfId="0" applyFill="1" applyBorder="1"/>
    <xf numFmtId="0" fontId="0" fillId="0" borderId="20" xfId="0" applyFill="1" applyBorder="1"/>
    <xf numFmtId="0" fontId="29" fillId="0" borderId="0" xfId="0" applyFont="1" applyFill="1" applyBorder="1" applyAlignment="1">
      <alignment horizontal="center"/>
    </xf>
    <xf numFmtId="0" fontId="4" fillId="0" borderId="18" xfId="0" applyFont="1" applyFill="1" applyBorder="1"/>
    <xf numFmtId="0" fontId="0" fillId="0" borderId="17" xfId="0" applyFill="1" applyBorder="1"/>
    <xf numFmtId="0" fontId="18" fillId="0" borderId="0" xfId="0" applyFont="1" applyFill="1"/>
    <xf numFmtId="0" fontId="38" fillId="0" borderId="0" xfId="0" applyFont="1" applyFill="1"/>
    <xf numFmtId="170" fontId="18" fillId="0" borderId="0" xfId="2" applyNumberFormat="1" applyFont="1" applyFill="1"/>
    <xf numFmtId="165" fontId="8" fillId="0" borderId="0" xfId="0" applyNumberFormat="1" applyFont="1" applyFill="1"/>
    <xf numFmtId="0" fontId="0" fillId="0" borderId="0" xfId="0" applyNumberFormat="1" applyFont="1" applyFill="1" applyBorder="1"/>
    <xf numFmtId="170" fontId="4" fillId="0" borderId="0" xfId="0" applyNumberFormat="1" applyFont="1" applyFill="1" applyBorder="1"/>
    <xf numFmtId="0" fontId="3" fillId="0" borderId="0" xfId="0" applyFont="1" applyAlignment="1">
      <alignment horizontal="center"/>
    </xf>
    <xf numFmtId="14" fontId="0" fillId="0" borderId="0" xfId="0" applyNumberFormat="1"/>
    <xf numFmtId="0" fontId="3" fillId="0" borderId="0" xfId="0" applyNumberFormat="1" applyFont="1" applyFill="1" applyBorder="1"/>
    <xf numFmtId="37" fontId="18" fillId="0" borderId="0" xfId="0" applyNumberFormat="1" applyFont="1" applyFill="1" applyAlignment="1">
      <alignment horizontal="center"/>
    </xf>
    <xf numFmtId="170" fontId="4" fillId="0" borderId="0" xfId="2" applyNumberFormat="1" applyFont="1" applyFill="1" applyBorder="1"/>
    <xf numFmtId="3" fontId="0" fillId="0" borderId="0" xfId="0" applyNumberFormat="1"/>
    <xf numFmtId="175" fontId="0" fillId="0" borderId="0" xfId="0" applyNumberFormat="1" applyBorder="1"/>
    <xf numFmtId="164" fontId="3" fillId="0" borderId="0" xfId="23" applyNumberFormat="1" applyFont="1" applyFill="1"/>
    <xf numFmtId="0" fontId="3" fillId="0" borderId="0" xfId="23" applyFill="1"/>
    <xf numFmtId="0" fontId="13" fillId="0" borderId="0" xfId="10" applyFont="1" applyFill="1"/>
    <xf numFmtId="0" fontId="4" fillId="0" borderId="3" xfId="10" applyFont="1" applyFill="1" applyBorder="1"/>
    <xf numFmtId="0" fontId="3" fillId="0" borderId="3" xfId="10" applyFill="1" applyBorder="1"/>
    <xf numFmtId="0" fontId="4" fillId="0" borderId="0" xfId="10" applyFont="1" applyFill="1" applyAlignment="1">
      <alignment horizontal="center"/>
    </xf>
    <xf numFmtId="0" fontId="29" fillId="0" borderId="0" xfId="10" applyFont="1" applyFill="1" applyAlignment="1">
      <alignment horizontal="left"/>
    </xf>
    <xf numFmtId="0" fontId="3" fillId="0" borderId="0" xfId="10" applyFill="1" applyAlignment="1">
      <alignment horizontal="left" indent="1"/>
    </xf>
    <xf numFmtId="0" fontId="3" fillId="0" borderId="0" xfId="10" applyFill="1" applyAlignment="1">
      <alignment horizontal="left"/>
    </xf>
    <xf numFmtId="0" fontId="5" fillId="0" borderId="0" xfId="10" applyFont="1" applyFill="1"/>
    <xf numFmtId="0" fontId="4" fillId="0" borderId="0" xfId="10" applyFont="1" applyFill="1"/>
    <xf numFmtId="0" fontId="3" fillId="0" borderId="0" xfId="10" applyFill="1" applyAlignment="1">
      <alignment horizontal="left" indent="2"/>
    </xf>
    <xf numFmtId="0" fontId="29" fillId="0" borderId="0" xfId="10" applyFont="1" applyFill="1"/>
    <xf numFmtId="0" fontId="3" fillId="0" borderId="0" xfId="10" applyFont="1" applyFill="1" applyAlignment="1">
      <alignment horizontal="left" indent="1"/>
    </xf>
    <xf numFmtId="10" fontId="3" fillId="0" borderId="0" xfId="11" applyNumberFormat="1" applyFill="1"/>
    <xf numFmtId="167" fontId="3" fillId="0" borderId="0" xfId="10" applyNumberFormat="1" applyFill="1"/>
    <xf numFmtId="0" fontId="4" fillId="0" borderId="0" xfId="10" applyFont="1" applyFill="1" applyAlignment="1">
      <alignment horizontal="left" indent="1"/>
    </xf>
    <xf numFmtId="0" fontId="3" fillId="0" borderId="0" xfId="10" applyFont="1" applyFill="1"/>
    <xf numFmtId="169" fontId="3" fillId="0" borderId="0" xfId="6" applyNumberFormat="1" applyFont="1" applyFill="1"/>
    <xf numFmtId="37" fontId="4" fillId="0" borderId="0" xfId="10" applyNumberFormat="1" applyFont="1" applyFill="1"/>
    <xf numFmtId="10" fontId="4" fillId="0" borderId="2" xfId="0" applyNumberFormat="1" applyFont="1" applyFill="1" applyBorder="1"/>
    <xf numFmtId="0" fontId="0" fillId="0" borderId="0" xfId="0" applyAlignment="1">
      <alignment horizontal="center"/>
    </xf>
    <xf numFmtId="37" fontId="17" fillId="7" borderId="9" xfId="10" applyNumberFormat="1" applyFont="1" applyFill="1" applyBorder="1"/>
    <xf numFmtId="37" fontId="17" fillId="7" borderId="8" xfId="10" applyNumberFormat="1" applyFont="1" applyFill="1" applyBorder="1"/>
    <xf numFmtId="37" fontId="17" fillId="7" borderId="10" xfId="10" applyNumberFormat="1" applyFont="1" applyFill="1" applyBorder="1"/>
    <xf numFmtId="0" fontId="4" fillId="7" borderId="8" xfId="10" applyFont="1" applyFill="1" applyBorder="1"/>
    <xf numFmtId="5" fontId="4" fillId="8" borderId="8" xfId="10" applyNumberFormat="1" applyFont="1" applyFill="1" applyBorder="1"/>
    <xf numFmtId="0" fontId="4" fillId="8" borderId="8" xfId="10" applyFont="1" applyFill="1" applyBorder="1"/>
    <xf numFmtId="169" fontId="3" fillId="7" borderId="0" xfId="6" applyNumberFormat="1" applyFill="1"/>
    <xf numFmtId="9" fontId="3" fillId="7" borderId="0" xfId="1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0" fontId="26" fillId="0" borderId="0" xfId="0" applyFont="1" applyAlignment="1">
      <alignment horizontal="center"/>
    </xf>
    <xf numFmtId="164" fontId="26" fillId="0" borderId="0" xfId="0" applyNumberFormat="1" applyFont="1"/>
    <xf numFmtId="37" fontId="26" fillId="0" borderId="0" xfId="0" applyNumberFormat="1" applyFont="1"/>
    <xf numFmtId="0" fontId="26" fillId="0" borderId="0" xfId="0" applyFont="1"/>
    <xf numFmtId="0" fontId="3" fillId="0" borderId="0" xfId="0" applyFont="1" applyAlignment="1">
      <alignment wrapText="1"/>
    </xf>
    <xf numFmtId="10" fontId="6" fillId="0" borderId="0" xfId="0" applyNumberFormat="1" applyFont="1" applyFill="1"/>
    <xf numFmtId="0" fontId="3" fillId="0" borderId="0" xfId="23"/>
    <xf numFmtId="0" fontId="51" fillId="0" borderId="0" xfId="23" applyFont="1" applyAlignment="1">
      <alignment vertical="center"/>
    </xf>
    <xf numFmtId="0" fontId="52" fillId="0" borderId="0" xfId="23" applyFont="1" applyAlignment="1">
      <alignment horizontal="center" vertical="center"/>
    </xf>
    <xf numFmtId="0" fontId="3" fillId="0" borderId="0" xfId="23" applyFont="1"/>
    <xf numFmtId="0" fontId="53" fillId="0" borderId="0" xfId="23" applyFont="1" applyAlignment="1">
      <alignment horizontal="center" vertical="center"/>
    </xf>
    <xf numFmtId="37" fontId="33" fillId="0" borderId="0" xfId="0" applyNumberFormat="1" applyFont="1" applyFill="1" applyBorder="1"/>
    <xf numFmtId="43" fontId="0" fillId="0" borderId="0" xfId="2" applyFont="1" applyFill="1"/>
    <xf numFmtId="43" fontId="17" fillId="0" borderId="0" xfId="2" applyFont="1" applyFill="1" applyBorder="1"/>
    <xf numFmtId="43" fontId="4" fillId="0" borderId="0" xfId="2" applyFont="1" applyFill="1" applyBorder="1"/>
    <xf numFmtId="0" fontId="0" fillId="0" borderId="27" xfId="0" applyFill="1" applyBorder="1"/>
    <xf numFmtId="49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170" fontId="0" fillId="0" borderId="20" xfId="2" applyNumberFormat="1" applyFont="1" applyFill="1" applyBorder="1"/>
    <xf numFmtId="37" fontId="4" fillId="0" borderId="28" xfId="0" applyNumberFormat="1" applyFont="1" applyFill="1" applyBorder="1"/>
    <xf numFmtId="0" fontId="0" fillId="0" borderId="0" xfId="0" applyFill="1" applyAlignment="1">
      <alignment horizontal="center"/>
    </xf>
    <xf numFmtId="10" fontId="0" fillId="0" borderId="0" xfId="0" applyNumberFormat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left"/>
    </xf>
    <xf numFmtId="37" fontId="4" fillId="0" borderId="0" xfId="0" applyNumberFormat="1" applyFont="1" applyFill="1" applyAlignment="1">
      <alignment horizontal="center"/>
    </xf>
    <xf numFmtId="14" fontId="0" fillId="0" borderId="0" xfId="0" quotePrefix="1" applyNumberFormat="1" applyFill="1" applyAlignment="1">
      <alignment horizontal="center"/>
    </xf>
    <xf numFmtId="10" fontId="0" fillId="0" borderId="0" xfId="11" applyNumberFormat="1" applyFont="1" applyFill="1"/>
    <xf numFmtId="9" fontId="0" fillId="0" borderId="0" xfId="11" applyFont="1" applyAlignment="1">
      <alignment horizontal="right"/>
    </xf>
    <xf numFmtId="37" fontId="3" fillId="0" borderId="0" xfId="0" applyNumberFormat="1" applyFont="1" applyFill="1" applyAlignment="1">
      <alignment horizontal="right"/>
    </xf>
    <xf numFmtId="170" fontId="3" fillId="0" borderId="27" xfId="2" applyNumberFormat="1" applyFont="1" applyFill="1" applyBorder="1"/>
    <xf numFmtId="170" fontId="0" fillId="0" borderId="18" xfId="0" applyNumberFormat="1" applyFill="1" applyBorder="1"/>
    <xf numFmtId="165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vertical="center" wrapText="1"/>
    </xf>
    <xf numFmtId="37" fontId="4" fillId="0" borderId="1" xfId="0" applyNumberFormat="1" applyFont="1" applyFill="1" applyBorder="1"/>
    <xf numFmtId="0" fontId="3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5" fontId="3" fillId="0" borderId="0" xfId="22" applyNumberFormat="1" applyFont="1" applyFill="1"/>
    <xf numFmtId="0" fontId="3" fillId="0" borderId="0" xfId="22" quotePrefix="1" applyNumberFormat="1" applyFont="1" applyFill="1" applyAlignment="1">
      <alignment horizontal="left"/>
    </xf>
    <xf numFmtId="37" fontId="9" fillId="0" borderId="4" xfId="0" applyNumberFormat="1" applyFont="1" applyFill="1" applyBorder="1"/>
    <xf numFmtId="37" fontId="9" fillId="0" borderId="0" xfId="0" applyNumberFormat="1" applyFont="1" applyFill="1" applyBorder="1"/>
    <xf numFmtId="5" fontId="9" fillId="0" borderId="12" xfId="0" applyNumberFormat="1" applyFont="1" applyFill="1" applyBorder="1"/>
    <xf numFmtId="5" fontId="9" fillId="0" borderId="0" xfId="0" applyNumberFormat="1" applyFont="1" applyFill="1" applyBorder="1"/>
    <xf numFmtId="5" fontId="9" fillId="0" borderId="5" xfId="0" applyNumberFormat="1" applyFont="1" applyFill="1" applyBorder="1"/>
    <xf numFmtId="43" fontId="3" fillId="0" borderId="0" xfId="2" applyFont="1" applyFill="1"/>
    <xf numFmtId="0" fontId="4" fillId="0" borderId="0" xfId="0" applyFont="1" applyFill="1" applyAlignment="1">
      <alignment horizontal="centerContinuous"/>
    </xf>
    <xf numFmtId="0" fontId="8" fillId="0" borderId="0" xfId="0" applyFont="1" applyFill="1"/>
    <xf numFmtId="171" fontId="3" fillId="0" borderId="0" xfId="0" applyNumberFormat="1" applyFont="1" applyFill="1" applyBorder="1" applyAlignment="1" applyProtection="1">
      <alignment horizontal="left"/>
    </xf>
    <xf numFmtId="37" fontId="3" fillId="0" borderId="0" xfId="0" applyNumberFormat="1" applyFont="1" applyFill="1" applyAlignment="1">
      <alignment horizontal="left"/>
    </xf>
    <xf numFmtId="0" fontId="35" fillId="0" borderId="0" xfId="0" applyFont="1" applyFill="1"/>
    <xf numFmtId="1" fontId="3" fillId="0" borderId="0" xfId="2" applyNumberFormat="1" applyFont="1" applyFill="1" applyAlignment="1">
      <alignment horizontal="right" vertical="center"/>
    </xf>
    <xf numFmtId="0" fontId="50" fillId="0" borderId="0" xfId="0" applyFont="1" applyFill="1"/>
    <xf numFmtId="175" fontId="50" fillId="0" borderId="0" xfId="0" applyNumberFormat="1" applyFont="1" applyFill="1" applyBorder="1"/>
    <xf numFmtId="0" fontId="50" fillId="0" borderId="0" xfId="0" applyFont="1" applyFill="1" applyBorder="1"/>
    <xf numFmtId="170" fontId="0" fillId="0" borderId="0" xfId="2" applyNumberFormat="1" applyFont="1" applyFill="1" applyBorder="1"/>
    <xf numFmtId="0" fontId="0" fillId="0" borderId="0" xfId="0" applyFill="1" applyAlignment="1">
      <alignment horizont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0" fillId="0" borderId="0" xfId="0" applyAlignment="1">
      <alignment horizontal="centerContinuous" vertical="top" wrapText="1"/>
    </xf>
    <xf numFmtId="0" fontId="57" fillId="0" borderId="29" xfId="0" applyFont="1" applyBorder="1" applyAlignment="1">
      <alignment horizontal="center" vertical="top" wrapText="1"/>
    </xf>
    <xf numFmtId="0" fontId="57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/>
    </xf>
    <xf numFmtId="0" fontId="0" fillId="0" borderId="32" xfId="0" applyBorder="1"/>
    <xf numFmtId="0" fontId="0" fillId="0" borderId="31" xfId="0" applyBorder="1" applyAlignment="1">
      <alignment horizontal="center"/>
    </xf>
    <xf numFmtId="0" fontId="0" fillId="0" borderId="31" xfId="0" applyBorder="1"/>
    <xf numFmtId="176" fontId="0" fillId="0" borderId="32" xfId="2" applyNumberFormat="1" applyFont="1" applyBorder="1"/>
    <xf numFmtId="0" fontId="4" fillId="0" borderId="31" xfId="0" applyFont="1" applyBorder="1" applyAlignment="1">
      <alignment horizontal="center"/>
    </xf>
    <xf numFmtId="0" fontId="0" fillId="0" borderId="33" xfId="0" applyBorder="1"/>
    <xf numFmtId="176" fontId="0" fillId="0" borderId="34" xfId="2" applyNumberFormat="1" applyFont="1" applyBorder="1"/>
    <xf numFmtId="0" fontId="57" fillId="0" borderId="9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0" fillId="0" borderId="29" xfId="0" applyBorder="1"/>
    <xf numFmtId="176" fontId="0" fillId="0" borderId="30" xfId="2" applyNumberFormat="1" applyFont="1" applyBorder="1"/>
    <xf numFmtId="0" fontId="29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0" fillId="0" borderId="30" xfId="0" applyBorder="1"/>
    <xf numFmtId="0" fontId="0" fillId="0" borderId="31" xfId="0" applyBorder="1" applyAlignment="1">
      <alignment horizontal="left" indent="1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37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2" fillId="0" borderId="0" xfId="22" applyFont="1" applyAlignment="1">
      <alignment horizontal="left"/>
    </xf>
    <xf numFmtId="0" fontId="33" fillId="0" borderId="0" xfId="22" applyFont="1" applyAlignment="1">
      <alignment horizontal="left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0" applyFill="1" applyAlignment="1">
      <alignment horizontal="left"/>
    </xf>
    <xf numFmtId="0" fontId="4" fillId="0" borderId="0" xfId="10" applyFont="1" applyFill="1" applyAlignment="1">
      <alignment horizontal="center"/>
    </xf>
    <xf numFmtId="0" fontId="3" fillId="0" borderId="0" xfId="10" applyFill="1" applyAlignment="1">
      <alignment horizontal="center"/>
    </xf>
  </cellXfs>
  <cellStyles count="34">
    <cellStyle name="_x0013_" xfId="1"/>
    <cellStyle name="Comma" xfId="2" builtinId="3"/>
    <cellStyle name="Comma 2" xfId="3"/>
    <cellStyle name="Comma 2 2" xfId="30"/>
    <cellStyle name="Comma 3" xfId="29"/>
    <cellStyle name="Comma 3 2" xfId="33"/>
    <cellStyle name="Comma(1)" xfId="4"/>
    <cellStyle name="Comma_rev456" xfId="5"/>
    <cellStyle name="Currency" xfId="6" builtinId="4"/>
    <cellStyle name="Currency 2" xfId="24"/>
    <cellStyle name="Detail" xfId="7"/>
    <cellStyle name="Heading" xfId="8"/>
    <cellStyle name="Normal" xfId="0" builtinId="0"/>
    <cellStyle name="Normal 2" xfId="9"/>
    <cellStyle name="Normal 2 3" xfId="23"/>
    <cellStyle name="Normal 3" xfId="22"/>
    <cellStyle name="Normal 3 2" xfId="25"/>
    <cellStyle name="Normal 4" xfId="26"/>
    <cellStyle name="Normal 4 2" xfId="31"/>
    <cellStyle name="Normal 5" xfId="28"/>
    <cellStyle name="Normal 5 2" xfId="32"/>
    <cellStyle name="Normal_Linxwiler Blank OATT Formula Template 10-25-07 Revision 2" xfId="10"/>
    <cellStyle name="Percent" xfId="11" builtinId="5"/>
    <cellStyle name="Percent (0)" xfId="12"/>
    <cellStyle name="Percent 2" xfId="27"/>
    <cellStyle name="PSChar" xfId="13"/>
    <cellStyle name="PSDate" xfId="14"/>
    <cellStyle name="PSDec" xfId="15"/>
    <cellStyle name="PSHeading" xfId="16"/>
    <cellStyle name="PSInt" xfId="17"/>
    <cellStyle name="PSSpacer" xfId="18"/>
    <cellStyle name="robyn" xfId="19"/>
    <cellStyle name="Style 1" xfId="20"/>
    <cellStyle name="Tickmark" xfId="21"/>
  </cellStyles>
  <dxfs count="0"/>
  <tableStyles count="0" defaultTableStyle="TableStyleMedium9" defaultPivotStyle="PivotStyleLight16"/>
  <colors>
    <mruColors>
      <color rgb="FFFF6600"/>
      <color rgb="FFFFFFCC"/>
      <color rgb="FFFF3399"/>
      <color rgb="FFFFCC99"/>
      <color rgb="FFFFCC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a168\complian\federal\fpc\acct\2000\00_pbc\pbcqtr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ATT\2012%20ROE%20Challenge\ROE%20205%20Filing\DEF%20OATT%20Formula%20Rate%20Template%20Clean%20ROE%20w%20PBO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v%20GFF%20Database%20(FL)\Database\Nov%20GFF%20FL%20Database%20-%20Version%203%20with%20smoothed%20reg%20capaci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R"/>
      <sheetName val="236 Reconciliation (2)"/>
      <sheetName val="236 Reconciliation"/>
      <sheetName val="Provision"/>
    </sheetNames>
    <sheetDataSet>
      <sheetData sheetId="0" refreshError="1"/>
      <sheetData sheetId="1" refreshError="1"/>
      <sheetData sheetId="2">
        <row r="68">
          <cell r="A68" t="str">
            <v>Florida Power Corporation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 - 2 -Page 1 Summary"/>
      <sheetName val="DEF - 2 Page 2 Rate Base"/>
      <sheetName val="DEF - 2 - Page 3 Rev Reqt"/>
      <sheetName val="DEF - 2 - Page 4 Support"/>
      <sheetName val="DEF - 2 - Page 5 Storm"/>
      <sheetName val="DEF - 2 - Page 6 Notes"/>
      <sheetName val="DEF - 3, p1, 454 Rev Credits"/>
      <sheetName val="DEF - 3,  p2, 456 Rev Credits"/>
      <sheetName val="DEF - 4, p1 Step Ups"/>
      <sheetName val="DEF - 4, Order 2003 "/>
      <sheetName val="DEF - 5 p1 PY ADIT"/>
      <sheetName val="DEF - 5 p3 CY ADIT"/>
      <sheetName val="DEF - 5A Unfunded Reserves"/>
      <sheetName val="DEF - 6  p1, FF1 Inputs "/>
      <sheetName val="DEF - 6 p2, Levelized Storm"/>
      <sheetName val="DEF - 6 p3, Prepay Accting"/>
      <sheetName val="DEF - 7, Retail Radials"/>
      <sheetName val="DEF - 8 Depreciation Rates"/>
      <sheetName val="DEF - 9 CWIP Projects"/>
    </sheetNames>
    <sheetDataSet>
      <sheetData sheetId="0">
        <row r="6">
          <cell r="J6" t="str">
            <v>Year Ending 12/31/yyyy</v>
          </cell>
        </row>
      </sheetData>
      <sheetData sheetId="1"/>
      <sheetData sheetId="2"/>
      <sheetData sheetId="3">
        <row r="25">
          <cell r="I2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Tracking"/>
      <sheetName val="Analysis - Value Summary"/>
      <sheetName val="Analysis - Sensitivities"/>
      <sheetName val="Analysis - Capacity $"/>
      <sheetName val="Analysis - Capacity $kwm"/>
      <sheetName val="Port Value - Cust Summ"/>
      <sheetName val="Port Value - Annual"/>
      <sheetName val="Port Value - Monthly"/>
      <sheetName val="Customer Info"/>
      <sheetName val="MW &amp; MWh"/>
      <sheetName val="Capacity ECC"/>
      <sheetName val="Fuel by LF"/>
      <sheetName val="VOM by LF"/>
      <sheetName val="Emissions by LF"/>
      <sheetName val="Credit"/>
      <sheetName val="FERC Cap. &amp; Energy"/>
      <sheetName val="Negotiated Capacity Revenue"/>
      <sheetName val="Negotiated Fuel Revenue"/>
      <sheetName val="Negotiated VOM Revenue"/>
      <sheetName val="Retail Capacity Impact"/>
      <sheetName val="Retail Energy Impact"/>
      <sheetName val="Fuel Revenue by Contract"/>
      <sheetName val="CR-1 tariff"/>
      <sheetName val="Docum - Interrelationships"/>
      <sheetName val="Docum - Named Ranges"/>
      <sheetName val="Docum - Gen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8.1563040000000003E-2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V63"/>
  <sheetViews>
    <sheetView tabSelected="1" zoomScaleNormal="100" workbookViewId="0">
      <selection activeCell="K45" sqref="K45"/>
    </sheetView>
  </sheetViews>
  <sheetFormatPr defaultRowHeight="13.2" x14ac:dyDescent="0.25"/>
  <cols>
    <col min="1" max="1" width="4.6640625" customWidth="1"/>
    <col min="2" max="2" width="2.6640625" customWidth="1"/>
    <col min="3" max="3" width="39.33203125" customWidth="1"/>
    <col min="4" max="4" width="14.88671875" bestFit="1" customWidth="1"/>
    <col min="5" max="5" width="2.6640625" customWidth="1"/>
    <col min="6" max="6" width="10.6640625" bestFit="1" customWidth="1"/>
    <col min="7" max="7" width="2.6640625" customWidth="1"/>
    <col min="8" max="8" width="4.109375" bestFit="1" customWidth="1"/>
    <col min="9" max="9" width="8.109375" bestFit="1" customWidth="1"/>
    <col min="10" max="10" width="2.6640625" customWidth="1"/>
    <col min="11" max="11" width="12.88671875" bestFit="1" customWidth="1"/>
    <col min="12" max="12" width="5.109375" customWidth="1"/>
    <col min="13" max="13" width="11.33203125" bestFit="1" customWidth="1"/>
    <col min="16" max="16" width="10.44140625" customWidth="1"/>
  </cols>
  <sheetData>
    <row r="1" spans="1:22" x14ac:dyDescent="0.25">
      <c r="A1" s="3" t="s">
        <v>1375</v>
      </c>
      <c r="O1" s="138" t="s">
        <v>479</v>
      </c>
      <c r="P1" s="138">
        <v>2014</v>
      </c>
      <c r="Q1" s="138" t="s">
        <v>480</v>
      </c>
    </row>
    <row r="2" spans="1:22" x14ac:dyDescent="0.25">
      <c r="O2" s="138"/>
      <c r="P2" s="138" t="str">
        <f>"12/31/"&amp;P1</f>
        <v>12/31/2014</v>
      </c>
      <c r="Q2" s="138" t="s">
        <v>481</v>
      </c>
    </row>
    <row r="3" spans="1:22" x14ac:dyDescent="0.25">
      <c r="O3" s="138"/>
      <c r="P3" s="138" t="str">
        <f>"12/31/"&amp;P1-1</f>
        <v>12/31/2013</v>
      </c>
      <c r="Q3" s="138" t="s">
        <v>482</v>
      </c>
    </row>
    <row r="4" spans="1:22" ht="13.8" x14ac:dyDescent="0.25">
      <c r="J4" s="437" t="s">
        <v>809</v>
      </c>
      <c r="K4" s="437"/>
      <c r="L4" s="437"/>
    </row>
    <row r="5" spans="1:22" ht="13.8" x14ac:dyDescent="0.25">
      <c r="J5" s="438" t="s">
        <v>206</v>
      </c>
      <c r="K5" s="438"/>
      <c r="L5" s="439"/>
      <c r="R5" s="33"/>
      <c r="S5" s="138"/>
      <c r="T5" s="33"/>
      <c r="U5" s="33"/>
      <c r="V5" s="33"/>
    </row>
    <row r="6" spans="1:22" x14ac:dyDescent="0.25">
      <c r="A6" s="33"/>
      <c r="B6" s="33"/>
      <c r="C6" s="33"/>
      <c r="D6" s="33"/>
      <c r="E6" s="33"/>
      <c r="F6" s="33"/>
      <c r="G6" s="33"/>
      <c r="H6" s="33"/>
      <c r="I6" s="33"/>
      <c r="J6" s="440" t="str">
        <f>FF1_Year</f>
        <v>Year Ending 12/31/2014</v>
      </c>
      <c r="K6" s="441"/>
      <c r="L6" s="441"/>
      <c r="R6" s="33"/>
      <c r="S6" s="33"/>
      <c r="T6" s="33"/>
      <c r="U6" s="33"/>
      <c r="V6" s="33"/>
    </row>
    <row r="7" spans="1:22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R7" s="33"/>
      <c r="S7" s="33"/>
      <c r="T7" s="33"/>
      <c r="U7" s="33"/>
      <c r="V7" s="33"/>
    </row>
    <row r="8" spans="1:22" x14ac:dyDescent="0.25">
      <c r="A8" s="442" t="s">
        <v>826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R8" s="33"/>
      <c r="S8" s="33"/>
      <c r="T8" s="33"/>
      <c r="U8" s="33"/>
      <c r="V8" s="33"/>
    </row>
    <row r="9" spans="1:22" x14ac:dyDescent="0.25">
      <c r="A9" s="442" t="s">
        <v>128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R9" s="33"/>
      <c r="S9" s="33"/>
      <c r="T9" s="60"/>
      <c r="U9" s="60"/>
      <c r="V9" s="33"/>
    </row>
    <row r="10" spans="1:22" ht="14.4" x14ac:dyDescent="0.3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R10" s="33"/>
      <c r="S10" s="33"/>
      <c r="T10" s="365"/>
      <c r="U10" s="365"/>
      <c r="V10" s="33"/>
    </row>
    <row r="11" spans="1:22" x14ac:dyDescent="0.25">
      <c r="A11" s="442" t="s">
        <v>127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R11" s="33"/>
      <c r="S11" s="33"/>
      <c r="T11" s="33"/>
      <c r="U11" s="33"/>
      <c r="V11" s="33"/>
    </row>
    <row r="12" spans="1:22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R12" s="33"/>
      <c r="S12" s="33"/>
      <c r="T12" s="33"/>
      <c r="U12" s="33"/>
      <c r="V12" s="33"/>
    </row>
    <row r="13" spans="1:22" x14ac:dyDescent="0.25">
      <c r="A13" s="38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R13" s="33"/>
      <c r="S13" s="33"/>
      <c r="T13" s="33"/>
      <c r="U13" s="33"/>
      <c r="V13" s="33"/>
    </row>
    <row r="14" spans="1:22" ht="26.4" x14ac:dyDescent="0.25">
      <c r="A14" s="69" t="s">
        <v>21</v>
      </c>
      <c r="B14" s="70"/>
      <c r="C14" s="54"/>
      <c r="D14" s="69" t="s">
        <v>4</v>
      </c>
      <c r="E14" s="69"/>
      <c r="F14" s="69" t="s">
        <v>22</v>
      </c>
      <c r="G14" s="69"/>
      <c r="H14" s="442" t="s">
        <v>23</v>
      </c>
      <c r="I14" s="442"/>
      <c r="J14" s="69"/>
      <c r="K14" s="71" t="s">
        <v>24</v>
      </c>
      <c r="L14" s="72"/>
    </row>
    <row r="15" spans="1:22" x14ac:dyDescent="0.25">
      <c r="A15" s="38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22" x14ac:dyDescent="0.25">
      <c r="A16" s="38">
        <v>1</v>
      </c>
      <c r="B16" s="39" t="s">
        <v>810</v>
      </c>
      <c r="C16" s="33"/>
      <c r="D16" s="33" t="str">
        <f>"Page 3, Line "&amp;'DEF - 2 - Page 3 Rev Reqt'!A67</f>
        <v>Page 3, Line 35</v>
      </c>
      <c r="E16" s="33"/>
      <c r="F16" s="33"/>
      <c r="G16" s="33"/>
      <c r="H16" s="33"/>
      <c r="I16" s="33"/>
      <c r="J16" s="33"/>
      <c r="K16" s="35">
        <f>'DEF - 2 - Page 3 Rev Reqt'!K67</f>
        <v>282498480.18290943</v>
      </c>
      <c r="L16" s="33"/>
    </row>
    <row r="17" spans="1:13" x14ac:dyDescent="0.25">
      <c r="A17" s="73"/>
      <c r="B17" s="39"/>
      <c r="C17" s="33"/>
      <c r="D17" s="38"/>
      <c r="E17" s="38"/>
      <c r="F17" s="35"/>
      <c r="G17" s="33"/>
      <c r="H17" s="38"/>
      <c r="I17" s="33"/>
      <c r="J17" s="33"/>
      <c r="K17" s="33" t="str">
        <f>IF(ISNUMBER(I17),F17*I17,"")</f>
        <v/>
      </c>
      <c r="L17" s="33"/>
    </row>
    <row r="18" spans="1:13" x14ac:dyDescent="0.25">
      <c r="A18" s="33"/>
      <c r="B18" s="39" t="s">
        <v>108</v>
      </c>
      <c r="C18" s="33"/>
      <c r="D18" s="38"/>
      <c r="E18" s="38"/>
      <c r="F18" s="35"/>
      <c r="G18" s="33"/>
      <c r="H18" s="38"/>
      <c r="I18" s="36"/>
      <c r="J18" s="36"/>
      <c r="K18" s="35"/>
      <c r="L18" s="33"/>
    </row>
    <row r="19" spans="1:13" x14ac:dyDescent="0.25">
      <c r="A19" s="38">
        <v>2</v>
      </c>
      <c r="B19" s="39"/>
      <c r="C19" s="33" t="s">
        <v>258</v>
      </c>
      <c r="D19" s="283" t="s">
        <v>811</v>
      </c>
      <c r="E19" s="38"/>
      <c r="F19" s="35">
        <f>'DEF - 3, p1, 454 Rev Credits'!$F$31</f>
        <v>3035785.2893306152</v>
      </c>
      <c r="G19" s="33"/>
      <c r="H19" s="38" t="s">
        <v>55</v>
      </c>
      <c r="I19" s="36">
        <v>1</v>
      </c>
      <c r="J19" s="36"/>
      <c r="K19" s="35">
        <f>IF(ISNUMBER(I19),F19*I19,"")</f>
        <v>3035785.2893306152</v>
      </c>
      <c r="L19" s="33"/>
    </row>
    <row r="20" spans="1:13" ht="13.8" thickBot="1" x14ac:dyDescent="0.3">
      <c r="A20" s="38">
        <v>3</v>
      </c>
      <c r="B20" s="39"/>
      <c r="C20" s="33" t="s">
        <v>257</v>
      </c>
      <c r="D20" s="283" t="s">
        <v>811</v>
      </c>
      <c r="E20" s="38"/>
      <c r="F20" s="35">
        <f>'DEF - 3,  p2, 456 Rev Credits'!G102</f>
        <v>1632495.9238231506</v>
      </c>
      <c r="G20" s="33"/>
      <c r="H20" s="38" t="s">
        <v>55</v>
      </c>
      <c r="I20" s="36">
        <v>1</v>
      </c>
      <c r="J20" s="36"/>
      <c r="K20" s="35">
        <f>IF(ISNUMBER(I20),F20*I20,"")</f>
        <v>1632495.9238231506</v>
      </c>
      <c r="L20" s="33"/>
    </row>
    <row r="21" spans="1:13" ht="15" customHeight="1" thickTop="1" x14ac:dyDescent="0.25">
      <c r="A21" s="38">
        <v>4</v>
      </c>
      <c r="B21" s="39" t="s">
        <v>102</v>
      </c>
      <c r="C21" s="33"/>
      <c r="D21" s="38"/>
      <c r="E21" s="38"/>
      <c r="F21" s="45">
        <f>SUM(F17:F20)</f>
        <v>4668281.2131537655</v>
      </c>
      <c r="G21" s="33"/>
      <c r="H21" s="38"/>
      <c r="I21" s="36"/>
      <c r="J21" s="36"/>
      <c r="K21" s="45">
        <f>SUM(K17:K20)</f>
        <v>4668281.2131537655</v>
      </c>
      <c r="L21" s="33"/>
    </row>
    <row r="22" spans="1:13" x14ac:dyDescent="0.25">
      <c r="A22" s="38"/>
      <c r="B22" s="39"/>
      <c r="C22" s="33"/>
      <c r="D22" s="38"/>
      <c r="E22" s="38"/>
      <c r="F22" s="33"/>
      <c r="G22" s="33"/>
      <c r="H22" s="38"/>
      <c r="I22" s="33"/>
      <c r="J22" s="33"/>
      <c r="K22" s="33"/>
      <c r="L22" s="33"/>
    </row>
    <row r="23" spans="1:13" x14ac:dyDescent="0.25">
      <c r="A23" s="38">
        <v>5</v>
      </c>
      <c r="B23" s="39" t="s">
        <v>251</v>
      </c>
      <c r="C23" s="33"/>
      <c r="D23" s="38"/>
      <c r="E23" s="38"/>
      <c r="F23" s="35"/>
      <c r="G23" s="33"/>
      <c r="H23" s="38"/>
      <c r="I23" s="33"/>
      <c r="J23" s="33"/>
      <c r="K23" s="35">
        <v>0</v>
      </c>
      <c r="L23" s="33"/>
    </row>
    <row r="24" spans="1:13" x14ac:dyDescent="0.25">
      <c r="A24" s="38"/>
      <c r="B24" s="39"/>
      <c r="C24" s="33"/>
      <c r="D24" s="38"/>
      <c r="E24" s="38"/>
      <c r="F24" s="33"/>
      <c r="G24" s="33"/>
      <c r="H24" s="38"/>
      <c r="I24" s="33"/>
      <c r="J24" s="33"/>
      <c r="K24" s="33"/>
      <c r="L24" s="33"/>
    </row>
    <row r="25" spans="1:13" x14ac:dyDescent="0.25">
      <c r="A25" s="38">
        <f>A23+1</f>
        <v>6</v>
      </c>
      <c r="B25" s="39" t="s">
        <v>280</v>
      </c>
      <c r="C25" s="33"/>
      <c r="D25" s="38"/>
      <c r="E25" s="38"/>
      <c r="F25" s="33"/>
      <c r="G25" s="33"/>
      <c r="H25" s="38"/>
      <c r="I25" s="33"/>
      <c r="J25" s="33"/>
      <c r="K25" s="35">
        <v>0</v>
      </c>
      <c r="L25" s="33"/>
    </row>
    <row r="26" spans="1:13" x14ac:dyDescent="0.25">
      <c r="A26" s="38"/>
      <c r="B26" s="39"/>
      <c r="C26" s="33"/>
      <c r="D26" s="38"/>
      <c r="E26" s="38"/>
      <c r="F26" s="33"/>
      <c r="G26" s="33"/>
      <c r="H26" s="38"/>
      <c r="I26" s="33"/>
      <c r="J26" s="33"/>
      <c r="K26" s="33"/>
      <c r="L26" s="33"/>
    </row>
    <row r="27" spans="1:13" x14ac:dyDescent="0.25">
      <c r="A27" s="38">
        <f>+A25+1</f>
        <v>7</v>
      </c>
      <c r="B27" s="39" t="s">
        <v>353</v>
      </c>
      <c r="C27" s="33"/>
      <c r="D27" s="38"/>
      <c r="E27" s="38"/>
      <c r="F27" s="33"/>
      <c r="G27" s="33"/>
      <c r="H27" s="38"/>
      <c r="I27" s="33"/>
      <c r="J27" s="33"/>
      <c r="K27" s="35">
        <f>K16-K21+K23+K25</f>
        <v>277830198.96975565</v>
      </c>
      <c r="L27" s="33"/>
    </row>
    <row r="28" spans="1:13" x14ac:dyDescent="0.25">
      <c r="A28" s="38"/>
      <c r="B28" s="39"/>
      <c r="C28" s="33"/>
      <c r="D28" s="38"/>
      <c r="E28" s="38"/>
      <c r="F28" s="33"/>
      <c r="G28" s="33"/>
      <c r="H28" s="38"/>
      <c r="I28" s="33"/>
      <c r="J28" s="33"/>
      <c r="K28" s="33"/>
      <c r="L28" s="33"/>
    </row>
    <row r="29" spans="1:13" ht="30" customHeight="1" x14ac:dyDescent="0.25">
      <c r="A29" s="51">
        <f>A27+1</f>
        <v>8</v>
      </c>
      <c r="B29" s="443" t="s">
        <v>226</v>
      </c>
      <c r="C29" s="444"/>
      <c r="D29" s="51" t="str">
        <f>"p.5, line "&amp;'DEF - 2 - Page 5 Storm'!B36&amp;" Total"</f>
        <v>p.5, line 15 Total</v>
      </c>
      <c r="E29" s="51"/>
      <c r="F29" s="54"/>
      <c r="G29" s="54"/>
      <c r="H29" s="51"/>
      <c r="I29" s="54"/>
      <c r="J29" s="54"/>
      <c r="K29" s="53">
        <f>+'DEF - 2 - Page 5 Storm'!F36</f>
        <v>120053</v>
      </c>
      <c r="L29" s="33"/>
    </row>
    <row r="30" spans="1:13" x14ac:dyDescent="0.25">
      <c r="A30" s="38"/>
      <c r="B30" s="39"/>
      <c r="C30" s="33"/>
      <c r="D30" s="38"/>
      <c r="E30" s="38"/>
      <c r="F30" s="35"/>
      <c r="G30" s="33"/>
      <c r="H30" s="38"/>
      <c r="I30" s="33"/>
      <c r="J30" s="33"/>
      <c r="K30" s="33"/>
      <c r="L30" s="33"/>
    </row>
    <row r="31" spans="1:13" x14ac:dyDescent="0.25">
      <c r="A31" s="38">
        <f>A29+1</f>
        <v>9</v>
      </c>
      <c r="B31" s="39" t="s">
        <v>110</v>
      </c>
      <c r="C31" s="33"/>
      <c r="D31" s="38" t="str">
        <f>"Line "&amp;A27&amp;" / Line "&amp;A29</f>
        <v>Line 7 / Line 8</v>
      </c>
      <c r="E31" s="38"/>
      <c r="F31" s="35"/>
      <c r="G31" s="33"/>
      <c r="H31" s="38"/>
      <c r="I31" s="33"/>
      <c r="J31" s="33"/>
      <c r="K31" s="35">
        <f>IF(K29&lt;&gt;0,K27/K29,0)</f>
        <v>2314.2295400344487</v>
      </c>
      <c r="L31" s="33"/>
      <c r="M31" s="1"/>
    </row>
    <row r="32" spans="1:13" ht="13.8" thickBot="1" x14ac:dyDescent="0.3">
      <c r="A32" s="38">
        <f>A31+1</f>
        <v>10</v>
      </c>
      <c r="B32" s="39" t="s">
        <v>103</v>
      </c>
      <c r="C32" s="33"/>
      <c r="D32" s="38" t="str">
        <f>"Page 5, Line "&amp;'DEF - 2 - Page 5 Storm'!B28</f>
        <v>Page 5, Line 9</v>
      </c>
      <c r="E32" s="38"/>
      <c r="F32" s="35"/>
      <c r="G32" s="33"/>
      <c r="H32" s="38"/>
      <c r="I32" s="33"/>
      <c r="J32" s="33"/>
      <c r="K32" s="35">
        <v>0</v>
      </c>
      <c r="L32" s="33"/>
      <c r="M32" s="201"/>
    </row>
    <row r="33" spans="1:13" ht="13.8" thickTop="1" x14ac:dyDescent="0.25">
      <c r="A33" s="38">
        <f>A32+1</f>
        <v>11</v>
      </c>
      <c r="B33" s="39" t="s">
        <v>187</v>
      </c>
      <c r="C33" s="33"/>
      <c r="D33" s="38" t="str">
        <f>"Line "&amp;A31&amp;" + Line "&amp;A32</f>
        <v>Line 9 + Line 10</v>
      </c>
      <c r="E33" s="38"/>
      <c r="F33" s="74"/>
      <c r="G33" s="74"/>
      <c r="H33" s="75"/>
      <c r="I33" s="74"/>
      <c r="J33" s="36"/>
      <c r="K33" s="45">
        <f>ROUND(IF(K31&lt;&gt;0,K31+K32,0), 0)</f>
        <v>2314</v>
      </c>
      <c r="L33" s="33"/>
      <c r="M33" s="1"/>
    </row>
    <row r="34" spans="1:13" ht="7.5" customHeight="1" x14ac:dyDescent="0.25">
      <c r="A34" s="38"/>
      <c r="B34" s="39"/>
      <c r="C34" s="33"/>
      <c r="D34" s="38"/>
      <c r="E34" s="38"/>
      <c r="F34" s="33"/>
      <c r="G34" s="33"/>
      <c r="H34" s="38"/>
      <c r="I34" s="33"/>
      <c r="J34" s="33"/>
      <c r="K34" s="35"/>
      <c r="L34" s="33"/>
    </row>
    <row r="35" spans="1:13" ht="25.5" customHeight="1" x14ac:dyDescent="0.25">
      <c r="A35" s="51">
        <f>A33+1</f>
        <v>12</v>
      </c>
      <c r="B35" s="443" t="s">
        <v>109</v>
      </c>
      <c r="C35" s="444"/>
      <c r="D35" s="51" t="str">
        <f>"Line "&amp;A33&amp;" * 12"</f>
        <v>Line 11 * 12</v>
      </c>
      <c r="E35" s="51"/>
      <c r="F35" s="53"/>
      <c r="G35" s="54"/>
      <c r="H35" s="51"/>
      <c r="I35" s="55"/>
      <c r="J35" s="54"/>
      <c r="K35" s="53">
        <f>K33*12</f>
        <v>27768</v>
      </c>
      <c r="L35" s="33"/>
    </row>
    <row r="36" spans="1:13" x14ac:dyDescent="0.25">
      <c r="A36" s="38"/>
      <c r="B36" s="39"/>
      <c r="C36" s="33"/>
      <c r="D36" s="38"/>
      <c r="E36" s="38"/>
      <c r="F36" s="33"/>
      <c r="G36" s="33"/>
      <c r="H36" s="38"/>
      <c r="I36" s="33"/>
      <c r="J36" s="33"/>
      <c r="K36" s="35"/>
      <c r="L36" s="33"/>
    </row>
    <row r="37" spans="1:13" x14ac:dyDescent="0.25">
      <c r="A37" s="38">
        <f>A35+1</f>
        <v>13</v>
      </c>
      <c r="B37" s="39" t="s">
        <v>836</v>
      </c>
      <c r="C37" s="33"/>
      <c r="D37" s="38" t="str">
        <f>"Line "&amp;A35&amp;" / 52"</f>
        <v>Line 12 / 52</v>
      </c>
      <c r="E37" s="38"/>
      <c r="F37" s="35"/>
      <c r="G37" s="33"/>
      <c r="H37" s="38"/>
      <c r="I37" s="33"/>
      <c r="J37" s="33"/>
      <c r="K37" s="76">
        <f>K35/52</f>
        <v>534</v>
      </c>
      <c r="L37" s="33"/>
    </row>
    <row r="38" spans="1:13" x14ac:dyDescent="0.25">
      <c r="A38" s="38"/>
      <c r="B38" s="39"/>
      <c r="C38" s="33"/>
      <c r="D38" s="33"/>
      <c r="E38" s="33"/>
      <c r="F38" s="33"/>
      <c r="G38" s="33"/>
      <c r="H38" s="38"/>
      <c r="I38" s="33"/>
      <c r="J38" s="33"/>
      <c r="K38" s="76"/>
      <c r="L38" s="33"/>
    </row>
    <row r="39" spans="1:13" x14ac:dyDescent="0.25">
      <c r="A39" s="38"/>
      <c r="B39" s="39" t="s">
        <v>837</v>
      </c>
      <c r="C39" s="33"/>
      <c r="D39" s="33"/>
      <c r="E39" s="33"/>
      <c r="F39" s="33"/>
      <c r="G39" s="33"/>
      <c r="H39" s="38"/>
      <c r="I39" s="33"/>
      <c r="J39" s="33"/>
      <c r="K39" s="76"/>
      <c r="L39" s="33"/>
    </row>
    <row r="40" spans="1:13" ht="12.75" customHeight="1" x14ac:dyDescent="0.25">
      <c r="A40" s="51">
        <f>A37+1</f>
        <v>14</v>
      </c>
      <c r="B40" s="69"/>
      <c r="C40" s="77" t="s">
        <v>104</v>
      </c>
      <c r="D40" s="38" t="str">
        <f>"Line "&amp;A37&amp;" / 5"</f>
        <v>Line 13 / 5</v>
      </c>
      <c r="E40" s="51"/>
      <c r="F40" s="54"/>
      <c r="G40" s="54"/>
      <c r="H40" s="51"/>
      <c r="I40" s="54"/>
      <c r="J40" s="54"/>
      <c r="K40" s="78">
        <f>K37/5</f>
        <v>106.8</v>
      </c>
      <c r="L40" s="33"/>
    </row>
    <row r="41" spans="1:13" x14ac:dyDescent="0.25">
      <c r="A41" s="38">
        <f>A40+1</f>
        <v>15</v>
      </c>
      <c r="B41" s="39"/>
      <c r="C41" s="33" t="s">
        <v>105</v>
      </c>
      <c r="D41" s="38" t="str">
        <f>"Line "&amp;A37&amp;" / 7"</f>
        <v>Line 13 / 7</v>
      </c>
      <c r="E41" s="51"/>
      <c r="F41" s="54"/>
      <c r="G41" s="54"/>
      <c r="H41" s="51"/>
      <c r="I41" s="54"/>
      <c r="J41" s="54"/>
      <c r="K41" s="78">
        <f>K37/7</f>
        <v>76.285714285714292</v>
      </c>
      <c r="L41" s="33"/>
    </row>
    <row r="42" spans="1:13" x14ac:dyDescent="0.25">
      <c r="A42" s="33"/>
      <c r="B42" s="39"/>
      <c r="C42" s="33"/>
      <c r="D42" s="33"/>
      <c r="E42" s="33"/>
      <c r="F42" s="33"/>
      <c r="G42" s="33"/>
      <c r="H42" s="33"/>
      <c r="I42" s="33"/>
      <c r="J42" s="33"/>
      <c r="K42" s="76"/>
      <c r="L42" s="33"/>
    </row>
    <row r="43" spans="1:13" x14ac:dyDescent="0.25">
      <c r="A43" s="33"/>
      <c r="B43" s="39" t="s">
        <v>838</v>
      </c>
      <c r="C43" s="33"/>
      <c r="D43" s="33"/>
      <c r="E43" s="33"/>
      <c r="F43" s="33"/>
      <c r="G43" s="33"/>
      <c r="H43" s="33"/>
      <c r="I43" s="33"/>
      <c r="J43" s="33"/>
      <c r="K43" s="76"/>
      <c r="L43" s="33"/>
    </row>
    <row r="44" spans="1:13" x14ac:dyDescent="0.25">
      <c r="A44" s="51">
        <f>A41+1</f>
        <v>16</v>
      </c>
      <c r="B44" s="69"/>
      <c r="C44" s="77" t="s">
        <v>106</v>
      </c>
      <c r="D44" s="38" t="str">
        <f>"Line "&amp;A40&amp;" / 16"</f>
        <v>Line 14 / 16</v>
      </c>
      <c r="E44" s="51"/>
      <c r="F44" s="54"/>
      <c r="G44" s="54"/>
      <c r="H44" s="51"/>
      <c r="I44" s="54"/>
      <c r="J44" s="54"/>
      <c r="K44" s="78">
        <f>K40/16</f>
        <v>6.6749999999999998</v>
      </c>
      <c r="L44" s="33"/>
    </row>
    <row r="45" spans="1:13" x14ac:dyDescent="0.25">
      <c r="A45" s="38">
        <f>A44+1</f>
        <v>17</v>
      </c>
      <c r="B45" s="39"/>
      <c r="C45" s="33" t="s">
        <v>107</v>
      </c>
      <c r="D45" s="38" t="str">
        <f>"Line "&amp;A41&amp;" / 24"</f>
        <v>Line 15 / 24</v>
      </c>
      <c r="E45" s="51"/>
      <c r="F45" s="54"/>
      <c r="G45" s="54"/>
      <c r="H45" s="51"/>
      <c r="I45" s="54"/>
      <c r="J45" s="54"/>
      <c r="K45" s="78">
        <f>K41/24</f>
        <v>3.1785714285714288</v>
      </c>
      <c r="L45" s="33"/>
    </row>
    <row r="46" spans="1:13" x14ac:dyDescent="0.25">
      <c r="B46" s="3"/>
    </row>
    <row r="47" spans="1:13" x14ac:dyDescent="0.25">
      <c r="B47" s="3"/>
    </row>
    <row r="48" spans="1:13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</sheetData>
  <mergeCells count="9">
    <mergeCell ref="J4:L4"/>
    <mergeCell ref="J5:L5"/>
    <mergeCell ref="J6:L6"/>
    <mergeCell ref="H14:I14"/>
    <mergeCell ref="B35:C35"/>
    <mergeCell ref="B29:C29"/>
    <mergeCell ref="A8:L8"/>
    <mergeCell ref="A9:L9"/>
    <mergeCell ref="A11:L11"/>
  </mergeCells>
  <phoneticPr fontId="0" type="noConversion"/>
  <printOptions horizontalCentered="1"/>
  <pageMargins left="0.5" right="0.5" top="0.5" bottom="0.5" header="0.5" footer="0.5"/>
  <pageSetup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79"/>
  <sheetViews>
    <sheetView workbookViewId="0">
      <selection activeCell="I2" sqref="I2"/>
    </sheetView>
  </sheetViews>
  <sheetFormatPr defaultColWidth="9.109375" defaultRowHeight="13.2" x14ac:dyDescent="0.25"/>
  <cols>
    <col min="1" max="1" width="5.6640625" style="137" customWidth="1"/>
    <col min="2" max="2" width="18.6640625" style="137" customWidth="1"/>
    <col min="3" max="3" width="9.109375" style="138"/>
    <col min="4" max="4" width="4.6640625" style="138" customWidth="1"/>
    <col min="5" max="5" width="15.6640625" style="138" customWidth="1"/>
    <col min="6" max="6" width="4.6640625" style="138" customWidth="1"/>
    <col min="7" max="7" width="15.6640625" style="138" customWidth="1"/>
    <col min="8" max="8" width="4.6640625" style="138" customWidth="1"/>
    <col min="9" max="9" width="15.6640625" style="138" customWidth="1"/>
    <col min="10" max="10" width="5.6640625" style="137" customWidth="1"/>
    <col min="11" max="16384" width="9.109375" style="137"/>
  </cols>
  <sheetData>
    <row r="1" spans="1:10" ht="13.8" x14ac:dyDescent="0.25">
      <c r="I1" s="438" t="s">
        <v>814</v>
      </c>
      <c r="J1" s="438"/>
    </row>
    <row r="2" spans="1:10" ht="13.8" x14ac:dyDescent="0.25">
      <c r="I2" s="379" t="s">
        <v>358</v>
      </c>
      <c r="J2" s="152"/>
    </row>
    <row r="3" spans="1:10" x14ac:dyDescent="0.25">
      <c r="I3" s="460" t="str">
        <f>FF1_Year</f>
        <v>Year Ending 12/31/2014</v>
      </c>
      <c r="J3" s="460"/>
    </row>
    <row r="4" spans="1:10" ht="24.75" customHeight="1" x14ac:dyDescent="0.25"/>
    <row r="5" spans="1:10" x14ac:dyDescent="0.25">
      <c r="A5" s="447" t="s">
        <v>826</v>
      </c>
      <c r="B5" s="447"/>
      <c r="C5" s="447"/>
      <c r="D5" s="447"/>
      <c r="E5" s="447"/>
      <c r="F5" s="447"/>
      <c r="G5" s="447"/>
      <c r="H5" s="447"/>
      <c r="I5" s="447"/>
      <c r="J5" s="447"/>
    </row>
    <row r="6" spans="1:10" x14ac:dyDescent="0.25">
      <c r="A6" s="451" t="s">
        <v>145</v>
      </c>
      <c r="B6" s="451"/>
      <c r="C6" s="451"/>
      <c r="D6" s="451"/>
      <c r="E6" s="451"/>
      <c r="F6" s="451"/>
      <c r="G6" s="451"/>
      <c r="H6" s="451"/>
      <c r="I6" s="451"/>
      <c r="J6" s="451"/>
    </row>
    <row r="7" spans="1:10" ht="17.25" customHeight="1" x14ac:dyDescent="0.25">
      <c r="B7" s="176"/>
      <c r="C7" s="197"/>
      <c r="D7" s="197"/>
      <c r="E7" s="197"/>
      <c r="F7" s="197"/>
      <c r="G7" s="197"/>
      <c r="H7" s="197"/>
      <c r="I7" s="197"/>
      <c r="J7" s="176"/>
    </row>
    <row r="8" spans="1:10" x14ac:dyDescent="0.25">
      <c r="B8" s="176"/>
      <c r="C8" s="197"/>
      <c r="D8" s="197"/>
      <c r="E8" s="390" t="s">
        <v>132</v>
      </c>
      <c r="F8" s="390"/>
      <c r="G8" s="390"/>
      <c r="H8" s="390"/>
      <c r="I8" s="197"/>
      <c r="J8" s="176"/>
    </row>
    <row r="9" spans="1:10" x14ac:dyDescent="0.25">
      <c r="B9" s="177" t="s">
        <v>133</v>
      </c>
      <c r="C9" s="391" t="s">
        <v>200</v>
      </c>
      <c r="D9" s="197"/>
      <c r="E9" s="392" t="s">
        <v>199</v>
      </c>
      <c r="F9" s="213"/>
      <c r="G9" s="393" t="s">
        <v>134</v>
      </c>
      <c r="H9" s="393"/>
      <c r="I9" s="393" t="s">
        <v>144</v>
      </c>
    </row>
    <row r="10" spans="1:10" x14ac:dyDescent="0.25">
      <c r="B10" s="177"/>
      <c r="C10" s="391"/>
      <c r="D10" s="197"/>
      <c r="E10" s="213"/>
      <c r="F10" s="213"/>
      <c r="G10" s="213"/>
      <c r="H10" s="213"/>
      <c r="I10" s="213"/>
    </row>
    <row r="11" spans="1:10" x14ac:dyDescent="0.25">
      <c r="B11" s="178" t="s">
        <v>143</v>
      </c>
      <c r="C11" s="178" t="s">
        <v>1359</v>
      </c>
      <c r="D11" s="178"/>
      <c r="E11" s="178" t="s">
        <v>1341</v>
      </c>
      <c r="F11" s="178"/>
      <c r="G11" s="180">
        <v>963490.78</v>
      </c>
      <c r="H11" s="180"/>
      <c r="I11" s="179">
        <v>1992</v>
      </c>
    </row>
    <row r="12" spans="1:10" x14ac:dyDescent="0.25">
      <c r="B12" s="178"/>
      <c r="C12" s="178" t="s">
        <v>1359</v>
      </c>
      <c r="D12" s="178"/>
      <c r="E12" s="178" t="s">
        <v>1341</v>
      </c>
      <c r="F12" s="178"/>
      <c r="G12" s="180">
        <v>569297.26</v>
      </c>
      <c r="H12" s="180"/>
      <c r="I12" s="179">
        <v>2010</v>
      </c>
    </row>
    <row r="13" spans="1:10" x14ac:dyDescent="0.25">
      <c r="B13" s="178"/>
      <c r="C13" s="178" t="s">
        <v>1359</v>
      </c>
      <c r="D13" s="178"/>
      <c r="E13" s="178" t="s">
        <v>1341</v>
      </c>
      <c r="F13" s="178"/>
      <c r="G13" s="180">
        <v>844056.24</v>
      </c>
      <c r="H13" s="180"/>
      <c r="I13" s="179">
        <v>2012</v>
      </c>
    </row>
    <row r="14" spans="1:10" x14ac:dyDescent="0.25">
      <c r="B14" s="178"/>
      <c r="C14" s="178" t="s">
        <v>1342</v>
      </c>
      <c r="D14" s="178"/>
      <c r="E14" s="178" t="s">
        <v>1343</v>
      </c>
      <c r="F14" s="178"/>
      <c r="G14" s="180">
        <v>541256</v>
      </c>
      <c r="H14" s="180"/>
      <c r="I14" s="179">
        <v>1969</v>
      </c>
    </row>
    <row r="15" spans="1:10" x14ac:dyDescent="0.25">
      <c r="B15" s="178"/>
      <c r="C15" s="178" t="s">
        <v>1342</v>
      </c>
      <c r="D15" s="178"/>
      <c r="E15" s="178" t="s">
        <v>1343</v>
      </c>
      <c r="F15" s="178"/>
      <c r="G15" s="180">
        <v>2905468.47</v>
      </c>
      <c r="H15" s="180"/>
      <c r="I15" s="179">
        <v>2001</v>
      </c>
    </row>
    <row r="16" spans="1:10" x14ac:dyDescent="0.25">
      <c r="B16" s="178"/>
      <c r="C16" s="178" t="s">
        <v>1337</v>
      </c>
      <c r="D16" s="178"/>
      <c r="E16" s="178" t="s">
        <v>1360</v>
      </c>
      <c r="F16" s="178"/>
      <c r="G16" s="180">
        <v>1753172.37</v>
      </c>
      <c r="H16" s="180"/>
      <c r="I16" s="179">
        <v>1982</v>
      </c>
    </row>
    <row r="17" spans="2:9" x14ac:dyDescent="0.25">
      <c r="B17" s="178"/>
      <c r="C17" s="178" t="s">
        <v>1337</v>
      </c>
      <c r="D17" s="178"/>
      <c r="E17" s="178" t="s">
        <v>1360</v>
      </c>
      <c r="F17" s="178"/>
      <c r="G17" s="180">
        <v>145500</v>
      </c>
      <c r="H17" s="180"/>
      <c r="I17" s="179">
        <v>1997</v>
      </c>
    </row>
    <row r="18" spans="2:9" x14ac:dyDescent="0.25">
      <c r="B18" s="178"/>
      <c r="C18" s="178" t="s">
        <v>1337</v>
      </c>
      <c r="D18" s="178"/>
      <c r="E18" s="178" t="s">
        <v>1360</v>
      </c>
      <c r="F18" s="178"/>
      <c r="G18" s="180">
        <v>6602729.9199999999</v>
      </c>
      <c r="H18" s="180"/>
      <c r="I18" s="179">
        <v>2012</v>
      </c>
    </row>
    <row r="19" spans="2:9" x14ac:dyDescent="0.25">
      <c r="B19" s="178"/>
      <c r="C19" s="178" t="s">
        <v>1325</v>
      </c>
      <c r="D19" s="178"/>
      <c r="E19" s="178" t="s">
        <v>1361</v>
      </c>
      <c r="F19" s="178"/>
      <c r="G19" s="180">
        <v>887077</v>
      </c>
      <c r="H19" s="180"/>
      <c r="I19" s="179">
        <v>1984</v>
      </c>
    </row>
    <row r="20" spans="2:9" x14ac:dyDescent="0.25">
      <c r="B20" s="178"/>
      <c r="C20" s="178" t="s">
        <v>1325</v>
      </c>
      <c r="D20" s="178"/>
      <c r="E20" s="178" t="s">
        <v>1361</v>
      </c>
      <c r="F20" s="178"/>
      <c r="G20" s="180">
        <v>0</v>
      </c>
      <c r="H20" s="180"/>
      <c r="I20" s="179">
        <v>1993</v>
      </c>
    </row>
    <row r="21" spans="2:9" x14ac:dyDescent="0.25">
      <c r="B21" s="178"/>
      <c r="C21" s="178" t="s">
        <v>1325</v>
      </c>
      <c r="D21" s="178"/>
      <c r="E21" s="178" t="s">
        <v>1339</v>
      </c>
      <c r="F21" s="178"/>
      <c r="G21" s="180">
        <v>3430323</v>
      </c>
      <c r="H21" s="180"/>
      <c r="I21" s="179">
        <v>1998</v>
      </c>
    </row>
    <row r="22" spans="2:9" x14ac:dyDescent="0.25">
      <c r="B22" s="178"/>
      <c r="C22" s="178"/>
      <c r="D22" s="178"/>
      <c r="E22" s="179"/>
      <c r="F22" s="178"/>
      <c r="G22" s="181">
        <f>SUM(G11:G21)</f>
        <v>18642371.039999999</v>
      </c>
      <c r="H22" s="182"/>
      <c r="I22" s="179"/>
    </row>
    <row r="23" spans="2:9" x14ac:dyDescent="0.25">
      <c r="B23" s="178"/>
      <c r="C23" s="178"/>
      <c r="D23" s="178"/>
      <c r="E23" s="179"/>
      <c r="F23" s="178"/>
      <c r="G23" s="180"/>
      <c r="H23" s="180"/>
      <c r="I23" s="179"/>
    </row>
    <row r="24" spans="2:9" x14ac:dyDescent="0.25">
      <c r="B24" s="178" t="s">
        <v>671</v>
      </c>
      <c r="C24" s="178" t="s">
        <v>1340</v>
      </c>
      <c r="D24" s="178"/>
      <c r="E24" s="178" t="s">
        <v>1341</v>
      </c>
      <c r="F24" s="178"/>
      <c r="G24" s="180">
        <v>509319.35</v>
      </c>
      <c r="H24" s="180"/>
      <c r="I24" s="179">
        <v>1974</v>
      </c>
    </row>
    <row r="25" spans="2:9" x14ac:dyDescent="0.25">
      <c r="B25" s="178"/>
      <c r="C25" s="178" t="s">
        <v>1340</v>
      </c>
      <c r="D25" s="178"/>
      <c r="E25" s="178" t="s">
        <v>1341</v>
      </c>
      <c r="F25" s="178"/>
      <c r="G25" s="180">
        <v>15319</v>
      </c>
      <c r="H25" s="180"/>
      <c r="I25" s="179">
        <v>1984</v>
      </c>
    </row>
    <row r="26" spans="2:9" x14ac:dyDescent="0.25">
      <c r="B26" s="178"/>
      <c r="C26" s="178" t="s">
        <v>1340</v>
      </c>
      <c r="D26" s="178"/>
      <c r="E26" s="178" t="s">
        <v>1341</v>
      </c>
      <c r="F26" s="178"/>
      <c r="G26" s="180">
        <v>149851</v>
      </c>
      <c r="H26" s="180"/>
      <c r="I26" s="179">
        <v>1991</v>
      </c>
    </row>
    <row r="27" spans="2:9" x14ac:dyDescent="0.25">
      <c r="B27" s="178"/>
      <c r="C27" s="178" t="s">
        <v>1340</v>
      </c>
      <c r="D27" s="178"/>
      <c r="E27" s="178" t="s">
        <v>1341</v>
      </c>
      <c r="F27" s="178"/>
      <c r="G27" s="180">
        <v>566429.68999999994</v>
      </c>
      <c r="H27" s="180"/>
      <c r="I27" s="179">
        <v>2008</v>
      </c>
    </row>
    <row r="28" spans="2:9" x14ac:dyDescent="0.25">
      <c r="B28" s="178"/>
      <c r="C28" s="178" t="s">
        <v>1342</v>
      </c>
      <c r="D28" s="178"/>
      <c r="E28" s="178" t="s">
        <v>1343</v>
      </c>
      <c r="F28" s="178"/>
      <c r="G28" s="180">
        <v>477904</v>
      </c>
      <c r="H28" s="180"/>
      <c r="I28" s="179">
        <v>1981</v>
      </c>
    </row>
    <row r="29" spans="2:9" x14ac:dyDescent="0.25">
      <c r="B29" s="178"/>
      <c r="C29" s="178" t="s">
        <v>1342</v>
      </c>
      <c r="D29" s="178"/>
      <c r="E29" s="178" t="s">
        <v>1343</v>
      </c>
      <c r="F29" s="178"/>
      <c r="G29" s="180">
        <v>479418</v>
      </c>
      <c r="H29" s="180"/>
      <c r="I29" s="179">
        <v>1981</v>
      </c>
    </row>
    <row r="30" spans="2:9" x14ac:dyDescent="0.25">
      <c r="B30" s="178"/>
      <c r="C30" s="178"/>
      <c r="D30" s="178"/>
      <c r="E30" s="179"/>
      <c r="F30" s="178"/>
      <c r="G30" s="181">
        <f>SUM(G24:G29)</f>
        <v>2198241.04</v>
      </c>
      <c r="H30" s="182"/>
      <c r="I30" s="179"/>
    </row>
    <row r="31" spans="2:9" x14ac:dyDescent="0.25">
      <c r="B31" s="178"/>
      <c r="C31" s="178"/>
      <c r="D31" s="178"/>
      <c r="E31" s="179"/>
      <c r="F31" s="178"/>
      <c r="G31" s="180"/>
      <c r="H31" s="180"/>
      <c r="I31" s="179"/>
    </row>
    <row r="32" spans="2:9" x14ac:dyDescent="0.25">
      <c r="B32" s="178" t="s">
        <v>672</v>
      </c>
      <c r="C32" s="178" t="s">
        <v>1340</v>
      </c>
      <c r="D32" s="178"/>
      <c r="E32" s="178" t="s">
        <v>1330</v>
      </c>
      <c r="F32" s="178"/>
      <c r="G32" s="180">
        <v>364638</v>
      </c>
      <c r="H32" s="180"/>
      <c r="I32" s="179">
        <v>1975</v>
      </c>
    </row>
    <row r="33" spans="2:9" x14ac:dyDescent="0.25">
      <c r="B33" s="178"/>
      <c r="C33" s="178" t="s">
        <v>1342</v>
      </c>
      <c r="D33" s="178"/>
      <c r="E33" s="178" t="s">
        <v>1362</v>
      </c>
      <c r="F33" s="178"/>
      <c r="G33" s="180">
        <v>364638</v>
      </c>
      <c r="H33" s="180"/>
      <c r="I33" s="179">
        <v>1975</v>
      </c>
    </row>
    <row r="34" spans="2:9" x14ac:dyDescent="0.25">
      <c r="B34" s="178"/>
      <c r="C34" s="178" t="s">
        <v>1344</v>
      </c>
      <c r="D34" s="178"/>
      <c r="E34" s="178" t="s">
        <v>1363</v>
      </c>
      <c r="F34" s="178"/>
      <c r="G34" s="180">
        <v>364639</v>
      </c>
      <c r="H34" s="180"/>
      <c r="I34" s="179">
        <v>1975</v>
      </c>
    </row>
    <row r="35" spans="2:9" x14ac:dyDescent="0.25">
      <c r="B35" s="178"/>
      <c r="C35" s="178" t="s">
        <v>1346</v>
      </c>
      <c r="D35" s="178"/>
      <c r="E35" s="178" t="s">
        <v>1349</v>
      </c>
      <c r="F35" s="178"/>
      <c r="G35" s="180">
        <v>847435.91</v>
      </c>
      <c r="H35" s="180"/>
      <c r="I35" s="179">
        <v>1992</v>
      </c>
    </row>
    <row r="36" spans="2:9" x14ac:dyDescent="0.25">
      <c r="B36" s="178"/>
      <c r="C36" s="178" t="s">
        <v>1348</v>
      </c>
      <c r="D36" s="178"/>
      <c r="E36" s="178" t="s">
        <v>1353</v>
      </c>
      <c r="F36" s="178"/>
      <c r="G36" s="180">
        <v>847435.91</v>
      </c>
      <c r="H36" s="180"/>
      <c r="I36" s="179">
        <v>1992</v>
      </c>
    </row>
    <row r="37" spans="2:9" x14ac:dyDescent="0.25">
      <c r="B37" s="178"/>
      <c r="C37" s="178" t="s">
        <v>1350</v>
      </c>
      <c r="D37" s="178"/>
      <c r="E37" s="178" t="s">
        <v>1351</v>
      </c>
      <c r="F37" s="178"/>
      <c r="G37" s="180">
        <v>847435.91</v>
      </c>
      <c r="H37" s="180"/>
      <c r="I37" s="179">
        <v>1992</v>
      </c>
    </row>
    <row r="38" spans="2:9" x14ac:dyDescent="0.25">
      <c r="B38" s="178"/>
      <c r="C38" s="178" t="s">
        <v>1352</v>
      </c>
      <c r="D38" s="178"/>
      <c r="E38" s="178" t="s">
        <v>1355</v>
      </c>
      <c r="F38" s="178"/>
      <c r="G38" s="180">
        <v>847435.91</v>
      </c>
      <c r="H38" s="180"/>
      <c r="I38" s="179">
        <v>1992</v>
      </c>
    </row>
    <row r="39" spans="2:9" x14ac:dyDescent="0.25">
      <c r="B39" s="178"/>
      <c r="C39" s="178"/>
      <c r="D39" s="178"/>
      <c r="E39" s="179"/>
      <c r="F39" s="178"/>
      <c r="G39" s="181">
        <f>SUM(G32:G38)</f>
        <v>4483658.6400000006</v>
      </c>
      <c r="H39" s="182"/>
      <c r="I39" s="179"/>
    </row>
    <row r="40" spans="2:9" x14ac:dyDescent="0.25">
      <c r="B40" s="178"/>
      <c r="C40" s="178"/>
      <c r="D40" s="178"/>
      <c r="E40" s="179"/>
      <c r="F40" s="178"/>
      <c r="G40" s="180"/>
      <c r="H40" s="180"/>
      <c r="I40" s="179"/>
    </row>
    <row r="41" spans="2:9" x14ac:dyDescent="0.25">
      <c r="B41" s="178" t="s">
        <v>673</v>
      </c>
      <c r="C41" s="178" t="s">
        <v>1325</v>
      </c>
      <c r="D41" s="178"/>
      <c r="E41" s="178" t="s">
        <v>1330</v>
      </c>
      <c r="F41" s="178"/>
      <c r="G41" s="180">
        <v>113598</v>
      </c>
      <c r="H41" s="180"/>
      <c r="I41" s="179">
        <v>1970</v>
      </c>
    </row>
    <row r="42" spans="2:9" x14ac:dyDescent="0.25">
      <c r="B42" s="178"/>
      <c r="C42" s="178" t="s">
        <v>1325</v>
      </c>
      <c r="D42" s="178"/>
      <c r="E42" s="178" t="s">
        <v>1330</v>
      </c>
      <c r="F42" s="178"/>
      <c r="G42" s="180">
        <v>45831</v>
      </c>
      <c r="H42" s="180"/>
      <c r="I42" s="179">
        <v>1991</v>
      </c>
    </row>
    <row r="43" spans="2:9" x14ac:dyDescent="0.25">
      <c r="B43" s="178"/>
      <c r="C43" s="178" t="s">
        <v>1327</v>
      </c>
      <c r="D43" s="178"/>
      <c r="E43" s="178" t="s">
        <v>1338</v>
      </c>
      <c r="F43" s="178"/>
      <c r="G43" s="180">
        <v>292778</v>
      </c>
      <c r="H43" s="180"/>
      <c r="I43" s="179">
        <v>1970</v>
      </c>
    </row>
    <row r="44" spans="2:9" x14ac:dyDescent="0.25">
      <c r="B44" s="178"/>
      <c r="C44" s="178" t="s">
        <v>1352</v>
      </c>
      <c r="D44" s="178"/>
      <c r="E44" s="178" t="s">
        <v>1339</v>
      </c>
      <c r="F44" s="178"/>
      <c r="G44" s="180">
        <v>258092</v>
      </c>
      <c r="H44" s="180"/>
      <c r="I44" s="179">
        <v>1990</v>
      </c>
    </row>
    <row r="45" spans="2:9" x14ac:dyDescent="0.25">
      <c r="B45" s="178"/>
      <c r="C45" s="178"/>
      <c r="D45" s="178"/>
      <c r="E45" s="179"/>
      <c r="F45" s="178"/>
      <c r="G45" s="181">
        <f>SUM(G41:G44)</f>
        <v>710299</v>
      </c>
      <c r="H45" s="182"/>
      <c r="I45" s="179"/>
    </row>
    <row r="46" spans="2:9" x14ac:dyDescent="0.25">
      <c r="B46" s="178"/>
      <c r="C46" s="178"/>
      <c r="D46" s="178"/>
      <c r="E46" s="179"/>
      <c r="F46" s="178"/>
      <c r="G46" s="180"/>
      <c r="H46" s="180"/>
      <c r="I46" s="179"/>
    </row>
    <row r="47" spans="2:9" x14ac:dyDescent="0.25">
      <c r="B47" s="178" t="s">
        <v>674</v>
      </c>
      <c r="C47" s="178" t="s">
        <v>1327</v>
      </c>
      <c r="D47" s="178"/>
      <c r="E47" s="178" t="s">
        <v>1330</v>
      </c>
      <c r="F47" s="178"/>
      <c r="G47" s="180">
        <v>158609</v>
      </c>
      <c r="H47" s="180"/>
      <c r="I47" s="179">
        <v>1968</v>
      </c>
    </row>
    <row r="48" spans="2:9" x14ac:dyDescent="0.25">
      <c r="B48" s="178"/>
      <c r="C48" s="178"/>
      <c r="D48" s="178"/>
      <c r="E48" s="179"/>
      <c r="F48" s="178"/>
      <c r="G48" s="181">
        <f>SUM(G47:G47)</f>
        <v>158609</v>
      </c>
      <c r="H48" s="182"/>
      <c r="I48" s="179"/>
    </row>
    <row r="49" spans="2:9" x14ac:dyDescent="0.25">
      <c r="B49" s="178"/>
      <c r="C49" s="178"/>
      <c r="D49" s="178"/>
      <c r="E49" s="179"/>
      <c r="F49" s="178"/>
      <c r="G49" s="180"/>
      <c r="H49" s="180"/>
      <c r="I49" s="179"/>
    </row>
    <row r="50" spans="2:9" x14ac:dyDescent="0.25">
      <c r="B50" s="178" t="s">
        <v>675</v>
      </c>
      <c r="C50" s="178" t="s">
        <v>1337</v>
      </c>
      <c r="D50" s="178"/>
      <c r="E50" s="178" t="s">
        <v>1329</v>
      </c>
      <c r="F50" s="178"/>
      <c r="G50" s="180">
        <v>549496.23</v>
      </c>
      <c r="H50" s="180"/>
      <c r="I50" s="179">
        <v>1994</v>
      </c>
    </row>
    <row r="51" spans="2:9" x14ac:dyDescent="0.25">
      <c r="B51" s="178"/>
      <c r="C51" s="178"/>
      <c r="D51" s="178"/>
      <c r="E51" s="179"/>
      <c r="F51" s="178"/>
      <c r="G51" s="181">
        <f>SUM(G50:G50)</f>
        <v>549496.23</v>
      </c>
      <c r="H51" s="182"/>
      <c r="I51" s="179"/>
    </row>
    <row r="52" spans="2:9" x14ac:dyDescent="0.25">
      <c r="B52" s="178"/>
      <c r="C52" s="178"/>
      <c r="D52" s="178"/>
      <c r="E52" s="179"/>
      <c r="F52" s="178"/>
      <c r="G52" s="182"/>
      <c r="H52" s="182"/>
      <c r="I52" s="179"/>
    </row>
    <row r="53" spans="2:9" x14ac:dyDescent="0.25">
      <c r="B53" s="178" t="s">
        <v>676</v>
      </c>
      <c r="C53" s="178"/>
      <c r="D53" s="178"/>
      <c r="E53" s="178" t="s">
        <v>1332</v>
      </c>
      <c r="F53" s="178"/>
      <c r="G53" s="180">
        <v>3202449</v>
      </c>
      <c r="H53" s="180"/>
      <c r="I53" s="179">
        <v>1999</v>
      </c>
    </row>
    <row r="54" spans="2:9" x14ac:dyDescent="0.25">
      <c r="B54" s="178"/>
      <c r="C54" s="178"/>
      <c r="D54" s="178"/>
      <c r="E54" s="178" t="s">
        <v>1333</v>
      </c>
      <c r="F54" s="178"/>
      <c r="G54" s="180">
        <v>1601225</v>
      </c>
      <c r="H54" s="180"/>
      <c r="I54" s="179">
        <v>1999</v>
      </c>
    </row>
    <row r="55" spans="2:9" x14ac:dyDescent="0.25">
      <c r="B55" s="178"/>
      <c r="C55" s="178"/>
      <c r="D55" s="178"/>
      <c r="E55" s="178" t="s">
        <v>1334</v>
      </c>
      <c r="F55" s="178"/>
      <c r="G55" s="180">
        <v>1601225</v>
      </c>
      <c r="H55" s="180"/>
      <c r="I55" s="179">
        <v>1999</v>
      </c>
    </row>
    <row r="56" spans="2:9" x14ac:dyDescent="0.25">
      <c r="B56" s="178" t="s">
        <v>677</v>
      </c>
      <c r="C56" s="178"/>
      <c r="D56" s="178"/>
      <c r="E56" s="178" t="s">
        <v>1364</v>
      </c>
      <c r="F56" s="178"/>
      <c r="G56" s="180">
        <v>2959349.6949999998</v>
      </c>
      <c r="H56" s="180"/>
      <c r="I56" s="179">
        <v>2003</v>
      </c>
    </row>
    <row r="57" spans="2:9" x14ac:dyDescent="0.25">
      <c r="B57" s="178"/>
      <c r="C57" s="178"/>
      <c r="D57" s="178"/>
      <c r="E57" s="178" t="s">
        <v>1365</v>
      </c>
      <c r="F57" s="178"/>
      <c r="G57" s="180">
        <v>1479674.8474999999</v>
      </c>
      <c r="H57" s="180"/>
      <c r="I57" s="179">
        <v>2003</v>
      </c>
    </row>
    <row r="58" spans="2:9" x14ac:dyDescent="0.25">
      <c r="B58" s="178"/>
      <c r="C58" s="178"/>
      <c r="D58" s="178"/>
      <c r="E58" s="178" t="s">
        <v>1366</v>
      </c>
      <c r="F58" s="178"/>
      <c r="G58" s="180">
        <v>1479674.8474999999</v>
      </c>
      <c r="H58" s="180"/>
      <c r="I58" s="179">
        <v>2003</v>
      </c>
    </row>
    <row r="59" spans="2:9" x14ac:dyDescent="0.25">
      <c r="B59" s="178" t="s">
        <v>678</v>
      </c>
      <c r="C59" s="178"/>
      <c r="D59" s="178"/>
      <c r="E59" s="178" t="s">
        <v>1367</v>
      </c>
      <c r="F59" s="178"/>
      <c r="G59" s="180">
        <v>3630078.0275055314</v>
      </c>
      <c r="H59" s="180"/>
      <c r="I59" s="179">
        <v>2005</v>
      </c>
    </row>
    <row r="60" spans="2:9" x14ac:dyDescent="0.25">
      <c r="B60" s="178"/>
      <c r="C60" s="178"/>
      <c r="D60" s="178"/>
      <c r="E60" s="178" t="s">
        <v>1368</v>
      </c>
      <c r="F60" s="178"/>
      <c r="G60" s="180">
        <v>1800817.7039922895</v>
      </c>
      <c r="H60" s="180"/>
      <c r="I60" s="179">
        <v>2005</v>
      </c>
    </row>
    <row r="61" spans="2:9" x14ac:dyDescent="0.25">
      <c r="B61" s="178"/>
      <c r="C61" s="178"/>
      <c r="D61" s="178"/>
      <c r="E61" s="178" t="s">
        <v>1369</v>
      </c>
      <c r="F61" s="178"/>
      <c r="G61" s="180">
        <v>1831870.8585021792</v>
      </c>
      <c r="H61" s="180"/>
      <c r="I61" s="179">
        <v>2005</v>
      </c>
    </row>
    <row r="62" spans="2:9" x14ac:dyDescent="0.25">
      <c r="B62" s="178" t="s">
        <v>679</v>
      </c>
      <c r="C62" s="178"/>
      <c r="D62" s="178"/>
      <c r="E62" s="178" t="s">
        <v>1370</v>
      </c>
      <c r="F62" s="178"/>
      <c r="G62" s="180">
        <v>4000748.42</v>
      </c>
      <c r="H62" s="180"/>
      <c r="I62" s="179">
        <v>2007</v>
      </c>
    </row>
    <row r="63" spans="2:9" x14ac:dyDescent="0.25">
      <c r="B63" s="178"/>
      <c r="C63" s="178"/>
      <c r="D63" s="178"/>
      <c r="E63" s="178" t="s">
        <v>1339</v>
      </c>
      <c r="F63" s="178"/>
      <c r="G63" s="180">
        <v>816533</v>
      </c>
      <c r="H63" s="180"/>
      <c r="I63" s="179">
        <v>2002</v>
      </c>
    </row>
    <row r="64" spans="2:9" x14ac:dyDescent="0.25">
      <c r="B64" s="178"/>
      <c r="C64" s="178"/>
      <c r="D64" s="178"/>
      <c r="E64" s="179"/>
      <c r="F64" s="178"/>
      <c r="G64" s="183">
        <f>SUM(G53:G63)</f>
        <v>24403646.399999999</v>
      </c>
      <c r="H64" s="182"/>
      <c r="I64" s="179"/>
    </row>
    <row r="65" spans="2:9" x14ac:dyDescent="0.25">
      <c r="B65" s="178"/>
      <c r="C65" s="178"/>
      <c r="D65" s="178"/>
      <c r="E65" s="179"/>
      <c r="F65" s="178"/>
      <c r="G65" s="182"/>
      <c r="H65" s="182"/>
      <c r="I65" s="179"/>
    </row>
    <row r="66" spans="2:9" x14ac:dyDescent="0.25">
      <c r="B66" s="178" t="s">
        <v>680</v>
      </c>
      <c r="C66" s="178"/>
      <c r="D66" s="178"/>
      <c r="E66" s="178" t="s">
        <v>1371</v>
      </c>
      <c r="F66" s="178"/>
      <c r="G66" s="180">
        <v>971486</v>
      </c>
      <c r="H66" s="180"/>
      <c r="I66" s="179">
        <v>1997</v>
      </c>
    </row>
    <row r="67" spans="2:9" x14ac:dyDescent="0.25">
      <c r="B67" s="178"/>
      <c r="C67" s="178"/>
      <c r="D67" s="178"/>
      <c r="E67" s="178" t="s">
        <v>1372</v>
      </c>
      <c r="F67" s="178"/>
      <c r="G67" s="180">
        <v>971486</v>
      </c>
      <c r="H67" s="180"/>
      <c r="I67" s="179">
        <v>1997</v>
      </c>
    </row>
    <row r="68" spans="2:9" x14ac:dyDescent="0.25">
      <c r="B68" s="178"/>
      <c r="C68" s="178"/>
      <c r="D68" s="178"/>
      <c r="E68" s="179"/>
      <c r="F68" s="178"/>
      <c r="G68" s="183">
        <f>SUM(G66:G67)</f>
        <v>1942972</v>
      </c>
      <c r="H68" s="182"/>
      <c r="I68" s="179"/>
    </row>
    <row r="69" spans="2:9" x14ac:dyDescent="0.25">
      <c r="B69" s="178"/>
      <c r="C69" s="178"/>
      <c r="D69" s="178"/>
      <c r="E69" s="179"/>
      <c r="F69" s="178"/>
      <c r="G69" s="182"/>
      <c r="H69" s="182"/>
      <c r="I69" s="179"/>
    </row>
    <row r="70" spans="2:9" x14ac:dyDescent="0.25">
      <c r="B70" s="178" t="s">
        <v>681</v>
      </c>
      <c r="C70" s="178"/>
      <c r="D70" s="178"/>
      <c r="E70" s="178" t="s">
        <v>1373</v>
      </c>
      <c r="F70" s="178"/>
      <c r="G70" s="180">
        <v>689047.29</v>
      </c>
      <c r="H70" s="180"/>
      <c r="I70" s="179">
        <v>2003</v>
      </c>
    </row>
    <row r="71" spans="2:9" x14ac:dyDescent="0.25">
      <c r="B71" s="178"/>
      <c r="C71" s="178"/>
      <c r="D71" s="178"/>
      <c r="E71" s="178" t="s">
        <v>1374</v>
      </c>
      <c r="F71" s="178"/>
      <c r="G71" s="180">
        <v>1872609.6099999999</v>
      </c>
      <c r="H71" s="180"/>
      <c r="I71" s="179">
        <v>2002</v>
      </c>
    </row>
    <row r="72" spans="2:9" x14ac:dyDescent="0.25">
      <c r="B72" s="178"/>
      <c r="C72" s="178"/>
      <c r="D72" s="178"/>
      <c r="E72" s="179"/>
      <c r="F72" s="178"/>
      <c r="G72" s="183">
        <f>SUM(G70:G71)</f>
        <v>2561656.9</v>
      </c>
      <c r="H72" s="182"/>
      <c r="I72" s="184"/>
    </row>
    <row r="73" spans="2:9" ht="6" customHeight="1" x14ac:dyDescent="0.25">
      <c r="B73" s="176"/>
      <c r="C73" s="197"/>
      <c r="D73" s="197"/>
      <c r="E73" s="197"/>
      <c r="F73" s="197"/>
      <c r="G73" s="132"/>
      <c r="H73" s="132"/>
      <c r="I73" s="390"/>
    </row>
    <row r="74" spans="2:9" x14ac:dyDescent="0.25">
      <c r="B74" s="176" t="s">
        <v>682</v>
      </c>
      <c r="C74" s="197"/>
      <c r="D74" s="197"/>
      <c r="E74" s="197"/>
      <c r="F74" s="197"/>
      <c r="G74" s="399">
        <f>SUM(G11:G72)/2</f>
        <v>55650950.249999985</v>
      </c>
      <c r="H74" s="132"/>
      <c r="I74" s="390"/>
    </row>
    <row r="75" spans="2:9" x14ac:dyDescent="0.25">
      <c r="B75" s="176" t="s">
        <v>708</v>
      </c>
      <c r="C75" s="197"/>
      <c r="D75" s="197"/>
      <c r="E75" s="197"/>
      <c r="F75" s="197"/>
      <c r="G75" s="399">
        <f>'DEF - 4, p1 Step Ups'!G61</f>
        <v>30866942.269999996</v>
      </c>
      <c r="H75" s="132"/>
      <c r="I75" s="390"/>
    </row>
    <row r="76" spans="2:9" ht="6" customHeight="1" x14ac:dyDescent="0.25">
      <c r="B76" s="176"/>
      <c r="C76" s="197"/>
      <c r="D76" s="197"/>
      <c r="E76" s="197"/>
      <c r="F76" s="197"/>
      <c r="G76" s="396"/>
      <c r="H76" s="397"/>
    </row>
    <row r="77" spans="2:9" ht="13.8" thickBot="1" x14ac:dyDescent="0.3">
      <c r="B77" s="176" t="s">
        <v>22</v>
      </c>
      <c r="C77" s="197"/>
      <c r="D77" s="197"/>
      <c r="E77" s="197"/>
      <c r="F77" s="197"/>
      <c r="G77" s="400">
        <f>+G75+G74</f>
        <v>86517892.519999981</v>
      </c>
      <c r="H77" s="399"/>
    </row>
    <row r="78" spans="2:9" ht="13.8" thickTop="1" x14ac:dyDescent="0.25"/>
    <row r="79" spans="2:9" x14ac:dyDescent="0.25">
      <c r="G79" s="401">
        <v>0</v>
      </c>
    </row>
  </sheetData>
  <mergeCells count="4">
    <mergeCell ref="I1:J1"/>
    <mergeCell ref="I3:J3"/>
    <mergeCell ref="A5:J5"/>
    <mergeCell ref="A6:J6"/>
  </mergeCells>
  <phoneticPr fontId="0" type="noConversion"/>
  <printOptions horizontalCentered="1"/>
  <pageMargins left="0.5" right="0.5" top="0.5" bottom="0.5" header="0.5" footer="0.5"/>
  <pageSetup scale="7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K90"/>
  <sheetViews>
    <sheetView zoomScale="160" zoomScaleNormal="160" workbookViewId="0">
      <selection activeCell="H88" sqref="H88"/>
    </sheetView>
  </sheetViews>
  <sheetFormatPr defaultRowHeight="13.2" x14ac:dyDescent="0.25"/>
  <cols>
    <col min="1" max="1" width="5.6640625" customWidth="1"/>
    <col min="2" max="2" width="18.6640625" customWidth="1"/>
    <col min="4" max="4" width="22" customWidth="1"/>
    <col min="5" max="5" width="5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4.88671875" customWidth="1"/>
    <col min="11" max="11" width="5.6640625" customWidth="1"/>
  </cols>
  <sheetData>
    <row r="1" spans="1:11" ht="13.8" x14ac:dyDescent="0.25">
      <c r="J1" s="438" t="s">
        <v>814</v>
      </c>
      <c r="K1" s="438"/>
    </row>
    <row r="2" spans="1:11" ht="13.8" x14ac:dyDescent="0.25">
      <c r="J2" s="199" t="s">
        <v>359</v>
      </c>
      <c r="K2" s="27"/>
    </row>
    <row r="3" spans="1:11" x14ac:dyDescent="0.25">
      <c r="J3" s="456" t="str">
        <f>FF1_Year</f>
        <v>Year Ending 12/31/2014</v>
      </c>
      <c r="K3" s="457"/>
    </row>
    <row r="5" spans="1:11" x14ac:dyDescent="0.25">
      <c r="A5" s="447" t="s">
        <v>826</v>
      </c>
      <c r="B5" s="447"/>
      <c r="C5" s="447"/>
      <c r="D5" s="447"/>
      <c r="E5" s="447"/>
      <c r="F5" s="447"/>
      <c r="G5" s="447"/>
      <c r="H5" s="447"/>
      <c r="I5" s="447"/>
      <c r="J5" s="447"/>
      <c r="K5" s="12"/>
    </row>
    <row r="6" spans="1:11" x14ac:dyDescent="0.2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1" x14ac:dyDescent="0.25">
      <c r="A7" s="458" t="s">
        <v>346</v>
      </c>
      <c r="B7" s="458"/>
      <c r="C7" s="458"/>
      <c r="D7" s="458"/>
      <c r="E7" s="458"/>
      <c r="F7" s="458"/>
      <c r="G7" s="458"/>
      <c r="H7" s="458"/>
      <c r="I7" s="458"/>
      <c r="J7" s="458"/>
      <c r="K7" s="216"/>
    </row>
    <row r="8" spans="1:11" x14ac:dyDescent="0.25">
      <c r="A8" s="458" t="s">
        <v>347</v>
      </c>
      <c r="B8" s="458"/>
      <c r="C8" s="458"/>
      <c r="D8" s="458"/>
      <c r="E8" s="458"/>
      <c r="F8" s="458"/>
      <c r="G8" s="458"/>
      <c r="H8" s="458"/>
      <c r="I8" s="458"/>
      <c r="J8" s="458"/>
      <c r="K8" s="216"/>
    </row>
    <row r="9" spans="1:11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x14ac:dyDescent="0.25">
      <c r="B10" s="19"/>
      <c r="C10" s="105"/>
      <c r="D10" s="21"/>
      <c r="E10" s="21"/>
      <c r="F10" s="21" t="s">
        <v>349</v>
      </c>
      <c r="G10" s="21"/>
      <c r="H10" s="21" t="s">
        <v>351</v>
      </c>
      <c r="I10" s="21"/>
      <c r="J10" s="105"/>
      <c r="K10" s="19"/>
    </row>
    <row r="11" spans="1:11" x14ac:dyDescent="0.25">
      <c r="B11" s="30" t="s">
        <v>348</v>
      </c>
      <c r="C11" s="106"/>
      <c r="D11" s="114" t="s">
        <v>3</v>
      </c>
      <c r="E11" s="21"/>
      <c r="F11" s="114" t="s">
        <v>350</v>
      </c>
      <c r="G11" s="114"/>
      <c r="H11" s="114" t="s">
        <v>350</v>
      </c>
      <c r="I11" s="114"/>
      <c r="J11" s="114" t="s">
        <v>240</v>
      </c>
    </row>
    <row r="12" spans="1:11" hidden="1" x14ac:dyDescent="0.25">
      <c r="B12" s="19" t="s">
        <v>135</v>
      </c>
      <c r="C12" s="105"/>
      <c r="D12" s="105"/>
      <c r="E12" s="105"/>
      <c r="F12" s="107"/>
      <c r="G12" s="107"/>
      <c r="H12" s="107"/>
      <c r="I12" s="107"/>
      <c r="J12" s="21"/>
    </row>
    <row r="13" spans="1:11" hidden="1" x14ac:dyDescent="0.25">
      <c r="B13" s="19"/>
      <c r="C13" s="105"/>
      <c r="D13" s="105"/>
      <c r="E13" s="105"/>
      <c r="F13" s="108"/>
      <c r="G13" s="108"/>
      <c r="H13" s="108"/>
      <c r="I13" s="108"/>
      <c r="J13" s="21"/>
    </row>
    <row r="14" spans="1:11" hidden="1" x14ac:dyDescent="0.25">
      <c r="B14" s="19"/>
      <c r="C14" s="105"/>
      <c r="D14" s="105"/>
      <c r="E14" s="105"/>
      <c r="F14" s="108"/>
      <c r="G14" s="108"/>
      <c r="H14" s="108"/>
      <c r="I14" s="108"/>
      <c r="J14" s="21"/>
    </row>
    <row r="15" spans="1:11" hidden="1" x14ac:dyDescent="0.25">
      <c r="B15" s="19"/>
      <c r="C15" s="105"/>
      <c r="D15" s="105"/>
      <c r="E15" s="105"/>
      <c r="F15" s="108"/>
      <c r="G15" s="108"/>
      <c r="H15" s="108"/>
      <c r="I15" s="108"/>
      <c r="J15" s="21"/>
    </row>
    <row r="16" spans="1:11" hidden="1" x14ac:dyDescent="0.25">
      <c r="B16" s="19"/>
      <c r="C16" s="105"/>
      <c r="D16" s="105"/>
      <c r="E16" s="105"/>
      <c r="F16" s="20"/>
      <c r="G16" s="20"/>
      <c r="H16" s="20"/>
      <c r="I16" s="20"/>
      <c r="J16" s="21"/>
    </row>
    <row r="17" spans="2:10" hidden="1" x14ac:dyDescent="0.25">
      <c r="B17" s="19"/>
      <c r="C17" s="105"/>
      <c r="D17" s="105"/>
      <c r="E17" s="105"/>
      <c r="F17" s="108"/>
      <c r="G17" s="108"/>
      <c r="H17" s="108"/>
      <c r="I17" s="108"/>
      <c r="J17" s="21"/>
    </row>
    <row r="18" spans="2:10" hidden="1" x14ac:dyDescent="0.25">
      <c r="B18" s="19" t="s">
        <v>136</v>
      </c>
      <c r="C18" s="105"/>
      <c r="D18" s="109"/>
      <c r="E18" s="109"/>
      <c r="F18" s="108"/>
      <c r="G18" s="108"/>
      <c r="H18" s="108"/>
      <c r="I18" s="108"/>
      <c r="J18" s="21"/>
    </row>
    <row r="19" spans="2:10" hidden="1" x14ac:dyDescent="0.25">
      <c r="B19" s="19"/>
      <c r="C19" s="105"/>
      <c r="D19" s="109"/>
      <c r="E19" s="109"/>
      <c r="F19" s="108"/>
      <c r="G19" s="108"/>
      <c r="H19" s="108"/>
      <c r="I19" s="108"/>
      <c r="J19" s="21"/>
    </row>
    <row r="20" spans="2:10" hidden="1" x14ac:dyDescent="0.25">
      <c r="B20" s="19"/>
      <c r="C20" s="105"/>
      <c r="D20" s="105"/>
      <c r="E20" s="105"/>
      <c r="F20" s="20"/>
      <c r="G20" s="20"/>
      <c r="H20" s="20"/>
      <c r="I20" s="20"/>
      <c r="J20" s="21"/>
    </row>
    <row r="21" spans="2:10" hidden="1" x14ac:dyDescent="0.25">
      <c r="B21" s="19"/>
      <c r="C21" s="105"/>
      <c r="D21" s="105"/>
      <c r="E21" s="105"/>
      <c r="F21" s="108"/>
      <c r="G21" s="108"/>
      <c r="H21" s="108"/>
      <c r="I21" s="108"/>
      <c r="J21" s="21"/>
    </row>
    <row r="22" spans="2:10" hidden="1" x14ac:dyDescent="0.25">
      <c r="B22" s="19" t="s">
        <v>137</v>
      </c>
      <c r="C22" s="105"/>
      <c r="D22" s="105"/>
      <c r="E22" s="105"/>
      <c r="F22" s="108"/>
      <c r="G22" s="108"/>
      <c r="H22" s="108"/>
      <c r="I22" s="108"/>
      <c r="J22" s="21"/>
    </row>
    <row r="23" spans="2:10" hidden="1" x14ac:dyDescent="0.25">
      <c r="B23" s="19"/>
      <c r="C23" s="105"/>
      <c r="D23" s="110"/>
      <c r="E23" s="110"/>
      <c r="F23" s="108"/>
      <c r="G23" s="108"/>
      <c r="H23" s="108"/>
      <c r="I23" s="108"/>
      <c r="J23" s="21"/>
    </row>
    <row r="24" spans="2:10" hidden="1" x14ac:dyDescent="0.25">
      <c r="B24" s="19"/>
      <c r="C24" s="105"/>
      <c r="D24" s="110"/>
      <c r="E24" s="110"/>
      <c r="F24" s="108"/>
      <c r="G24" s="108"/>
      <c r="H24" s="108"/>
      <c r="I24" s="108"/>
      <c r="J24" s="21"/>
    </row>
    <row r="25" spans="2:10" hidden="1" x14ac:dyDescent="0.25">
      <c r="B25" s="19"/>
      <c r="C25" s="105"/>
      <c r="D25" s="109"/>
      <c r="E25" s="109"/>
      <c r="F25" s="108"/>
      <c r="G25" s="108"/>
      <c r="H25" s="108"/>
      <c r="I25" s="108"/>
      <c r="J25" s="21"/>
    </row>
    <row r="26" spans="2:10" hidden="1" x14ac:dyDescent="0.25">
      <c r="B26" s="19"/>
      <c r="C26" s="105"/>
      <c r="D26" s="105"/>
      <c r="E26" s="105"/>
      <c r="F26" s="108"/>
      <c r="G26" s="108"/>
      <c r="H26" s="108"/>
      <c r="I26" s="108"/>
      <c r="J26" s="21"/>
    </row>
    <row r="27" spans="2:10" hidden="1" x14ac:dyDescent="0.25">
      <c r="B27" s="19"/>
      <c r="C27" s="105"/>
      <c r="D27" s="109"/>
      <c r="E27" s="109"/>
      <c r="F27" s="108"/>
      <c r="G27" s="108"/>
      <c r="H27" s="108"/>
      <c r="I27" s="108"/>
      <c r="J27" s="21"/>
    </row>
    <row r="28" spans="2:10" hidden="1" x14ac:dyDescent="0.25">
      <c r="B28" s="19"/>
      <c r="C28" s="105"/>
      <c r="D28" s="105"/>
      <c r="E28" s="105"/>
      <c r="F28" s="108"/>
      <c r="G28" s="108"/>
      <c r="H28" s="108"/>
      <c r="I28" s="108"/>
      <c r="J28" s="21"/>
    </row>
    <row r="29" spans="2:10" hidden="1" x14ac:dyDescent="0.25">
      <c r="B29" s="19"/>
      <c r="C29" s="105"/>
      <c r="D29" s="109"/>
      <c r="E29" s="109"/>
      <c r="F29" s="108"/>
      <c r="G29" s="108"/>
      <c r="H29" s="108"/>
      <c r="I29" s="108"/>
      <c r="J29" s="21"/>
    </row>
    <row r="30" spans="2:10" hidden="1" x14ac:dyDescent="0.25">
      <c r="B30" s="19"/>
      <c r="C30" s="105"/>
      <c r="D30" s="105"/>
      <c r="E30" s="105"/>
      <c r="F30" s="108"/>
      <c r="G30" s="108"/>
      <c r="H30" s="108"/>
      <c r="I30" s="108"/>
      <c r="J30" s="21"/>
    </row>
    <row r="31" spans="2:10" hidden="1" x14ac:dyDescent="0.25">
      <c r="B31" s="19"/>
      <c r="C31" s="105"/>
      <c r="D31" s="109"/>
      <c r="E31" s="109"/>
      <c r="F31" s="108"/>
      <c r="G31" s="108"/>
      <c r="H31" s="108"/>
      <c r="I31" s="108"/>
      <c r="J31" s="21"/>
    </row>
    <row r="32" spans="2:10" hidden="1" x14ac:dyDescent="0.25">
      <c r="B32" s="19"/>
      <c r="C32" s="105"/>
      <c r="D32" s="105"/>
      <c r="E32" s="105"/>
      <c r="F32" s="108"/>
      <c r="G32" s="108"/>
      <c r="H32" s="108"/>
      <c r="I32" s="108"/>
      <c r="J32" s="21"/>
    </row>
    <row r="33" spans="2:10" hidden="1" x14ac:dyDescent="0.25">
      <c r="B33" s="19"/>
      <c r="C33" s="105"/>
      <c r="D33" s="109"/>
      <c r="E33" s="109"/>
      <c r="F33" s="108"/>
      <c r="G33" s="108"/>
      <c r="H33" s="108"/>
      <c r="I33" s="108"/>
      <c r="J33" s="21"/>
    </row>
    <row r="34" spans="2:10" hidden="1" x14ac:dyDescent="0.25">
      <c r="B34" s="19"/>
      <c r="C34" s="105"/>
      <c r="D34" s="105"/>
      <c r="E34" s="105"/>
      <c r="F34" s="108"/>
      <c r="G34" s="108"/>
      <c r="H34" s="108"/>
      <c r="I34" s="108"/>
      <c r="J34" s="21"/>
    </row>
    <row r="35" spans="2:10" hidden="1" x14ac:dyDescent="0.25">
      <c r="B35" s="19"/>
      <c r="C35" s="105"/>
      <c r="D35" s="105"/>
      <c r="E35" s="105"/>
      <c r="F35" s="108"/>
      <c r="G35" s="108"/>
      <c r="H35" s="108"/>
      <c r="I35" s="108"/>
      <c r="J35" s="21"/>
    </row>
    <row r="36" spans="2:10" hidden="1" x14ac:dyDescent="0.25">
      <c r="B36" s="19"/>
      <c r="C36" s="105"/>
      <c r="D36" s="109"/>
      <c r="E36" s="109"/>
      <c r="F36" s="108"/>
      <c r="G36" s="108"/>
      <c r="H36" s="108"/>
      <c r="I36" s="108"/>
      <c r="J36" s="21"/>
    </row>
    <row r="37" spans="2:10" hidden="1" x14ac:dyDescent="0.25">
      <c r="B37" s="19"/>
      <c r="C37" s="105"/>
      <c r="D37" s="109"/>
      <c r="E37" s="109"/>
      <c r="F37" s="108"/>
      <c r="G37" s="108"/>
      <c r="H37" s="108"/>
      <c r="I37" s="108"/>
      <c r="J37" s="21"/>
    </row>
    <row r="38" spans="2:10" hidden="1" x14ac:dyDescent="0.25">
      <c r="B38" s="19"/>
      <c r="C38" s="105"/>
      <c r="D38" s="105"/>
      <c r="E38" s="105"/>
      <c r="F38" s="20"/>
      <c r="G38" s="20"/>
      <c r="H38" s="20"/>
      <c r="I38" s="20"/>
      <c r="J38" s="21"/>
    </row>
    <row r="39" spans="2:10" hidden="1" x14ac:dyDescent="0.25">
      <c r="B39" s="19"/>
      <c r="C39" s="105"/>
      <c r="D39" s="105"/>
      <c r="E39" s="105"/>
      <c r="F39" s="108"/>
      <c r="G39" s="108"/>
      <c r="H39" s="108"/>
      <c r="I39" s="108"/>
      <c r="J39" s="21"/>
    </row>
    <row r="40" spans="2:10" hidden="1" x14ac:dyDescent="0.25">
      <c r="B40" s="19" t="s">
        <v>138</v>
      </c>
      <c r="C40" s="105"/>
      <c r="D40" s="109"/>
      <c r="E40" s="109"/>
      <c r="F40" s="108"/>
      <c r="G40" s="108"/>
      <c r="H40" s="108"/>
      <c r="I40" s="108"/>
      <c r="J40" s="21"/>
    </row>
    <row r="41" spans="2:10" hidden="1" x14ac:dyDescent="0.25">
      <c r="B41" s="19"/>
      <c r="C41" s="105"/>
      <c r="D41" s="105"/>
      <c r="E41" s="105"/>
      <c r="F41" s="108"/>
      <c r="G41" s="108"/>
      <c r="H41" s="108"/>
      <c r="I41" s="108"/>
      <c r="J41" s="21"/>
    </row>
    <row r="42" spans="2:10" hidden="1" x14ac:dyDescent="0.25">
      <c r="B42" s="19"/>
      <c r="C42" s="105"/>
      <c r="D42" s="109"/>
      <c r="E42" s="109"/>
      <c r="F42" s="108"/>
      <c r="G42" s="108"/>
      <c r="H42" s="108"/>
      <c r="I42" s="108"/>
      <c r="J42" s="21"/>
    </row>
    <row r="43" spans="2:10" hidden="1" x14ac:dyDescent="0.25">
      <c r="B43" s="19"/>
      <c r="C43" s="105"/>
      <c r="D43" s="105"/>
      <c r="E43" s="105"/>
      <c r="F43" s="108"/>
      <c r="G43" s="108"/>
      <c r="H43" s="108"/>
      <c r="I43" s="108"/>
      <c r="J43" s="21"/>
    </row>
    <row r="44" spans="2:10" hidden="1" x14ac:dyDescent="0.25">
      <c r="B44" s="19"/>
      <c r="C44" s="105"/>
      <c r="D44" s="111"/>
      <c r="E44" s="111"/>
      <c r="F44" s="108"/>
      <c r="G44" s="108"/>
      <c r="H44" s="108"/>
      <c r="I44" s="108"/>
      <c r="J44" s="21"/>
    </row>
    <row r="45" spans="2:10" hidden="1" x14ac:dyDescent="0.25">
      <c r="B45" s="19"/>
      <c r="C45" s="105"/>
      <c r="D45" s="105"/>
      <c r="E45" s="105"/>
      <c r="F45" s="20"/>
      <c r="G45" s="20"/>
      <c r="H45" s="20"/>
      <c r="I45" s="20"/>
      <c r="J45" s="21"/>
    </row>
    <row r="46" spans="2:10" hidden="1" x14ac:dyDescent="0.25">
      <c r="B46" s="19"/>
      <c r="C46" s="105"/>
      <c r="D46" s="105"/>
      <c r="E46" s="105"/>
      <c r="F46" s="108"/>
      <c r="G46" s="108"/>
      <c r="H46" s="108"/>
      <c r="I46" s="108"/>
      <c r="J46" s="21"/>
    </row>
    <row r="47" spans="2:10" hidden="1" x14ac:dyDescent="0.25">
      <c r="B47" s="19" t="s">
        <v>139</v>
      </c>
      <c r="C47" s="105"/>
      <c r="D47" s="109"/>
      <c r="E47" s="109"/>
      <c r="F47" s="108"/>
      <c r="G47" s="108"/>
      <c r="H47" s="108"/>
      <c r="I47" s="108"/>
      <c r="J47" s="21"/>
    </row>
    <row r="48" spans="2:10" hidden="1" x14ac:dyDescent="0.25">
      <c r="B48" s="19"/>
      <c r="C48" s="105"/>
      <c r="D48" s="109"/>
      <c r="E48" s="109"/>
      <c r="F48" s="108"/>
      <c r="G48" s="108"/>
      <c r="H48" s="108"/>
      <c r="I48" s="108"/>
      <c r="J48" s="21"/>
    </row>
    <row r="49" spans="2:10" hidden="1" x14ac:dyDescent="0.25">
      <c r="B49" s="19"/>
      <c r="C49" s="105"/>
      <c r="D49" s="109"/>
      <c r="E49" s="109"/>
      <c r="F49" s="108"/>
      <c r="G49" s="108"/>
      <c r="H49" s="108"/>
      <c r="I49" s="108"/>
      <c r="J49" s="21"/>
    </row>
    <row r="50" spans="2:10" hidden="1" x14ac:dyDescent="0.25">
      <c r="B50" s="19"/>
      <c r="C50" s="105"/>
      <c r="D50" s="105"/>
      <c r="E50" s="105"/>
      <c r="F50" s="20"/>
      <c r="G50" s="20"/>
      <c r="H50" s="20"/>
      <c r="I50" s="20"/>
      <c r="J50" s="21"/>
    </row>
    <row r="51" spans="2:10" hidden="1" x14ac:dyDescent="0.25">
      <c r="B51" s="19"/>
      <c r="C51" s="105"/>
      <c r="D51" s="105"/>
      <c r="E51" s="105"/>
      <c r="F51" s="108"/>
      <c r="G51" s="108"/>
      <c r="H51" s="108"/>
      <c r="I51" s="108"/>
      <c r="J51" s="21"/>
    </row>
    <row r="52" spans="2:10" hidden="1" x14ac:dyDescent="0.25">
      <c r="B52" s="19"/>
      <c r="C52" s="105"/>
      <c r="D52" s="105"/>
      <c r="E52" s="105"/>
      <c r="F52" s="108"/>
      <c r="G52" s="108"/>
      <c r="H52" s="108"/>
      <c r="I52" s="108"/>
      <c r="J52" s="21"/>
    </row>
    <row r="53" spans="2:10" hidden="1" x14ac:dyDescent="0.25">
      <c r="B53" s="19" t="s">
        <v>140</v>
      </c>
      <c r="C53" s="105"/>
      <c r="D53" s="105"/>
      <c r="E53" s="105"/>
      <c r="F53" s="108"/>
      <c r="G53" s="108"/>
      <c r="H53" s="108"/>
      <c r="I53" s="108"/>
      <c r="J53" s="21"/>
    </row>
    <row r="54" spans="2:10" hidden="1" x14ac:dyDescent="0.25">
      <c r="B54" s="19"/>
      <c r="C54" s="105"/>
      <c r="D54" s="105"/>
      <c r="E54" s="105"/>
      <c r="F54" s="20"/>
      <c r="G54" s="20"/>
      <c r="H54" s="20"/>
      <c r="I54" s="20"/>
      <c r="J54" s="21"/>
    </row>
    <row r="55" spans="2:10" hidden="1" x14ac:dyDescent="0.25">
      <c r="B55" s="19"/>
      <c r="C55" s="105"/>
      <c r="D55" s="105"/>
      <c r="E55" s="105"/>
      <c r="F55" s="108"/>
      <c r="G55" s="108"/>
      <c r="H55" s="108"/>
      <c r="I55" s="108"/>
      <c r="J55" s="21"/>
    </row>
    <row r="56" spans="2:10" hidden="1" x14ac:dyDescent="0.25">
      <c r="B56" s="19" t="s">
        <v>141</v>
      </c>
      <c r="C56" s="105"/>
      <c r="D56" s="109"/>
      <c r="E56" s="109"/>
      <c r="F56" s="108"/>
      <c r="G56" s="108"/>
      <c r="H56" s="108"/>
      <c r="I56" s="108"/>
      <c r="J56" s="21"/>
    </row>
    <row r="57" spans="2:10" hidden="1" x14ac:dyDescent="0.25">
      <c r="B57" s="19"/>
      <c r="C57" s="105"/>
      <c r="D57" s="105"/>
      <c r="E57" s="105"/>
      <c r="F57" s="108"/>
      <c r="G57" s="108"/>
      <c r="H57" s="108"/>
      <c r="I57" s="108"/>
      <c r="J57" s="21"/>
    </row>
    <row r="58" spans="2:10" hidden="1" x14ac:dyDescent="0.25">
      <c r="B58" s="19"/>
      <c r="C58" s="105"/>
      <c r="D58" s="109"/>
      <c r="E58" s="109"/>
      <c r="F58" s="108"/>
      <c r="G58" s="108"/>
      <c r="H58" s="108"/>
      <c r="I58" s="108"/>
      <c r="J58" s="21"/>
    </row>
    <row r="59" spans="2:10" hidden="1" x14ac:dyDescent="0.25">
      <c r="B59" s="19"/>
      <c r="C59" s="105"/>
      <c r="D59" s="109"/>
      <c r="E59" s="109"/>
      <c r="F59" s="108"/>
      <c r="G59" s="108"/>
      <c r="H59" s="108"/>
      <c r="I59" s="108"/>
      <c r="J59" s="21"/>
    </row>
    <row r="60" spans="2:10" hidden="1" x14ac:dyDescent="0.25">
      <c r="B60" s="19"/>
      <c r="C60" s="105"/>
      <c r="D60" s="109"/>
      <c r="E60" s="109"/>
      <c r="F60" s="108"/>
      <c r="G60" s="108"/>
      <c r="H60" s="108"/>
      <c r="I60" s="108"/>
      <c r="J60" s="21"/>
    </row>
    <row r="61" spans="2:10" hidden="1" x14ac:dyDescent="0.25">
      <c r="B61" s="19"/>
      <c r="C61" s="105"/>
      <c r="D61" s="109"/>
      <c r="E61" s="109"/>
      <c r="F61" s="108"/>
      <c r="G61" s="108"/>
      <c r="H61" s="108"/>
      <c r="I61" s="108"/>
      <c r="J61" s="21"/>
    </row>
    <row r="62" spans="2:10" hidden="1" x14ac:dyDescent="0.25">
      <c r="B62" s="19"/>
      <c r="C62" s="105"/>
      <c r="D62" s="109"/>
      <c r="E62" s="109"/>
      <c r="F62" s="108"/>
      <c r="G62" s="108"/>
      <c r="H62" s="108"/>
      <c r="I62" s="108"/>
      <c r="J62" s="21"/>
    </row>
    <row r="63" spans="2:10" hidden="1" x14ac:dyDescent="0.25">
      <c r="B63" s="19"/>
      <c r="C63" s="105"/>
      <c r="D63" s="109"/>
      <c r="E63" s="109"/>
      <c r="F63" s="108"/>
      <c r="G63" s="108"/>
      <c r="H63" s="108"/>
      <c r="I63" s="108"/>
      <c r="J63" s="21"/>
    </row>
    <row r="64" spans="2:10" hidden="1" x14ac:dyDescent="0.25">
      <c r="B64" s="19"/>
      <c r="C64" s="105"/>
      <c r="D64" s="112"/>
      <c r="E64" s="109"/>
      <c r="F64" s="108"/>
      <c r="G64" s="108"/>
      <c r="H64" s="108"/>
      <c r="I64" s="108"/>
      <c r="J64" s="21"/>
    </row>
    <row r="65" spans="2:10" hidden="1" x14ac:dyDescent="0.25">
      <c r="B65" s="19"/>
      <c r="C65" s="105"/>
      <c r="D65" s="105"/>
      <c r="E65" s="105"/>
      <c r="F65" s="20"/>
      <c r="G65" s="20"/>
      <c r="H65" s="20"/>
      <c r="I65" s="20"/>
      <c r="J65" s="21"/>
    </row>
    <row r="66" spans="2:10" hidden="1" x14ac:dyDescent="0.25">
      <c r="B66" s="19"/>
      <c r="C66" s="105"/>
      <c r="D66" s="105"/>
      <c r="E66" s="105"/>
      <c r="F66" s="108"/>
      <c r="G66" s="108"/>
      <c r="H66" s="108"/>
      <c r="I66" s="108"/>
      <c r="J66" s="21"/>
    </row>
    <row r="67" spans="2:10" hidden="1" x14ac:dyDescent="0.25">
      <c r="B67" s="19" t="s">
        <v>142</v>
      </c>
      <c r="C67" s="105"/>
      <c r="D67" s="109"/>
      <c r="E67" s="109"/>
      <c r="F67" s="108"/>
      <c r="G67" s="108"/>
      <c r="H67" s="108"/>
      <c r="I67" s="108"/>
      <c r="J67" s="21"/>
    </row>
    <row r="68" spans="2:10" hidden="1" x14ac:dyDescent="0.25">
      <c r="B68" s="19"/>
      <c r="C68" s="105"/>
      <c r="D68" s="105"/>
      <c r="E68" s="105"/>
      <c r="F68" s="20"/>
      <c r="G68" s="20"/>
      <c r="H68" s="20"/>
      <c r="I68" s="20"/>
      <c r="J68" s="21"/>
    </row>
    <row r="69" spans="2:10" hidden="1" x14ac:dyDescent="0.25">
      <c r="B69" s="19"/>
      <c r="C69" s="105"/>
      <c r="D69" s="105"/>
      <c r="E69" s="105"/>
      <c r="F69" s="108"/>
      <c r="G69" s="108"/>
      <c r="H69" s="108"/>
      <c r="I69" s="108"/>
      <c r="J69" s="21"/>
    </row>
    <row r="70" spans="2:10" hidden="1" x14ac:dyDescent="0.25">
      <c r="B70" s="19" t="s">
        <v>143</v>
      </c>
      <c r="C70" s="105"/>
      <c r="D70" s="105"/>
      <c r="E70" s="105"/>
      <c r="F70" s="108"/>
      <c r="G70" s="108"/>
      <c r="H70" s="108"/>
      <c r="I70" s="108"/>
      <c r="J70" s="21"/>
    </row>
    <row r="71" spans="2:10" hidden="1" x14ac:dyDescent="0.25">
      <c r="B71" s="19"/>
      <c r="C71" s="105"/>
      <c r="D71" s="105"/>
      <c r="E71" s="105"/>
      <c r="F71" s="108"/>
      <c r="G71" s="108"/>
      <c r="H71" s="108"/>
      <c r="I71" s="108"/>
      <c r="J71" s="21"/>
    </row>
    <row r="72" spans="2:10" hidden="1" x14ac:dyDescent="0.25">
      <c r="B72" s="19"/>
      <c r="C72" s="105"/>
      <c r="D72" s="105"/>
      <c r="E72" s="105"/>
      <c r="F72" s="108"/>
      <c r="G72" s="108"/>
      <c r="H72" s="108"/>
      <c r="I72" s="108"/>
      <c r="J72" s="21"/>
    </row>
    <row r="73" spans="2:10" hidden="1" x14ac:dyDescent="0.25">
      <c r="B73" s="19"/>
      <c r="C73" s="105"/>
      <c r="D73" s="105"/>
      <c r="E73" s="105"/>
      <c r="F73" s="108"/>
      <c r="G73" s="108"/>
      <c r="H73" s="108"/>
      <c r="I73" s="108"/>
      <c r="J73" s="21"/>
    </row>
    <row r="74" spans="2:10" x14ac:dyDescent="0.25">
      <c r="B74" s="19"/>
      <c r="C74" s="105"/>
      <c r="D74" s="109"/>
      <c r="E74" s="109"/>
      <c r="F74" s="133"/>
      <c r="G74" s="133"/>
      <c r="H74" s="133"/>
      <c r="I74" s="108"/>
      <c r="J74" s="21"/>
    </row>
    <row r="75" spans="2:10" x14ac:dyDescent="0.25">
      <c r="B75" s="178" t="s">
        <v>683</v>
      </c>
      <c r="C75" s="185"/>
      <c r="D75" s="186" t="s">
        <v>684</v>
      </c>
      <c r="E75" s="187"/>
      <c r="F75" s="188">
        <v>445684</v>
      </c>
      <c r="G75" s="189"/>
      <c r="H75" s="188">
        <v>445684</v>
      </c>
      <c r="I75" s="189"/>
      <c r="J75" s="188">
        <f>(F75+H75)/2</f>
        <v>445684</v>
      </c>
    </row>
    <row r="76" spans="2:10" x14ac:dyDescent="0.25">
      <c r="B76" s="178"/>
      <c r="C76" s="185"/>
      <c r="D76" s="187"/>
      <c r="E76" s="187"/>
      <c r="F76" s="189"/>
      <c r="G76" s="189"/>
      <c r="H76" s="189"/>
      <c r="I76" s="189"/>
      <c r="J76" s="189"/>
    </row>
    <row r="77" spans="2:10" x14ac:dyDescent="0.25">
      <c r="B77" s="178" t="s">
        <v>685</v>
      </c>
      <c r="C77" s="185"/>
      <c r="D77" s="186" t="s">
        <v>684</v>
      </c>
      <c r="E77" s="187"/>
      <c r="F77" s="188">
        <v>1094758</v>
      </c>
      <c r="G77" s="189"/>
      <c r="H77" s="188">
        <v>1094758</v>
      </c>
      <c r="I77" s="189"/>
      <c r="J77" s="188">
        <f>(F77+H77)/2</f>
        <v>1094758</v>
      </c>
    </row>
    <row r="78" spans="2:10" x14ac:dyDescent="0.25">
      <c r="B78" s="178"/>
      <c r="C78" s="185"/>
      <c r="D78" s="187"/>
      <c r="E78" s="187"/>
      <c r="F78" s="189"/>
      <c r="G78" s="189"/>
      <c r="H78" s="189"/>
      <c r="I78" s="189"/>
      <c r="J78" s="189"/>
    </row>
    <row r="79" spans="2:10" x14ac:dyDescent="0.25">
      <c r="B79" s="178" t="s">
        <v>1034</v>
      </c>
      <c r="C79" s="185"/>
      <c r="D79" s="186" t="s">
        <v>684</v>
      </c>
      <c r="E79" s="185"/>
      <c r="F79" s="188">
        <v>1094758</v>
      </c>
      <c r="G79" s="189"/>
      <c r="H79" s="188">
        <v>1094758</v>
      </c>
      <c r="I79" s="189"/>
      <c r="J79" s="188">
        <f>(F79+H79)/2</f>
        <v>1094758</v>
      </c>
    </row>
    <row r="80" spans="2:10" x14ac:dyDescent="0.25">
      <c r="B80" s="178"/>
      <c r="C80" s="185"/>
      <c r="D80" s="187"/>
      <c r="E80" s="187"/>
      <c r="F80" s="189"/>
      <c r="G80" s="189"/>
      <c r="H80" s="189"/>
      <c r="I80" s="189"/>
      <c r="J80" s="189"/>
    </row>
    <row r="81" spans="2:10" x14ac:dyDescent="0.25">
      <c r="B81" s="178" t="s">
        <v>1033</v>
      </c>
      <c r="C81" s="185"/>
      <c r="D81" s="186" t="s">
        <v>684</v>
      </c>
      <c r="E81" s="185"/>
      <c r="F81" s="188">
        <v>1094758</v>
      </c>
      <c r="G81" s="189"/>
      <c r="H81" s="188">
        <v>1094758</v>
      </c>
      <c r="I81" s="189"/>
      <c r="J81" s="188">
        <f>(F81+H81)/2</f>
        <v>1094758</v>
      </c>
    </row>
    <row r="82" spans="2:10" x14ac:dyDescent="0.25">
      <c r="B82" s="178"/>
      <c r="C82" s="185"/>
      <c r="D82" s="186"/>
      <c r="E82" s="185"/>
      <c r="F82" s="188"/>
      <c r="G82" s="189"/>
      <c r="H82" s="188"/>
      <c r="I82" s="189"/>
      <c r="J82" s="188"/>
    </row>
    <row r="83" spans="2:10" x14ac:dyDescent="0.25">
      <c r="B83" s="178" t="s">
        <v>670</v>
      </c>
      <c r="C83" s="185"/>
      <c r="D83" s="186"/>
      <c r="E83" s="185"/>
      <c r="F83" s="188">
        <v>3836955</v>
      </c>
      <c r="G83" s="189"/>
      <c r="H83" s="188">
        <v>3836955</v>
      </c>
      <c r="I83" s="189"/>
      <c r="J83" s="188">
        <f>(F83+H83)/2</f>
        <v>3836955</v>
      </c>
    </row>
    <row r="84" spans="2:10" ht="12" customHeight="1" x14ac:dyDescent="0.25">
      <c r="B84" s="19"/>
      <c r="C84" s="105"/>
      <c r="D84" s="105"/>
      <c r="E84" s="105"/>
      <c r="F84" s="108"/>
      <c r="G84" s="108"/>
      <c r="H84" s="108"/>
      <c r="I84" s="108"/>
      <c r="J84" s="21"/>
    </row>
    <row r="85" spans="2:10" x14ac:dyDescent="0.25">
      <c r="B85" s="3" t="s">
        <v>366</v>
      </c>
      <c r="C85" s="113"/>
      <c r="D85" s="113"/>
      <c r="E85" s="113"/>
      <c r="F85" s="116">
        <f>SUM(F75:F83)</f>
        <v>7566913</v>
      </c>
      <c r="G85" s="116"/>
      <c r="H85" s="116">
        <f>SUM(H75:H83)</f>
        <v>7566913</v>
      </c>
      <c r="I85" s="116"/>
      <c r="J85" s="115">
        <f>(F85+H85)/2</f>
        <v>7566913</v>
      </c>
    </row>
    <row r="86" spans="2:10" x14ac:dyDescent="0.25">
      <c r="C86" s="113"/>
      <c r="D86" s="113"/>
      <c r="E86" s="113"/>
      <c r="F86" s="113"/>
      <c r="G86" s="113"/>
      <c r="H86" s="113"/>
      <c r="I86" s="113"/>
      <c r="J86" s="113"/>
    </row>
    <row r="87" spans="2:10" x14ac:dyDescent="0.25">
      <c r="C87" s="113"/>
      <c r="D87" s="113"/>
      <c r="E87" s="113"/>
      <c r="F87" s="113"/>
      <c r="G87" s="113"/>
      <c r="H87" s="113"/>
      <c r="I87" s="113"/>
      <c r="J87" s="113"/>
    </row>
    <row r="88" spans="2:10" x14ac:dyDescent="0.25">
      <c r="C88" s="113"/>
      <c r="D88" s="113"/>
      <c r="E88" s="113"/>
      <c r="F88" s="113"/>
      <c r="G88" s="113"/>
      <c r="H88" s="113"/>
      <c r="I88" s="113"/>
      <c r="J88" s="113"/>
    </row>
    <row r="89" spans="2:10" x14ac:dyDescent="0.25">
      <c r="C89" s="113"/>
      <c r="D89" s="113"/>
      <c r="E89" s="113"/>
      <c r="F89" s="113"/>
      <c r="G89" s="113"/>
      <c r="H89" s="113"/>
      <c r="I89" s="113"/>
      <c r="J89" s="113"/>
    </row>
    <row r="90" spans="2:10" x14ac:dyDescent="0.25">
      <c r="C90" s="113"/>
      <c r="D90" s="113"/>
      <c r="E90" s="113"/>
      <c r="F90" s="113"/>
      <c r="G90" s="113"/>
      <c r="H90" s="113"/>
      <c r="I90" s="113"/>
      <c r="J90" s="113"/>
    </row>
  </sheetData>
  <mergeCells count="5">
    <mergeCell ref="J1:K1"/>
    <mergeCell ref="J3:K3"/>
    <mergeCell ref="A5:J5"/>
    <mergeCell ref="A7:J7"/>
    <mergeCell ref="A8:J8"/>
  </mergeCells>
  <phoneticPr fontId="0" type="noConversion"/>
  <printOptions horizontalCentered="1"/>
  <pageMargins left="0.5" right="0.5" top="0.75" bottom="0.5" header="0.5" footer="0.5"/>
  <pageSetup scale="82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J73"/>
  <sheetViews>
    <sheetView topLeftCell="A34" workbookViewId="0">
      <selection activeCell="G69" sqref="G69"/>
    </sheetView>
  </sheetViews>
  <sheetFormatPr defaultRowHeight="13.2" x14ac:dyDescent="0.25"/>
  <cols>
    <col min="1" max="1" width="8.88671875" style="33" customWidth="1"/>
    <col min="2" max="2" width="47.109375" style="33" customWidth="1"/>
    <col min="3" max="3" width="3.6640625" style="33" customWidth="1"/>
    <col min="4" max="4" width="21.6640625" style="33" bestFit="1" customWidth="1"/>
    <col min="5" max="5" width="3.6640625" style="33" customWidth="1"/>
    <col min="6" max="6" width="9.109375" style="33"/>
    <col min="8" max="8" width="3.6640625" customWidth="1"/>
    <col min="9" max="9" width="11.33203125" bestFit="1" customWidth="1"/>
  </cols>
  <sheetData>
    <row r="1" spans="1:10" ht="13.8" x14ac:dyDescent="0.25">
      <c r="A1" s="35"/>
      <c r="B1" s="35"/>
      <c r="C1" s="35"/>
      <c r="D1" s="35"/>
      <c r="E1" s="35"/>
      <c r="F1" s="35"/>
      <c r="G1" s="35"/>
      <c r="H1" s="35"/>
      <c r="I1" s="438" t="s">
        <v>812</v>
      </c>
      <c r="J1" s="438"/>
    </row>
    <row r="2" spans="1:10" ht="13.8" x14ac:dyDescent="0.25">
      <c r="A2" s="35"/>
      <c r="B2" s="35"/>
      <c r="C2" s="35"/>
      <c r="D2" s="35"/>
      <c r="E2" s="35"/>
      <c r="F2" s="35"/>
      <c r="G2" s="35"/>
      <c r="H2" s="35"/>
      <c r="I2" s="206" t="s">
        <v>688</v>
      </c>
      <c r="J2" s="206"/>
    </row>
    <row r="3" spans="1:10" x14ac:dyDescent="0.25">
      <c r="A3" s="35"/>
      <c r="B3" s="60"/>
      <c r="C3" s="60"/>
      <c r="D3" s="35"/>
      <c r="E3" s="35"/>
      <c r="F3" s="35"/>
      <c r="G3" s="35"/>
      <c r="H3" s="35"/>
      <c r="I3" s="460" t="str">
        <f>"Year Ending "&amp;L_YR_P</f>
        <v>Year Ending 12/31/2013</v>
      </c>
      <c r="J3" s="457"/>
    </row>
    <row r="4" spans="1:10" x14ac:dyDescent="0.25">
      <c r="A4" s="35"/>
      <c r="B4" s="60"/>
      <c r="C4" s="60"/>
      <c r="D4" s="35"/>
      <c r="E4" s="35"/>
      <c r="F4" s="35"/>
      <c r="G4" s="35"/>
      <c r="H4" s="35"/>
      <c r="I4" s="207"/>
      <c r="J4" s="207"/>
    </row>
    <row r="5" spans="1:10" x14ac:dyDescent="0.25">
      <c r="A5" s="261" t="s">
        <v>826</v>
      </c>
      <c r="B5" s="402"/>
      <c r="C5" s="402"/>
      <c r="D5" s="402"/>
      <c r="E5" s="402"/>
      <c r="F5" s="402"/>
      <c r="G5" s="262"/>
      <c r="H5" s="262"/>
      <c r="I5" s="262"/>
      <c r="J5" s="207"/>
    </row>
    <row r="6" spans="1:10" x14ac:dyDescent="0.25">
      <c r="A6" s="261" t="s">
        <v>362</v>
      </c>
      <c r="B6" s="402"/>
      <c r="C6" s="402"/>
      <c r="D6" s="402"/>
      <c r="E6" s="402"/>
      <c r="F6" s="402"/>
      <c r="G6" s="262"/>
      <c r="H6" s="262"/>
      <c r="I6" s="262"/>
      <c r="J6" s="207"/>
    </row>
    <row r="7" spans="1:10" x14ac:dyDescent="0.25">
      <c r="A7" s="35"/>
      <c r="B7" s="60"/>
      <c r="C7" s="60"/>
      <c r="D7" s="35"/>
      <c r="E7" s="35"/>
      <c r="F7" s="35"/>
      <c r="G7" s="35"/>
      <c r="H7" s="35"/>
      <c r="I7" s="35"/>
      <c r="J7" s="35"/>
    </row>
    <row r="8" spans="1:10" x14ac:dyDescent="0.25">
      <c r="A8" s="61"/>
      <c r="B8" s="62"/>
      <c r="C8" s="62"/>
      <c r="D8" s="62"/>
      <c r="E8" s="63"/>
      <c r="F8" s="63"/>
      <c r="G8" s="63"/>
      <c r="H8" s="63"/>
      <c r="I8" s="63"/>
      <c r="J8" s="63"/>
    </row>
    <row r="9" spans="1:10" x14ac:dyDescent="0.25">
      <c r="A9" s="61"/>
      <c r="B9" s="62"/>
      <c r="C9" s="62"/>
      <c r="D9" s="380" t="s">
        <v>216</v>
      </c>
      <c r="E9" s="63"/>
      <c r="F9" s="64" t="s">
        <v>23</v>
      </c>
      <c r="G9" s="64" t="s">
        <v>217</v>
      </c>
      <c r="H9" s="64"/>
      <c r="I9" s="64" t="s">
        <v>218</v>
      </c>
      <c r="J9" s="63"/>
    </row>
    <row r="10" spans="1:10" x14ac:dyDescent="0.25">
      <c r="A10" s="61" t="s">
        <v>219</v>
      </c>
      <c r="B10" s="61" t="s">
        <v>3</v>
      </c>
      <c r="C10" s="65"/>
      <c r="D10" s="380" t="str">
        <f>"Tax at 12/31/"&amp;YR-1</f>
        <v>Tax at 12/31/2013</v>
      </c>
      <c r="E10" s="35"/>
      <c r="F10" s="35"/>
      <c r="G10" s="35"/>
      <c r="H10" s="35"/>
      <c r="I10" s="35"/>
      <c r="J10" s="35"/>
    </row>
    <row r="11" spans="1:10" x14ac:dyDescent="0.25">
      <c r="A11" s="61"/>
      <c r="B11" s="61"/>
      <c r="C11" s="65"/>
      <c r="D11" s="380"/>
      <c r="E11" s="35"/>
      <c r="F11" s="35"/>
      <c r="G11" s="35"/>
      <c r="H11" s="35"/>
      <c r="I11" s="35"/>
      <c r="J11" s="35"/>
    </row>
    <row r="12" spans="1:10" x14ac:dyDescent="0.25">
      <c r="A12" s="190">
        <v>190</v>
      </c>
      <c r="B12" s="42" t="s">
        <v>1221</v>
      </c>
      <c r="C12" s="65"/>
      <c r="D12" s="42">
        <v>955117</v>
      </c>
      <c r="E12" s="42"/>
      <c r="F12" s="42" t="s">
        <v>220</v>
      </c>
      <c r="G12" s="167">
        <f t="shared" ref="G12:G69" si="0">VLOOKUP(F12,ALLOCATORS,2,FALSE)</f>
        <v>0</v>
      </c>
      <c r="H12" s="138"/>
      <c r="I12" s="42">
        <f>D12*G12</f>
        <v>0</v>
      </c>
      <c r="J12" s="35"/>
    </row>
    <row r="13" spans="1:10" x14ac:dyDescent="0.25">
      <c r="A13" s="190">
        <v>190</v>
      </c>
      <c r="B13" s="42" t="s">
        <v>1222</v>
      </c>
      <c r="C13" s="65"/>
      <c r="D13" s="42">
        <v>677250</v>
      </c>
      <c r="E13" s="42"/>
      <c r="F13" s="42" t="s">
        <v>224</v>
      </c>
      <c r="G13" s="167">
        <f t="shared" si="0"/>
        <v>0</v>
      </c>
      <c r="H13" s="138"/>
      <c r="I13" s="42">
        <f t="shared" ref="I13:I69" si="1">D13*G13</f>
        <v>0</v>
      </c>
      <c r="J13" s="35"/>
    </row>
    <row r="14" spans="1:10" x14ac:dyDescent="0.25">
      <c r="A14" s="190">
        <v>190</v>
      </c>
      <c r="B14" s="42" t="s">
        <v>1223</v>
      </c>
      <c r="C14" s="65"/>
      <c r="D14" s="42">
        <v>2199</v>
      </c>
      <c r="E14" s="42"/>
      <c r="F14" s="42" t="s">
        <v>222</v>
      </c>
      <c r="G14" s="167">
        <f t="shared" si="0"/>
        <v>0</v>
      </c>
      <c r="H14" s="138"/>
      <c r="I14" s="42">
        <f t="shared" si="1"/>
        <v>0</v>
      </c>
      <c r="J14" s="35"/>
    </row>
    <row r="15" spans="1:10" x14ac:dyDescent="0.25">
      <c r="A15" s="190">
        <v>190</v>
      </c>
      <c r="B15" s="42" t="s">
        <v>1224</v>
      </c>
      <c r="C15" s="65"/>
      <c r="D15" s="42">
        <v>655775</v>
      </c>
      <c r="E15" s="42"/>
      <c r="F15" s="42" t="s">
        <v>37</v>
      </c>
      <c r="G15" s="167">
        <f t="shared" si="0"/>
        <v>0.20921659531438735</v>
      </c>
      <c r="H15" s="138"/>
      <c r="I15" s="42">
        <f t="shared" si="1"/>
        <v>137199.01279229237</v>
      </c>
      <c r="J15" s="35"/>
    </row>
    <row r="16" spans="1:10" x14ac:dyDescent="0.25">
      <c r="A16" s="190">
        <v>190</v>
      </c>
      <c r="B16" s="42" t="s">
        <v>1225</v>
      </c>
      <c r="C16" s="65"/>
      <c r="D16" s="42">
        <v>21442331</v>
      </c>
      <c r="E16" s="42"/>
      <c r="F16" s="42" t="s">
        <v>222</v>
      </c>
      <c r="G16" s="167">
        <f t="shared" si="0"/>
        <v>0</v>
      </c>
      <c r="H16" s="138"/>
      <c r="I16" s="42">
        <f t="shared" si="1"/>
        <v>0</v>
      </c>
      <c r="J16" s="35"/>
    </row>
    <row r="17" spans="1:10" x14ac:dyDescent="0.25">
      <c r="A17" s="190">
        <v>190</v>
      </c>
      <c r="B17" s="42" t="s">
        <v>1226</v>
      </c>
      <c r="C17" s="65"/>
      <c r="D17" s="42">
        <v>2222358</v>
      </c>
      <c r="E17" s="42"/>
      <c r="F17" s="42" t="s">
        <v>220</v>
      </c>
      <c r="G17" s="167">
        <f t="shared" si="0"/>
        <v>0</v>
      </c>
      <c r="H17" s="138"/>
      <c r="I17" s="42">
        <f t="shared" si="1"/>
        <v>0</v>
      </c>
      <c r="J17" s="35"/>
    </row>
    <row r="18" spans="1:10" x14ac:dyDescent="0.25">
      <c r="A18" s="190">
        <v>190</v>
      </c>
      <c r="B18" s="42" t="s">
        <v>1227</v>
      </c>
      <c r="C18" s="65"/>
      <c r="D18" s="42">
        <v>281739</v>
      </c>
      <c r="E18" s="42"/>
      <c r="F18" s="42" t="s">
        <v>221</v>
      </c>
      <c r="G18" s="167">
        <f t="shared" si="0"/>
        <v>5.301789141664983E-2</v>
      </c>
      <c r="H18" s="138"/>
      <c r="I18" s="42">
        <f t="shared" si="1"/>
        <v>14937.207709835506</v>
      </c>
      <c r="J18" s="35"/>
    </row>
    <row r="19" spans="1:10" x14ac:dyDescent="0.25">
      <c r="A19" s="190">
        <v>190</v>
      </c>
      <c r="B19" s="42" t="s">
        <v>1228</v>
      </c>
      <c r="C19" s="65"/>
      <c r="D19" s="42">
        <v>9157781</v>
      </c>
      <c r="E19" s="42"/>
      <c r="F19" s="42" t="s">
        <v>224</v>
      </c>
      <c r="G19" s="167">
        <f t="shared" si="0"/>
        <v>0</v>
      </c>
      <c r="H19" s="138"/>
      <c r="I19" s="42">
        <f t="shared" si="1"/>
        <v>0</v>
      </c>
      <c r="J19" s="35"/>
    </row>
    <row r="20" spans="1:10" x14ac:dyDescent="0.25">
      <c r="A20" s="190">
        <v>190</v>
      </c>
      <c r="B20" s="42" t="s">
        <v>1229</v>
      </c>
      <c r="C20" s="65"/>
      <c r="D20" s="42">
        <v>921518</v>
      </c>
      <c r="E20" s="42"/>
      <c r="F20" s="42" t="s">
        <v>221</v>
      </c>
      <c r="G20" s="167">
        <f t="shared" si="0"/>
        <v>5.301789141664983E-2</v>
      </c>
      <c r="H20" s="138"/>
      <c r="I20" s="42">
        <f t="shared" si="1"/>
        <v>48856.941262488319</v>
      </c>
      <c r="J20" s="35"/>
    </row>
    <row r="21" spans="1:10" x14ac:dyDescent="0.25">
      <c r="A21" s="190">
        <v>190</v>
      </c>
      <c r="B21" s="42" t="s">
        <v>1230</v>
      </c>
      <c r="C21" s="65"/>
      <c r="D21" s="42">
        <v>1757538</v>
      </c>
      <c r="E21" s="42"/>
      <c r="F21" s="42" t="s">
        <v>221</v>
      </c>
      <c r="G21" s="167">
        <f t="shared" si="0"/>
        <v>5.301789141664983E-2</v>
      </c>
      <c r="H21" s="138"/>
      <c r="I21" s="42">
        <f t="shared" si="1"/>
        <v>93180.958844635912</v>
      </c>
      <c r="J21" s="35"/>
    </row>
    <row r="22" spans="1:10" x14ac:dyDescent="0.25">
      <c r="A22" s="190">
        <v>190</v>
      </c>
      <c r="B22" s="42" t="s">
        <v>1231</v>
      </c>
      <c r="C22" s="65"/>
      <c r="D22" s="42">
        <v>257294</v>
      </c>
      <c r="E22" s="42"/>
      <c r="F22" s="42" t="s">
        <v>1071</v>
      </c>
      <c r="G22" s="167">
        <f t="shared" si="0"/>
        <v>0</v>
      </c>
      <c r="H22" s="138"/>
      <c r="I22" s="42">
        <f t="shared" si="1"/>
        <v>0</v>
      </c>
      <c r="J22" s="35"/>
    </row>
    <row r="23" spans="1:10" x14ac:dyDescent="0.25">
      <c r="A23" s="190">
        <v>190</v>
      </c>
      <c r="B23" s="42" t="s">
        <v>1232</v>
      </c>
      <c r="C23" s="65"/>
      <c r="D23" s="42">
        <v>10665748</v>
      </c>
      <c r="E23" s="42"/>
      <c r="F23" s="42" t="s">
        <v>221</v>
      </c>
      <c r="G23" s="167">
        <f t="shared" si="0"/>
        <v>5.301789141664983E-2</v>
      </c>
      <c r="H23" s="138"/>
      <c r="I23" s="42">
        <f t="shared" si="1"/>
        <v>565475.46934135014</v>
      </c>
      <c r="J23" s="35"/>
    </row>
    <row r="24" spans="1:10" x14ac:dyDescent="0.25">
      <c r="A24" s="190">
        <v>190</v>
      </c>
      <c r="B24" s="42" t="s">
        <v>1233</v>
      </c>
      <c r="C24" s="65"/>
      <c r="D24" s="42">
        <v>211506</v>
      </c>
      <c r="E24" s="42"/>
      <c r="F24" s="42" t="s">
        <v>222</v>
      </c>
      <c r="G24" s="167">
        <f t="shared" si="0"/>
        <v>0</v>
      </c>
      <c r="H24" s="138"/>
      <c r="I24" s="42">
        <f t="shared" si="1"/>
        <v>0</v>
      </c>
      <c r="J24" s="35"/>
    </row>
    <row r="25" spans="1:10" x14ac:dyDescent="0.25">
      <c r="A25" s="190">
        <v>190</v>
      </c>
      <c r="B25" s="42" t="s">
        <v>1234</v>
      </c>
      <c r="C25" s="65"/>
      <c r="D25" s="42">
        <v>1592702</v>
      </c>
      <c r="E25" s="42"/>
      <c r="F25" s="42" t="s">
        <v>220</v>
      </c>
      <c r="G25" s="167">
        <f t="shared" si="0"/>
        <v>0</v>
      </c>
      <c r="H25" s="138"/>
      <c r="I25" s="42">
        <f t="shared" si="1"/>
        <v>0</v>
      </c>
      <c r="J25" s="35"/>
    </row>
    <row r="26" spans="1:10" x14ac:dyDescent="0.25">
      <c r="A26" s="190">
        <v>190</v>
      </c>
      <c r="B26" s="42" t="s">
        <v>1235</v>
      </c>
      <c r="C26" s="65"/>
      <c r="D26" s="42">
        <v>35500042</v>
      </c>
      <c r="E26" s="42"/>
      <c r="F26" s="42" t="s">
        <v>220</v>
      </c>
      <c r="G26" s="167">
        <f t="shared" si="0"/>
        <v>0</v>
      </c>
      <c r="H26" s="138"/>
      <c r="I26" s="42">
        <f t="shared" si="1"/>
        <v>0</v>
      </c>
      <c r="J26" s="35"/>
    </row>
    <row r="27" spans="1:10" x14ac:dyDescent="0.25">
      <c r="A27" s="190">
        <v>190</v>
      </c>
      <c r="B27" s="42" t="s">
        <v>1236</v>
      </c>
      <c r="C27" s="65"/>
      <c r="D27" s="42">
        <v>14118191</v>
      </c>
      <c r="E27" s="42"/>
      <c r="F27" s="42" t="s">
        <v>221</v>
      </c>
      <c r="G27" s="167">
        <f t="shared" si="0"/>
        <v>5.301789141664983E-2</v>
      </c>
      <c r="H27" s="138"/>
      <c r="I27" s="42">
        <f t="shared" si="1"/>
        <v>748516.71743752284</v>
      </c>
      <c r="J27" s="35"/>
    </row>
    <row r="28" spans="1:10" x14ac:dyDescent="0.25">
      <c r="A28" s="190">
        <v>190</v>
      </c>
      <c r="B28" s="42" t="s">
        <v>1237</v>
      </c>
      <c r="C28" s="65"/>
      <c r="D28" s="42">
        <v>11316278</v>
      </c>
      <c r="E28" s="42"/>
      <c r="F28" s="42" t="s">
        <v>224</v>
      </c>
      <c r="G28" s="167">
        <f t="shared" si="0"/>
        <v>0</v>
      </c>
      <c r="H28" s="138"/>
      <c r="I28" s="42">
        <f t="shared" si="1"/>
        <v>0</v>
      </c>
      <c r="J28" s="35"/>
    </row>
    <row r="29" spans="1:10" x14ac:dyDescent="0.25">
      <c r="A29" s="190">
        <v>190</v>
      </c>
      <c r="B29" s="42" t="s">
        <v>1238</v>
      </c>
      <c r="C29" s="65"/>
      <c r="D29" s="42">
        <v>32576428</v>
      </c>
      <c r="E29" s="42"/>
      <c r="F29" s="42" t="s">
        <v>37</v>
      </c>
      <c r="G29" s="167">
        <f t="shared" si="0"/>
        <v>0.20921659531438735</v>
      </c>
      <c r="H29" s="138"/>
      <c r="I29" s="42">
        <f t="shared" si="1"/>
        <v>6815529.3536642771</v>
      </c>
      <c r="J29" s="35"/>
    </row>
    <row r="30" spans="1:10" x14ac:dyDescent="0.25">
      <c r="A30" s="190">
        <v>190</v>
      </c>
      <c r="B30" s="42" t="s">
        <v>1239</v>
      </c>
      <c r="C30" s="65"/>
      <c r="D30" s="42">
        <v>40872</v>
      </c>
      <c r="E30" s="42"/>
      <c r="F30" s="42" t="s">
        <v>37</v>
      </c>
      <c r="G30" s="167">
        <f t="shared" si="0"/>
        <v>0.20921659531438735</v>
      </c>
      <c r="H30" s="138"/>
      <c r="I30" s="42">
        <f t="shared" si="1"/>
        <v>8551.1006836896395</v>
      </c>
      <c r="J30" s="35"/>
    </row>
    <row r="31" spans="1:10" x14ac:dyDescent="0.25">
      <c r="A31" s="190">
        <v>190</v>
      </c>
      <c r="B31" s="42" t="s">
        <v>1240</v>
      </c>
      <c r="C31" s="65"/>
      <c r="D31" s="42">
        <v>332853787</v>
      </c>
      <c r="E31" s="42"/>
      <c r="F31" s="42" t="s">
        <v>37</v>
      </c>
      <c r="G31" s="167">
        <f t="shared" si="0"/>
        <v>0.20921659531438735</v>
      </c>
      <c r="H31" s="138"/>
      <c r="I31" s="42">
        <f t="shared" si="1"/>
        <v>69638536.053640291</v>
      </c>
      <c r="J31" s="35"/>
    </row>
    <row r="32" spans="1:10" x14ac:dyDescent="0.25">
      <c r="A32" s="190">
        <v>190</v>
      </c>
      <c r="B32" s="42" t="s">
        <v>1241</v>
      </c>
      <c r="C32" s="65"/>
      <c r="D32" s="42">
        <v>3303105</v>
      </c>
      <c r="E32" s="42"/>
      <c r="F32" s="42" t="s">
        <v>224</v>
      </c>
      <c r="G32" s="167">
        <f t="shared" si="0"/>
        <v>0</v>
      </c>
      <c r="H32" s="138"/>
      <c r="I32" s="42">
        <f t="shared" si="1"/>
        <v>0</v>
      </c>
      <c r="J32" s="35"/>
    </row>
    <row r="33" spans="1:10" x14ac:dyDescent="0.25">
      <c r="A33" s="190">
        <v>190</v>
      </c>
      <c r="B33" s="42" t="s">
        <v>1242</v>
      </c>
      <c r="C33" s="65"/>
      <c r="D33" s="42">
        <v>101986785</v>
      </c>
      <c r="E33" s="42"/>
      <c r="F33" s="42" t="s">
        <v>222</v>
      </c>
      <c r="G33" s="167">
        <f t="shared" si="0"/>
        <v>0</v>
      </c>
      <c r="H33" s="138"/>
      <c r="I33" s="42">
        <f t="shared" si="1"/>
        <v>0</v>
      </c>
      <c r="J33" s="35"/>
    </row>
    <row r="34" spans="1:10" x14ac:dyDescent="0.25">
      <c r="A34" s="190">
        <v>190</v>
      </c>
      <c r="B34" s="42" t="s">
        <v>1243</v>
      </c>
      <c r="C34" s="65"/>
      <c r="D34" s="42">
        <v>44838676</v>
      </c>
      <c r="E34" s="42"/>
      <c r="F34" s="42" t="s">
        <v>220</v>
      </c>
      <c r="G34" s="167">
        <f t="shared" si="0"/>
        <v>0</v>
      </c>
      <c r="H34" s="138"/>
      <c r="I34" s="42">
        <f t="shared" si="1"/>
        <v>0</v>
      </c>
      <c r="J34" s="35"/>
    </row>
    <row r="35" spans="1:10" x14ac:dyDescent="0.25">
      <c r="A35" s="190">
        <v>190</v>
      </c>
      <c r="B35" s="42" t="s">
        <v>1244</v>
      </c>
      <c r="C35" s="65"/>
      <c r="D35" s="42">
        <v>6935345</v>
      </c>
      <c r="E35" s="42"/>
      <c r="F35" s="42" t="s">
        <v>221</v>
      </c>
      <c r="G35" s="167">
        <f t="shared" si="0"/>
        <v>5.301789141664983E-2</v>
      </c>
      <c r="H35" s="138"/>
      <c r="I35" s="42">
        <f t="shared" si="1"/>
        <v>367697.36814700533</v>
      </c>
      <c r="J35" s="35"/>
    </row>
    <row r="36" spans="1:10" x14ac:dyDescent="0.25">
      <c r="A36" s="190">
        <v>190</v>
      </c>
      <c r="B36" s="42" t="s">
        <v>1245</v>
      </c>
      <c r="C36" s="65"/>
      <c r="D36" s="42">
        <v>394661</v>
      </c>
      <c r="E36" s="42"/>
      <c r="F36" s="42" t="s">
        <v>221</v>
      </c>
      <c r="G36" s="167">
        <f t="shared" si="0"/>
        <v>5.301789141664983E-2</v>
      </c>
      <c r="H36" s="138"/>
      <c r="I36" s="42">
        <f t="shared" si="1"/>
        <v>20924.094044386438</v>
      </c>
      <c r="J36" s="35"/>
    </row>
    <row r="37" spans="1:10" x14ac:dyDescent="0.25">
      <c r="A37" s="190">
        <v>190</v>
      </c>
      <c r="B37" s="42" t="s">
        <v>1246</v>
      </c>
      <c r="C37" s="65"/>
      <c r="D37" s="42">
        <v>15131038</v>
      </c>
      <c r="E37" s="42"/>
      <c r="F37" s="42" t="s">
        <v>221</v>
      </c>
      <c r="G37" s="167">
        <f t="shared" si="0"/>
        <v>5.301789141664983E-2</v>
      </c>
      <c r="H37" s="138"/>
      <c r="I37" s="42">
        <f t="shared" si="1"/>
        <v>802215.72970520239</v>
      </c>
      <c r="J37" s="35"/>
    </row>
    <row r="38" spans="1:10" x14ac:dyDescent="0.25">
      <c r="A38" s="190">
        <v>190</v>
      </c>
      <c r="B38" s="42" t="s">
        <v>1247</v>
      </c>
      <c r="C38" s="65"/>
      <c r="D38" s="42">
        <v>1711389</v>
      </c>
      <c r="E38" s="42"/>
      <c r="F38" s="42" t="s">
        <v>221</v>
      </c>
      <c r="G38" s="167">
        <f t="shared" si="0"/>
        <v>5.301789141664983E-2</v>
      </c>
      <c r="H38" s="138"/>
      <c r="I38" s="42">
        <f t="shared" si="1"/>
        <v>90734.23617364894</v>
      </c>
      <c r="J38" s="35"/>
    </row>
    <row r="39" spans="1:10" x14ac:dyDescent="0.25">
      <c r="A39" s="190">
        <v>190</v>
      </c>
      <c r="B39" s="42" t="s">
        <v>1248</v>
      </c>
      <c r="C39" s="65"/>
      <c r="D39" s="42">
        <v>0</v>
      </c>
      <c r="E39" s="42"/>
      <c r="F39" s="42" t="s">
        <v>221</v>
      </c>
      <c r="G39" s="167">
        <f t="shared" si="0"/>
        <v>5.301789141664983E-2</v>
      </c>
      <c r="H39" s="138"/>
      <c r="I39" s="42">
        <f t="shared" si="1"/>
        <v>0</v>
      </c>
      <c r="J39" s="35"/>
    </row>
    <row r="40" spans="1:10" x14ac:dyDescent="0.25">
      <c r="A40" s="190">
        <v>190</v>
      </c>
      <c r="B40" s="42" t="s">
        <v>1249</v>
      </c>
      <c r="C40" s="65"/>
      <c r="D40" s="42">
        <v>7483099</v>
      </c>
      <c r="E40" s="42"/>
      <c r="F40" s="42" t="s">
        <v>37</v>
      </c>
      <c r="G40" s="167">
        <f t="shared" si="0"/>
        <v>0.20921659531438735</v>
      </c>
      <c r="H40" s="138"/>
      <c r="I40" s="42">
        <f t="shared" si="1"/>
        <v>1565588.4951804967</v>
      </c>
      <c r="J40" s="35"/>
    </row>
    <row r="41" spans="1:10" x14ac:dyDescent="0.25">
      <c r="A41" s="190">
        <v>190</v>
      </c>
      <c r="B41" s="42" t="s">
        <v>1250</v>
      </c>
      <c r="C41" s="65"/>
      <c r="D41" s="42">
        <v>34293</v>
      </c>
      <c r="E41" s="42"/>
      <c r="F41" s="42" t="s">
        <v>221</v>
      </c>
      <c r="G41" s="167">
        <f t="shared" si="0"/>
        <v>5.301789141664983E-2</v>
      </c>
      <c r="H41" s="138"/>
      <c r="I41" s="42">
        <f t="shared" si="1"/>
        <v>1818.1425503511725</v>
      </c>
      <c r="J41" s="35"/>
    </row>
    <row r="42" spans="1:10" x14ac:dyDescent="0.25">
      <c r="A42" s="190">
        <v>190</v>
      </c>
      <c r="B42" s="42" t="s">
        <v>1251</v>
      </c>
      <c r="C42" s="65"/>
      <c r="D42" s="42">
        <v>613032</v>
      </c>
      <c r="E42" s="42"/>
      <c r="F42" s="42" t="s">
        <v>224</v>
      </c>
      <c r="G42" s="167">
        <f t="shared" si="0"/>
        <v>0</v>
      </c>
      <c r="H42" s="138"/>
      <c r="I42" s="42">
        <f t="shared" si="1"/>
        <v>0</v>
      </c>
      <c r="J42" s="35"/>
    </row>
    <row r="43" spans="1:10" x14ac:dyDescent="0.25">
      <c r="A43" s="190">
        <v>190</v>
      </c>
      <c r="B43" s="42" t="s">
        <v>1252</v>
      </c>
      <c r="C43" s="65"/>
      <c r="D43" s="42">
        <v>116371985</v>
      </c>
      <c r="E43" s="42"/>
      <c r="F43" s="42" t="s">
        <v>222</v>
      </c>
      <c r="G43" s="167">
        <f t="shared" si="0"/>
        <v>0</v>
      </c>
      <c r="H43" s="138"/>
      <c r="I43" s="42">
        <f t="shared" si="1"/>
        <v>0</v>
      </c>
      <c r="J43" s="35"/>
    </row>
    <row r="44" spans="1:10" x14ac:dyDescent="0.25">
      <c r="A44" s="190">
        <v>190</v>
      </c>
      <c r="B44" s="42" t="s">
        <v>1253</v>
      </c>
      <c r="C44" s="65"/>
      <c r="D44" s="42">
        <v>0</v>
      </c>
      <c r="E44" s="42"/>
      <c r="F44" s="42" t="s">
        <v>222</v>
      </c>
      <c r="G44" s="167">
        <f t="shared" si="0"/>
        <v>0</v>
      </c>
      <c r="H44" s="138"/>
      <c r="I44" s="42">
        <f t="shared" si="1"/>
        <v>0</v>
      </c>
      <c r="J44" s="35"/>
    </row>
    <row r="45" spans="1:10" x14ac:dyDescent="0.25">
      <c r="A45" s="190">
        <v>190</v>
      </c>
      <c r="B45" s="42" t="s">
        <v>1254</v>
      </c>
      <c r="C45" s="65"/>
      <c r="D45" s="42">
        <v>5135937</v>
      </c>
      <c r="E45" s="42"/>
      <c r="F45" s="42" t="s">
        <v>224</v>
      </c>
      <c r="G45" s="167">
        <f t="shared" si="0"/>
        <v>0</v>
      </c>
      <c r="H45" s="138"/>
      <c r="I45" s="42">
        <f t="shared" si="1"/>
        <v>0</v>
      </c>
      <c r="J45" s="35"/>
    </row>
    <row r="46" spans="1:10" x14ac:dyDescent="0.25">
      <c r="A46" s="190">
        <v>190</v>
      </c>
      <c r="B46" s="42" t="s">
        <v>1255</v>
      </c>
      <c r="C46" s="65"/>
      <c r="D46" s="42">
        <v>668315</v>
      </c>
      <c r="E46" s="42"/>
      <c r="F46" s="42" t="s">
        <v>37</v>
      </c>
      <c r="G46" s="167">
        <f t="shared" si="0"/>
        <v>0.20921659531438735</v>
      </c>
      <c r="H46" s="138"/>
      <c r="I46" s="42">
        <f t="shared" si="1"/>
        <v>139822.58889753479</v>
      </c>
      <c r="J46" s="35"/>
    </row>
    <row r="47" spans="1:10" x14ac:dyDescent="0.25">
      <c r="A47" s="190">
        <v>190</v>
      </c>
      <c r="B47" s="42" t="s">
        <v>1256</v>
      </c>
      <c r="C47" s="65"/>
      <c r="D47" s="42">
        <v>856343</v>
      </c>
      <c r="E47" s="42"/>
      <c r="F47" s="42" t="s">
        <v>37</v>
      </c>
      <c r="G47" s="167">
        <f t="shared" si="0"/>
        <v>0.20921659531438735</v>
      </c>
      <c r="H47" s="138"/>
      <c r="I47" s="42">
        <f t="shared" si="1"/>
        <v>179161.1668813084</v>
      </c>
      <c r="J47" s="35"/>
    </row>
    <row r="48" spans="1:10" x14ac:dyDescent="0.25">
      <c r="A48" s="190">
        <v>190</v>
      </c>
      <c r="B48" s="42" t="s">
        <v>1257</v>
      </c>
      <c r="C48" s="65"/>
      <c r="D48" s="42">
        <v>476657</v>
      </c>
      <c r="E48" s="42"/>
      <c r="F48" s="42" t="s">
        <v>37</v>
      </c>
      <c r="G48" s="167">
        <f t="shared" si="0"/>
        <v>0.20921659531438735</v>
      </c>
      <c r="H48" s="138"/>
      <c r="I48" s="42">
        <f t="shared" si="1"/>
        <v>99724.55467276994</v>
      </c>
      <c r="J48" s="35"/>
    </row>
    <row r="49" spans="1:10" x14ac:dyDescent="0.25">
      <c r="A49" s="190">
        <v>190</v>
      </c>
      <c r="B49" s="42" t="s">
        <v>1258</v>
      </c>
      <c r="C49" s="65"/>
      <c r="D49" s="42">
        <v>-25398562</v>
      </c>
      <c r="E49" s="42"/>
      <c r="F49" s="42" t="s">
        <v>221</v>
      </c>
      <c r="G49" s="167">
        <f t="shared" si="0"/>
        <v>5.301789141664983E-2</v>
      </c>
      <c r="H49" s="138"/>
      <c r="I49" s="42">
        <f t="shared" si="1"/>
        <v>-1346578.2022550486</v>
      </c>
      <c r="J49" s="35"/>
    </row>
    <row r="50" spans="1:10" x14ac:dyDescent="0.25">
      <c r="A50" s="190">
        <v>190</v>
      </c>
      <c r="B50" s="42" t="s">
        <v>1259</v>
      </c>
      <c r="C50" s="65"/>
      <c r="D50" s="42">
        <v>11854121</v>
      </c>
      <c r="E50" s="42"/>
      <c r="F50" s="42" t="s">
        <v>220</v>
      </c>
      <c r="G50" s="167">
        <f t="shared" si="0"/>
        <v>0</v>
      </c>
      <c r="H50" s="138"/>
      <c r="I50" s="42">
        <f t="shared" si="1"/>
        <v>0</v>
      </c>
      <c r="J50" s="35"/>
    </row>
    <row r="51" spans="1:10" x14ac:dyDescent="0.25">
      <c r="A51" s="190">
        <v>190</v>
      </c>
      <c r="B51" s="42" t="s">
        <v>1260</v>
      </c>
      <c r="C51" s="65"/>
      <c r="D51" s="42">
        <v>1127294</v>
      </c>
      <c r="E51" s="42"/>
      <c r="F51" s="42" t="s">
        <v>222</v>
      </c>
      <c r="G51" s="167">
        <f t="shared" si="0"/>
        <v>0</v>
      </c>
      <c r="H51" s="138"/>
      <c r="I51" s="42">
        <f t="shared" si="1"/>
        <v>0</v>
      </c>
      <c r="J51" s="35"/>
    </row>
    <row r="52" spans="1:10" x14ac:dyDescent="0.25">
      <c r="A52" s="190">
        <v>190</v>
      </c>
      <c r="B52" s="42" t="s">
        <v>1261</v>
      </c>
      <c r="C52" s="65"/>
      <c r="D52" s="42">
        <v>45084696</v>
      </c>
      <c r="E52" s="42"/>
      <c r="F52" s="42" t="s">
        <v>222</v>
      </c>
      <c r="G52" s="167">
        <f t="shared" si="0"/>
        <v>0</v>
      </c>
      <c r="H52" s="138"/>
      <c r="I52" s="42">
        <f t="shared" si="1"/>
        <v>0</v>
      </c>
      <c r="J52" s="35"/>
    </row>
    <row r="53" spans="1:10" x14ac:dyDescent="0.25">
      <c r="A53" s="190">
        <v>190</v>
      </c>
      <c r="B53" s="42" t="s">
        <v>1262</v>
      </c>
      <c r="C53" s="65"/>
      <c r="D53" s="42">
        <v>2647837</v>
      </c>
      <c r="E53" s="42"/>
      <c r="F53" s="42" t="s">
        <v>221</v>
      </c>
      <c r="G53" s="167">
        <f t="shared" si="0"/>
        <v>5.301789141664983E-2</v>
      </c>
      <c r="H53" s="138"/>
      <c r="I53" s="42">
        <f t="shared" si="1"/>
        <v>140382.73455498784</v>
      </c>
      <c r="J53" s="35"/>
    </row>
    <row r="54" spans="1:10" x14ac:dyDescent="0.25">
      <c r="A54" s="190">
        <v>190</v>
      </c>
      <c r="B54" s="42" t="s">
        <v>1263</v>
      </c>
      <c r="C54" s="65"/>
      <c r="D54" s="42">
        <v>-764798</v>
      </c>
      <c r="E54" s="42"/>
      <c r="F54" s="42" t="s">
        <v>221</v>
      </c>
      <c r="G54" s="167">
        <f t="shared" si="0"/>
        <v>5.301789141664983E-2</v>
      </c>
      <c r="H54" s="138"/>
      <c r="I54" s="42">
        <f t="shared" si="1"/>
        <v>-40547.977319670958</v>
      </c>
      <c r="J54" s="35"/>
    </row>
    <row r="55" spans="1:10" x14ac:dyDescent="0.25">
      <c r="A55" s="190">
        <v>190</v>
      </c>
      <c r="B55" s="42" t="s">
        <v>686</v>
      </c>
      <c r="C55" s="65"/>
      <c r="D55" s="42">
        <v>35</v>
      </c>
      <c r="E55" s="42"/>
      <c r="F55" s="42" t="s">
        <v>221</v>
      </c>
      <c r="G55" s="167">
        <f t="shared" si="0"/>
        <v>5.301789141664983E-2</v>
      </c>
      <c r="H55" s="138"/>
      <c r="I55" s="42">
        <f t="shared" si="1"/>
        <v>1.8556261995827441</v>
      </c>
      <c r="J55" s="35"/>
    </row>
    <row r="56" spans="1:10" x14ac:dyDescent="0.25">
      <c r="A56" s="190">
        <v>190</v>
      </c>
      <c r="B56" s="42" t="s">
        <v>687</v>
      </c>
      <c r="C56" s="65"/>
      <c r="D56" s="42">
        <v>0</v>
      </c>
      <c r="E56" s="42"/>
      <c r="F56" s="42" t="s">
        <v>221</v>
      </c>
      <c r="G56" s="167">
        <f t="shared" si="0"/>
        <v>5.301789141664983E-2</v>
      </c>
      <c r="H56" s="138"/>
      <c r="I56" s="42">
        <f t="shared" si="1"/>
        <v>0</v>
      </c>
      <c r="J56" s="35"/>
    </row>
    <row r="57" spans="1:10" x14ac:dyDescent="0.25">
      <c r="A57" s="190">
        <v>190</v>
      </c>
      <c r="B57" s="42" t="s">
        <v>1264</v>
      </c>
      <c r="C57" s="65"/>
      <c r="D57" s="42">
        <v>22784</v>
      </c>
      <c r="E57" s="42"/>
      <c r="F57" s="42" t="s">
        <v>221</v>
      </c>
      <c r="G57" s="167">
        <f t="shared" si="0"/>
        <v>5.301789141664983E-2</v>
      </c>
      <c r="H57" s="138"/>
      <c r="I57" s="42">
        <f t="shared" si="1"/>
        <v>1207.9596380369496</v>
      </c>
      <c r="J57" s="35"/>
    </row>
    <row r="58" spans="1:10" x14ac:dyDescent="0.25">
      <c r="A58" s="190">
        <v>190</v>
      </c>
      <c r="B58" s="42" t="s">
        <v>1265</v>
      </c>
      <c r="C58" s="65"/>
      <c r="D58" s="42">
        <v>920887</v>
      </c>
      <c r="E58" s="42"/>
      <c r="F58" s="42" t="s">
        <v>221</v>
      </c>
      <c r="G58" s="167">
        <f t="shared" si="0"/>
        <v>5.301789141664983E-2</v>
      </c>
      <c r="H58" s="138"/>
      <c r="I58" s="42">
        <f t="shared" si="1"/>
        <v>48823.486973004416</v>
      </c>
      <c r="J58" s="35"/>
    </row>
    <row r="59" spans="1:10" x14ac:dyDescent="0.25">
      <c r="A59" s="190">
        <v>190</v>
      </c>
      <c r="B59" s="42" t="s">
        <v>1266</v>
      </c>
      <c r="C59" s="65"/>
      <c r="D59" s="42">
        <v>27011990</v>
      </c>
      <c r="E59" s="42"/>
      <c r="F59" s="42" t="s">
        <v>221</v>
      </c>
      <c r="G59" s="167">
        <f t="shared" si="0"/>
        <v>5.301789141664983E-2</v>
      </c>
      <c r="H59" s="138"/>
      <c r="I59" s="42">
        <f t="shared" si="1"/>
        <v>1432118.7527676311</v>
      </c>
      <c r="J59" s="35"/>
    </row>
    <row r="60" spans="1:10" x14ac:dyDescent="0.25">
      <c r="A60" s="190">
        <v>190</v>
      </c>
      <c r="B60" s="42" t="s">
        <v>1267</v>
      </c>
      <c r="C60" s="65"/>
      <c r="D60" s="42">
        <v>82735148</v>
      </c>
      <c r="E60" s="42"/>
      <c r="F60" s="42" t="s">
        <v>221</v>
      </c>
      <c r="G60" s="167">
        <f t="shared" si="0"/>
        <v>5.301789141664983E-2</v>
      </c>
      <c r="H60" s="138"/>
      <c r="I60" s="42">
        <f t="shared" si="1"/>
        <v>4386443.093004453</v>
      </c>
      <c r="J60" s="35"/>
    </row>
    <row r="61" spans="1:10" x14ac:dyDescent="0.25">
      <c r="A61" s="190">
        <v>190</v>
      </c>
      <c r="B61" s="42" t="s">
        <v>1268</v>
      </c>
      <c r="C61" s="65"/>
      <c r="D61" s="42">
        <v>-12475242</v>
      </c>
      <c r="E61" s="42"/>
      <c r="F61" s="42" t="s">
        <v>221</v>
      </c>
      <c r="G61" s="167">
        <f t="shared" si="0"/>
        <v>5.301789141664983E-2</v>
      </c>
      <c r="H61" s="138"/>
      <c r="I61" s="42">
        <f t="shared" si="1"/>
        <v>-661411.0257524295</v>
      </c>
      <c r="J61" s="35"/>
    </row>
    <row r="62" spans="1:10" x14ac:dyDescent="0.25">
      <c r="A62" s="190">
        <v>190</v>
      </c>
      <c r="B62" s="42" t="s">
        <v>1269</v>
      </c>
      <c r="C62" s="65"/>
      <c r="D62" s="42">
        <v>9267276</v>
      </c>
      <c r="E62" s="42"/>
      <c r="F62" s="42" t="s">
        <v>221</v>
      </c>
      <c r="G62" s="167">
        <f t="shared" si="0"/>
        <v>5.301789141664983E-2</v>
      </c>
      <c r="H62" s="138"/>
      <c r="I62" s="42">
        <f t="shared" si="1"/>
        <v>491331.43269612495</v>
      </c>
      <c r="J62" s="35"/>
    </row>
    <row r="63" spans="1:10" x14ac:dyDescent="0.25">
      <c r="A63" s="190">
        <v>190</v>
      </c>
      <c r="B63" s="42" t="s">
        <v>1270</v>
      </c>
      <c r="C63" s="65"/>
      <c r="D63" s="42">
        <v>154566581</v>
      </c>
      <c r="E63" s="42"/>
      <c r="F63" s="42" t="s">
        <v>222</v>
      </c>
      <c r="G63" s="167">
        <f t="shared" si="0"/>
        <v>0</v>
      </c>
      <c r="H63" s="138"/>
      <c r="I63" s="42">
        <f t="shared" si="1"/>
        <v>0</v>
      </c>
      <c r="J63" s="35"/>
    </row>
    <row r="64" spans="1:10" x14ac:dyDescent="0.25">
      <c r="A64" s="190">
        <v>190</v>
      </c>
      <c r="B64" s="42" t="s">
        <v>1271</v>
      </c>
      <c r="C64" s="65"/>
      <c r="D64" s="42">
        <v>12557</v>
      </c>
      <c r="E64" s="42"/>
      <c r="F64" s="42" t="s">
        <v>224</v>
      </c>
      <c r="G64" s="167">
        <f t="shared" si="0"/>
        <v>0</v>
      </c>
      <c r="H64" s="138"/>
      <c r="I64" s="42">
        <f t="shared" si="1"/>
        <v>0</v>
      </c>
      <c r="J64" s="35"/>
    </row>
    <row r="65" spans="1:10" x14ac:dyDescent="0.25">
      <c r="A65" s="190">
        <v>190</v>
      </c>
      <c r="B65" s="42" t="s">
        <v>1272</v>
      </c>
      <c r="C65" s="65"/>
      <c r="D65" s="42">
        <v>3328193</v>
      </c>
      <c r="E65" s="42"/>
      <c r="F65" s="42" t="s">
        <v>51</v>
      </c>
      <c r="G65" s="167">
        <f t="shared" si="0"/>
        <v>0.94470290917920241</v>
      </c>
      <c r="H65" s="138"/>
      <c r="I65" s="42">
        <f t="shared" si="1"/>
        <v>3144153.6094098571</v>
      </c>
      <c r="J65" s="35"/>
    </row>
    <row r="66" spans="1:10" x14ac:dyDescent="0.25">
      <c r="A66" s="190">
        <v>190</v>
      </c>
      <c r="B66" s="42" t="s">
        <v>1273</v>
      </c>
      <c r="C66" s="65"/>
      <c r="D66" s="42">
        <v>40496875</v>
      </c>
      <c r="E66" s="42"/>
      <c r="F66" s="42" t="s">
        <v>222</v>
      </c>
      <c r="G66" s="167">
        <f t="shared" si="0"/>
        <v>0</v>
      </c>
      <c r="H66" s="138"/>
      <c r="I66" s="42">
        <f t="shared" si="1"/>
        <v>0</v>
      </c>
      <c r="J66" s="35"/>
    </row>
    <row r="67" spans="1:10" x14ac:dyDescent="0.25">
      <c r="A67" s="190">
        <v>190</v>
      </c>
      <c r="B67" s="42" t="s">
        <v>1274</v>
      </c>
      <c r="C67" s="65"/>
      <c r="D67" s="42">
        <v>-15406047</v>
      </c>
      <c r="E67" s="42"/>
      <c r="F67" s="42" t="s">
        <v>221</v>
      </c>
      <c r="G67" s="167">
        <f t="shared" si="0"/>
        <v>5.301789141664983E-2</v>
      </c>
      <c r="H67" s="138"/>
      <c r="I67" s="42">
        <f t="shared" si="1"/>
        <v>-816796.12700580386</v>
      </c>
      <c r="J67" s="35"/>
    </row>
    <row r="68" spans="1:10" x14ac:dyDescent="0.25">
      <c r="A68" s="190">
        <v>190</v>
      </c>
      <c r="B68" s="42" t="s">
        <v>1275</v>
      </c>
      <c r="C68" s="65"/>
      <c r="D68" s="42">
        <v>-368940</v>
      </c>
      <c r="E68" s="42"/>
      <c r="F68" s="42" t="s">
        <v>222</v>
      </c>
      <c r="G68" s="167">
        <f t="shared" si="0"/>
        <v>0</v>
      </c>
      <c r="H68" s="138"/>
      <c r="I68" s="42">
        <f t="shared" si="1"/>
        <v>0</v>
      </c>
      <c r="J68" s="35"/>
    </row>
    <row r="69" spans="1:10" x14ac:dyDescent="0.25">
      <c r="A69" s="190">
        <v>190</v>
      </c>
      <c r="B69" s="42" t="s">
        <v>1276</v>
      </c>
      <c r="C69" s="65"/>
      <c r="D69" s="42">
        <v>5437</v>
      </c>
      <c r="E69" s="42"/>
      <c r="F69" s="42" t="s">
        <v>37</v>
      </c>
      <c r="G69" s="167">
        <f t="shared" si="0"/>
        <v>0.20921659531438735</v>
      </c>
      <c r="H69" s="138"/>
      <c r="I69" s="42">
        <f t="shared" si="1"/>
        <v>1137.5106287243241</v>
      </c>
      <c r="J69" s="35"/>
    </row>
    <row r="70" spans="1:10" ht="4.5" customHeight="1" x14ac:dyDescent="0.25">
      <c r="A70" s="66"/>
      <c r="B70" s="35"/>
      <c r="C70" s="65"/>
      <c r="D70" s="35"/>
      <c r="E70" s="35"/>
      <c r="F70" s="122"/>
      <c r="G70" s="46"/>
      <c r="H70" s="35"/>
      <c r="I70" s="35"/>
      <c r="J70" s="35"/>
    </row>
    <row r="71" spans="1:10" ht="13.8" thickBot="1" x14ac:dyDescent="0.3">
      <c r="A71" s="66"/>
      <c r="B71" s="263" t="s">
        <v>789</v>
      </c>
      <c r="C71" s="61"/>
      <c r="D71" s="67">
        <f>SUM(D12:D69)</f>
        <v>1107815236</v>
      </c>
      <c r="E71" s="35"/>
      <c r="F71" s="35"/>
      <c r="G71" s="46"/>
      <c r="H71" s="35"/>
      <c r="I71" s="67">
        <f>SUM(I12:I69)</f>
        <v>88118736.294595152</v>
      </c>
      <c r="J71" s="122"/>
    </row>
    <row r="72" spans="1:10" ht="13.8" thickTop="1" x14ac:dyDescent="0.25">
      <c r="A72" s="66"/>
      <c r="B72" s="35"/>
      <c r="C72" s="35"/>
      <c r="D72" s="366">
        <v>0</v>
      </c>
      <c r="E72" s="35"/>
      <c r="F72" s="35"/>
      <c r="G72" s="46"/>
      <c r="H72" s="35"/>
      <c r="I72" s="35"/>
      <c r="J72" s="35"/>
    </row>
    <row r="73" spans="1:10" x14ac:dyDescent="0.25">
      <c r="E73" s="403" t="s">
        <v>220</v>
      </c>
      <c r="F73" s="311">
        <v>0</v>
      </c>
      <c r="G73" s="15"/>
    </row>
  </sheetData>
  <mergeCells count="2">
    <mergeCell ref="I1:J1"/>
    <mergeCell ref="I3:J3"/>
  </mergeCells>
  <printOptions horizontalCentered="1"/>
  <pageMargins left="0.5" right="0.5" top="0.5" bottom="0.5" header="0.5" footer="0.5"/>
  <pageSetup scale="69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K65"/>
  <sheetViews>
    <sheetView topLeftCell="A7" workbookViewId="0">
      <selection activeCell="F8" sqref="F8"/>
    </sheetView>
  </sheetViews>
  <sheetFormatPr defaultRowHeight="13.2" x14ac:dyDescent="0.25"/>
  <cols>
    <col min="1" max="1" width="9.6640625" style="33" customWidth="1"/>
    <col min="2" max="2" width="41.33203125" style="33" customWidth="1"/>
    <col min="3" max="3" width="3.6640625" style="33" customWidth="1"/>
    <col min="4" max="4" width="17.44140625" style="33" customWidth="1"/>
    <col min="5" max="5" width="3.6640625" style="33" customWidth="1"/>
    <col min="6" max="6" width="14.109375" style="33" customWidth="1"/>
    <col min="7" max="7" width="17.6640625" customWidth="1"/>
    <col min="8" max="8" width="3.6640625" customWidth="1"/>
    <col min="9" max="9" width="12.44140625" bestFit="1" customWidth="1"/>
  </cols>
  <sheetData>
    <row r="1" spans="1:11" ht="13.8" x14ac:dyDescent="0.25">
      <c r="A1" s="35"/>
      <c r="B1" s="35"/>
      <c r="C1" s="35"/>
      <c r="D1" s="35"/>
      <c r="E1" s="35"/>
      <c r="F1" s="35"/>
      <c r="G1" s="35"/>
      <c r="H1" s="35"/>
      <c r="I1" s="438" t="s">
        <v>812</v>
      </c>
      <c r="J1" s="438"/>
    </row>
    <row r="2" spans="1:11" ht="13.8" x14ac:dyDescent="0.25">
      <c r="A2" s="35"/>
      <c r="B2" s="35"/>
      <c r="C2" s="35"/>
      <c r="D2" s="35"/>
      <c r="E2" s="35"/>
      <c r="F2" s="35"/>
      <c r="G2" s="35"/>
      <c r="H2" s="35"/>
      <c r="I2" s="152" t="s">
        <v>689</v>
      </c>
      <c r="J2" s="27"/>
    </row>
    <row r="3" spans="1:11" x14ac:dyDescent="0.25">
      <c r="A3" s="35"/>
      <c r="B3" s="60"/>
      <c r="C3" s="60"/>
      <c r="D3" s="35"/>
      <c r="E3" s="35"/>
      <c r="F3" s="35"/>
      <c r="G3" s="35"/>
      <c r="H3" s="35"/>
      <c r="I3" s="460" t="str">
        <f>"Year Ending "&amp;L_YR_P</f>
        <v>Year Ending 12/31/2013</v>
      </c>
      <c r="J3" s="457"/>
    </row>
    <row r="4" spans="1:11" x14ac:dyDescent="0.25">
      <c r="A4" s="35"/>
      <c r="B4" s="60"/>
      <c r="C4" s="60"/>
      <c r="D4" s="35"/>
      <c r="E4" s="35"/>
      <c r="F4" s="35"/>
      <c r="G4" s="35"/>
      <c r="H4" s="35"/>
      <c r="I4" s="89"/>
      <c r="J4" s="89"/>
    </row>
    <row r="5" spans="1:11" x14ac:dyDescent="0.25">
      <c r="A5" s="461" t="s">
        <v>826</v>
      </c>
      <c r="B5" s="462"/>
      <c r="C5" s="462"/>
      <c r="D5" s="462"/>
      <c r="E5" s="462"/>
      <c r="F5" s="462"/>
      <c r="G5" s="462"/>
      <c r="H5" s="462"/>
      <c r="I5" s="462"/>
      <c r="J5" s="89"/>
    </row>
    <row r="6" spans="1:11" x14ac:dyDescent="0.25">
      <c r="A6" s="461" t="s">
        <v>362</v>
      </c>
      <c r="B6" s="462"/>
      <c r="C6" s="462"/>
      <c r="D6" s="462"/>
      <c r="E6" s="462"/>
      <c r="F6" s="462"/>
      <c r="G6" s="462"/>
      <c r="H6" s="462"/>
      <c r="I6" s="462"/>
      <c r="J6" s="89"/>
    </row>
    <row r="7" spans="1:11" x14ac:dyDescent="0.25">
      <c r="A7" s="35"/>
      <c r="B7" s="60"/>
      <c r="C7" s="60"/>
      <c r="D7" s="35"/>
      <c r="E7" s="35"/>
      <c r="F7" s="35"/>
      <c r="G7" s="35"/>
      <c r="H7" s="35"/>
      <c r="I7" s="89"/>
      <c r="J7" s="89"/>
    </row>
    <row r="8" spans="1:11" x14ac:dyDescent="0.25">
      <c r="A8" s="61"/>
      <c r="B8" s="62"/>
      <c r="C8" s="62"/>
      <c r="D8" s="62"/>
      <c r="E8" s="63"/>
      <c r="F8" s="63"/>
      <c r="G8" s="63"/>
      <c r="H8" s="63"/>
      <c r="I8" s="63"/>
      <c r="J8" s="63"/>
    </row>
    <row r="9" spans="1:11" x14ac:dyDescent="0.25">
      <c r="A9" s="61"/>
      <c r="B9" s="62"/>
      <c r="C9" s="62"/>
      <c r="D9" s="81" t="s">
        <v>216</v>
      </c>
      <c r="E9" s="63"/>
      <c r="F9" s="64" t="s">
        <v>23</v>
      </c>
      <c r="G9" s="64" t="s">
        <v>217</v>
      </c>
      <c r="H9" s="64"/>
      <c r="I9" s="64" t="s">
        <v>218</v>
      </c>
      <c r="J9" s="63"/>
    </row>
    <row r="10" spans="1:11" x14ac:dyDescent="0.25">
      <c r="A10" s="61" t="s">
        <v>219</v>
      </c>
      <c r="B10" s="61" t="s">
        <v>3</v>
      </c>
      <c r="C10" s="65"/>
      <c r="D10" s="380" t="str">
        <f>"Tax at 12/31/"&amp;YR-1</f>
        <v>Tax at 12/31/2013</v>
      </c>
      <c r="E10" s="35"/>
      <c r="F10" s="35"/>
      <c r="G10" s="35"/>
      <c r="H10" s="35"/>
      <c r="I10" s="35"/>
      <c r="J10" s="35"/>
    </row>
    <row r="11" spans="1:11" x14ac:dyDescent="0.25">
      <c r="A11" s="61"/>
      <c r="B11" s="61"/>
      <c r="C11" s="65"/>
      <c r="D11" s="380"/>
      <c r="E11" s="35"/>
      <c r="F11" s="35"/>
      <c r="G11" s="35"/>
      <c r="H11" s="35"/>
      <c r="I11" s="35"/>
      <c r="J11" s="35"/>
    </row>
    <row r="12" spans="1:11" x14ac:dyDescent="0.25">
      <c r="A12" s="190">
        <v>281</v>
      </c>
      <c r="B12" s="404" t="s">
        <v>1277</v>
      </c>
      <c r="C12" s="65"/>
      <c r="D12" s="42">
        <v>-3757590</v>
      </c>
      <c r="E12" s="42"/>
      <c r="F12" s="42" t="s">
        <v>222</v>
      </c>
      <c r="G12" s="167">
        <f>VLOOKUP(F12,ALLOCATORS,2,FALSE)</f>
        <v>0</v>
      </c>
      <c r="H12" s="138"/>
      <c r="I12" s="42">
        <f>D12*G12</f>
        <v>0</v>
      </c>
      <c r="J12" s="35"/>
      <c r="K12" s="1"/>
    </row>
    <row r="13" spans="1:11" ht="13.8" thickBot="1" x14ac:dyDescent="0.3">
      <c r="A13" s="66"/>
      <c r="B13" s="263" t="s">
        <v>790</v>
      </c>
      <c r="C13" s="65"/>
      <c r="D13" s="67">
        <f>SUM(D12)</f>
        <v>-3757590</v>
      </c>
      <c r="E13" s="35"/>
      <c r="F13" s="35"/>
      <c r="G13" s="46"/>
      <c r="H13" s="35"/>
      <c r="I13" s="67">
        <f>SUM(I12)</f>
        <v>0</v>
      </c>
      <c r="J13" s="35"/>
    </row>
    <row r="14" spans="1:11" ht="13.8" thickTop="1" x14ac:dyDescent="0.25">
      <c r="A14" s="66"/>
      <c r="B14" s="35"/>
      <c r="C14" s="65"/>
      <c r="D14" s="35"/>
      <c r="E14" s="35"/>
      <c r="F14" s="35"/>
      <c r="G14" s="46"/>
      <c r="H14" s="35"/>
      <c r="I14" s="35"/>
      <c r="J14" s="35"/>
    </row>
    <row r="15" spans="1:11" x14ac:dyDescent="0.25">
      <c r="A15" s="190">
        <v>282</v>
      </c>
      <c r="B15" s="404" t="s">
        <v>1278</v>
      </c>
      <c r="C15" s="65"/>
      <c r="D15" s="42">
        <v>-1522356633</v>
      </c>
      <c r="E15" s="42"/>
      <c r="F15" s="42" t="s">
        <v>37</v>
      </c>
      <c r="G15" s="167">
        <f t="shared" ref="G15:G21" si="0">VLOOKUP(F15,ALLOCATORS,2,FALSE)</f>
        <v>0.20921659531438735</v>
      </c>
      <c r="H15" s="138"/>
      <c r="I15" s="42">
        <f t="shared" ref="I15:I21" si="1">D15*G15</f>
        <v>-318502271.61053431</v>
      </c>
      <c r="J15" s="35"/>
      <c r="K15" s="1"/>
    </row>
    <row r="16" spans="1:11" x14ac:dyDescent="0.25">
      <c r="A16" s="190">
        <v>282</v>
      </c>
      <c r="B16" s="404" t="s">
        <v>1279</v>
      </c>
      <c r="C16" s="65"/>
      <c r="D16" s="42">
        <v>208800570</v>
      </c>
      <c r="E16" s="42"/>
      <c r="F16" s="42" t="s">
        <v>220</v>
      </c>
      <c r="G16" s="167">
        <f t="shared" si="0"/>
        <v>0</v>
      </c>
      <c r="H16" s="138"/>
      <c r="I16" s="42">
        <f t="shared" si="1"/>
        <v>0</v>
      </c>
      <c r="J16" s="35"/>
      <c r="K16" s="1"/>
    </row>
    <row r="17" spans="1:11" x14ac:dyDescent="0.25">
      <c r="A17" s="190">
        <v>282</v>
      </c>
      <c r="B17" s="404" t="s">
        <v>1280</v>
      </c>
      <c r="C17" s="65"/>
      <c r="D17" s="42">
        <v>0</v>
      </c>
      <c r="E17" s="42"/>
      <c r="F17" s="42" t="s">
        <v>222</v>
      </c>
      <c r="G17" s="167">
        <f t="shared" si="0"/>
        <v>0</v>
      </c>
      <c r="H17" s="138"/>
      <c r="I17" s="42">
        <f t="shared" si="1"/>
        <v>0</v>
      </c>
      <c r="J17" s="35"/>
      <c r="K17" s="1"/>
    </row>
    <row r="18" spans="1:11" x14ac:dyDescent="0.25">
      <c r="A18" s="190">
        <v>282</v>
      </c>
      <c r="B18" s="404" t="s">
        <v>1281</v>
      </c>
      <c r="C18" s="65"/>
      <c r="D18" s="42">
        <v>-3414869</v>
      </c>
      <c r="E18" s="42"/>
      <c r="F18" s="42" t="s">
        <v>222</v>
      </c>
      <c r="G18" s="167">
        <f t="shared" si="0"/>
        <v>0</v>
      </c>
      <c r="H18" s="138"/>
      <c r="I18" s="42">
        <f t="shared" si="1"/>
        <v>0</v>
      </c>
      <c r="J18" s="35"/>
      <c r="K18" s="1"/>
    </row>
    <row r="19" spans="1:11" x14ac:dyDescent="0.25">
      <c r="A19" s="190">
        <v>282</v>
      </c>
      <c r="B19" s="404" t="s">
        <v>1282</v>
      </c>
      <c r="C19" s="65"/>
      <c r="D19" s="42">
        <v>-45622905</v>
      </c>
      <c r="E19" s="42"/>
      <c r="F19" s="42" t="s">
        <v>222</v>
      </c>
      <c r="G19" s="167">
        <f t="shared" si="0"/>
        <v>0</v>
      </c>
      <c r="H19" s="138"/>
      <c r="I19" s="42">
        <f t="shared" si="1"/>
        <v>0</v>
      </c>
      <c r="J19" s="35"/>
      <c r="K19" s="1"/>
    </row>
    <row r="20" spans="1:11" x14ac:dyDescent="0.25">
      <c r="A20" s="190">
        <v>282</v>
      </c>
      <c r="B20" s="404" t="s">
        <v>1283</v>
      </c>
      <c r="C20" s="65"/>
      <c r="D20" s="42">
        <v>-239019124</v>
      </c>
      <c r="E20" s="42"/>
      <c r="F20" s="42" t="s">
        <v>220</v>
      </c>
      <c r="G20" s="167">
        <f t="shared" si="0"/>
        <v>0</v>
      </c>
      <c r="H20" s="138"/>
      <c r="I20" s="42">
        <f t="shared" si="1"/>
        <v>0</v>
      </c>
      <c r="J20" s="35"/>
      <c r="K20" s="1"/>
    </row>
    <row r="21" spans="1:11" x14ac:dyDescent="0.25">
      <c r="A21" s="190">
        <v>282</v>
      </c>
      <c r="B21" s="404" t="s">
        <v>1284</v>
      </c>
      <c r="C21" s="65"/>
      <c r="D21" s="42">
        <v>-1601</v>
      </c>
      <c r="E21" s="42"/>
      <c r="F21" s="42" t="s">
        <v>37</v>
      </c>
      <c r="G21" s="167">
        <f t="shared" si="0"/>
        <v>0.20921659531438735</v>
      </c>
      <c r="H21" s="138"/>
      <c r="I21" s="42">
        <f t="shared" si="1"/>
        <v>-334.95576909833414</v>
      </c>
      <c r="J21" s="35"/>
      <c r="K21" s="1"/>
    </row>
    <row r="22" spans="1:11" ht="13.8" thickBot="1" x14ac:dyDescent="0.3">
      <c r="A22" s="66"/>
      <c r="B22" s="263" t="s">
        <v>791</v>
      </c>
      <c r="C22" s="65"/>
      <c r="D22" s="67">
        <f>SUM(D15:D21)</f>
        <v>-1601614562</v>
      </c>
      <c r="E22" s="35"/>
      <c r="F22" s="35"/>
      <c r="G22" s="46"/>
      <c r="H22" s="35"/>
      <c r="I22" s="67">
        <f>SUM(I15:I21)</f>
        <v>-318502606.56630343</v>
      </c>
      <c r="J22" s="122"/>
      <c r="K22" s="1"/>
    </row>
    <row r="23" spans="1:11" ht="13.8" thickTop="1" x14ac:dyDescent="0.25">
      <c r="A23" s="66"/>
      <c r="B23" s="35"/>
      <c r="C23" s="65"/>
      <c r="D23" s="35"/>
      <c r="E23" s="35"/>
      <c r="F23" s="35"/>
      <c r="G23" s="46"/>
      <c r="H23" s="35"/>
      <c r="I23" s="35"/>
      <c r="J23" s="35"/>
      <c r="K23" s="1"/>
    </row>
    <row r="24" spans="1:11" x14ac:dyDescent="0.25">
      <c r="A24" s="190">
        <v>283</v>
      </c>
      <c r="B24" s="404" t="s">
        <v>1285</v>
      </c>
      <c r="C24" s="65"/>
      <c r="D24" s="42">
        <v>-348941</v>
      </c>
      <c r="E24" s="42"/>
      <c r="F24" s="42" t="s">
        <v>222</v>
      </c>
      <c r="G24" s="167">
        <f t="shared" ref="G24:G44" si="2">VLOOKUP(F24,ALLOCATORS,2,FALSE)</f>
        <v>0</v>
      </c>
      <c r="H24" s="138"/>
      <c r="I24" s="42">
        <f t="shared" ref="I24" si="3">D24*G24</f>
        <v>0</v>
      </c>
      <c r="J24" s="35"/>
      <c r="K24" s="1"/>
    </row>
    <row r="25" spans="1:11" x14ac:dyDescent="0.25">
      <c r="A25" s="190">
        <v>283</v>
      </c>
      <c r="B25" s="404" t="s">
        <v>1286</v>
      </c>
      <c r="C25" s="65"/>
      <c r="D25" s="42">
        <v>-66210285</v>
      </c>
      <c r="E25" s="42"/>
      <c r="F25" s="42" t="s">
        <v>220</v>
      </c>
      <c r="G25" s="167">
        <f t="shared" si="2"/>
        <v>0</v>
      </c>
      <c r="H25" s="138"/>
      <c r="I25" s="42">
        <f t="shared" ref="I25:I44" si="4">D25*G25</f>
        <v>0</v>
      </c>
      <c r="J25" s="35"/>
      <c r="K25" s="1"/>
    </row>
    <row r="26" spans="1:11" x14ac:dyDescent="0.25">
      <c r="A26" s="190">
        <v>283</v>
      </c>
      <c r="B26" s="404" t="s">
        <v>1287</v>
      </c>
      <c r="C26" s="65"/>
      <c r="D26" s="42">
        <v>-27855312</v>
      </c>
      <c r="E26" s="42"/>
      <c r="F26" s="42" t="s">
        <v>220</v>
      </c>
      <c r="G26" s="167">
        <f t="shared" si="2"/>
        <v>0</v>
      </c>
      <c r="H26" s="138"/>
      <c r="I26" s="42">
        <f t="shared" si="4"/>
        <v>0</v>
      </c>
      <c r="J26" s="35"/>
      <c r="K26" s="1"/>
    </row>
    <row r="27" spans="1:11" x14ac:dyDescent="0.25">
      <c r="A27" s="190">
        <v>283</v>
      </c>
      <c r="B27" s="404" t="s">
        <v>1288</v>
      </c>
      <c r="C27" s="65"/>
      <c r="D27" s="42">
        <v>-11900369</v>
      </c>
      <c r="E27" s="42"/>
      <c r="F27" s="42" t="s">
        <v>220</v>
      </c>
      <c r="G27" s="167">
        <f t="shared" si="2"/>
        <v>0</v>
      </c>
      <c r="H27" s="138"/>
      <c r="I27" s="42">
        <f t="shared" si="4"/>
        <v>0</v>
      </c>
      <c r="J27" s="35"/>
      <c r="K27" s="1"/>
    </row>
    <row r="28" spans="1:11" x14ac:dyDescent="0.25">
      <c r="A28" s="190">
        <v>283</v>
      </c>
      <c r="B28" s="404" t="s">
        <v>1289</v>
      </c>
      <c r="C28" s="65"/>
      <c r="D28" s="42">
        <v>-116371985</v>
      </c>
      <c r="E28" s="42"/>
      <c r="F28" s="42" t="s">
        <v>222</v>
      </c>
      <c r="G28" s="167">
        <f t="shared" si="2"/>
        <v>0</v>
      </c>
      <c r="H28" s="138"/>
      <c r="I28" s="42">
        <f t="shared" si="4"/>
        <v>0</v>
      </c>
      <c r="J28" s="35"/>
      <c r="K28" s="1"/>
    </row>
    <row r="29" spans="1:11" x14ac:dyDescent="0.25">
      <c r="A29" s="190">
        <v>283</v>
      </c>
      <c r="B29" s="404" t="s">
        <v>1290</v>
      </c>
      <c r="C29" s="65"/>
      <c r="D29" s="42">
        <v>-44735756</v>
      </c>
      <c r="E29" s="42"/>
      <c r="F29" s="42" t="s">
        <v>222</v>
      </c>
      <c r="G29" s="167">
        <f t="shared" si="2"/>
        <v>0</v>
      </c>
      <c r="H29" s="138"/>
      <c r="I29" s="42">
        <f t="shared" si="4"/>
        <v>0</v>
      </c>
      <c r="J29" s="35"/>
      <c r="K29" s="1"/>
    </row>
    <row r="30" spans="1:11" x14ac:dyDescent="0.25">
      <c r="A30" s="190">
        <v>283</v>
      </c>
      <c r="B30" s="404" t="s">
        <v>1291</v>
      </c>
      <c r="C30" s="65"/>
      <c r="D30" s="42">
        <v>-180822408</v>
      </c>
      <c r="E30" s="42"/>
      <c r="F30" s="42" t="s">
        <v>221</v>
      </c>
      <c r="G30" s="167">
        <f t="shared" si="2"/>
        <v>5.301789141664983E-2</v>
      </c>
      <c r="H30" s="138"/>
      <c r="I30" s="42">
        <f t="shared" si="4"/>
        <v>-9586822.7930411529</v>
      </c>
      <c r="J30" s="35"/>
      <c r="K30" s="1"/>
    </row>
    <row r="31" spans="1:11" x14ac:dyDescent="0.25">
      <c r="A31" s="190">
        <v>283</v>
      </c>
      <c r="B31" s="404" t="s">
        <v>1292</v>
      </c>
      <c r="C31" s="65"/>
      <c r="D31" s="42">
        <v>0</v>
      </c>
      <c r="E31" s="42"/>
      <c r="F31" s="42" t="s">
        <v>222</v>
      </c>
      <c r="G31" s="167">
        <f t="shared" si="2"/>
        <v>0</v>
      </c>
      <c r="H31" s="138"/>
      <c r="I31" s="42">
        <f t="shared" si="4"/>
        <v>0</v>
      </c>
      <c r="J31" s="35"/>
      <c r="K31" s="1"/>
    </row>
    <row r="32" spans="1:11" x14ac:dyDescent="0.25">
      <c r="A32" s="190">
        <v>283</v>
      </c>
      <c r="B32" s="404" t="s">
        <v>1293</v>
      </c>
      <c r="C32" s="65"/>
      <c r="D32" s="42">
        <v>-1258489</v>
      </c>
      <c r="E32" s="42"/>
      <c r="F32" s="42" t="s">
        <v>222</v>
      </c>
      <c r="G32" s="167">
        <f t="shared" si="2"/>
        <v>0</v>
      </c>
      <c r="H32" s="138"/>
      <c r="I32" s="42">
        <f t="shared" si="4"/>
        <v>0</v>
      </c>
      <c r="J32" s="35"/>
      <c r="K32" s="1"/>
    </row>
    <row r="33" spans="1:11" x14ac:dyDescent="0.25">
      <c r="A33" s="190">
        <v>283</v>
      </c>
      <c r="B33" s="404" t="s">
        <v>1294</v>
      </c>
      <c r="C33" s="65"/>
      <c r="D33" s="42">
        <v>-536846383</v>
      </c>
      <c r="E33" s="42"/>
      <c r="F33" s="42" t="s">
        <v>220</v>
      </c>
      <c r="G33" s="167">
        <f t="shared" si="2"/>
        <v>0</v>
      </c>
      <c r="H33" s="138"/>
      <c r="I33" s="42">
        <f t="shared" si="4"/>
        <v>0</v>
      </c>
      <c r="J33" s="35"/>
      <c r="K33" s="1"/>
    </row>
    <row r="34" spans="1:11" x14ac:dyDescent="0.25">
      <c r="A34" s="190">
        <v>283</v>
      </c>
      <c r="B34" s="404" t="s">
        <v>1295</v>
      </c>
      <c r="C34" s="65"/>
      <c r="D34" s="42">
        <v>220367</v>
      </c>
      <c r="E34" s="42"/>
      <c r="F34" s="42" t="s">
        <v>222</v>
      </c>
      <c r="G34" s="167">
        <f t="shared" si="2"/>
        <v>0</v>
      </c>
      <c r="H34" s="138"/>
      <c r="I34" s="42">
        <f t="shared" si="4"/>
        <v>0</v>
      </c>
      <c r="J34" s="35"/>
      <c r="K34" s="1"/>
    </row>
    <row r="35" spans="1:11" x14ac:dyDescent="0.25">
      <c r="A35" s="190">
        <v>283</v>
      </c>
      <c r="B35" s="404" t="s">
        <v>1296</v>
      </c>
      <c r="C35" s="65"/>
      <c r="D35" s="42">
        <v>-4021170</v>
      </c>
      <c r="E35" s="42"/>
      <c r="F35" s="42" t="s">
        <v>37</v>
      </c>
      <c r="G35" s="167">
        <f t="shared" si="2"/>
        <v>0.20921659531438735</v>
      </c>
      <c r="H35" s="138"/>
      <c r="I35" s="42">
        <f t="shared" si="4"/>
        <v>-841295.49658035499</v>
      </c>
      <c r="J35" s="35"/>
      <c r="K35" s="1"/>
    </row>
    <row r="36" spans="1:11" x14ac:dyDescent="0.25">
      <c r="A36" s="190">
        <v>283</v>
      </c>
      <c r="B36" s="404" t="s">
        <v>1297</v>
      </c>
      <c r="C36" s="65"/>
      <c r="D36" s="42">
        <v>-89288452</v>
      </c>
      <c r="E36" s="42"/>
      <c r="F36" s="42" t="s">
        <v>224</v>
      </c>
      <c r="G36" s="167">
        <f t="shared" si="2"/>
        <v>0</v>
      </c>
      <c r="H36" s="138"/>
      <c r="I36" s="42">
        <f t="shared" si="4"/>
        <v>0</v>
      </c>
      <c r="J36" s="35"/>
      <c r="K36" s="1"/>
    </row>
    <row r="37" spans="1:11" x14ac:dyDescent="0.25">
      <c r="A37" s="190">
        <v>283</v>
      </c>
      <c r="B37" s="404" t="s">
        <v>1298</v>
      </c>
      <c r="C37" s="65"/>
      <c r="D37" s="42">
        <v>-756018</v>
      </c>
      <c r="E37" s="42"/>
      <c r="F37" s="42" t="s">
        <v>224</v>
      </c>
      <c r="G37" s="167">
        <f t="shared" si="2"/>
        <v>0</v>
      </c>
      <c r="H37" s="138"/>
      <c r="I37" s="42">
        <f t="shared" si="4"/>
        <v>0</v>
      </c>
      <c r="J37" s="35"/>
      <c r="K37" s="1"/>
    </row>
    <row r="38" spans="1:11" x14ac:dyDescent="0.25">
      <c r="A38" s="190">
        <v>283</v>
      </c>
      <c r="B38" s="404" t="s">
        <v>1299</v>
      </c>
      <c r="C38" s="65"/>
      <c r="D38" s="42">
        <v>-2838657</v>
      </c>
      <c r="E38" s="42"/>
      <c r="F38" s="42" t="s">
        <v>222</v>
      </c>
      <c r="G38" s="167">
        <f t="shared" si="2"/>
        <v>0</v>
      </c>
      <c r="H38" s="138"/>
      <c r="I38" s="42">
        <f t="shared" si="4"/>
        <v>0</v>
      </c>
      <c r="J38" s="35"/>
      <c r="K38" s="1"/>
    </row>
    <row r="39" spans="1:11" x14ac:dyDescent="0.25">
      <c r="A39" s="190">
        <v>283</v>
      </c>
      <c r="B39" s="404" t="s">
        <v>1300</v>
      </c>
      <c r="C39" s="65"/>
      <c r="D39" s="42">
        <v>-147537358</v>
      </c>
      <c r="E39" s="42"/>
      <c r="F39" s="42" t="s">
        <v>222</v>
      </c>
      <c r="G39" s="167">
        <f t="shared" si="2"/>
        <v>0</v>
      </c>
      <c r="H39" s="138"/>
      <c r="I39" s="42">
        <f t="shared" si="4"/>
        <v>0</v>
      </c>
      <c r="J39" s="35"/>
      <c r="K39" s="1"/>
    </row>
    <row r="40" spans="1:11" x14ac:dyDescent="0.25">
      <c r="A40" s="190">
        <v>283</v>
      </c>
      <c r="B40" s="404" t="s">
        <v>1301</v>
      </c>
      <c r="C40" s="65"/>
      <c r="D40" s="42">
        <v>-3778497</v>
      </c>
      <c r="E40" s="42"/>
      <c r="F40" s="42" t="s">
        <v>222</v>
      </c>
      <c r="G40" s="167">
        <f t="shared" si="2"/>
        <v>0</v>
      </c>
      <c r="H40" s="138"/>
      <c r="I40" s="42">
        <f t="shared" si="4"/>
        <v>0</v>
      </c>
      <c r="J40" s="35"/>
      <c r="K40" s="1"/>
    </row>
    <row r="41" spans="1:11" x14ac:dyDescent="0.25">
      <c r="A41" s="190">
        <v>283</v>
      </c>
      <c r="B41" s="404" t="s">
        <v>1302</v>
      </c>
      <c r="C41" s="65"/>
      <c r="D41" s="42">
        <v>-59089</v>
      </c>
      <c r="E41" s="42"/>
      <c r="F41" s="42" t="s">
        <v>37</v>
      </c>
      <c r="G41" s="167">
        <f t="shared" si="2"/>
        <v>0.20921659531438735</v>
      </c>
      <c r="H41" s="138"/>
      <c r="I41" s="42">
        <f t="shared" si="4"/>
        <v>-12362.399400531835</v>
      </c>
      <c r="J41" s="35"/>
      <c r="K41" s="1"/>
    </row>
    <row r="42" spans="1:11" x14ac:dyDescent="0.25">
      <c r="A42" s="190">
        <v>283</v>
      </c>
      <c r="B42" s="404" t="s">
        <v>1303</v>
      </c>
      <c r="C42" s="65"/>
      <c r="D42" s="42">
        <v>0</v>
      </c>
      <c r="E42" s="42"/>
      <c r="F42" s="42" t="s">
        <v>220</v>
      </c>
      <c r="G42" s="167">
        <f t="shared" si="2"/>
        <v>0</v>
      </c>
      <c r="H42" s="138"/>
      <c r="I42" s="42">
        <f t="shared" si="4"/>
        <v>0</v>
      </c>
      <c r="J42" s="35"/>
      <c r="K42" s="1"/>
    </row>
    <row r="43" spans="1:11" x14ac:dyDescent="0.25">
      <c r="A43" s="190">
        <v>283</v>
      </c>
      <c r="B43" s="404" t="s">
        <v>1304</v>
      </c>
      <c r="C43" s="65"/>
      <c r="D43" s="42">
        <v>6547908</v>
      </c>
      <c r="E43" s="42"/>
      <c r="F43" s="42" t="s">
        <v>222</v>
      </c>
      <c r="G43" s="167">
        <f t="shared" si="2"/>
        <v>0</v>
      </c>
      <c r="H43" s="138"/>
      <c r="I43" s="42">
        <f t="shared" si="4"/>
        <v>0</v>
      </c>
      <c r="J43" s="35"/>
      <c r="K43" s="1"/>
    </row>
    <row r="44" spans="1:11" x14ac:dyDescent="0.25">
      <c r="A44" s="190">
        <v>283</v>
      </c>
      <c r="B44" s="404" t="s">
        <v>1276</v>
      </c>
      <c r="C44" s="65"/>
      <c r="D44" s="42">
        <v>2</v>
      </c>
      <c r="E44" s="42"/>
      <c r="F44" s="42" t="s">
        <v>37</v>
      </c>
      <c r="G44" s="167">
        <f t="shared" si="2"/>
        <v>0.20921659531438735</v>
      </c>
      <c r="H44" s="138"/>
      <c r="I44" s="42">
        <f t="shared" si="4"/>
        <v>0.41843319062877471</v>
      </c>
      <c r="J44" s="35"/>
      <c r="K44" s="1"/>
    </row>
    <row r="45" spans="1:11" ht="13.8" thickBot="1" x14ac:dyDescent="0.3">
      <c r="A45" s="66"/>
      <c r="B45" s="263" t="s">
        <v>792</v>
      </c>
      <c r="C45" s="65"/>
      <c r="D45" s="67">
        <f>SUM(D24:D44)</f>
        <v>-1227860892</v>
      </c>
      <c r="E45" s="35"/>
      <c r="F45" s="35"/>
      <c r="G45" s="46"/>
      <c r="H45" s="35"/>
      <c r="I45" s="67">
        <f>SUM(I24:I44)</f>
        <v>-10440480.270588849</v>
      </c>
      <c r="J45" s="35"/>
    </row>
    <row r="46" spans="1:11" ht="13.8" thickTop="1" x14ac:dyDescent="0.25">
      <c r="A46" s="66"/>
      <c r="B46" s="61"/>
      <c r="C46" s="65"/>
      <c r="D46" s="68"/>
      <c r="E46" s="35"/>
      <c r="F46" s="35"/>
      <c r="G46" s="46"/>
      <c r="H46" s="35"/>
      <c r="I46" s="35"/>
      <c r="J46" s="35"/>
    </row>
    <row r="47" spans="1:11" ht="13.8" thickBot="1" x14ac:dyDescent="0.3">
      <c r="A47" s="35"/>
      <c r="B47" s="67" t="s">
        <v>225</v>
      </c>
      <c r="C47" s="65"/>
      <c r="D47" s="67">
        <f>'DEF - 5 p1 PY ADIT 190'!D71+'DEF - 5 p2 PY ADIT 28x'!D13+'DEF - 5 p2 PY ADIT 28x'!D22+'DEF - 5 p2 PY ADIT 28x'!D45</f>
        <v>-1725417808</v>
      </c>
      <c r="E47" s="35"/>
      <c r="F47" s="35"/>
      <c r="G47" s="46"/>
      <c r="H47" s="35"/>
      <c r="I47" s="67">
        <f>'DEF - 5 p1 PY ADIT 190'!I71+'DEF - 5 p2 PY ADIT 28x'!I13+'DEF - 5 p2 PY ADIT 28x'!I22+'DEF - 5 p2 PY ADIT 28x'!I45</f>
        <v>-240824350.54229712</v>
      </c>
      <c r="J47" s="122"/>
    </row>
    <row r="48" spans="1:11" ht="13.8" thickTop="1" x14ac:dyDescent="0.25">
      <c r="A48" s="66"/>
      <c r="B48" s="61"/>
      <c r="C48" s="65"/>
      <c r="D48" s="367">
        <v>0</v>
      </c>
      <c r="E48" s="35"/>
      <c r="F48" s="35"/>
      <c r="G48" s="46"/>
      <c r="H48" s="35"/>
      <c r="I48" s="35"/>
      <c r="J48" s="35"/>
    </row>
    <row r="49" spans="1:10" x14ac:dyDescent="0.25">
      <c r="A49" s="79"/>
      <c r="B49" s="210"/>
      <c r="C49" s="65"/>
      <c r="D49" s="68"/>
      <c r="E49" s="35"/>
      <c r="F49" s="35"/>
      <c r="G49" s="46"/>
      <c r="H49" s="35"/>
      <c r="I49" s="210"/>
      <c r="J49" s="35"/>
    </row>
    <row r="50" spans="1:10" x14ac:dyDescent="0.25">
      <c r="A50" s="35"/>
      <c r="B50" s="35"/>
      <c r="C50" s="65"/>
      <c r="D50" s="35"/>
      <c r="E50" s="35"/>
      <c r="F50" s="35"/>
      <c r="G50" s="46"/>
      <c r="H50" s="35"/>
      <c r="I50" s="35"/>
      <c r="J50" s="35"/>
    </row>
    <row r="51" spans="1:10" x14ac:dyDescent="0.25">
      <c r="A51" s="66"/>
      <c r="B51" s="61"/>
      <c r="C51" s="65"/>
      <c r="D51" s="68"/>
      <c r="E51" s="35"/>
      <c r="F51" s="35"/>
      <c r="G51" s="46"/>
      <c r="H51" s="35"/>
      <c r="I51" s="35"/>
      <c r="J51" s="35"/>
    </row>
    <row r="52" spans="1:10" x14ac:dyDescent="0.25">
      <c r="A52" s="66"/>
      <c r="B52" s="61"/>
      <c r="C52" s="65"/>
      <c r="D52" s="68"/>
      <c r="E52" s="35"/>
      <c r="F52" s="35"/>
      <c r="G52" s="46"/>
      <c r="H52" s="35"/>
      <c r="I52" s="35"/>
      <c r="J52" s="35"/>
    </row>
    <row r="53" spans="1:10" x14ac:dyDescent="0.25">
      <c r="A53" s="35"/>
      <c r="B53" s="35"/>
      <c r="C53" s="65"/>
      <c r="D53" s="35"/>
      <c r="E53" s="35"/>
      <c r="F53" s="35"/>
      <c r="G53" s="46"/>
      <c r="H53" s="35"/>
      <c r="I53" s="35"/>
      <c r="J53" s="35"/>
    </row>
    <row r="54" spans="1:10" x14ac:dyDescent="0.25">
      <c r="A54" s="35"/>
      <c r="B54" s="35"/>
      <c r="C54" s="65"/>
      <c r="D54" s="35"/>
      <c r="E54" s="35"/>
      <c r="F54" s="35"/>
      <c r="G54" s="46"/>
      <c r="H54" s="35"/>
      <c r="I54" s="35"/>
      <c r="J54" s="35"/>
    </row>
    <row r="55" spans="1:10" x14ac:dyDescent="0.25">
      <c r="A55" s="35"/>
      <c r="B55" s="35"/>
      <c r="C55" s="65"/>
      <c r="D55" s="35"/>
      <c r="E55" s="35"/>
      <c r="F55" s="35"/>
      <c r="G55" s="35"/>
      <c r="H55" s="35"/>
      <c r="I55" s="35"/>
      <c r="J55" s="35"/>
    </row>
    <row r="56" spans="1:10" x14ac:dyDescent="0.25">
      <c r="A56" s="35"/>
      <c r="B56" s="35"/>
      <c r="C56" s="65"/>
      <c r="D56" s="35"/>
      <c r="E56" s="35"/>
      <c r="F56" s="35"/>
      <c r="G56" s="35"/>
      <c r="H56" s="35"/>
      <c r="I56" s="35"/>
      <c r="J56" s="35"/>
    </row>
    <row r="57" spans="1:10" x14ac:dyDescent="0.25">
      <c r="A57" s="35"/>
      <c r="B57" s="35"/>
      <c r="C57" s="65"/>
      <c r="D57" s="35"/>
      <c r="E57" s="35"/>
      <c r="F57" s="35"/>
      <c r="G57" s="35"/>
      <c r="H57" s="35"/>
      <c r="I57" s="35"/>
      <c r="J57" s="35"/>
    </row>
    <row r="58" spans="1:10" x14ac:dyDescent="0.25">
      <c r="E58" s="403" t="s">
        <v>223</v>
      </c>
      <c r="F58" s="311"/>
      <c r="G58" s="15"/>
    </row>
    <row r="59" spans="1:10" x14ac:dyDescent="0.25">
      <c r="E59" s="403" t="s">
        <v>41</v>
      </c>
      <c r="F59" s="311"/>
      <c r="G59" s="15"/>
    </row>
    <row r="60" spans="1:10" x14ac:dyDescent="0.25">
      <c r="E60" s="403" t="s">
        <v>221</v>
      </c>
      <c r="F60" s="311"/>
      <c r="G60" s="15"/>
      <c r="I60" s="1"/>
    </row>
    <row r="61" spans="1:10" x14ac:dyDescent="0.25">
      <c r="E61" s="403" t="s">
        <v>224</v>
      </c>
      <c r="F61" s="311"/>
      <c r="G61" s="15"/>
    </row>
    <row r="62" spans="1:10" x14ac:dyDescent="0.25">
      <c r="E62" s="403" t="s">
        <v>37</v>
      </c>
      <c r="F62" s="311"/>
      <c r="G62" s="15"/>
    </row>
    <row r="63" spans="1:10" x14ac:dyDescent="0.25">
      <c r="E63" s="403" t="s">
        <v>222</v>
      </c>
      <c r="F63" s="311"/>
      <c r="G63" s="15"/>
    </row>
    <row r="64" spans="1:10" x14ac:dyDescent="0.25">
      <c r="E64" s="403" t="s">
        <v>220</v>
      </c>
      <c r="F64" s="311"/>
      <c r="G64" s="15"/>
    </row>
    <row r="65" spans="5:7" x14ac:dyDescent="0.25">
      <c r="E65" s="403" t="s">
        <v>51</v>
      </c>
      <c r="F65" s="311"/>
      <c r="G65" s="15"/>
    </row>
  </sheetData>
  <mergeCells count="4">
    <mergeCell ref="I1:J1"/>
    <mergeCell ref="I3:J3"/>
    <mergeCell ref="A5:I5"/>
    <mergeCell ref="A6:I6"/>
  </mergeCells>
  <phoneticPr fontId="16" type="noConversion"/>
  <pageMargins left="0.5" right="0.5" top="0.5" bottom="0.5" header="0.5" footer="0.5"/>
  <pageSetup scale="73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O88"/>
  <sheetViews>
    <sheetView topLeftCell="A40" workbookViewId="0">
      <selection activeCell="F71" sqref="F71"/>
    </sheetView>
  </sheetViews>
  <sheetFormatPr defaultRowHeight="13.2" x14ac:dyDescent="0.25"/>
  <cols>
    <col min="1" max="1" width="8.88671875" style="33" customWidth="1"/>
    <col min="2" max="2" width="47.109375" style="33" customWidth="1"/>
    <col min="3" max="3" width="3.6640625" style="33" customWidth="1"/>
    <col min="4" max="4" width="21.6640625" style="33" bestFit="1" customWidth="1"/>
    <col min="5" max="5" width="3.6640625" style="33" customWidth="1"/>
    <col min="6" max="6" width="9.109375" style="33"/>
    <col min="8" max="8" width="3.6640625" customWidth="1"/>
    <col min="9" max="9" width="11.33203125" bestFit="1" customWidth="1"/>
    <col min="11" max="11" width="10.6640625" bestFit="1" customWidth="1"/>
  </cols>
  <sheetData>
    <row r="1" spans="1:11" ht="13.8" x14ac:dyDescent="0.25">
      <c r="A1" s="35"/>
      <c r="B1" s="35"/>
      <c r="C1" s="35"/>
      <c r="D1" s="35"/>
      <c r="E1" s="35"/>
      <c r="F1" s="35"/>
      <c r="G1" s="35"/>
      <c r="H1" s="35"/>
      <c r="I1" s="438" t="s">
        <v>812</v>
      </c>
      <c r="J1" s="438"/>
    </row>
    <row r="2" spans="1:11" ht="13.8" x14ac:dyDescent="0.25">
      <c r="A2" s="35"/>
      <c r="B2" s="35"/>
      <c r="C2" s="35"/>
      <c r="D2" s="35"/>
      <c r="E2" s="35"/>
      <c r="F2" s="35"/>
      <c r="G2" s="35"/>
      <c r="H2" s="35"/>
      <c r="I2" s="152" t="s">
        <v>691</v>
      </c>
      <c r="J2" s="152"/>
    </row>
    <row r="3" spans="1:11" x14ac:dyDescent="0.25">
      <c r="A3" s="35"/>
      <c r="B3" s="60"/>
      <c r="C3" s="60"/>
      <c r="D3" s="35"/>
      <c r="E3" s="35"/>
      <c r="F3" s="35"/>
      <c r="G3" s="35"/>
      <c r="H3" s="35"/>
      <c r="I3" s="456" t="str">
        <f>FF1_Year</f>
        <v>Year Ending 12/31/2014</v>
      </c>
      <c r="J3" s="457"/>
    </row>
    <row r="4" spans="1:11" x14ac:dyDescent="0.25">
      <c r="A4" s="35"/>
      <c r="B4" s="60"/>
      <c r="C4" s="60"/>
      <c r="D4" s="35"/>
      <c r="E4" s="35"/>
      <c r="F4" s="35"/>
      <c r="G4" s="35"/>
      <c r="H4" s="35"/>
      <c r="I4" s="153"/>
      <c r="J4" s="153"/>
    </row>
    <row r="5" spans="1:11" x14ac:dyDescent="0.25">
      <c r="A5" s="461" t="s">
        <v>826</v>
      </c>
      <c r="B5" s="462"/>
      <c r="C5" s="462"/>
      <c r="D5" s="462"/>
      <c r="E5" s="462"/>
      <c r="F5" s="462"/>
      <c r="G5" s="462"/>
      <c r="H5" s="462"/>
      <c r="I5" s="462"/>
      <c r="J5" s="153"/>
    </row>
    <row r="6" spans="1:11" x14ac:dyDescent="0.25">
      <c r="A6" s="461" t="s">
        <v>363</v>
      </c>
      <c r="B6" s="462"/>
      <c r="C6" s="462"/>
      <c r="D6" s="462"/>
      <c r="E6" s="462"/>
      <c r="F6" s="462"/>
      <c r="G6" s="462"/>
      <c r="H6" s="462"/>
      <c r="I6" s="462"/>
      <c r="J6" s="153"/>
    </row>
    <row r="7" spans="1:11" x14ac:dyDescent="0.25">
      <c r="A7" s="35"/>
      <c r="B7" s="60"/>
      <c r="C7" s="60"/>
      <c r="D7" s="35"/>
      <c r="E7" s="35"/>
      <c r="F7" s="35"/>
      <c r="G7" s="35"/>
      <c r="H7" s="35"/>
      <c r="I7" s="35"/>
      <c r="J7" s="35"/>
    </row>
    <row r="8" spans="1:11" x14ac:dyDescent="0.25">
      <c r="A8" s="61"/>
      <c r="B8" s="62"/>
      <c r="C8" s="62"/>
      <c r="D8" s="62"/>
      <c r="E8" s="63"/>
      <c r="F8" s="63"/>
      <c r="G8" s="63"/>
      <c r="H8" s="63"/>
      <c r="I8" s="63"/>
      <c r="J8" s="63"/>
    </row>
    <row r="9" spans="1:11" x14ac:dyDescent="0.25">
      <c r="A9" s="61"/>
      <c r="B9" s="62"/>
      <c r="C9" s="62"/>
      <c r="D9" s="380" t="s">
        <v>216</v>
      </c>
      <c r="E9" s="63"/>
      <c r="F9" s="64" t="s">
        <v>23</v>
      </c>
      <c r="G9" s="64" t="s">
        <v>217</v>
      </c>
      <c r="H9" s="64"/>
      <c r="I9" s="64" t="s">
        <v>218</v>
      </c>
      <c r="J9" s="63"/>
    </row>
    <row r="10" spans="1:11" x14ac:dyDescent="0.25">
      <c r="A10" s="61" t="s">
        <v>219</v>
      </c>
      <c r="B10" s="61" t="s">
        <v>3</v>
      </c>
      <c r="C10" s="65"/>
      <c r="D10" s="380" t="str">
        <f>"Tax at 12/31/"&amp;YR</f>
        <v>Tax at 12/31/2014</v>
      </c>
      <c r="E10" s="35"/>
      <c r="F10" s="35"/>
      <c r="G10" s="35"/>
      <c r="H10" s="35"/>
      <c r="I10" s="35"/>
      <c r="J10" s="35"/>
    </row>
    <row r="11" spans="1:11" x14ac:dyDescent="0.25">
      <c r="A11" s="61"/>
      <c r="B11" s="61"/>
      <c r="C11" s="65"/>
      <c r="D11" s="380"/>
      <c r="E11" s="35"/>
      <c r="F11" s="35"/>
      <c r="G11" s="35"/>
      <c r="H11" s="35"/>
      <c r="I11" s="35"/>
      <c r="J11" s="35"/>
    </row>
    <row r="12" spans="1:11" x14ac:dyDescent="0.25">
      <c r="A12" s="190">
        <v>190</v>
      </c>
      <c r="B12" s="42" t="s">
        <v>1254</v>
      </c>
      <c r="C12" s="65"/>
      <c r="D12" s="42">
        <v>5505523</v>
      </c>
      <c r="E12" s="42"/>
      <c r="F12" s="42" t="s">
        <v>224</v>
      </c>
      <c r="G12" s="167">
        <f t="shared" ref="G12:G43" si="0">VLOOKUP(F12,ALLOCATORS,2,FALSE)</f>
        <v>0</v>
      </c>
      <c r="H12" s="138"/>
      <c r="I12" s="42">
        <f>D12*G12</f>
        <v>0</v>
      </c>
      <c r="J12" s="35"/>
      <c r="K12" s="1"/>
    </row>
    <row r="13" spans="1:11" x14ac:dyDescent="0.25">
      <c r="A13" s="190">
        <v>190</v>
      </c>
      <c r="B13" s="42" t="s">
        <v>1255</v>
      </c>
      <c r="C13" s="65"/>
      <c r="D13" s="42">
        <v>164205</v>
      </c>
      <c r="E13" s="42"/>
      <c r="F13" s="42" t="s">
        <v>37</v>
      </c>
      <c r="G13" s="167">
        <f t="shared" si="0"/>
        <v>0.20921659531438735</v>
      </c>
      <c r="H13" s="138"/>
      <c r="I13" s="42">
        <f t="shared" ref="I13:I71" si="1">D13*G13</f>
        <v>34354.411033598975</v>
      </c>
      <c r="J13" s="35"/>
      <c r="K13" s="1"/>
    </row>
    <row r="14" spans="1:11" x14ac:dyDescent="0.25">
      <c r="A14" s="190">
        <v>190</v>
      </c>
      <c r="B14" s="42" t="s">
        <v>1305</v>
      </c>
      <c r="C14" s="65"/>
      <c r="D14" s="42">
        <v>601725</v>
      </c>
      <c r="E14" s="42"/>
      <c r="F14" s="42" t="s">
        <v>224</v>
      </c>
      <c r="G14" s="167">
        <f t="shared" si="0"/>
        <v>0</v>
      </c>
      <c r="H14" s="138"/>
      <c r="I14" s="42">
        <f t="shared" si="1"/>
        <v>0</v>
      </c>
      <c r="J14" s="35"/>
      <c r="K14" s="1"/>
    </row>
    <row r="15" spans="1:11" x14ac:dyDescent="0.25">
      <c r="A15" s="190">
        <v>190</v>
      </c>
      <c r="B15" s="42" t="s">
        <v>1271</v>
      </c>
      <c r="C15" s="65"/>
      <c r="D15" s="42">
        <v>10389</v>
      </c>
      <c r="E15" s="42"/>
      <c r="F15" s="42" t="s">
        <v>224</v>
      </c>
      <c r="G15" s="167">
        <f t="shared" si="0"/>
        <v>0</v>
      </c>
      <c r="H15" s="138"/>
      <c r="I15" s="42">
        <f t="shared" si="1"/>
        <v>0</v>
      </c>
      <c r="J15" s="35"/>
      <c r="K15" s="1"/>
    </row>
    <row r="16" spans="1:11" x14ac:dyDescent="0.25">
      <c r="A16" s="190">
        <v>190</v>
      </c>
      <c r="B16" s="42" t="s">
        <v>1227</v>
      </c>
      <c r="C16" s="65"/>
      <c r="D16" s="42">
        <v>547615</v>
      </c>
      <c r="E16" s="42"/>
      <c r="F16" s="42" t="s">
        <v>221</v>
      </c>
      <c r="G16" s="167">
        <f t="shared" si="0"/>
        <v>5.301789141664983E-2</v>
      </c>
      <c r="H16" s="138"/>
      <c r="I16" s="42">
        <f t="shared" si="1"/>
        <v>29033.392608128695</v>
      </c>
      <c r="J16" s="35"/>
    </row>
    <row r="17" spans="1:15" x14ac:dyDescent="0.25">
      <c r="A17" s="190">
        <v>190</v>
      </c>
      <c r="B17" s="42" t="s">
        <v>1231</v>
      </c>
      <c r="C17" s="65"/>
      <c r="D17" s="42">
        <v>1850092</v>
      </c>
      <c r="E17" s="42"/>
      <c r="F17" s="42" t="s">
        <v>224</v>
      </c>
      <c r="G17" s="167">
        <f t="shared" si="0"/>
        <v>0</v>
      </c>
      <c r="H17" s="138"/>
      <c r="I17" s="42">
        <f t="shared" si="1"/>
        <v>0</v>
      </c>
      <c r="J17" s="35"/>
    </row>
    <row r="18" spans="1:15" x14ac:dyDescent="0.25">
      <c r="A18" s="190">
        <v>190</v>
      </c>
      <c r="B18" s="42" t="s">
        <v>1251</v>
      </c>
      <c r="C18" s="65"/>
      <c r="D18" s="42">
        <v>771500</v>
      </c>
      <c r="E18" s="42"/>
      <c r="F18" s="42" t="s">
        <v>224</v>
      </c>
      <c r="G18" s="167">
        <f t="shared" si="0"/>
        <v>0</v>
      </c>
      <c r="H18" s="138"/>
      <c r="I18" s="42">
        <f t="shared" si="1"/>
        <v>0</v>
      </c>
      <c r="J18" s="35"/>
      <c r="K18" s="1"/>
    </row>
    <row r="19" spans="1:15" x14ac:dyDescent="0.25">
      <c r="A19" s="190">
        <v>190</v>
      </c>
      <c r="B19" s="42" t="s">
        <v>1261</v>
      </c>
      <c r="C19" s="65"/>
      <c r="D19" s="42">
        <v>91800287</v>
      </c>
      <c r="E19" s="42"/>
      <c r="F19" s="42" t="s">
        <v>222</v>
      </c>
      <c r="G19" s="167">
        <f t="shared" si="0"/>
        <v>0</v>
      </c>
      <c r="H19" s="138"/>
      <c r="I19" s="42">
        <f t="shared" si="1"/>
        <v>0</v>
      </c>
      <c r="J19" s="35"/>
      <c r="K19" s="1"/>
    </row>
    <row r="20" spans="1:15" x14ac:dyDescent="0.25">
      <c r="A20" s="190">
        <v>190</v>
      </c>
      <c r="B20" s="42" t="s">
        <v>1257</v>
      </c>
      <c r="C20" s="65"/>
      <c r="D20" s="42">
        <v>641583</v>
      </c>
      <c r="E20" s="42"/>
      <c r="F20" s="42" t="s">
        <v>37</v>
      </c>
      <c r="G20" s="167">
        <f t="shared" si="0"/>
        <v>0.20921659531438735</v>
      </c>
      <c r="H20" s="138"/>
      <c r="I20" s="42">
        <f t="shared" si="1"/>
        <v>134229.81087159057</v>
      </c>
      <c r="J20" s="35"/>
      <c r="K20" s="1"/>
    </row>
    <row r="21" spans="1:15" x14ac:dyDescent="0.25">
      <c r="A21" s="190">
        <v>190</v>
      </c>
      <c r="B21" s="42" t="s">
        <v>1226</v>
      </c>
      <c r="C21" s="65"/>
      <c r="D21" s="42">
        <v>1899398</v>
      </c>
      <c r="E21" s="42"/>
      <c r="F21" s="42" t="s">
        <v>220</v>
      </c>
      <c r="G21" s="167">
        <f t="shared" si="0"/>
        <v>0</v>
      </c>
      <c r="H21" s="138"/>
      <c r="I21" s="42">
        <f t="shared" si="1"/>
        <v>0</v>
      </c>
      <c r="J21" s="35"/>
      <c r="K21" s="1"/>
    </row>
    <row r="22" spans="1:15" x14ac:dyDescent="0.25">
      <c r="A22" s="190">
        <v>190</v>
      </c>
      <c r="B22" s="42" t="s">
        <v>1272</v>
      </c>
      <c r="C22" s="65"/>
      <c r="D22" s="42">
        <v>3328193</v>
      </c>
      <c r="E22" s="42"/>
      <c r="F22" s="42" t="s">
        <v>51</v>
      </c>
      <c r="G22" s="167">
        <f t="shared" si="0"/>
        <v>0.94470290917920241</v>
      </c>
      <c r="H22" s="138"/>
      <c r="I22" s="42">
        <f t="shared" si="1"/>
        <v>3144153.6094098571</v>
      </c>
      <c r="J22" s="35"/>
      <c r="K22" s="1"/>
    </row>
    <row r="23" spans="1:15" x14ac:dyDescent="0.25">
      <c r="A23" s="190">
        <v>190</v>
      </c>
      <c r="B23" s="42" t="s">
        <v>1243</v>
      </c>
      <c r="C23" s="65"/>
      <c r="D23" s="42">
        <v>47896951</v>
      </c>
      <c r="E23" s="42"/>
      <c r="F23" s="42" t="s">
        <v>220</v>
      </c>
      <c r="G23" s="167">
        <f t="shared" si="0"/>
        <v>0</v>
      </c>
      <c r="H23" s="138"/>
      <c r="I23" s="42">
        <f t="shared" si="1"/>
        <v>0</v>
      </c>
      <c r="J23" s="35"/>
      <c r="K23" s="1"/>
    </row>
    <row r="24" spans="1:15" x14ac:dyDescent="0.25">
      <c r="A24" s="190">
        <v>190</v>
      </c>
      <c r="B24" s="42" t="s">
        <v>1236</v>
      </c>
      <c r="C24" s="65"/>
      <c r="D24" s="42">
        <v>11518279</v>
      </c>
      <c r="E24" s="42"/>
      <c r="F24" s="42" t="s">
        <v>221</v>
      </c>
      <c r="G24" s="167">
        <f t="shared" si="0"/>
        <v>5.301789141664983E-2</v>
      </c>
      <c r="H24" s="138"/>
      <c r="I24" s="42">
        <f t="shared" si="1"/>
        <v>610674.86532867805</v>
      </c>
      <c r="J24" s="35"/>
      <c r="K24" s="1"/>
    </row>
    <row r="25" spans="1:15" x14ac:dyDescent="0.25">
      <c r="A25" s="190">
        <v>190</v>
      </c>
      <c r="B25" s="42" t="s">
        <v>1245</v>
      </c>
      <c r="C25" s="65"/>
      <c r="D25" s="42">
        <v>-71209</v>
      </c>
      <c r="E25" s="42"/>
      <c r="F25" s="42" t="s">
        <v>221</v>
      </c>
      <c r="G25" s="167">
        <f t="shared" si="0"/>
        <v>5.301789141664983E-2</v>
      </c>
      <c r="H25" s="138"/>
      <c r="I25" s="42">
        <f t="shared" si="1"/>
        <v>-3775.3510298882179</v>
      </c>
      <c r="J25" s="35"/>
    </row>
    <row r="26" spans="1:15" x14ac:dyDescent="0.25">
      <c r="A26" s="190">
        <v>190</v>
      </c>
      <c r="B26" s="42" t="s">
        <v>1237</v>
      </c>
      <c r="C26" s="65"/>
      <c r="D26" s="42">
        <v>11871437</v>
      </c>
      <c r="E26" s="42"/>
      <c r="F26" s="42" t="s">
        <v>224</v>
      </c>
      <c r="G26" s="167">
        <f t="shared" si="0"/>
        <v>0</v>
      </c>
      <c r="H26" s="138"/>
      <c r="I26" s="42">
        <f t="shared" si="1"/>
        <v>0</v>
      </c>
      <c r="J26" s="35"/>
      <c r="K26" s="1"/>
    </row>
    <row r="27" spans="1:15" x14ac:dyDescent="0.25">
      <c r="A27" s="190">
        <v>190</v>
      </c>
      <c r="B27" s="42" t="s">
        <v>1228</v>
      </c>
      <c r="C27" s="65"/>
      <c r="D27" s="42">
        <v>6839914</v>
      </c>
      <c r="E27" s="42"/>
      <c r="F27" s="42" t="s">
        <v>224</v>
      </c>
      <c r="G27" s="167">
        <f t="shared" si="0"/>
        <v>0</v>
      </c>
      <c r="H27" s="138"/>
      <c r="I27" s="42">
        <f t="shared" si="1"/>
        <v>0</v>
      </c>
      <c r="J27" s="35"/>
      <c r="K27" s="1"/>
      <c r="L27" s="1"/>
      <c r="M27" s="1"/>
      <c r="N27" s="1"/>
      <c r="O27" s="1"/>
    </row>
    <row r="28" spans="1:15" x14ac:dyDescent="0.25">
      <c r="A28" s="190">
        <v>190</v>
      </c>
      <c r="B28" s="42" t="s">
        <v>1247</v>
      </c>
      <c r="C28" s="65"/>
      <c r="D28" s="42">
        <v>1624304</v>
      </c>
      <c r="E28" s="42"/>
      <c r="F28" s="42" t="s">
        <v>221</v>
      </c>
      <c r="G28" s="167">
        <f t="shared" si="0"/>
        <v>5.301789141664983E-2</v>
      </c>
      <c r="H28" s="138"/>
      <c r="I28" s="42">
        <f t="shared" si="1"/>
        <v>86117.173099629988</v>
      </c>
      <c r="J28" s="35"/>
      <c r="K28" s="1"/>
    </row>
    <row r="29" spans="1:15" x14ac:dyDescent="0.25">
      <c r="A29" s="190">
        <v>190</v>
      </c>
      <c r="B29" s="42" t="s">
        <v>1250</v>
      </c>
      <c r="C29" s="65"/>
      <c r="D29" s="42">
        <v>21212</v>
      </c>
      <c r="E29" s="42"/>
      <c r="F29" s="42" t="s">
        <v>221</v>
      </c>
      <c r="G29" s="167">
        <f t="shared" si="0"/>
        <v>5.301789141664983E-2</v>
      </c>
      <c r="H29" s="138"/>
      <c r="I29" s="42">
        <f t="shared" si="1"/>
        <v>1124.6155127299762</v>
      </c>
      <c r="J29" s="35"/>
      <c r="K29" s="1"/>
    </row>
    <row r="30" spans="1:15" x14ac:dyDescent="0.25">
      <c r="A30" s="190">
        <v>190</v>
      </c>
      <c r="B30" s="42" t="s">
        <v>1246</v>
      </c>
      <c r="C30" s="65"/>
      <c r="D30" s="42">
        <v>20081259</v>
      </c>
      <c r="E30" s="42"/>
      <c r="F30" s="42" t="s">
        <v>221</v>
      </c>
      <c r="G30" s="167">
        <f t="shared" si="0"/>
        <v>5.301789141664983E-2</v>
      </c>
      <c r="H30" s="138"/>
      <c r="I30" s="42">
        <f t="shared" si="1"/>
        <v>1064666.0091716221</v>
      </c>
      <c r="J30" s="35"/>
      <c r="K30" s="1"/>
    </row>
    <row r="31" spans="1:15" x14ac:dyDescent="0.25">
      <c r="A31" s="190">
        <v>190</v>
      </c>
      <c r="B31" s="42" t="s">
        <v>1244</v>
      </c>
      <c r="C31" s="65"/>
      <c r="D31" s="42">
        <v>6640076</v>
      </c>
      <c r="E31" s="42"/>
      <c r="F31" s="42" t="s">
        <v>221</v>
      </c>
      <c r="G31" s="167">
        <f t="shared" si="0"/>
        <v>5.301789141664983E-2</v>
      </c>
      <c r="H31" s="138"/>
      <c r="I31" s="42">
        <f t="shared" si="1"/>
        <v>352042.82836630254</v>
      </c>
      <c r="J31" s="35"/>
      <c r="K31" s="1"/>
    </row>
    <row r="32" spans="1:15" x14ac:dyDescent="0.25">
      <c r="A32" s="190">
        <v>190</v>
      </c>
      <c r="B32" s="42" t="s">
        <v>1264</v>
      </c>
      <c r="C32" s="65"/>
      <c r="D32" s="42">
        <v>22784</v>
      </c>
      <c r="E32" s="42"/>
      <c r="F32" s="42" t="s">
        <v>221</v>
      </c>
      <c r="G32" s="167">
        <f t="shared" si="0"/>
        <v>5.301789141664983E-2</v>
      </c>
      <c r="H32" s="138"/>
      <c r="I32" s="42">
        <f t="shared" si="1"/>
        <v>1207.9596380369496</v>
      </c>
      <c r="J32" s="35"/>
      <c r="K32" s="1"/>
    </row>
    <row r="33" spans="1:11" x14ac:dyDescent="0.25">
      <c r="A33" s="190">
        <v>190</v>
      </c>
      <c r="B33" s="42" t="s">
        <v>1265</v>
      </c>
      <c r="C33" s="65"/>
      <c r="D33" s="42">
        <v>154300</v>
      </c>
      <c r="E33" s="42"/>
      <c r="F33" s="42" t="s">
        <v>221</v>
      </c>
      <c r="G33" s="167">
        <f t="shared" si="0"/>
        <v>5.301789141664983E-2</v>
      </c>
      <c r="H33" s="138"/>
      <c r="I33" s="42">
        <f t="shared" si="1"/>
        <v>8180.6606455890687</v>
      </c>
      <c r="J33" s="35"/>
      <c r="K33" s="1"/>
    </row>
    <row r="34" spans="1:11" x14ac:dyDescent="0.25">
      <c r="A34" s="190">
        <v>190</v>
      </c>
      <c r="B34" s="42" t="s">
        <v>1229</v>
      </c>
      <c r="C34" s="65"/>
      <c r="D34" s="42">
        <v>814491</v>
      </c>
      <c r="E34" s="42"/>
      <c r="F34" s="42" t="s">
        <v>221</v>
      </c>
      <c r="G34" s="167">
        <f t="shared" si="0"/>
        <v>5.301789141664983E-2</v>
      </c>
      <c r="H34" s="138"/>
      <c r="I34" s="42">
        <f t="shared" si="1"/>
        <v>43182.595397838537</v>
      </c>
      <c r="J34" s="35"/>
      <c r="K34" s="1"/>
    </row>
    <row r="35" spans="1:11" x14ac:dyDescent="0.25">
      <c r="A35" s="190">
        <v>190</v>
      </c>
      <c r="B35" s="42" t="s">
        <v>1242</v>
      </c>
      <c r="C35" s="65"/>
      <c r="D35" s="42">
        <v>27002501</v>
      </c>
      <c r="E35" s="42"/>
      <c r="F35" s="42" t="s">
        <v>222</v>
      </c>
      <c r="G35" s="167">
        <f t="shared" si="0"/>
        <v>0</v>
      </c>
      <c r="H35" s="138"/>
      <c r="I35" s="42">
        <f t="shared" si="1"/>
        <v>0</v>
      </c>
      <c r="J35" s="35"/>
      <c r="K35" s="1"/>
    </row>
    <row r="36" spans="1:11" x14ac:dyDescent="0.25">
      <c r="A36" s="190">
        <v>190</v>
      </c>
      <c r="B36" s="42" t="s">
        <v>1233</v>
      </c>
      <c r="C36" s="65"/>
      <c r="D36" s="42">
        <v>5728006</v>
      </c>
      <c r="E36" s="42"/>
      <c r="F36" s="42" t="s">
        <v>222</v>
      </c>
      <c r="G36" s="167">
        <f t="shared" si="0"/>
        <v>0</v>
      </c>
      <c r="H36" s="138"/>
      <c r="I36" s="42">
        <f t="shared" si="1"/>
        <v>0</v>
      </c>
      <c r="J36" s="35"/>
      <c r="K36" s="1"/>
    </row>
    <row r="37" spans="1:11" x14ac:dyDescent="0.25">
      <c r="A37" s="190">
        <v>190</v>
      </c>
      <c r="B37" s="42" t="s">
        <v>1258</v>
      </c>
      <c r="C37" s="65"/>
      <c r="D37" s="42">
        <v>-25353026</v>
      </c>
      <c r="E37" s="42"/>
      <c r="F37" s="42" t="s">
        <v>221</v>
      </c>
      <c r="G37" s="167">
        <f t="shared" si="0"/>
        <v>5.301789141664983E-2</v>
      </c>
      <c r="H37" s="138"/>
      <c r="I37" s="42">
        <f t="shared" si="1"/>
        <v>-1344163.9795514999</v>
      </c>
      <c r="J37" s="35"/>
      <c r="K37" s="1"/>
    </row>
    <row r="38" spans="1:11" x14ac:dyDescent="0.25">
      <c r="A38" s="190">
        <v>190</v>
      </c>
      <c r="B38" s="42" t="s">
        <v>1234</v>
      </c>
      <c r="C38" s="65"/>
      <c r="D38" s="42">
        <v>1866117</v>
      </c>
      <c r="E38" s="42"/>
      <c r="F38" s="42" t="s">
        <v>220</v>
      </c>
      <c r="G38" s="167">
        <f t="shared" si="0"/>
        <v>0</v>
      </c>
      <c r="H38" s="138"/>
      <c r="I38" s="42">
        <f t="shared" si="1"/>
        <v>0</v>
      </c>
      <c r="J38" s="35"/>
      <c r="K38" s="1"/>
    </row>
    <row r="39" spans="1:11" x14ac:dyDescent="0.25">
      <c r="A39" s="190">
        <v>190</v>
      </c>
      <c r="B39" s="42" t="s">
        <v>1235</v>
      </c>
      <c r="C39" s="65"/>
      <c r="D39" s="42">
        <v>38459023</v>
      </c>
      <c r="E39" s="42"/>
      <c r="F39" s="42" t="s">
        <v>220</v>
      </c>
      <c r="G39" s="167">
        <f t="shared" si="0"/>
        <v>0</v>
      </c>
      <c r="H39" s="138"/>
      <c r="I39" s="42">
        <f t="shared" si="1"/>
        <v>0</v>
      </c>
      <c r="J39" s="35"/>
      <c r="K39" s="1"/>
    </row>
    <row r="40" spans="1:11" x14ac:dyDescent="0.25">
      <c r="A40" s="190">
        <v>190</v>
      </c>
      <c r="B40" s="42" t="s">
        <v>1249</v>
      </c>
      <c r="C40" s="65"/>
      <c r="D40" s="42">
        <v>1336878</v>
      </c>
      <c r="E40" s="42"/>
      <c r="F40" s="42" t="s">
        <v>37</v>
      </c>
      <c r="G40" s="167">
        <f t="shared" si="0"/>
        <v>0.20921659531438735</v>
      </c>
      <c r="H40" s="138"/>
      <c r="I40" s="42">
        <f t="shared" si="1"/>
        <v>279697.06351070752</v>
      </c>
      <c r="J40" s="35"/>
    </row>
    <row r="41" spans="1:11" x14ac:dyDescent="0.25">
      <c r="A41" s="190">
        <v>190</v>
      </c>
      <c r="B41" s="42" t="s">
        <v>1232</v>
      </c>
      <c r="C41" s="65"/>
      <c r="D41" s="42">
        <v>7338328</v>
      </c>
      <c r="E41" s="42"/>
      <c r="F41" s="42" t="s">
        <v>221</v>
      </c>
      <c r="G41" s="167">
        <f t="shared" si="0"/>
        <v>5.301789141664983E-2</v>
      </c>
      <c r="H41" s="138"/>
      <c r="I41" s="42">
        <f t="shared" si="1"/>
        <v>389062.67708376114</v>
      </c>
      <c r="J41" s="35"/>
    </row>
    <row r="42" spans="1:11" x14ac:dyDescent="0.25">
      <c r="A42" s="190">
        <v>190</v>
      </c>
      <c r="B42" s="42" t="s">
        <v>1273</v>
      </c>
      <c r="C42" s="65"/>
      <c r="D42" s="42">
        <v>34506551</v>
      </c>
      <c r="E42" s="42"/>
      <c r="F42" s="42" t="s">
        <v>222</v>
      </c>
      <c r="G42" s="167">
        <f t="shared" si="0"/>
        <v>0</v>
      </c>
      <c r="H42" s="138"/>
      <c r="I42" s="42">
        <f t="shared" si="1"/>
        <v>0</v>
      </c>
      <c r="J42" s="35"/>
    </row>
    <row r="43" spans="1:11" x14ac:dyDescent="0.25">
      <c r="A43" s="190">
        <v>190</v>
      </c>
      <c r="B43" s="42" t="s">
        <v>1268</v>
      </c>
      <c r="C43" s="65"/>
      <c r="D43" s="42">
        <v>59882185</v>
      </c>
      <c r="E43" s="42"/>
      <c r="F43" s="42" t="s">
        <v>221</v>
      </c>
      <c r="G43" s="167">
        <f t="shared" si="0"/>
        <v>5.301789141664983E-2</v>
      </c>
      <c r="H43" s="138"/>
      <c r="I43" s="42">
        <f t="shared" si="1"/>
        <v>3174827.1821217374</v>
      </c>
      <c r="J43" s="35"/>
    </row>
    <row r="44" spans="1:11" x14ac:dyDescent="0.25">
      <c r="A44" s="190">
        <v>190</v>
      </c>
      <c r="B44" s="42" t="s">
        <v>1269</v>
      </c>
      <c r="C44" s="65"/>
      <c r="D44" s="42">
        <v>9141455</v>
      </c>
      <c r="E44" s="42"/>
      <c r="F44" s="42" t="s">
        <v>221</v>
      </c>
      <c r="G44" s="167">
        <f t="shared" ref="G44:G71" si="2">VLOOKUP(F44,ALLOCATORS,2,FALSE)</f>
        <v>5.301789141664983E-2</v>
      </c>
      <c r="H44" s="138"/>
      <c r="I44" s="42">
        <f t="shared" si="1"/>
        <v>484660.66858019069</v>
      </c>
      <c r="J44" s="35"/>
    </row>
    <row r="45" spans="1:11" x14ac:dyDescent="0.25">
      <c r="A45" s="190">
        <v>190</v>
      </c>
      <c r="B45" s="42" t="s">
        <v>1274</v>
      </c>
      <c r="C45" s="65"/>
      <c r="D45" s="42">
        <v>-15406047</v>
      </c>
      <c r="E45" s="42"/>
      <c r="F45" s="42" t="s">
        <v>221</v>
      </c>
      <c r="G45" s="167">
        <f t="shared" si="2"/>
        <v>5.301789141664983E-2</v>
      </c>
      <c r="H45" s="138"/>
      <c r="I45" s="42">
        <f t="shared" si="1"/>
        <v>-816796.12700580386</v>
      </c>
      <c r="J45" s="35"/>
    </row>
    <row r="46" spans="1:11" x14ac:dyDescent="0.25">
      <c r="A46" s="190">
        <v>190</v>
      </c>
      <c r="B46" s="42" t="s">
        <v>1072</v>
      </c>
      <c r="C46" s="65"/>
      <c r="D46" s="42">
        <v>7174595</v>
      </c>
      <c r="E46" s="42"/>
      <c r="F46" s="42" t="s">
        <v>221</v>
      </c>
      <c r="G46" s="167">
        <f t="shared" si="2"/>
        <v>5.301789141664983E-2</v>
      </c>
      <c r="H46" s="138"/>
      <c r="I46" s="42">
        <f t="shared" si="1"/>
        <v>380381.89866843878</v>
      </c>
      <c r="J46" s="35"/>
    </row>
    <row r="47" spans="1:11" x14ac:dyDescent="0.25">
      <c r="A47" s="190">
        <v>190</v>
      </c>
      <c r="B47" s="405" t="s">
        <v>1260</v>
      </c>
      <c r="C47" s="65"/>
      <c r="D47" s="42">
        <v>1127294</v>
      </c>
      <c r="E47" s="42"/>
      <c r="F47" s="42" t="s">
        <v>222</v>
      </c>
      <c r="G47" s="167">
        <f t="shared" si="2"/>
        <v>0</v>
      </c>
      <c r="H47" s="138"/>
      <c r="I47" s="42">
        <f t="shared" si="1"/>
        <v>0</v>
      </c>
      <c r="J47" s="35"/>
    </row>
    <row r="48" spans="1:11" x14ac:dyDescent="0.25">
      <c r="A48" s="190">
        <v>190</v>
      </c>
      <c r="B48" s="405" t="s">
        <v>1270</v>
      </c>
      <c r="C48" s="65"/>
      <c r="D48" s="42">
        <v>311049647</v>
      </c>
      <c r="E48" s="42"/>
      <c r="F48" s="42" t="s">
        <v>222</v>
      </c>
      <c r="G48" s="167">
        <f t="shared" si="2"/>
        <v>0</v>
      </c>
      <c r="H48" s="138"/>
      <c r="I48" s="42">
        <f t="shared" si="1"/>
        <v>0</v>
      </c>
      <c r="J48" s="35"/>
    </row>
    <row r="49" spans="1:10" x14ac:dyDescent="0.25">
      <c r="A49" s="190">
        <v>190</v>
      </c>
      <c r="B49" s="405" t="s">
        <v>1253</v>
      </c>
      <c r="C49" s="65"/>
      <c r="D49" s="42">
        <v>13690</v>
      </c>
      <c r="E49" s="42"/>
      <c r="F49" s="42" t="s">
        <v>222</v>
      </c>
      <c r="G49" s="167">
        <f t="shared" si="2"/>
        <v>0</v>
      </c>
      <c r="H49" s="138"/>
      <c r="I49" s="42">
        <f t="shared" si="1"/>
        <v>0</v>
      </c>
      <c r="J49" s="35"/>
    </row>
    <row r="50" spans="1:10" x14ac:dyDescent="0.25">
      <c r="A50" s="190">
        <v>190</v>
      </c>
      <c r="B50" s="405" t="s">
        <v>1241</v>
      </c>
      <c r="C50" s="65"/>
      <c r="D50" s="42">
        <v>213476</v>
      </c>
      <c r="E50" s="42"/>
      <c r="F50" s="42" t="s">
        <v>224</v>
      </c>
      <c r="G50" s="167">
        <f t="shared" si="2"/>
        <v>0</v>
      </c>
      <c r="H50" s="138"/>
      <c r="I50" s="42">
        <f t="shared" si="1"/>
        <v>0</v>
      </c>
      <c r="J50" s="35"/>
    </row>
    <row r="51" spans="1:10" x14ac:dyDescent="0.25">
      <c r="A51" s="190">
        <v>190</v>
      </c>
      <c r="B51" s="405" t="s">
        <v>1256</v>
      </c>
      <c r="C51" s="65"/>
      <c r="D51" s="42">
        <v>4129917</v>
      </c>
      <c r="E51" s="42"/>
      <c r="F51" s="42" t="s">
        <v>37</v>
      </c>
      <c r="G51" s="167">
        <f t="shared" si="2"/>
        <v>0.20921659531438735</v>
      </c>
      <c r="H51" s="138"/>
      <c r="I51" s="42">
        <f t="shared" si="1"/>
        <v>864047.17367100867</v>
      </c>
      <c r="J51" s="35"/>
    </row>
    <row r="52" spans="1:10" x14ac:dyDescent="0.25">
      <c r="A52" s="190">
        <v>190</v>
      </c>
      <c r="B52" s="405" t="s">
        <v>1240</v>
      </c>
      <c r="C52" s="65"/>
      <c r="D52" s="42">
        <v>222581798</v>
      </c>
      <c r="E52" s="42"/>
      <c r="F52" s="42" t="s">
        <v>37</v>
      </c>
      <c r="G52" s="167">
        <f t="shared" si="2"/>
        <v>0.20921659531438735</v>
      </c>
      <c r="H52" s="138"/>
      <c r="I52" s="42">
        <f t="shared" si="1"/>
        <v>46567805.956514716</v>
      </c>
      <c r="J52" s="35"/>
    </row>
    <row r="53" spans="1:10" x14ac:dyDescent="0.25">
      <c r="A53" s="190">
        <v>190</v>
      </c>
      <c r="B53" s="405" t="s">
        <v>1239</v>
      </c>
      <c r="C53" s="65"/>
      <c r="D53" s="42">
        <v>150749</v>
      </c>
      <c r="E53" s="42"/>
      <c r="F53" s="42" t="s">
        <v>37</v>
      </c>
      <c r="G53" s="167">
        <f t="shared" si="2"/>
        <v>0.20921659531438735</v>
      </c>
      <c r="H53" s="138"/>
      <c r="I53" s="42">
        <f t="shared" si="1"/>
        <v>31539.192527048581</v>
      </c>
      <c r="J53" s="35"/>
    </row>
    <row r="54" spans="1:10" x14ac:dyDescent="0.25">
      <c r="A54" s="190">
        <v>190</v>
      </c>
      <c r="B54" s="405" t="s">
        <v>1238</v>
      </c>
      <c r="C54" s="65"/>
      <c r="D54" s="42">
        <v>25592665</v>
      </c>
      <c r="E54" s="42"/>
      <c r="F54" s="42" t="s">
        <v>37</v>
      </c>
      <c r="G54" s="167">
        <f t="shared" si="2"/>
        <v>0.20921659531438735</v>
      </c>
      <c r="H54" s="138"/>
      <c r="I54" s="42">
        <f t="shared" si="1"/>
        <v>5354410.2363216849</v>
      </c>
      <c r="J54" s="35"/>
    </row>
    <row r="55" spans="1:10" x14ac:dyDescent="0.25">
      <c r="A55" s="190">
        <v>190</v>
      </c>
      <c r="B55" s="405" t="s">
        <v>1306</v>
      </c>
      <c r="C55" s="65"/>
      <c r="D55" s="42">
        <v>-379637470</v>
      </c>
      <c r="E55" s="42"/>
      <c r="F55" s="42" t="s">
        <v>222</v>
      </c>
      <c r="G55" s="167">
        <f t="shared" si="2"/>
        <v>0</v>
      </c>
      <c r="H55" s="138"/>
      <c r="I55" s="42">
        <f t="shared" si="1"/>
        <v>0</v>
      </c>
      <c r="J55" s="35"/>
    </row>
    <row r="56" spans="1:10" x14ac:dyDescent="0.25">
      <c r="A56" s="190">
        <v>190</v>
      </c>
      <c r="B56" s="405" t="s">
        <v>1307</v>
      </c>
      <c r="C56" s="65"/>
      <c r="D56" s="42">
        <v>-148432</v>
      </c>
      <c r="E56" s="42"/>
      <c r="F56" s="42" t="s">
        <v>37</v>
      </c>
      <c r="G56" s="167">
        <f t="shared" si="2"/>
        <v>0.20921659531438735</v>
      </c>
      <c r="H56" s="138"/>
      <c r="I56" s="42">
        <f t="shared" si="1"/>
        <v>-31054.437675705143</v>
      </c>
      <c r="J56" s="35"/>
    </row>
    <row r="57" spans="1:10" x14ac:dyDescent="0.25">
      <c r="A57" s="190">
        <v>190</v>
      </c>
      <c r="B57" s="405" t="s">
        <v>1307</v>
      </c>
      <c r="C57" s="65"/>
      <c r="D57" s="42">
        <v>-25949</v>
      </c>
      <c r="E57" s="42"/>
      <c r="F57" s="42" t="s">
        <v>37</v>
      </c>
      <c r="G57" s="167">
        <f t="shared" si="2"/>
        <v>0.20921659531438735</v>
      </c>
      <c r="H57" s="138"/>
      <c r="I57" s="42">
        <f t="shared" si="1"/>
        <v>-5428.9614318130371</v>
      </c>
      <c r="J57" s="35"/>
    </row>
    <row r="58" spans="1:10" x14ac:dyDescent="0.25">
      <c r="A58" s="190">
        <v>190</v>
      </c>
      <c r="B58" s="405" t="s">
        <v>1308</v>
      </c>
      <c r="C58" s="65"/>
      <c r="D58" s="42">
        <v>-91936682</v>
      </c>
      <c r="E58" s="42"/>
      <c r="F58" s="42" t="s">
        <v>222</v>
      </c>
      <c r="G58" s="167">
        <f t="shared" si="2"/>
        <v>0</v>
      </c>
      <c r="H58" s="138"/>
      <c r="I58" s="42">
        <f t="shared" si="1"/>
        <v>0</v>
      </c>
      <c r="J58" s="35"/>
    </row>
    <row r="59" spans="1:10" x14ac:dyDescent="0.25">
      <c r="A59" s="190">
        <v>190</v>
      </c>
      <c r="B59" s="405" t="s">
        <v>1309</v>
      </c>
      <c r="C59" s="65"/>
      <c r="D59" s="42">
        <v>-1001473</v>
      </c>
      <c r="E59" s="42"/>
      <c r="F59" s="42" t="s">
        <v>37</v>
      </c>
      <c r="G59" s="167">
        <f t="shared" si="2"/>
        <v>0.20921659531438735</v>
      </c>
      <c r="H59" s="138"/>
      <c r="I59" s="42">
        <f t="shared" si="1"/>
        <v>-209524.77135928546</v>
      </c>
      <c r="J59" s="35"/>
    </row>
    <row r="60" spans="1:10" x14ac:dyDescent="0.25">
      <c r="A60" s="190">
        <v>190</v>
      </c>
      <c r="B60" s="405" t="s">
        <v>1286</v>
      </c>
      <c r="C60" s="65"/>
      <c r="D60" s="42">
        <v>-59512048</v>
      </c>
      <c r="E60" s="42"/>
      <c r="F60" s="42" t="s">
        <v>220</v>
      </c>
      <c r="G60" s="167">
        <f t="shared" si="2"/>
        <v>0</v>
      </c>
      <c r="H60" s="138"/>
      <c r="I60" s="42">
        <f t="shared" si="1"/>
        <v>0</v>
      </c>
      <c r="J60" s="35"/>
    </row>
    <row r="61" spans="1:10" x14ac:dyDescent="0.25">
      <c r="A61" s="190">
        <v>190</v>
      </c>
      <c r="B61" s="405" t="s">
        <v>1310</v>
      </c>
      <c r="C61" s="65"/>
      <c r="D61" s="42">
        <v>8872250</v>
      </c>
      <c r="E61" s="42"/>
      <c r="F61" s="42" t="s">
        <v>222</v>
      </c>
      <c r="G61" s="167">
        <f t="shared" si="2"/>
        <v>0</v>
      </c>
      <c r="H61" s="138"/>
      <c r="I61" s="42">
        <f t="shared" si="1"/>
        <v>0</v>
      </c>
      <c r="J61" s="35"/>
    </row>
    <row r="62" spans="1:10" x14ac:dyDescent="0.25">
      <c r="A62" s="190">
        <v>190</v>
      </c>
      <c r="B62" s="405" t="s">
        <v>1286</v>
      </c>
      <c r="C62" s="65"/>
      <c r="D62" s="42">
        <v>-5326949</v>
      </c>
      <c r="E62" s="42"/>
      <c r="F62" s="42" t="s">
        <v>220</v>
      </c>
      <c r="G62" s="167">
        <f t="shared" si="2"/>
        <v>0</v>
      </c>
      <c r="H62" s="138"/>
      <c r="I62" s="42">
        <f t="shared" si="1"/>
        <v>0</v>
      </c>
      <c r="J62" s="35"/>
    </row>
    <row r="63" spans="1:10" x14ac:dyDescent="0.25">
      <c r="A63" s="190">
        <v>190</v>
      </c>
      <c r="B63" s="405" t="s">
        <v>1295</v>
      </c>
      <c r="C63" s="65"/>
      <c r="D63" s="42">
        <v>92020</v>
      </c>
      <c r="E63" s="42"/>
      <c r="F63" s="42" t="s">
        <v>222</v>
      </c>
      <c r="G63" s="167">
        <f t="shared" si="2"/>
        <v>0</v>
      </c>
      <c r="H63" s="138"/>
      <c r="I63" s="42">
        <f t="shared" si="1"/>
        <v>0</v>
      </c>
      <c r="J63" s="35"/>
    </row>
    <row r="64" spans="1:10" x14ac:dyDescent="0.25">
      <c r="A64" s="190">
        <v>190</v>
      </c>
      <c r="B64" s="405" t="s">
        <v>1311</v>
      </c>
      <c r="C64" s="65"/>
      <c r="D64" s="42">
        <v>1714822</v>
      </c>
      <c r="E64" s="42"/>
      <c r="F64" s="42" t="s">
        <v>221</v>
      </c>
      <c r="G64" s="167">
        <f t="shared" si="2"/>
        <v>5.301789141664983E-2</v>
      </c>
      <c r="H64" s="138"/>
      <c r="I64" s="42">
        <f t="shared" si="1"/>
        <v>90916.246594882294</v>
      </c>
      <c r="J64" s="35"/>
    </row>
    <row r="65" spans="1:10" x14ac:dyDescent="0.25">
      <c r="A65" s="190">
        <v>190</v>
      </c>
      <c r="B65" s="405" t="s">
        <v>1312</v>
      </c>
      <c r="C65" s="65"/>
      <c r="D65" s="42">
        <v>-8076448</v>
      </c>
      <c r="E65" s="42"/>
      <c r="F65" s="42" t="s">
        <v>1073</v>
      </c>
      <c r="G65" s="167">
        <f t="shared" si="2"/>
        <v>5.301789141664983E-2</v>
      </c>
      <c r="H65" s="138"/>
      <c r="I65" s="42">
        <f t="shared" si="1"/>
        <v>-428196.24309621868</v>
      </c>
      <c r="J65" s="35"/>
    </row>
    <row r="66" spans="1:10" x14ac:dyDescent="0.25">
      <c r="A66" s="190">
        <v>190</v>
      </c>
      <c r="B66" s="405" t="s">
        <v>1294</v>
      </c>
      <c r="C66" s="65"/>
      <c r="D66" s="42">
        <v>-3452053</v>
      </c>
      <c r="E66" s="42"/>
      <c r="F66" s="42" t="s">
        <v>220</v>
      </c>
      <c r="G66" s="167">
        <f t="shared" si="2"/>
        <v>0</v>
      </c>
      <c r="H66" s="138"/>
      <c r="I66" s="42">
        <f t="shared" si="1"/>
        <v>0</v>
      </c>
      <c r="J66" s="35"/>
    </row>
    <row r="67" spans="1:10" x14ac:dyDescent="0.25">
      <c r="A67" s="190">
        <v>190</v>
      </c>
      <c r="B67" s="405" t="s">
        <v>1313</v>
      </c>
      <c r="C67" s="65"/>
      <c r="D67" s="42">
        <v>1503160</v>
      </c>
      <c r="E67" s="42"/>
      <c r="F67" s="42" t="s">
        <v>221</v>
      </c>
      <c r="G67" s="167">
        <f t="shared" si="2"/>
        <v>5.301789141664983E-2</v>
      </c>
      <c r="H67" s="138"/>
      <c r="I67" s="42">
        <f t="shared" si="1"/>
        <v>79694.373661851365</v>
      </c>
      <c r="J67" s="35"/>
    </row>
    <row r="68" spans="1:10" x14ac:dyDescent="0.25">
      <c r="A68" s="190">
        <v>190</v>
      </c>
      <c r="B68" s="405" t="s">
        <v>1314</v>
      </c>
      <c r="C68" s="65"/>
      <c r="D68" s="42">
        <v>373453</v>
      </c>
      <c r="E68" s="42"/>
      <c r="F68" s="42" t="s">
        <v>221</v>
      </c>
      <c r="G68" s="167">
        <f t="shared" si="2"/>
        <v>5.301789141664983E-2</v>
      </c>
      <c r="H68" s="138"/>
      <c r="I68" s="42">
        <f t="shared" si="1"/>
        <v>19799.69060322213</v>
      </c>
      <c r="J68" s="35"/>
    </row>
    <row r="69" spans="1:10" x14ac:dyDescent="0.25">
      <c r="A69" s="190">
        <v>190</v>
      </c>
      <c r="B69" s="405" t="s">
        <v>1293</v>
      </c>
      <c r="C69" s="65"/>
      <c r="D69" s="42">
        <v>1865544</v>
      </c>
      <c r="E69" s="42"/>
      <c r="F69" s="42" t="s">
        <v>222</v>
      </c>
      <c r="G69" s="167">
        <f t="shared" si="2"/>
        <v>0</v>
      </c>
      <c r="H69" s="138"/>
      <c r="I69" s="42">
        <f t="shared" si="1"/>
        <v>0</v>
      </c>
      <c r="J69" s="35"/>
    </row>
    <row r="70" spans="1:10" x14ac:dyDescent="0.25">
      <c r="A70" s="190">
        <v>190</v>
      </c>
      <c r="B70" s="405" t="s">
        <v>1315</v>
      </c>
      <c r="C70" s="65"/>
      <c r="D70" s="42">
        <v>4032999</v>
      </c>
      <c r="E70" s="42"/>
      <c r="F70" s="42" t="s">
        <v>222</v>
      </c>
      <c r="G70" s="167">
        <f t="shared" si="2"/>
        <v>0</v>
      </c>
      <c r="H70" s="138"/>
      <c r="I70" s="42">
        <f t="shared" si="1"/>
        <v>0</v>
      </c>
      <c r="J70" s="35"/>
    </row>
    <row r="71" spans="1:10" x14ac:dyDescent="0.25">
      <c r="A71" s="190">
        <v>190</v>
      </c>
      <c r="B71" s="405" t="s">
        <v>1276</v>
      </c>
      <c r="C71" s="65"/>
      <c r="D71" s="42">
        <v>1</v>
      </c>
      <c r="E71" s="42"/>
      <c r="F71" s="42" t="s">
        <v>37</v>
      </c>
      <c r="G71" s="167">
        <f t="shared" si="2"/>
        <v>0.20921659531438735</v>
      </c>
      <c r="H71" s="138"/>
      <c r="I71" s="42">
        <f t="shared" si="1"/>
        <v>0.20921659531438735</v>
      </c>
      <c r="J71" s="35"/>
    </row>
    <row r="72" spans="1:10" hidden="1" x14ac:dyDescent="0.25">
      <c r="A72" s="190"/>
      <c r="B72" s="42"/>
      <c r="C72" s="42"/>
      <c r="D72" s="42"/>
      <c r="E72" s="42"/>
      <c r="F72" s="42"/>
      <c r="G72" s="167"/>
      <c r="H72" s="138"/>
      <c r="I72" s="42"/>
      <c r="J72" s="35"/>
    </row>
    <row r="73" spans="1:10" hidden="1" x14ac:dyDescent="0.25">
      <c r="A73" s="190"/>
      <c r="B73" s="42"/>
      <c r="C73" s="42"/>
      <c r="D73" s="42"/>
      <c r="E73" s="42"/>
      <c r="F73" s="42"/>
      <c r="G73" s="167"/>
      <c r="H73" s="138"/>
      <c r="I73" s="42"/>
      <c r="J73" s="35"/>
    </row>
    <row r="74" spans="1:10" hidden="1" x14ac:dyDescent="0.25">
      <c r="A74" s="190"/>
      <c r="B74" s="42"/>
      <c r="C74" s="42"/>
      <c r="D74" s="42"/>
      <c r="E74" s="42"/>
      <c r="F74" s="42"/>
      <c r="G74" s="167"/>
      <c r="H74" s="138"/>
      <c r="I74" s="42"/>
      <c r="J74" s="35"/>
    </row>
    <row r="75" spans="1:10" hidden="1" x14ac:dyDescent="0.25">
      <c r="A75" s="190"/>
      <c r="B75" s="42"/>
      <c r="C75" s="42"/>
      <c r="D75" s="42"/>
      <c r="E75" s="42"/>
      <c r="F75" s="42"/>
      <c r="G75" s="167"/>
      <c r="H75" s="138"/>
      <c r="I75" s="42"/>
      <c r="J75" s="35"/>
    </row>
    <row r="76" spans="1:10" hidden="1" x14ac:dyDescent="0.25">
      <c r="A76" s="190"/>
      <c r="B76" s="42"/>
      <c r="C76" s="42"/>
      <c r="D76" s="42"/>
      <c r="E76" s="42"/>
      <c r="F76" s="42"/>
      <c r="G76" s="167"/>
      <c r="H76" s="138"/>
      <c r="I76" s="42"/>
      <c r="J76" s="35"/>
    </row>
    <row r="77" spans="1:10" hidden="1" x14ac:dyDescent="0.25">
      <c r="A77" s="190"/>
      <c r="B77" s="42"/>
      <c r="C77" s="42"/>
      <c r="D77" s="42"/>
      <c r="E77" s="42"/>
      <c r="F77" s="42"/>
      <c r="G77" s="167"/>
      <c r="H77" s="138"/>
      <c r="I77" s="42"/>
      <c r="J77" s="35"/>
    </row>
    <row r="78" spans="1:10" hidden="1" x14ac:dyDescent="0.25">
      <c r="A78" s="190"/>
      <c r="B78" s="42"/>
      <c r="C78" s="42"/>
      <c r="D78" s="42"/>
      <c r="E78" s="42"/>
      <c r="F78" s="42"/>
      <c r="G78" s="167"/>
      <c r="H78" s="138"/>
      <c r="I78" s="42"/>
      <c r="J78" s="35"/>
    </row>
    <row r="79" spans="1:10" hidden="1" x14ac:dyDescent="0.25">
      <c r="A79" s="190"/>
      <c r="B79" s="42"/>
      <c r="C79" s="42"/>
      <c r="D79" s="42"/>
      <c r="E79" s="42"/>
      <c r="F79" s="42"/>
      <c r="G79" s="167"/>
      <c r="H79" s="138"/>
      <c r="I79" s="42"/>
      <c r="J79" s="35"/>
    </row>
    <row r="80" spans="1:10" hidden="1" x14ac:dyDescent="0.25">
      <c r="A80" s="190"/>
      <c r="B80" s="42"/>
      <c r="C80" s="42"/>
      <c r="D80" s="42"/>
      <c r="E80" s="42"/>
      <c r="F80" s="42"/>
      <c r="G80" s="167"/>
      <c r="H80" s="138"/>
      <c r="I80" s="42"/>
      <c r="J80" s="35"/>
    </row>
    <row r="81" spans="1:10" hidden="1" x14ac:dyDescent="0.25">
      <c r="A81" s="190"/>
      <c r="B81" s="42"/>
      <c r="C81" s="42"/>
      <c r="D81" s="42"/>
      <c r="E81" s="42"/>
      <c r="F81" s="42"/>
      <c r="G81" s="167"/>
      <c r="H81" s="138"/>
      <c r="I81" s="42"/>
    </row>
    <row r="82" spans="1:10" hidden="1" x14ac:dyDescent="0.25">
      <c r="A82" s="190"/>
      <c r="B82" s="42"/>
      <c r="C82" s="42"/>
      <c r="D82" s="42"/>
      <c r="E82" s="42"/>
      <c r="F82" s="42"/>
      <c r="G82" s="167"/>
      <c r="H82" s="138"/>
      <c r="I82" s="42"/>
    </row>
    <row r="83" spans="1:10" hidden="1" x14ac:dyDescent="0.25">
      <c r="A83" s="190"/>
      <c r="B83" s="42"/>
      <c r="C83" s="42"/>
      <c r="D83" s="42"/>
      <c r="E83" s="42"/>
      <c r="F83" s="42"/>
      <c r="G83" s="167"/>
      <c r="H83" s="138"/>
      <c r="I83" s="42"/>
      <c r="J83" s="35"/>
    </row>
    <row r="84" spans="1:10" hidden="1" x14ac:dyDescent="0.25">
      <c r="A84" s="190"/>
      <c r="B84" s="42"/>
      <c r="C84" s="42"/>
      <c r="D84" s="42"/>
      <c r="E84" s="42"/>
      <c r="F84" s="42"/>
      <c r="G84" s="167"/>
      <c r="H84" s="138"/>
      <c r="I84" s="42"/>
      <c r="J84" s="35"/>
    </row>
    <row r="85" spans="1:10" ht="4.5" customHeight="1" x14ac:dyDescent="0.25">
      <c r="A85" s="66"/>
      <c r="B85" s="35"/>
      <c r="C85" s="35"/>
      <c r="D85" s="35"/>
      <c r="E85" s="35"/>
      <c r="F85" s="122"/>
      <c r="G85" s="46"/>
      <c r="H85" s="35"/>
      <c r="I85" s="35"/>
      <c r="J85" s="35"/>
    </row>
    <row r="86" spans="1:10" ht="13.8" thickBot="1" x14ac:dyDescent="0.3">
      <c r="A86" s="66"/>
      <c r="B86" s="263" t="s">
        <v>789</v>
      </c>
      <c r="C86" s="61"/>
      <c r="D86" s="67">
        <f>SUM(D12:D84)</f>
        <v>400406855</v>
      </c>
      <c r="E86" s="35"/>
      <c r="F86" s="35"/>
      <c r="G86" s="46"/>
      <c r="H86" s="35"/>
      <c r="I86" s="67">
        <f>SUM(I12:I84)</f>
        <v>60386870.629009232</v>
      </c>
      <c r="J86" s="122"/>
    </row>
    <row r="87" spans="1:10" ht="13.8" thickTop="1" x14ac:dyDescent="0.25">
      <c r="A87" s="66"/>
      <c r="B87" s="35"/>
      <c r="C87" s="35"/>
      <c r="D87" s="366">
        <v>0</v>
      </c>
      <c r="E87" s="35"/>
      <c r="F87" s="35"/>
      <c r="G87" s="46"/>
      <c r="H87" s="35"/>
      <c r="I87" s="35"/>
      <c r="J87" s="35"/>
    </row>
    <row r="88" spans="1:10" x14ac:dyDescent="0.25">
      <c r="D88" s="35"/>
      <c r="E88" s="403" t="s">
        <v>220</v>
      </c>
      <c r="F88" s="311">
        <v>0</v>
      </c>
      <c r="G88" s="15"/>
    </row>
  </sheetData>
  <mergeCells count="4">
    <mergeCell ref="I1:J1"/>
    <mergeCell ref="I3:J3"/>
    <mergeCell ref="A5:I5"/>
    <mergeCell ref="A6:I6"/>
  </mergeCells>
  <printOptions horizontalCentered="1"/>
  <pageMargins left="0.5" right="0.5" top="0.5" bottom="0.5" header="0.5" footer="0.5"/>
  <pageSetup scale="75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J51"/>
  <sheetViews>
    <sheetView workbookViewId="0">
      <selection activeCell="E49" sqref="E49:F49"/>
    </sheetView>
  </sheetViews>
  <sheetFormatPr defaultRowHeight="13.2" x14ac:dyDescent="0.25"/>
  <cols>
    <col min="1" max="1" width="9.6640625" style="33" customWidth="1"/>
    <col min="2" max="2" width="45.5546875" style="33" customWidth="1"/>
    <col min="3" max="3" width="3.6640625" style="33" customWidth="1"/>
    <col min="4" max="4" width="17.44140625" style="33" customWidth="1"/>
    <col min="5" max="5" width="3.6640625" style="33" customWidth="1"/>
    <col min="6" max="6" width="9.109375" style="33"/>
    <col min="7" max="7" width="10.44140625" bestFit="1" customWidth="1"/>
    <col min="8" max="8" width="3.6640625" customWidth="1"/>
    <col min="9" max="9" width="15.5546875" bestFit="1" customWidth="1"/>
    <col min="10" max="10" width="12.33203125" bestFit="1" customWidth="1"/>
  </cols>
  <sheetData>
    <row r="1" spans="1:10" ht="13.8" x14ac:dyDescent="0.25">
      <c r="A1" s="35"/>
      <c r="B1" s="35"/>
      <c r="C1" s="35"/>
      <c r="D1" s="35"/>
      <c r="E1" s="35"/>
      <c r="F1" s="35"/>
      <c r="G1" s="35"/>
      <c r="H1" s="35"/>
      <c r="I1" s="438" t="s">
        <v>812</v>
      </c>
      <c r="J1" s="438"/>
    </row>
    <row r="2" spans="1:10" ht="13.8" x14ac:dyDescent="0.25">
      <c r="A2" s="35"/>
      <c r="B2" s="35"/>
      <c r="C2" s="35"/>
      <c r="D2" s="35"/>
      <c r="E2" s="35"/>
      <c r="F2" s="35"/>
      <c r="G2" s="35"/>
      <c r="H2" s="35"/>
      <c r="I2" s="199" t="s">
        <v>709</v>
      </c>
      <c r="J2" s="27"/>
    </row>
    <row r="3" spans="1:10" x14ac:dyDescent="0.25">
      <c r="A3" s="35"/>
      <c r="B3" s="60"/>
      <c r="C3" s="60"/>
      <c r="D3" s="35"/>
      <c r="E3" s="35"/>
      <c r="F3" s="35"/>
      <c r="G3" s="35"/>
      <c r="H3" s="35"/>
      <c r="I3" s="456" t="str">
        <f>FF1_Year</f>
        <v>Year Ending 12/31/2014</v>
      </c>
      <c r="J3" s="457"/>
    </row>
    <row r="4" spans="1:10" x14ac:dyDescent="0.25">
      <c r="A4" s="35"/>
      <c r="B4" s="60"/>
      <c r="C4" s="60"/>
      <c r="D4" s="35"/>
      <c r="E4" s="35"/>
      <c r="F4" s="35"/>
      <c r="G4" s="35"/>
      <c r="H4" s="35"/>
      <c r="I4" s="89"/>
      <c r="J4" s="89"/>
    </row>
    <row r="5" spans="1:10" x14ac:dyDescent="0.25">
      <c r="A5" s="461" t="s">
        <v>826</v>
      </c>
      <c r="B5" s="462"/>
      <c r="C5" s="462"/>
      <c r="D5" s="462"/>
      <c r="E5" s="462"/>
      <c r="F5" s="462"/>
      <c r="G5" s="462"/>
      <c r="H5" s="462"/>
      <c r="I5" s="462"/>
      <c r="J5" s="89"/>
    </row>
    <row r="6" spans="1:10" x14ac:dyDescent="0.25">
      <c r="A6" s="461" t="s">
        <v>363</v>
      </c>
      <c r="B6" s="462"/>
      <c r="C6" s="462"/>
      <c r="D6" s="462"/>
      <c r="E6" s="462"/>
      <c r="F6" s="462"/>
      <c r="G6" s="462"/>
      <c r="H6" s="462"/>
      <c r="I6" s="462"/>
      <c r="J6" s="89"/>
    </row>
    <row r="7" spans="1:10" x14ac:dyDescent="0.25">
      <c r="A7" s="35"/>
      <c r="B7" s="60"/>
      <c r="C7" s="60"/>
      <c r="D7" s="35"/>
      <c r="E7" s="35"/>
      <c r="F7" s="35"/>
      <c r="G7" s="35"/>
      <c r="H7" s="35"/>
      <c r="I7" s="35"/>
      <c r="J7" s="35"/>
    </row>
    <row r="8" spans="1:10" x14ac:dyDescent="0.25">
      <c r="A8" s="61"/>
      <c r="B8" s="62"/>
      <c r="C8" s="62"/>
      <c r="D8" s="62"/>
      <c r="E8" s="63"/>
      <c r="F8" s="63"/>
      <c r="G8" s="63"/>
      <c r="H8" s="63"/>
      <c r="I8" s="63"/>
      <c r="J8" s="63"/>
    </row>
    <row r="9" spans="1:10" x14ac:dyDescent="0.25">
      <c r="A9" s="61"/>
      <c r="B9" s="62"/>
      <c r="C9" s="62"/>
      <c r="D9" s="81" t="s">
        <v>216</v>
      </c>
      <c r="E9" s="63"/>
      <c r="F9" s="64" t="s">
        <v>23</v>
      </c>
      <c r="G9" s="64" t="s">
        <v>217</v>
      </c>
      <c r="H9" s="64"/>
      <c r="I9" s="64" t="s">
        <v>218</v>
      </c>
      <c r="J9" s="63"/>
    </row>
    <row r="10" spans="1:10" x14ac:dyDescent="0.25">
      <c r="A10" s="61" t="s">
        <v>219</v>
      </c>
      <c r="B10" s="61" t="s">
        <v>3</v>
      </c>
      <c r="C10" s="65"/>
      <c r="D10" s="380" t="str">
        <f>"Tax at 12/31/"&amp;YR</f>
        <v>Tax at 12/31/2014</v>
      </c>
      <c r="E10" s="35"/>
      <c r="F10" s="35"/>
      <c r="G10" s="35"/>
      <c r="H10" s="35"/>
      <c r="I10" s="35"/>
      <c r="J10" s="35"/>
    </row>
    <row r="11" spans="1:10" x14ac:dyDescent="0.25">
      <c r="A11" s="61"/>
      <c r="B11" s="61"/>
      <c r="C11" s="65"/>
      <c r="D11" s="380"/>
      <c r="E11" s="35"/>
      <c r="F11" s="35"/>
      <c r="G11" s="35"/>
      <c r="H11" s="35"/>
      <c r="I11" s="35"/>
      <c r="J11" s="35"/>
    </row>
    <row r="12" spans="1:10" x14ac:dyDescent="0.25">
      <c r="A12" s="190">
        <v>281</v>
      </c>
      <c r="B12" s="42" t="s">
        <v>1277</v>
      </c>
      <c r="C12" s="65"/>
      <c r="D12" s="42">
        <v>-3757590</v>
      </c>
      <c r="E12" s="42"/>
      <c r="F12" s="42" t="s">
        <v>222</v>
      </c>
      <c r="G12" s="167">
        <f>VLOOKUP(F12,ALLOCATORS,2,FALSE)</f>
        <v>0</v>
      </c>
      <c r="H12" s="138"/>
      <c r="I12" s="42">
        <f>D12*G12</f>
        <v>0</v>
      </c>
      <c r="J12" s="35"/>
    </row>
    <row r="13" spans="1:10" ht="13.8" thickBot="1" x14ac:dyDescent="0.3">
      <c r="A13" s="66"/>
      <c r="B13" s="263" t="s">
        <v>790</v>
      </c>
      <c r="C13" s="61"/>
      <c r="D13" s="67">
        <f>SUM(D12)</f>
        <v>-3757590</v>
      </c>
      <c r="E13" s="35"/>
      <c r="F13" s="35"/>
      <c r="G13" s="46"/>
      <c r="H13" s="35"/>
      <c r="I13" s="67">
        <f>SUM(I12)</f>
        <v>0</v>
      </c>
      <c r="J13" s="35"/>
    </row>
    <row r="14" spans="1:10" ht="13.8" thickTop="1" x14ac:dyDescent="0.25">
      <c r="A14" s="66"/>
      <c r="B14" s="35"/>
      <c r="C14" s="65"/>
      <c r="D14" s="35"/>
      <c r="E14" s="35"/>
      <c r="F14" s="35"/>
      <c r="G14" s="46"/>
      <c r="H14" s="35"/>
      <c r="I14" s="35"/>
      <c r="J14" s="35"/>
    </row>
    <row r="15" spans="1:10" x14ac:dyDescent="0.25">
      <c r="A15" s="190">
        <v>282</v>
      </c>
      <c r="B15" s="42" t="s">
        <v>1278</v>
      </c>
      <c r="C15" s="65"/>
      <c r="D15" s="42">
        <v>-1573724949</v>
      </c>
      <c r="E15" s="42"/>
      <c r="F15" s="42" t="s">
        <v>37</v>
      </c>
      <c r="G15" s="167">
        <f t="shared" ref="G15:G20" si="0">VLOOKUP(F15,ALLOCATORS,2,FALSE)</f>
        <v>0.20921659531438735</v>
      </c>
      <c r="H15" s="138"/>
      <c r="I15" s="42">
        <f t="shared" ref="I15:I20" si="1">D15*G15</f>
        <v>-329249375.79108787</v>
      </c>
      <c r="J15" s="35"/>
    </row>
    <row r="16" spans="1:10" x14ac:dyDescent="0.25">
      <c r="A16" s="190">
        <v>282</v>
      </c>
      <c r="B16" s="42" t="s">
        <v>1279</v>
      </c>
      <c r="C16" s="65"/>
      <c r="D16" s="42">
        <v>0</v>
      </c>
      <c r="E16" s="42"/>
      <c r="F16" s="42" t="s">
        <v>220</v>
      </c>
      <c r="G16" s="167">
        <f t="shared" si="0"/>
        <v>0</v>
      </c>
      <c r="H16" s="138"/>
      <c r="I16" s="42">
        <f t="shared" si="1"/>
        <v>0</v>
      </c>
      <c r="J16" s="35"/>
    </row>
    <row r="17" spans="1:10" x14ac:dyDescent="0.25">
      <c r="A17" s="190">
        <v>282</v>
      </c>
      <c r="B17" s="42" t="s">
        <v>1280</v>
      </c>
      <c r="C17" s="65"/>
      <c r="D17" s="42">
        <v>0</v>
      </c>
      <c r="E17" s="42"/>
      <c r="F17" s="42" t="s">
        <v>222</v>
      </c>
      <c r="G17" s="167">
        <f t="shared" si="0"/>
        <v>0</v>
      </c>
      <c r="H17" s="138"/>
      <c r="I17" s="42">
        <f t="shared" si="1"/>
        <v>0</v>
      </c>
      <c r="J17" s="35"/>
    </row>
    <row r="18" spans="1:10" x14ac:dyDescent="0.25">
      <c r="A18" s="190">
        <v>282</v>
      </c>
      <c r="B18" s="42" t="s">
        <v>1281</v>
      </c>
      <c r="C18" s="65"/>
      <c r="D18" s="42">
        <v>4246245</v>
      </c>
      <c r="E18" s="42"/>
      <c r="F18" s="42" t="s">
        <v>222</v>
      </c>
      <c r="G18" s="167">
        <f t="shared" si="0"/>
        <v>0</v>
      </c>
      <c r="H18" s="138"/>
      <c r="I18" s="42">
        <f t="shared" si="1"/>
        <v>0</v>
      </c>
      <c r="J18" s="35"/>
    </row>
    <row r="19" spans="1:10" x14ac:dyDescent="0.25">
      <c r="A19" s="190">
        <v>282</v>
      </c>
      <c r="B19" s="42" t="s">
        <v>1282</v>
      </c>
      <c r="C19" s="65"/>
      <c r="D19" s="42">
        <v>-42699715</v>
      </c>
      <c r="E19" s="42"/>
      <c r="F19" s="42" t="s">
        <v>222</v>
      </c>
      <c r="G19" s="167">
        <f t="shared" si="0"/>
        <v>0</v>
      </c>
      <c r="H19" s="138"/>
      <c r="I19" s="42">
        <f t="shared" si="1"/>
        <v>0</v>
      </c>
      <c r="J19" s="35"/>
    </row>
    <row r="20" spans="1:10" x14ac:dyDescent="0.25">
      <c r="A20" s="190">
        <v>282</v>
      </c>
      <c r="B20" s="42" t="s">
        <v>1283</v>
      </c>
      <c r="C20" s="65"/>
      <c r="D20" s="42">
        <v>-232105775</v>
      </c>
      <c r="E20" s="42"/>
      <c r="F20" s="42" t="s">
        <v>220</v>
      </c>
      <c r="G20" s="167">
        <f t="shared" si="0"/>
        <v>0</v>
      </c>
      <c r="H20" s="138"/>
      <c r="I20" s="42">
        <f t="shared" si="1"/>
        <v>0</v>
      </c>
    </row>
    <row r="21" spans="1:10" x14ac:dyDescent="0.25">
      <c r="A21" s="190"/>
      <c r="B21" s="42"/>
      <c r="C21" s="42"/>
      <c r="D21" s="42"/>
      <c r="E21" s="42"/>
      <c r="F21" s="35"/>
      <c r="G21" s="167"/>
      <c r="H21" s="138"/>
      <c r="I21" s="42"/>
      <c r="J21" s="35"/>
    </row>
    <row r="22" spans="1:10" ht="13.8" thickBot="1" x14ac:dyDescent="0.3">
      <c r="A22" s="66"/>
      <c r="B22" s="263" t="s">
        <v>791</v>
      </c>
      <c r="C22" s="61"/>
      <c r="D22" s="67">
        <f>SUM(D15:D21)</f>
        <v>-1844284194</v>
      </c>
      <c r="E22" s="35"/>
      <c r="F22" s="35"/>
      <c r="G22" s="46"/>
      <c r="H22" s="35"/>
      <c r="I22" s="67">
        <f>SUM(I15:I21)</f>
        <v>-329249375.79108787</v>
      </c>
      <c r="J22" s="35"/>
    </row>
    <row r="23" spans="1:10" ht="13.8" thickTop="1" x14ac:dyDescent="0.25">
      <c r="A23" s="66"/>
      <c r="B23" s="35"/>
      <c r="C23" s="35"/>
      <c r="D23" s="35"/>
      <c r="E23" s="35"/>
      <c r="F23" s="35"/>
      <c r="G23" s="46"/>
      <c r="H23" s="35"/>
      <c r="I23" s="35"/>
    </row>
    <row r="24" spans="1:10" x14ac:dyDescent="0.25">
      <c r="A24" s="190">
        <v>283</v>
      </c>
      <c r="B24" s="42" t="s">
        <v>1287</v>
      </c>
      <c r="C24" s="42"/>
      <c r="D24" s="42">
        <v>19254875</v>
      </c>
      <c r="E24" s="42"/>
      <c r="F24" s="42" t="s">
        <v>220</v>
      </c>
      <c r="G24" s="167">
        <f t="shared" ref="G24:G43" si="2">VLOOKUP(F24,ALLOCATORS,2,FALSE)</f>
        <v>0</v>
      </c>
      <c r="H24" s="138"/>
      <c r="I24" s="42">
        <f t="shared" ref="I24:I43" si="3">D24*G24</f>
        <v>0</v>
      </c>
    </row>
    <row r="25" spans="1:10" x14ac:dyDescent="0.25">
      <c r="A25" s="190">
        <v>283</v>
      </c>
      <c r="B25" s="42" t="s">
        <v>1288</v>
      </c>
      <c r="C25" s="42"/>
      <c r="D25" s="42">
        <v>-11940383</v>
      </c>
      <c r="E25" s="42"/>
      <c r="F25" s="42" t="s">
        <v>220</v>
      </c>
      <c r="G25" s="167">
        <f t="shared" si="2"/>
        <v>0</v>
      </c>
      <c r="H25" s="138"/>
      <c r="I25" s="42">
        <f t="shared" si="3"/>
        <v>0</v>
      </c>
    </row>
    <row r="26" spans="1:10" x14ac:dyDescent="0.25">
      <c r="A26" s="190">
        <v>283</v>
      </c>
      <c r="B26" s="42" t="s">
        <v>1289</v>
      </c>
      <c r="C26" s="42"/>
      <c r="D26" s="42">
        <v>-309590706</v>
      </c>
      <c r="E26" s="42"/>
      <c r="F26" s="42" t="s">
        <v>222</v>
      </c>
      <c r="G26" s="167">
        <f t="shared" si="2"/>
        <v>0</v>
      </c>
      <c r="H26" s="138"/>
      <c r="I26" s="42">
        <f t="shared" si="3"/>
        <v>0</v>
      </c>
    </row>
    <row r="27" spans="1:10" x14ac:dyDescent="0.25">
      <c r="A27" s="190">
        <v>283</v>
      </c>
      <c r="B27" s="42" t="s">
        <v>1290</v>
      </c>
      <c r="C27" s="42"/>
      <c r="D27" s="42">
        <v>0</v>
      </c>
      <c r="E27" s="42"/>
      <c r="F27" s="42" t="s">
        <v>222</v>
      </c>
      <c r="G27" s="167">
        <f t="shared" si="2"/>
        <v>0</v>
      </c>
      <c r="H27" s="138"/>
      <c r="I27" s="42">
        <f t="shared" si="3"/>
        <v>0</v>
      </c>
    </row>
    <row r="28" spans="1:10" x14ac:dyDescent="0.25">
      <c r="A28" s="190">
        <v>283</v>
      </c>
      <c r="B28" s="42" t="s">
        <v>1291</v>
      </c>
      <c r="C28" s="42"/>
      <c r="D28" s="42">
        <v>-156798535</v>
      </c>
      <c r="E28" s="42"/>
      <c r="F28" s="42" t="s">
        <v>221</v>
      </c>
      <c r="G28" s="167">
        <f t="shared" si="2"/>
        <v>5.301789141664983E-2</v>
      </c>
      <c r="H28" s="138"/>
      <c r="I28" s="42">
        <f t="shared" si="3"/>
        <v>-8313127.7029197682</v>
      </c>
    </row>
    <row r="29" spans="1:10" x14ac:dyDescent="0.25">
      <c r="A29" s="190">
        <v>283</v>
      </c>
      <c r="B29" s="42" t="s">
        <v>1294</v>
      </c>
      <c r="C29" s="42"/>
      <c r="D29" s="42">
        <v>-93774099</v>
      </c>
      <c r="E29" s="42"/>
      <c r="F29" s="42" t="s">
        <v>220</v>
      </c>
      <c r="G29" s="167">
        <f t="shared" si="2"/>
        <v>0</v>
      </c>
      <c r="H29" s="138"/>
      <c r="I29" s="42">
        <f t="shared" si="3"/>
        <v>0</v>
      </c>
    </row>
    <row r="30" spans="1:10" x14ac:dyDescent="0.25">
      <c r="A30" s="190">
        <v>283</v>
      </c>
      <c r="B30" s="42" t="s">
        <v>1296</v>
      </c>
      <c r="C30" s="42"/>
      <c r="D30" s="42">
        <v>-4816578</v>
      </c>
      <c r="E30" s="42"/>
      <c r="F30" s="42" t="s">
        <v>37</v>
      </c>
      <c r="G30" s="167">
        <f t="shared" si="2"/>
        <v>0.20921659531438735</v>
      </c>
      <c r="H30" s="138"/>
      <c r="I30" s="42">
        <f t="shared" si="3"/>
        <v>-1007708.0502261812</v>
      </c>
    </row>
    <row r="31" spans="1:10" x14ac:dyDescent="0.25">
      <c r="A31" s="190">
        <v>283</v>
      </c>
      <c r="B31" s="42" t="s">
        <v>1297</v>
      </c>
      <c r="C31" s="42"/>
      <c r="D31" s="42">
        <v>-92457805</v>
      </c>
      <c r="E31" s="42"/>
      <c r="F31" s="42" t="s">
        <v>224</v>
      </c>
      <c r="G31" s="167">
        <f t="shared" si="2"/>
        <v>0</v>
      </c>
      <c r="H31" s="138"/>
      <c r="I31" s="42">
        <f t="shared" si="3"/>
        <v>0</v>
      </c>
    </row>
    <row r="32" spans="1:10" x14ac:dyDescent="0.25">
      <c r="A32" s="190">
        <v>283</v>
      </c>
      <c r="B32" s="42" t="s">
        <v>1298</v>
      </c>
      <c r="C32" s="42"/>
      <c r="D32" s="42">
        <v>-730884</v>
      </c>
      <c r="E32" s="42"/>
      <c r="F32" s="42" t="s">
        <v>224</v>
      </c>
      <c r="G32" s="167">
        <f t="shared" si="2"/>
        <v>0</v>
      </c>
      <c r="H32" s="138"/>
      <c r="I32" s="42">
        <f t="shared" si="3"/>
        <v>0</v>
      </c>
    </row>
    <row r="33" spans="1:9" x14ac:dyDescent="0.25">
      <c r="A33" s="190">
        <v>283</v>
      </c>
      <c r="B33" s="42" t="s">
        <v>1300</v>
      </c>
      <c r="C33" s="42"/>
      <c r="D33" s="42">
        <v>-35868377</v>
      </c>
      <c r="E33" s="42"/>
      <c r="F33" s="42" t="s">
        <v>222</v>
      </c>
      <c r="G33" s="167">
        <f t="shared" si="2"/>
        <v>0</v>
      </c>
      <c r="H33" s="138"/>
      <c r="I33" s="42">
        <f t="shared" si="3"/>
        <v>0</v>
      </c>
    </row>
    <row r="34" spans="1:9" x14ac:dyDescent="0.25">
      <c r="A34" s="190">
        <v>283</v>
      </c>
      <c r="B34" s="42" t="s">
        <v>1302</v>
      </c>
      <c r="C34" s="42"/>
      <c r="D34" s="42">
        <v>1153</v>
      </c>
      <c r="E34" s="42"/>
      <c r="F34" s="42" t="s">
        <v>37</v>
      </c>
      <c r="G34" s="167">
        <f t="shared" si="2"/>
        <v>0.20921659531438735</v>
      </c>
      <c r="H34" s="138"/>
      <c r="I34" s="42">
        <f t="shared" si="3"/>
        <v>241.22673439748863</v>
      </c>
    </row>
    <row r="35" spans="1:9" x14ac:dyDescent="0.25">
      <c r="A35" s="190">
        <v>283</v>
      </c>
      <c r="B35" s="42" t="s">
        <v>1316</v>
      </c>
      <c r="C35" s="42"/>
      <c r="D35" s="42">
        <v>394661</v>
      </c>
      <c r="E35" s="42"/>
      <c r="F35" s="42" t="s">
        <v>37</v>
      </c>
      <c r="G35" s="167">
        <f t="shared" si="2"/>
        <v>0.20921659531438735</v>
      </c>
      <c r="H35" s="138"/>
      <c r="I35" s="42">
        <f t="shared" si="3"/>
        <v>82569.630723371432</v>
      </c>
    </row>
    <row r="36" spans="1:9" x14ac:dyDescent="0.25">
      <c r="A36" s="190">
        <v>283</v>
      </c>
      <c r="B36" s="42" t="s">
        <v>1317</v>
      </c>
      <c r="C36" s="42"/>
      <c r="D36" s="42">
        <v>-114619</v>
      </c>
      <c r="E36" s="42"/>
      <c r="F36" s="42" t="s">
        <v>222</v>
      </c>
      <c r="G36" s="167">
        <f t="shared" si="2"/>
        <v>0</v>
      </c>
      <c r="H36" s="138"/>
      <c r="I36" s="42">
        <f t="shared" si="3"/>
        <v>0</v>
      </c>
    </row>
    <row r="37" spans="1:9" x14ac:dyDescent="0.25">
      <c r="A37" s="190">
        <v>283</v>
      </c>
      <c r="B37" s="42" t="s">
        <v>1318</v>
      </c>
      <c r="C37" s="42"/>
      <c r="D37" s="42">
        <v>-192399</v>
      </c>
      <c r="E37" s="42"/>
      <c r="F37" s="42" t="s">
        <v>222</v>
      </c>
      <c r="G37" s="167">
        <f t="shared" si="2"/>
        <v>0</v>
      </c>
      <c r="H37" s="138"/>
      <c r="I37" s="42">
        <f t="shared" si="3"/>
        <v>0</v>
      </c>
    </row>
    <row r="38" spans="1:9" x14ac:dyDescent="0.25">
      <c r="A38" s="190">
        <v>283</v>
      </c>
      <c r="B38" s="42" t="s">
        <v>1319</v>
      </c>
      <c r="C38" s="42"/>
      <c r="D38" s="42">
        <v>-9616015</v>
      </c>
      <c r="E38" s="42"/>
      <c r="F38" s="42" t="s">
        <v>221</v>
      </c>
      <c r="G38" s="167">
        <f t="shared" si="2"/>
        <v>5.301789141664983E-2</v>
      </c>
      <c r="H38" s="138"/>
      <c r="I38" s="42">
        <f t="shared" si="3"/>
        <v>-509820.839130876</v>
      </c>
    </row>
    <row r="39" spans="1:9" x14ac:dyDescent="0.25">
      <c r="A39" s="190">
        <v>283</v>
      </c>
      <c r="B39" s="42" t="s">
        <v>1320</v>
      </c>
      <c r="C39" s="42"/>
      <c r="D39" s="42">
        <v>-10239761</v>
      </c>
      <c r="E39" s="42"/>
      <c r="F39" s="42" t="s">
        <v>221</v>
      </c>
      <c r="G39" s="167">
        <f t="shared" si="2"/>
        <v>5.301789141664983E-2</v>
      </c>
      <c r="H39" s="138"/>
      <c r="I39" s="42">
        <f t="shared" si="3"/>
        <v>-542890.53683044564</v>
      </c>
    </row>
    <row r="40" spans="1:9" x14ac:dyDescent="0.25">
      <c r="A40" s="190">
        <v>283</v>
      </c>
      <c r="B40" s="42" t="s">
        <v>1321</v>
      </c>
      <c r="C40" s="42"/>
      <c r="D40" s="42">
        <v>23267735</v>
      </c>
      <c r="E40" s="42"/>
      <c r="F40" s="42" t="s">
        <v>221</v>
      </c>
      <c r="G40" s="167">
        <f t="shared" si="2"/>
        <v>5.301789141664983E-2</v>
      </c>
      <c r="H40" s="138"/>
      <c r="I40" s="42">
        <f t="shared" si="3"/>
        <v>1233606.2477413828</v>
      </c>
    </row>
    <row r="41" spans="1:9" x14ac:dyDescent="0.25">
      <c r="A41" s="190">
        <v>283</v>
      </c>
      <c r="B41" s="42" t="s">
        <v>1322</v>
      </c>
      <c r="C41" s="42"/>
      <c r="D41" s="42">
        <v>3859149</v>
      </c>
      <c r="E41" s="42"/>
      <c r="F41" s="42" t="s">
        <v>222</v>
      </c>
      <c r="G41" s="167">
        <f t="shared" si="2"/>
        <v>0</v>
      </c>
      <c r="H41" s="138"/>
      <c r="I41" s="42">
        <f t="shared" si="3"/>
        <v>0</v>
      </c>
    </row>
    <row r="42" spans="1:9" x14ac:dyDescent="0.25">
      <c r="A42" s="190">
        <v>283</v>
      </c>
      <c r="B42" s="42" t="s">
        <v>1323</v>
      </c>
      <c r="C42" s="42"/>
      <c r="D42" s="42">
        <v>-7945125</v>
      </c>
      <c r="E42" s="42"/>
      <c r="F42" s="42" t="s">
        <v>222</v>
      </c>
      <c r="G42" s="167">
        <f t="shared" si="2"/>
        <v>0</v>
      </c>
      <c r="H42" s="138"/>
      <c r="I42" s="42">
        <f t="shared" si="3"/>
        <v>0</v>
      </c>
    </row>
    <row r="43" spans="1:9" x14ac:dyDescent="0.25">
      <c r="A43" s="190">
        <v>283</v>
      </c>
      <c r="B43" s="42" t="s">
        <v>1324</v>
      </c>
      <c r="C43" s="42"/>
      <c r="D43" s="42">
        <v>14611276</v>
      </c>
      <c r="E43" s="42"/>
      <c r="F43" s="42" t="s">
        <v>221</v>
      </c>
      <c r="G43" s="167">
        <f t="shared" si="2"/>
        <v>5.301789141664983E-2</v>
      </c>
      <c r="H43" s="138"/>
      <c r="I43" s="42">
        <f t="shared" si="3"/>
        <v>774659.04442670161</v>
      </c>
    </row>
    <row r="44" spans="1:9" x14ac:dyDescent="0.25">
      <c r="A44" s="190">
        <v>283</v>
      </c>
      <c r="B44" s="42" t="s">
        <v>1074</v>
      </c>
      <c r="C44" s="42"/>
      <c r="D44" s="42">
        <v>3</v>
      </c>
      <c r="E44" s="42"/>
      <c r="F44" s="42" t="s">
        <v>37</v>
      </c>
      <c r="G44" s="167">
        <f t="shared" ref="G44" si="4">VLOOKUP(F44,ALLOCATORS,2,FALSE)</f>
        <v>0.20921659531438735</v>
      </c>
      <c r="H44" s="138"/>
      <c r="I44" s="42">
        <f t="shared" ref="I44" si="5">D44*G44</f>
        <v>0.62764978594316201</v>
      </c>
    </row>
    <row r="45" spans="1:9" hidden="1" x14ac:dyDescent="0.25">
      <c r="A45" s="190"/>
      <c r="B45" s="42"/>
      <c r="C45" s="42"/>
      <c r="D45" s="42"/>
      <c r="E45" s="42"/>
      <c r="F45" s="42"/>
      <c r="G45" s="167"/>
      <c r="H45" s="138"/>
      <c r="I45" s="42"/>
    </row>
    <row r="46" spans="1:9" ht="13.8" thickBot="1" x14ac:dyDescent="0.3">
      <c r="A46" s="66"/>
      <c r="B46" s="263" t="s">
        <v>792</v>
      </c>
      <c r="C46" s="61"/>
      <c r="D46" s="67">
        <f>SUM(D24:D45)</f>
        <v>-672696434</v>
      </c>
      <c r="E46" s="35"/>
      <c r="F46" s="35"/>
      <c r="G46" s="46"/>
      <c r="H46" s="35"/>
      <c r="I46" s="67">
        <f>SUM(I24:I45)</f>
        <v>-8282470.3518316317</v>
      </c>
    </row>
    <row r="47" spans="1:9" ht="8.25" customHeight="1" thickTop="1" x14ac:dyDescent="0.25">
      <c r="A47" s="66"/>
      <c r="B47" s="61"/>
      <c r="C47" s="61"/>
      <c r="D47" s="68"/>
      <c r="E47" s="35"/>
      <c r="F47" s="35"/>
      <c r="G47" s="46"/>
      <c r="H47" s="35"/>
      <c r="I47" s="35"/>
    </row>
    <row r="48" spans="1:9" ht="13.8" thickBot="1" x14ac:dyDescent="0.3">
      <c r="A48" s="35"/>
      <c r="B48" s="264" t="s">
        <v>793</v>
      </c>
      <c r="C48" s="67"/>
      <c r="D48" s="67">
        <f>SUM('DEF - 5 p3 CY ADIT 190'!D86,D13,D22,D46)</f>
        <v>-2120331363</v>
      </c>
      <c r="E48" s="35"/>
      <c r="F48" s="35"/>
      <c r="G48" s="46"/>
      <c r="H48" s="35"/>
      <c r="I48" s="67">
        <f>SUM('DEF - 5 p3 CY ADIT 190'!I86,I13,I22,I46)</f>
        <v>-277144975.51391023</v>
      </c>
    </row>
    <row r="49" spans="4:7" ht="13.8" thickTop="1" x14ac:dyDescent="0.25">
      <c r="E49" s="403"/>
      <c r="F49" s="311"/>
      <c r="G49" s="15"/>
    </row>
    <row r="51" spans="4:7" x14ac:dyDescent="0.25">
      <c r="D51" s="35"/>
    </row>
  </sheetData>
  <mergeCells count="4">
    <mergeCell ref="I1:J1"/>
    <mergeCell ref="I3:J3"/>
    <mergeCell ref="A5:I5"/>
    <mergeCell ref="A6:I6"/>
  </mergeCells>
  <phoneticPr fontId="16" type="noConversion"/>
  <pageMargins left="0.5" right="0.5" top="0.5" bottom="0.5" header="0.5" footer="0.5"/>
  <pageSetup scale="74" fitToHeight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O32"/>
  <sheetViews>
    <sheetView workbookViewId="0">
      <selection activeCell="G24" sqref="G24"/>
    </sheetView>
  </sheetViews>
  <sheetFormatPr defaultRowHeight="13.2" x14ac:dyDescent="0.25"/>
  <cols>
    <col min="1" max="1" width="5.6640625" customWidth="1"/>
    <col min="2" max="2" width="8.109375" bestFit="1" customWidth="1"/>
    <col min="3" max="3" width="2.109375" customWidth="1"/>
    <col min="4" max="4" width="32.6640625" customWidth="1"/>
    <col min="5" max="5" width="11.6640625" bestFit="1" customWidth="1"/>
    <col min="6" max="6" width="1.44140625" customWidth="1"/>
    <col min="7" max="7" width="12.33203125" bestFit="1" customWidth="1"/>
    <col min="8" max="8" width="1.44140625" customWidth="1"/>
    <col min="9" max="9" width="11.6640625" bestFit="1" customWidth="1"/>
    <col min="10" max="10" width="1.44140625" customWidth="1"/>
    <col min="11" max="11" width="9" bestFit="1" customWidth="1"/>
    <col min="12" max="12" width="8.109375" bestFit="1" customWidth="1"/>
    <col min="13" max="13" width="1.44140625" customWidth="1"/>
    <col min="14" max="14" width="14.5546875" customWidth="1"/>
    <col min="15" max="15" width="6.6640625" customWidth="1"/>
    <col min="18" max="18" width="29.5546875" customWidth="1"/>
  </cols>
  <sheetData>
    <row r="1" spans="1:15" ht="15.6" x14ac:dyDescent="0.3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463" t="s">
        <v>823</v>
      </c>
      <c r="O1" s="463"/>
    </row>
    <row r="2" spans="1:15" ht="15.6" x14ac:dyDescent="0.3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51" t="s">
        <v>431</v>
      </c>
      <c r="O2" s="151"/>
    </row>
    <row r="3" spans="1:15" ht="14.4" x14ac:dyDescent="0.3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464" t="str">
        <f>"Year Ending 12/31/"&amp;YR</f>
        <v>Year Ending 12/31/2014</v>
      </c>
      <c r="O3" s="464"/>
    </row>
    <row r="4" spans="1:15" x14ac:dyDescent="0.2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x14ac:dyDescent="0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4.4" x14ac:dyDescent="0.3">
      <c r="A6" s="465" t="s">
        <v>826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</row>
    <row r="7" spans="1:15" ht="14.4" x14ac:dyDescent="0.3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15" ht="14.4" x14ac:dyDescent="0.3">
      <c r="A8" s="466" t="s">
        <v>465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</row>
    <row r="9" spans="1:15" ht="14.4" x14ac:dyDescent="0.3">
      <c r="A9" s="467"/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</row>
    <row r="10" spans="1:15" ht="14.4" x14ac:dyDescent="0.3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</row>
    <row r="11" spans="1:15" ht="14.4" x14ac:dyDescent="0.3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</row>
    <row r="12" spans="1:15" ht="28.8" x14ac:dyDescent="0.3">
      <c r="A12" s="156"/>
      <c r="B12" s="158" t="s">
        <v>219</v>
      </c>
      <c r="C12" s="158"/>
      <c r="D12" s="159" t="s">
        <v>456</v>
      </c>
      <c r="E12" s="158" t="s">
        <v>234</v>
      </c>
      <c r="F12" s="158"/>
      <c r="G12" s="158" t="s">
        <v>457</v>
      </c>
      <c r="H12" s="160"/>
      <c r="I12" s="158" t="s">
        <v>240</v>
      </c>
      <c r="J12" s="159"/>
      <c r="K12" s="159" t="s">
        <v>23</v>
      </c>
      <c r="L12" s="159" t="s">
        <v>466</v>
      </c>
      <c r="M12" s="159"/>
      <c r="N12" s="158" t="s">
        <v>218</v>
      </c>
      <c r="O12" s="161"/>
    </row>
    <row r="13" spans="1:15" ht="14.4" x14ac:dyDescent="0.3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O13" s="156"/>
    </row>
    <row r="14" spans="1:15" ht="14.4" x14ac:dyDescent="0.3">
      <c r="A14" s="156"/>
      <c r="B14" s="156"/>
      <c r="C14" s="156"/>
      <c r="D14" s="162" t="s">
        <v>467</v>
      </c>
      <c r="E14" s="156"/>
      <c r="F14" s="156"/>
      <c r="G14" s="156"/>
      <c r="H14" s="156"/>
      <c r="I14" s="156"/>
      <c r="J14" s="156"/>
      <c r="K14" s="156"/>
      <c r="L14" s="156"/>
      <c r="M14" s="156"/>
      <c r="O14" s="156"/>
    </row>
    <row r="15" spans="1:15" ht="14.4" x14ac:dyDescent="0.3">
      <c r="A15" s="156"/>
      <c r="B15" s="370" t="s">
        <v>1079</v>
      </c>
      <c r="C15" s="138"/>
      <c r="D15" s="173" t="s">
        <v>692</v>
      </c>
      <c r="E15" s="174">
        <v>214478674</v>
      </c>
      <c r="F15" s="406"/>
      <c r="G15" s="174">
        <v>125091593.48575798</v>
      </c>
      <c r="H15" s="138"/>
      <c r="I15" s="174">
        <f>(E15+G15)/2</f>
        <v>169785133.74287897</v>
      </c>
      <c r="J15" s="138"/>
      <c r="K15" s="56" t="s">
        <v>221</v>
      </c>
      <c r="L15" s="167">
        <f t="shared" ref="L15:L24" si="0">VLOOKUP(K15,ALLOCATORS,2,FALSE)</f>
        <v>5.301789141664983E-2</v>
      </c>
      <c r="M15" s="138"/>
      <c r="N15" s="174">
        <f>I15*L15</f>
        <v>9001649.7849413268</v>
      </c>
      <c r="O15" s="156"/>
    </row>
    <row r="16" spans="1:15" ht="14.4" x14ac:dyDescent="0.3">
      <c r="A16" s="156"/>
      <c r="B16" s="370" t="s">
        <v>1079</v>
      </c>
      <c r="C16" s="138"/>
      <c r="D16" s="173" t="s">
        <v>693</v>
      </c>
      <c r="E16" s="174">
        <v>-32340226</v>
      </c>
      <c r="F16" s="406"/>
      <c r="G16" s="174">
        <v>-33740583.920157999</v>
      </c>
      <c r="H16" s="138"/>
      <c r="I16" s="174">
        <f t="shared" ref="I16:I24" si="1">(E16+G16)/2</f>
        <v>-33040404.960078999</v>
      </c>
      <c r="J16" s="138"/>
      <c r="K16" s="56" t="s">
        <v>221</v>
      </c>
      <c r="L16" s="167">
        <f t="shared" si="0"/>
        <v>5.301789141664983E-2</v>
      </c>
      <c r="M16" s="138"/>
      <c r="N16" s="174">
        <f t="shared" ref="N16:N24" si="2">I16*L16</f>
        <v>-1751732.6025356068</v>
      </c>
      <c r="O16" s="156"/>
    </row>
    <row r="17" spans="1:15" ht="14.4" x14ac:dyDescent="0.3">
      <c r="A17" s="156"/>
      <c r="B17" s="370" t="s">
        <v>1079</v>
      </c>
      <c r="C17" s="138"/>
      <c r="D17" s="173" t="s">
        <v>694</v>
      </c>
      <c r="E17" s="174">
        <v>70024599</v>
      </c>
      <c r="F17" s="406"/>
      <c r="G17" s="174">
        <v>64813317.854400001</v>
      </c>
      <c r="H17" s="138"/>
      <c r="I17" s="174">
        <f t="shared" si="1"/>
        <v>67418958.427200004</v>
      </c>
      <c r="J17" s="138"/>
      <c r="K17" s="56" t="s">
        <v>221</v>
      </c>
      <c r="L17" s="167">
        <f t="shared" si="0"/>
        <v>5.301789141664983E-2</v>
      </c>
      <c r="M17" s="138"/>
      <c r="N17" s="174">
        <f t="shared" si="2"/>
        <v>3574411.0173169188</v>
      </c>
      <c r="O17" s="156"/>
    </row>
    <row r="18" spans="1:15" ht="14.4" x14ac:dyDescent="0.3">
      <c r="A18" s="156"/>
      <c r="B18" s="370" t="s">
        <v>1080</v>
      </c>
      <c r="C18" s="138"/>
      <c r="D18" s="173" t="s">
        <v>686</v>
      </c>
      <c r="E18" s="174">
        <v>90</v>
      </c>
      <c r="F18" s="406"/>
      <c r="G18" s="174">
        <v>0</v>
      </c>
      <c r="H18" s="138"/>
      <c r="I18" s="174">
        <f t="shared" si="1"/>
        <v>45</v>
      </c>
      <c r="J18" s="138"/>
      <c r="K18" s="56" t="s">
        <v>221</v>
      </c>
      <c r="L18" s="167">
        <f t="shared" si="0"/>
        <v>5.301789141664983E-2</v>
      </c>
      <c r="M18" s="138"/>
      <c r="N18" s="174">
        <f t="shared" si="2"/>
        <v>2.3858051137492424</v>
      </c>
      <c r="O18" s="156"/>
    </row>
    <row r="19" spans="1:15" ht="14.4" x14ac:dyDescent="0.3">
      <c r="A19" s="156"/>
      <c r="B19" s="370" t="s">
        <v>1080</v>
      </c>
      <c r="C19" s="138"/>
      <c r="D19" s="173" t="s">
        <v>695</v>
      </c>
      <c r="E19" s="174">
        <v>-1982626</v>
      </c>
      <c r="F19" s="406"/>
      <c r="G19" s="174">
        <v>-2689120.25</v>
      </c>
      <c r="H19" s="138"/>
      <c r="I19" s="174">
        <f t="shared" si="1"/>
        <v>-2335873.125</v>
      </c>
      <c r="J19" s="138"/>
      <c r="K19" s="56" t="s">
        <v>221</v>
      </c>
      <c r="L19" s="167">
        <f t="shared" si="0"/>
        <v>5.301789141664983E-2</v>
      </c>
      <c r="M19" s="138"/>
      <c r="N19" s="174">
        <f t="shared" si="2"/>
        <v>-123843.06770432052</v>
      </c>
      <c r="O19" s="156"/>
    </row>
    <row r="20" spans="1:15" ht="14.4" x14ac:dyDescent="0.3">
      <c r="A20" s="156"/>
      <c r="B20" s="370" t="s">
        <v>1080</v>
      </c>
      <c r="C20" s="138"/>
      <c r="D20" s="173" t="s">
        <v>687</v>
      </c>
      <c r="E20" s="174">
        <v>0</v>
      </c>
      <c r="F20" s="406"/>
      <c r="G20" s="407">
        <v>0</v>
      </c>
      <c r="H20" s="138"/>
      <c r="I20" s="174">
        <f t="shared" si="1"/>
        <v>0</v>
      </c>
      <c r="J20" s="138"/>
      <c r="K20" s="56" t="s">
        <v>221</v>
      </c>
      <c r="L20" s="167">
        <f t="shared" si="0"/>
        <v>5.301789141664983E-2</v>
      </c>
      <c r="M20" s="138"/>
      <c r="N20" s="174">
        <f t="shared" si="2"/>
        <v>0</v>
      </c>
      <c r="O20" s="156"/>
    </row>
    <row r="21" spans="1:15" ht="14.4" x14ac:dyDescent="0.3">
      <c r="A21" s="156"/>
      <c r="B21" s="370" t="s">
        <v>1080</v>
      </c>
      <c r="C21" s="138"/>
      <c r="D21" s="173" t="s">
        <v>696</v>
      </c>
      <c r="E21" s="174">
        <v>6864126</v>
      </c>
      <c r="F21" s="406"/>
      <c r="G21" s="174">
        <v>5825285</v>
      </c>
      <c r="H21" s="138"/>
      <c r="I21" s="174">
        <f t="shared" si="1"/>
        <v>6344705.5</v>
      </c>
      <c r="J21" s="138"/>
      <c r="K21" s="56" t="s">
        <v>221</v>
      </c>
      <c r="L21" s="167">
        <f t="shared" si="0"/>
        <v>5.301789141664983E-2</v>
      </c>
      <c r="M21" s="138"/>
      <c r="N21" s="174">
        <f t="shared" si="2"/>
        <v>336382.90726962098</v>
      </c>
      <c r="O21" s="156"/>
    </row>
    <row r="22" spans="1:15" ht="14.4" x14ac:dyDescent="0.3">
      <c r="A22" s="156"/>
      <c r="B22" s="370" t="s">
        <v>1081</v>
      </c>
      <c r="C22" s="173"/>
      <c r="D22" s="173" t="s">
        <v>697</v>
      </c>
      <c r="E22" s="174">
        <v>39463939.640000001</v>
      </c>
      <c r="F22" s="406"/>
      <c r="G22" s="174">
        <v>33359713.640000001</v>
      </c>
      <c r="H22" s="138"/>
      <c r="I22" s="174">
        <f t="shared" si="1"/>
        <v>36411826.640000001</v>
      </c>
      <c r="J22" s="138"/>
      <c r="K22" s="56" t="s">
        <v>221</v>
      </c>
      <c r="L22" s="167">
        <f t="shared" si="0"/>
        <v>5.301789141664983E-2</v>
      </c>
      <c r="M22" s="138"/>
      <c r="N22" s="174">
        <f t="shared" si="2"/>
        <v>1930478.2710813978</v>
      </c>
      <c r="O22" s="156"/>
    </row>
    <row r="23" spans="1:15" ht="14.4" x14ac:dyDescent="0.3">
      <c r="A23" s="156"/>
      <c r="B23" s="370" t="s">
        <v>1082</v>
      </c>
      <c r="C23" s="173"/>
      <c r="D23" s="173" t="s">
        <v>698</v>
      </c>
      <c r="E23" s="174">
        <v>1023100</v>
      </c>
      <c r="F23" s="406"/>
      <c r="G23" s="174">
        <v>838500</v>
      </c>
      <c r="H23" s="138"/>
      <c r="I23" s="174">
        <f t="shared" si="1"/>
        <v>930800</v>
      </c>
      <c r="J23" s="138"/>
      <c r="K23" s="56" t="s">
        <v>221</v>
      </c>
      <c r="L23" s="167">
        <f t="shared" si="0"/>
        <v>5.301789141664983E-2</v>
      </c>
      <c r="M23" s="138"/>
      <c r="N23" s="174">
        <f t="shared" si="2"/>
        <v>49349.053330617659</v>
      </c>
      <c r="O23" s="156"/>
    </row>
    <row r="24" spans="1:15" ht="15" thickBot="1" x14ac:dyDescent="0.35">
      <c r="A24" s="156"/>
      <c r="B24" s="370" t="s">
        <v>1083</v>
      </c>
      <c r="C24" s="173"/>
      <c r="D24" s="173" t="s">
        <v>699</v>
      </c>
      <c r="E24" s="191">
        <v>5894831.6400000006</v>
      </c>
      <c r="F24" s="406"/>
      <c r="G24" s="191">
        <v>3465659.5399999898</v>
      </c>
      <c r="H24" s="138"/>
      <c r="I24" s="174">
        <f t="shared" si="1"/>
        <v>4680245.5899999952</v>
      </c>
      <c r="J24" s="138"/>
      <c r="K24" s="56" t="s">
        <v>221</v>
      </c>
      <c r="L24" s="167">
        <f t="shared" si="0"/>
        <v>5.301789141664983E-2</v>
      </c>
      <c r="M24" s="138"/>
      <c r="N24" s="191">
        <f t="shared" si="2"/>
        <v>248136.75249387397</v>
      </c>
      <c r="O24" s="156"/>
    </row>
    <row r="25" spans="1:15" ht="15" thickTop="1" x14ac:dyDescent="0.3">
      <c r="A25" s="156"/>
      <c r="B25" s="163"/>
      <c r="C25" s="163"/>
      <c r="D25" s="142" t="s">
        <v>468</v>
      </c>
      <c r="E25" s="256">
        <f>SUM(E15:E24)</f>
        <v>303426508.27999997</v>
      </c>
      <c r="F25" s="156"/>
      <c r="G25" s="256">
        <f>SUM(G15:G24)</f>
        <v>196964365.34999999</v>
      </c>
      <c r="H25" s="257"/>
      <c r="I25" s="258">
        <f>SUM(I15:I24)</f>
        <v>250195436.81499997</v>
      </c>
      <c r="J25" s="142"/>
      <c r="K25" s="142"/>
      <c r="L25" s="142"/>
      <c r="M25" s="142"/>
      <c r="N25" s="259">
        <f>SUM(N15:N24)</f>
        <v>13264834.50199894</v>
      </c>
      <c r="O25" s="156"/>
    </row>
    <row r="26" spans="1:15" ht="14.4" x14ac:dyDescent="0.3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O26" s="156"/>
    </row>
    <row r="27" spans="1:15" ht="14.4" x14ac:dyDescent="0.3">
      <c r="A27" s="156"/>
      <c r="B27" s="156"/>
      <c r="C27" s="156"/>
      <c r="D27" s="162" t="s">
        <v>469</v>
      </c>
      <c r="E27" s="164"/>
      <c r="F27" s="164"/>
      <c r="G27" s="164"/>
      <c r="H27" s="165"/>
      <c r="I27" s="165"/>
      <c r="J27" s="156"/>
      <c r="K27" s="156"/>
      <c r="L27" s="156"/>
      <c r="M27" s="156"/>
      <c r="O27" s="156"/>
    </row>
    <row r="28" spans="1:15" ht="15" thickBot="1" x14ac:dyDescent="0.35">
      <c r="A28" s="156"/>
      <c r="B28" s="156"/>
      <c r="C28" s="156"/>
      <c r="D28" s="138" t="s">
        <v>700</v>
      </c>
      <c r="E28" s="144">
        <f>-'DEF - 6  p1, FF1 Inputs '!H90</f>
        <v>-39937905.579999998</v>
      </c>
      <c r="F28" s="164"/>
      <c r="G28" s="144">
        <f>-'DEF - 6  p1, FF1 Inputs '!J90</f>
        <v>-44056177.590000004</v>
      </c>
      <c r="H28" s="138"/>
      <c r="I28" s="174">
        <f t="shared" ref="I28" si="3">(E28+G28)/2</f>
        <v>-41997041.585000001</v>
      </c>
      <c r="J28" s="138"/>
      <c r="K28" s="56" t="s">
        <v>221</v>
      </c>
      <c r="L28" s="167">
        <f>VLOOKUP(K28,ALLOCATORS,2,FALSE)</f>
        <v>5.301789141664983E-2</v>
      </c>
      <c r="M28" s="138"/>
      <c r="N28" s="191">
        <f t="shared" ref="N28" si="4">I28*L28</f>
        <v>-2226594.5905740573</v>
      </c>
      <c r="O28" s="156"/>
    </row>
    <row r="29" spans="1:15" ht="15" thickTop="1" x14ac:dyDescent="0.3">
      <c r="A29" s="156"/>
      <c r="B29" s="156"/>
      <c r="C29" s="156"/>
      <c r="D29" s="137" t="s">
        <v>470</v>
      </c>
      <c r="E29" s="256">
        <f>+E28</f>
        <v>-39937905.579999998</v>
      </c>
      <c r="F29" s="256"/>
      <c r="G29" s="256">
        <f>+G28</f>
        <v>-44056177.590000004</v>
      </c>
      <c r="H29" s="137"/>
      <c r="I29" s="258">
        <f>+I28</f>
        <v>-41997041.585000001</v>
      </c>
      <c r="J29" s="142"/>
      <c r="K29" s="142"/>
      <c r="L29" s="142"/>
      <c r="M29" s="142"/>
      <c r="N29" s="259">
        <f>+N28</f>
        <v>-2226594.5905740573</v>
      </c>
      <c r="O29" s="156"/>
    </row>
    <row r="30" spans="1:15" ht="14.4" x14ac:dyDescent="0.3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O30" s="156"/>
    </row>
    <row r="31" spans="1:15" ht="14.4" x14ac:dyDescent="0.3">
      <c r="A31" s="156"/>
      <c r="B31" s="156"/>
      <c r="C31" s="156"/>
      <c r="D31" s="137" t="s">
        <v>471</v>
      </c>
      <c r="E31" s="28">
        <f>E25+E29</f>
        <v>263488602.69999999</v>
      </c>
      <c r="F31" s="28"/>
      <c r="G31" s="28">
        <f>G25+G29</f>
        <v>152908187.75999999</v>
      </c>
      <c r="H31" s="260"/>
      <c r="I31" s="28">
        <f>I25+I29</f>
        <v>208198395.22999996</v>
      </c>
      <c r="J31" s="137"/>
      <c r="K31" s="137"/>
      <c r="L31" s="137"/>
      <c r="M31" s="137"/>
      <c r="N31" s="28">
        <f>N25+N29</f>
        <v>11038239.911424883</v>
      </c>
      <c r="O31" s="156"/>
    </row>
    <row r="32" spans="1:15" ht="14.4" x14ac:dyDescent="0.3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mergeCells count="5">
    <mergeCell ref="N1:O1"/>
    <mergeCell ref="N3:O3"/>
    <mergeCell ref="A6:O6"/>
    <mergeCell ref="A8:O8"/>
    <mergeCell ref="A9:O9"/>
  </mergeCells>
  <pageMargins left="0.5" right="0.5" top="0.5" bottom="0.5" header="0.3" footer="0.3"/>
  <pageSetup scale="76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2"/>
  <sheetViews>
    <sheetView topLeftCell="B7" zoomScale="112" zoomScaleNormal="112" workbookViewId="0">
      <pane xSplit="5" ySplit="4" topLeftCell="G38" activePane="bottomRight" state="frozen"/>
      <selection activeCell="B7" sqref="B7"/>
      <selection pane="topRight" activeCell="G7" sqref="G7"/>
      <selection pane="bottomLeft" activeCell="B11" sqref="B11"/>
      <selection pane="bottomRight" activeCell="J66" sqref="J66:J68"/>
    </sheetView>
  </sheetViews>
  <sheetFormatPr defaultRowHeight="13.2" x14ac:dyDescent="0.25"/>
  <cols>
    <col min="1" max="1" width="3.6640625" customWidth="1"/>
    <col min="2" max="2" width="7.6640625" customWidth="1"/>
    <col min="3" max="3" width="9" customWidth="1"/>
    <col min="4" max="4" width="8.109375" customWidth="1"/>
    <col min="5" max="5" width="39.44140625" customWidth="1"/>
    <col min="6" max="6" width="14.5546875" bestFit="1" customWidth="1"/>
    <col min="7" max="7" width="3.6640625" customWidth="1"/>
    <col min="8" max="8" width="14.44140625" customWidth="1"/>
    <col min="9" max="9" width="3.6640625" customWidth="1"/>
    <col min="10" max="10" width="15.88671875" customWidth="1"/>
    <col min="11" max="11" width="11.88671875" customWidth="1"/>
    <col min="12" max="12" width="10.5546875" bestFit="1" customWidth="1"/>
    <col min="13" max="13" width="13.6640625" style="33" customWidth="1"/>
    <col min="14" max="14" width="11.44140625" style="33" customWidth="1"/>
    <col min="15" max="15" width="12.88671875" style="33" customWidth="1"/>
    <col min="16" max="16" width="16.88671875" style="33" customWidth="1"/>
    <col min="17" max="18" width="12.44140625" style="33" customWidth="1"/>
    <col min="19" max="19" width="4.33203125" style="33" customWidth="1"/>
    <col min="20" max="20" width="14.44140625" style="33" customWidth="1"/>
    <col min="21" max="21" width="12.6640625" style="33" customWidth="1"/>
    <col min="22" max="22" width="16.44140625" style="33" customWidth="1"/>
    <col min="23" max="23" width="14.6640625" style="33" bestFit="1" customWidth="1"/>
    <col min="24" max="24" width="12.6640625" style="33" customWidth="1"/>
    <col min="25" max="25" width="9.109375" style="33" customWidth="1"/>
    <col min="26" max="26" width="9.109375" customWidth="1"/>
    <col min="27" max="27" width="16.5546875" bestFit="1" customWidth="1"/>
    <col min="28" max="28" width="14.44140625" customWidth="1"/>
    <col min="30" max="30" width="13.6640625" customWidth="1"/>
  </cols>
  <sheetData>
    <row r="1" spans="1:31" ht="13.8" x14ac:dyDescent="0.25">
      <c r="K1" s="29" t="s">
        <v>824</v>
      </c>
    </row>
    <row r="2" spans="1:31" ht="13.8" x14ac:dyDescent="0.25">
      <c r="K2" s="29" t="s">
        <v>357</v>
      </c>
    </row>
    <row r="3" spans="1:31" x14ac:dyDescent="0.25">
      <c r="K3" s="460" t="str">
        <f>"Year Ending 12/31/"&amp;YR</f>
        <v>Year Ending 12/31/2014</v>
      </c>
      <c r="L3" s="457"/>
    </row>
    <row r="5" spans="1:31" x14ac:dyDescent="0.25">
      <c r="A5" s="447" t="s">
        <v>826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</row>
    <row r="6" spans="1:31" x14ac:dyDescent="0.25">
      <c r="A6" s="458" t="s">
        <v>193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</row>
    <row r="8" spans="1:31" x14ac:dyDescent="0.25">
      <c r="AA8" s="468" t="s">
        <v>801</v>
      </c>
      <c r="AB8" s="469"/>
    </row>
    <row r="9" spans="1:31" ht="26.4" x14ac:dyDescent="0.25">
      <c r="B9" s="4" t="s">
        <v>0</v>
      </c>
      <c r="C9" s="4" t="s">
        <v>1</v>
      </c>
      <c r="D9" s="4" t="s">
        <v>2</v>
      </c>
      <c r="E9" s="4" t="s">
        <v>3</v>
      </c>
      <c r="F9" s="4" t="s">
        <v>4</v>
      </c>
      <c r="G9" s="4"/>
      <c r="H9" s="41" t="s">
        <v>234</v>
      </c>
      <c r="I9" s="41"/>
      <c r="J9" s="41" t="s">
        <v>236</v>
      </c>
      <c r="K9" s="41"/>
      <c r="T9" s="138" t="s">
        <v>795</v>
      </c>
      <c r="U9" s="138" t="s">
        <v>796</v>
      </c>
      <c r="V9" s="138" t="s">
        <v>797</v>
      </c>
      <c r="W9" s="138" t="s">
        <v>794</v>
      </c>
      <c r="X9" s="138" t="s">
        <v>798</v>
      </c>
      <c r="Y9" s="138" t="s">
        <v>797</v>
      </c>
      <c r="AA9" t="s">
        <v>234</v>
      </c>
      <c r="AB9" s="278" t="s">
        <v>236</v>
      </c>
      <c r="AD9" s="358" t="s">
        <v>1027</v>
      </c>
    </row>
    <row r="10" spans="1:31" ht="6" customHeight="1" x14ac:dyDescent="0.25">
      <c r="B10" s="2"/>
      <c r="C10" s="2"/>
      <c r="D10" s="2"/>
    </row>
    <row r="11" spans="1:31" x14ac:dyDescent="0.25">
      <c r="B11" s="38">
        <v>111</v>
      </c>
      <c r="C11" s="38">
        <v>57</v>
      </c>
      <c r="D11" s="38" t="s">
        <v>237</v>
      </c>
      <c r="E11" s="33" t="s">
        <v>40</v>
      </c>
      <c r="F11" s="38" t="str">
        <f>FIXED(B11,0)&amp;"."&amp;FIXED(C11,0)&amp;"."&amp;D11</f>
        <v>111.57.c&amp;d</v>
      </c>
      <c r="G11" s="38"/>
      <c r="H11" s="275">
        <f t="shared" ref="H11:H14" si="0">W11+X11</f>
        <v>46969262.999999985</v>
      </c>
      <c r="I11" s="42"/>
      <c r="J11" s="275">
        <f t="shared" ref="J11:J14" si="1">T11+U11</f>
        <v>48658805</v>
      </c>
      <c r="K11" s="137" t="s">
        <v>1038</v>
      </c>
      <c r="T11" s="276">
        <v>51889078</v>
      </c>
      <c r="U11" s="276">
        <v>-3230273</v>
      </c>
      <c r="V11" s="192" t="s">
        <v>1084</v>
      </c>
      <c r="W11" s="276">
        <v>112283149</v>
      </c>
      <c r="X11" s="276">
        <v>-65313886.000000015</v>
      </c>
      <c r="Y11" s="276"/>
      <c r="AA11" s="201">
        <v>14753158</v>
      </c>
      <c r="AB11" s="201">
        <v>17917994.180000007</v>
      </c>
      <c r="AC11" s="201"/>
      <c r="AD11" s="201">
        <f t="shared" ref="AD11:AD20" si="2">H11-AB11</f>
        <v>29051268.819999978</v>
      </c>
      <c r="AE11" s="137" t="s">
        <v>1105</v>
      </c>
    </row>
    <row r="12" spans="1:31" x14ac:dyDescent="0.25">
      <c r="B12" s="351"/>
      <c r="C12" s="351"/>
      <c r="D12" s="351"/>
      <c r="E12" s="138" t="s">
        <v>1035</v>
      </c>
      <c r="F12" s="351"/>
      <c r="G12" s="351"/>
      <c r="H12" s="275">
        <f t="shared" si="0"/>
        <v>29051268.820000023</v>
      </c>
      <c r="I12" s="42"/>
      <c r="J12" s="275">
        <f t="shared" si="1"/>
        <v>30747595</v>
      </c>
      <c r="T12" s="276">
        <v>30747595</v>
      </c>
      <c r="U12" s="276"/>
      <c r="V12" s="276"/>
      <c r="W12" s="276">
        <v>29051268.820000023</v>
      </c>
      <c r="X12" s="276"/>
      <c r="Y12" s="276"/>
      <c r="AA12" s="201"/>
      <c r="AB12" s="201"/>
      <c r="AC12" s="201"/>
      <c r="AD12" s="201"/>
    </row>
    <row r="13" spans="1:31" x14ac:dyDescent="0.25">
      <c r="B13" s="351"/>
      <c r="C13" s="351"/>
      <c r="D13" s="351"/>
      <c r="E13" s="138" t="s">
        <v>1036</v>
      </c>
      <c r="F13" s="351"/>
      <c r="G13" s="351"/>
      <c r="H13" s="275">
        <f t="shared" si="0"/>
        <v>0</v>
      </c>
      <c r="I13" s="42"/>
      <c r="J13" s="275">
        <f t="shared" si="1"/>
        <v>0</v>
      </c>
      <c r="T13" s="276">
        <v>0</v>
      </c>
      <c r="U13" s="276"/>
      <c r="V13" s="276"/>
      <c r="W13" s="276">
        <v>0</v>
      </c>
      <c r="X13" s="276"/>
      <c r="Y13" s="276"/>
      <c r="AA13" s="201"/>
      <c r="AB13" s="201"/>
      <c r="AC13" s="201"/>
      <c r="AD13" s="201"/>
    </row>
    <row r="14" spans="1:31" x14ac:dyDescent="0.25">
      <c r="B14" s="351"/>
      <c r="C14" s="351"/>
      <c r="D14" s="351"/>
      <c r="E14" s="138" t="s">
        <v>1037</v>
      </c>
      <c r="F14" s="351"/>
      <c r="G14" s="351"/>
      <c r="H14" s="275">
        <f t="shared" si="0"/>
        <v>17917993.840000007</v>
      </c>
      <c r="I14" s="42"/>
      <c r="J14" s="275">
        <f t="shared" si="1"/>
        <v>17911211</v>
      </c>
      <c r="T14" s="276">
        <v>17911211</v>
      </c>
      <c r="U14" s="276"/>
      <c r="V14" s="276"/>
      <c r="W14" s="276">
        <v>17917993.840000007</v>
      </c>
      <c r="X14" s="276"/>
      <c r="Y14" s="276"/>
      <c r="AA14" s="201"/>
      <c r="AB14" s="201"/>
      <c r="AC14" s="201"/>
      <c r="AD14" s="201"/>
    </row>
    <row r="15" spans="1:31" x14ac:dyDescent="0.25">
      <c r="B15" s="38">
        <v>111</v>
      </c>
      <c r="C15" s="38">
        <v>81</v>
      </c>
      <c r="D15" s="38" t="s">
        <v>237</v>
      </c>
      <c r="E15" s="33" t="s">
        <v>189</v>
      </c>
      <c r="F15" s="38" t="str">
        <f t="shared" ref="F15:F20" si="3">B15&amp;"."&amp;C15&amp;"."&amp;D15</f>
        <v>111.81.c&amp;d</v>
      </c>
      <c r="G15" s="38"/>
      <c r="H15" s="275">
        <f t="shared" ref="H15:H50" si="4">W15+X15</f>
        <v>10424293</v>
      </c>
      <c r="I15" s="42"/>
      <c r="J15" s="275">
        <f t="shared" ref="J15:J69" si="5">T15+U15</f>
        <v>12486268</v>
      </c>
      <c r="T15" s="276">
        <v>12486268</v>
      </c>
      <c r="U15" s="276"/>
      <c r="V15" s="276"/>
      <c r="W15" s="276">
        <v>10424293</v>
      </c>
      <c r="X15" s="276"/>
      <c r="Y15" s="276"/>
      <c r="AA15" s="201">
        <v>10424293</v>
      </c>
      <c r="AB15" s="201">
        <v>10424293</v>
      </c>
      <c r="AC15" s="201"/>
      <c r="AD15" s="201">
        <f t="shared" si="2"/>
        <v>0</v>
      </c>
    </row>
    <row r="16" spans="1:31" x14ac:dyDescent="0.25">
      <c r="B16" s="38">
        <v>112</v>
      </c>
      <c r="C16" s="38">
        <v>3</v>
      </c>
      <c r="D16" s="38" t="s">
        <v>237</v>
      </c>
      <c r="E16" s="33" t="s">
        <v>188</v>
      </c>
      <c r="F16" s="38" t="str">
        <f t="shared" si="3"/>
        <v>112.3.c&amp;d</v>
      </c>
      <c r="G16" s="38"/>
      <c r="H16" s="275">
        <f t="shared" si="4"/>
        <v>0</v>
      </c>
      <c r="I16" s="42"/>
      <c r="J16" s="275">
        <f t="shared" si="5"/>
        <v>0</v>
      </c>
      <c r="T16" s="276">
        <v>0</v>
      </c>
      <c r="U16" s="276"/>
      <c r="V16" s="276"/>
      <c r="W16" s="276">
        <v>0</v>
      </c>
      <c r="X16" s="276"/>
      <c r="Y16" s="276"/>
      <c r="AA16" s="201">
        <v>33496700</v>
      </c>
      <c r="AB16" s="201">
        <v>0</v>
      </c>
      <c r="AC16" s="201"/>
      <c r="AD16" s="201">
        <f t="shared" si="2"/>
        <v>0</v>
      </c>
    </row>
    <row r="17" spans="2:31" x14ac:dyDescent="0.25">
      <c r="B17" s="38">
        <v>112</v>
      </c>
      <c r="C17" s="38">
        <v>12</v>
      </c>
      <c r="D17" s="38" t="s">
        <v>237</v>
      </c>
      <c r="E17" s="33" t="s">
        <v>190</v>
      </c>
      <c r="F17" s="38" t="str">
        <f t="shared" si="3"/>
        <v>112.12.c&amp;d</v>
      </c>
      <c r="G17" s="38"/>
      <c r="H17" s="275">
        <f t="shared" si="4"/>
        <v>0</v>
      </c>
      <c r="I17" s="42"/>
      <c r="J17" s="275">
        <f t="shared" si="5"/>
        <v>2295088</v>
      </c>
      <c r="M17" s="138"/>
      <c r="T17" s="276">
        <v>2295088</v>
      </c>
      <c r="U17" s="276"/>
      <c r="V17" s="276"/>
      <c r="W17" s="276">
        <v>0</v>
      </c>
      <c r="X17" s="276"/>
      <c r="Y17" s="276"/>
      <c r="AA17" s="201">
        <v>0</v>
      </c>
      <c r="AB17" s="201">
        <v>0</v>
      </c>
      <c r="AC17" s="201"/>
      <c r="AD17" s="201">
        <f t="shared" si="2"/>
        <v>0</v>
      </c>
    </row>
    <row r="18" spans="2:31" x14ac:dyDescent="0.25">
      <c r="B18" s="38">
        <v>112</v>
      </c>
      <c r="C18" s="38">
        <v>16</v>
      </c>
      <c r="D18" s="38" t="s">
        <v>237</v>
      </c>
      <c r="E18" s="33" t="s">
        <v>191</v>
      </c>
      <c r="F18" s="38" t="str">
        <f t="shared" si="3"/>
        <v>112.16.c&amp;d</v>
      </c>
      <c r="G18" s="38"/>
      <c r="H18" s="275">
        <f t="shared" si="4"/>
        <v>4797115007</v>
      </c>
      <c r="I18" s="42"/>
      <c r="J18" s="275">
        <f t="shared" si="5"/>
        <v>5222186480</v>
      </c>
      <c r="T18" s="276">
        <v>5222186480</v>
      </c>
      <c r="U18" s="276"/>
      <c r="V18" s="276"/>
      <c r="W18" s="276">
        <v>4797115007</v>
      </c>
      <c r="X18" s="276"/>
      <c r="Y18" s="276"/>
      <c r="AA18" s="201">
        <v>4832441481</v>
      </c>
      <c r="AB18" s="201">
        <v>4797115007</v>
      </c>
      <c r="AC18" s="201"/>
      <c r="AD18" s="201">
        <f t="shared" si="2"/>
        <v>0</v>
      </c>
    </row>
    <row r="19" spans="2:31" x14ac:dyDescent="0.25">
      <c r="B19" s="38">
        <v>112</v>
      </c>
      <c r="C19" s="38">
        <v>24</v>
      </c>
      <c r="D19" s="38" t="s">
        <v>237</v>
      </c>
      <c r="E19" s="33" t="s">
        <v>854</v>
      </c>
      <c r="F19" s="38" t="str">
        <f t="shared" si="3"/>
        <v>112.24.c&amp;d</v>
      </c>
      <c r="G19" s="38"/>
      <c r="H19" s="275">
        <f t="shared" si="4"/>
        <v>4706995378</v>
      </c>
      <c r="I19" s="42"/>
      <c r="J19" s="275">
        <f t="shared" si="5"/>
        <v>4466861122</v>
      </c>
      <c r="T19" s="276">
        <v>4466861122</v>
      </c>
      <c r="U19" s="276"/>
      <c r="V19" s="276"/>
      <c r="W19" s="276">
        <v>4706995378</v>
      </c>
      <c r="X19" s="276"/>
      <c r="Y19" s="276"/>
      <c r="AA19" s="201">
        <v>5131230111</v>
      </c>
      <c r="AB19" s="201">
        <v>4706995378</v>
      </c>
      <c r="AC19" s="201"/>
      <c r="AD19" s="201">
        <f t="shared" si="2"/>
        <v>0</v>
      </c>
    </row>
    <row r="20" spans="2:31" x14ac:dyDescent="0.25">
      <c r="B20" s="38">
        <v>113</v>
      </c>
      <c r="C20" s="38">
        <v>61</v>
      </c>
      <c r="D20" s="38" t="s">
        <v>237</v>
      </c>
      <c r="E20" s="33" t="s">
        <v>192</v>
      </c>
      <c r="F20" s="38" t="str">
        <f t="shared" si="3"/>
        <v>113.61.c&amp;d</v>
      </c>
      <c r="G20" s="38"/>
      <c r="H20" s="275">
        <f t="shared" si="4"/>
        <v>0</v>
      </c>
      <c r="I20" s="42"/>
      <c r="J20" s="275">
        <f t="shared" si="5"/>
        <v>0</v>
      </c>
      <c r="M20" s="287" t="s">
        <v>752</v>
      </c>
      <c r="N20" s="288"/>
      <c r="O20" s="288"/>
      <c r="P20" s="288"/>
      <c r="Q20" s="288"/>
      <c r="R20" s="289"/>
      <c r="S20" s="218"/>
      <c r="T20" s="276">
        <v>0</v>
      </c>
      <c r="U20" s="276"/>
      <c r="V20" s="276"/>
      <c r="W20" s="276">
        <v>0</v>
      </c>
      <c r="X20" s="276"/>
      <c r="Y20" s="276"/>
      <c r="AA20" s="201">
        <v>0</v>
      </c>
      <c r="AB20" s="201">
        <v>0</v>
      </c>
      <c r="AC20" s="201"/>
      <c r="AD20" s="201">
        <f t="shared" si="2"/>
        <v>0</v>
      </c>
    </row>
    <row r="21" spans="2:31" x14ac:dyDescent="0.25">
      <c r="B21" s="38">
        <v>117</v>
      </c>
      <c r="C21" s="121" t="s">
        <v>425</v>
      </c>
      <c r="D21" s="38" t="s">
        <v>12</v>
      </c>
      <c r="E21" s="33" t="s">
        <v>852</v>
      </c>
      <c r="F21" s="38" t="str">
        <f>FIXED(B21,0)&amp;"."&amp;C21&amp;"."&amp;D21</f>
        <v>117.62 thru 67.c</v>
      </c>
      <c r="G21" s="38"/>
      <c r="H21" s="275"/>
      <c r="I21" s="42"/>
      <c r="J21" s="275">
        <f t="shared" si="5"/>
        <v>241692702.86000001</v>
      </c>
      <c r="M21" s="290" t="s">
        <v>749</v>
      </c>
      <c r="N21" s="291" t="s">
        <v>479</v>
      </c>
      <c r="O21" s="291" t="s">
        <v>748</v>
      </c>
      <c r="P21" s="292" t="s">
        <v>4</v>
      </c>
      <c r="Q21" s="288"/>
      <c r="R21" s="289"/>
      <c r="S21" s="218"/>
      <c r="T21" s="276">
        <f>240318567+5255738-2139361</f>
        <v>243434944</v>
      </c>
      <c r="U21" s="276">
        <v>-1742241.14</v>
      </c>
      <c r="V21" s="192" t="s">
        <v>1068</v>
      </c>
      <c r="W21" s="276"/>
      <c r="X21" s="276"/>
      <c r="Y21" s="276"/>
      <c r="AA21" s="201">
        <v>0</v>
      </c>
      <c r="AB21" s="201">
        <v>248449563.78999999</v>
      </c>
      <c r="AC21" s="201"/>
      <c r="AD21" s="201"/>
    </row>
    <row r="22" spans="2:31" x14ac:dyDescent="0.25">
      <c r="B22" s="38">
        <v>118</v>
      </c>
      <c r="C22" s="38">
        <v>29</v>
      </c>
      <c r="D22" s="38" t="s">
        <v>12</v>
      </c>
      <c r="E22" s="33" t="s">
        <v>70</v>
      </c>
      <c r="F22" s="38" t="str">
        <f>FIXED(B22,0)&amp;"."&amp;C22&amp;"."&amp;D22</f>
        <v>118.29.c</v>
      </c>
      <c r="G22" s="38"/>
      <c r="H22" s="275"/>
      <c r="I22" s="42"/>
      <c r="J22" s="275">
        <f t="shared" si="5"/>
        <v>0</v>
      </c>
      <c r="M22" s="252" t="s">
        <v>710</v>
      </c>
      <c r="N22" s="193">
        <f>N23-1</f>
        <v>2013</v>
      </c>
      <c r="O22" s="233">
        <f>-R35</f>
        <v>-6801019.2000000002</v>
      </c>
      <c r="P22" s="293" t="s">
        <v>744</v>
      </c>
      <c r="Q22" s="218"/>
      <c r="R22" s="294"/>
      <c r="S22" s="218"/>
      <c r="T22" s="276">
        <v>0</v>
      </c>
      <c r="U22" s="276"/>
      <c r="V22" s="276"/>
      <c r="W22" s="276"/>
      <c r="X22" s="276"/>
      <c r="Y22" s="276"/>
      <c r="AA22" s="201">
        <v>0</v>
      </c>
      <c r="AB22" s="201">
        <v>274570</v>
      </c>
      <c r="AC22" s="201"/>
      <c r="AD22" s="201"/>
    </row>
    <row r="23" spans="2:31" x14ac:dyDescent="0.25">
      <c r="B23" s="38">
        <v>200</v>
      </c>
      <c r="C23" s="38">
        <v>21</v>
      </c>
      <c r="D23" s="38" t="s">
        <v>12</v>
      </c>
      <c r="E23" s="33" t="s">
        <v>158</v>
      </c>
      <c r="F23" s="38" t="str">
        <f t="shared" ref="F23:F33" si="6">FIXED(B23,0)&amp;"."&amp;FIXED(C23,0)&amp;"."&amp;D23</f>
        <v>200.21.c</v>
      </c>
      <c r="G23" s="38"/>
      <c r="H23" s="275"/>
      <c r="I23" s="42"/>
      <c r="J23" s="275">
        <f t="shared" si="5"/>
        <v>136160166</v>
      </c>
      <c r="M23" s="252" t="s">
        <v>710</v>
      </c>
      <c r="N23" s="193">
        <f>_YR</f>
        <v>2014</v>
      </c>
      <c r="O23" s="233">
        <f>-R35</f>
        <v>-6801019.2000000002</v>
      </c>
      <c r="P23" s="293" t="s">
        <v>745</v>
      </c>
      <c r="Q23" s="218"/>
      <c r="R23" s="294"/>
      <c r="S23" s="218"/>
      <c r="T23" s="276">
        <v>136160166</v>
      </c>
      <c r="U23" s="276"/>
      <c r="V23" s="276"/>
      <c r="W23" s="276"/>
      <c r="X23" s="276"/>
      <c r="Y23" s="276"/>
      <c r="AA23" s="201">
        <v>0</v>
      </c>
      <c r="AB23" s="201">
        <v>129155675</v>
      </c>
      <c r="AC23" s="201"/>
      <c r="AD23" s="201">
        <f>J73-AB23</f>
        <v>0</v>
      </c>
    </row>
    <row r="24" spans="2:31" x14ac:dyDescent="0.25">
      <c r="B24" s="38" t="s">
        <v>1106</v>
      </c>
      <c r="C24" s="38">
        <v>5</v>
      </c>
      <c r="D24" s="38" t="s">
        <v>233</v>
      </c>
      <c r="E24" s="33" t="s">
        <v>154</v>
      </c>
      <c r="F24" s="412" t="str">
        <f>B24&amp;"."&amp;FIXED(C24,0)&amp;"."&amp;D24</f>
        <v>204&amp;205.5.b&amp;g</v>
      </c>
      <c r="G24" s="38"/>
      <c r="H24" s="275">
        <f t="shared" si="4"/>
        <v>146835126</v>
      </c>
      <c r="I24" s="42"/>
      <c r="J24" s="275">
        <f t="shared" si="5"/>
        <v>162493825</v>
      </c>
      <c r="M24" s="252" t="s">
        <v>741</v>
      </c>
      <c r="N24" s="218">
        <f>N22</f>
        <v>2013</v>
      </c>
      <c r="O24" s="295">
        <f>-R46</f>
        <v>-403239.44449899159</v>
      </c>
      <c r="P24" s="293" t="s">
        <v>746</v>
      </c>
      <c r="Q24" s="218"/>
      <c r="R24" s="294"/>
      <c r="S24" s="218"/>
      <c r="T24" s="276">
        <v>162493825</v>
      </c>
      <c r="U24" s="276"/>
      <c r="V24" s="276"/>
      <c r="W24" s="276">
        <v>282966535</v>
      </c>
      <c r="X24" s="276">
        <v>-136131409</v>
      </c>
      <c r="Y24" s="276" t="s">
        <v>1092</v>
      </c>
      <c r="AA24" s="201">
        <v>140095249</v>
      </c>
      <c r="AB24" s="201">
        <v>146835126</v>
      </c>
      <c r="AC24" s="201"/>
      <c r="AD24" s="201">
        <f>H24-AB24</f>
        <v>0</v>
      </c>
    </row>
    <row r="25" spans="2:31" x14ac:dyDescent="0.25">
      <c r="B25" s="412" t="s">
        <v>1106</v>
      </c>
      <c r="C25" s="38">
        <v>46</v>
      </c>
      <c r="D25" s="38" t="s">
        <v>233</v>
      </c>
      <c r="E25" s="33" t="s">
        <v>239</v>
      </c>
      <c r="F25" s="412" t="str">
        <f>B25&amp;"."&amp;FIXED(C25,0)&amp;"."&amp;D25</f>
        <v>204&amp;205.46.b&amp;g</v>
      </c>
      <c r="G25" s="38"/>
      <c r="H25" s="275">
        <f t="shared" si="4"/>
        <v>5914559556</v>
      </c>
      <c r="I25" s="42"/>
      <c r="J25" s="275">
        <f t="shared" si="5"/>
        <v>6019732267.6300001</v>
      </c>
      <c r="K25" s="137"/>
      <c r="M25" s="252" t="s">
        <v>741</v>
      </c>
      <c r="N25" s="218">
        <f>N23</f>
        <v>2014</v>
      </c>
      <c r="O25" s="295">
        <f>-R47</f>
        <v>-553986.18974178785</v>
      </c>
      <c r="P25" s="293" t="s">
        <v>746</v>
      </c>
      <c r="Q25" s="218"/>
      <c r="R25" s="294"/>
      <c r="S25" s="218"/>
      <c r="T25" s="192">
        <v>6038581374</v>
      </c>
      <c r="U25" s="276">
        <v>-18849106.369999997</v>
      </c>
      <c r="V25" s="192" t="s">
        <v>799</v>
      </c>
      <c r="W25" s="192">
        <v>5929426684</v>
      </c>
      <c r="X25" s="276">
        <v>-14867128</v>
      </c>
      <c r="Y25" s="192" t="s">
        <v>1077</v>
      </c>
      <c r="AA25" s="201">
        <v>5730636186</v>
      </c>
      <c r="AB25" s="201">
        <v>5914559556</v>
      </c>
      <c r="AC25" s="201"/>
      <c r="AD25" s="201">
        <f>H25-AB25</f>
        <v>0</v>
      </c>
    </row>
    <row r="26" spans="2:31" x14ac:dyDescent="0.25">
      <c r="B26" s="38" t="s">
        <v>1107</v>
      </c>
      <c r="C26" s="38">
        <v>58</v>
      </c>
      <c r="D26" s="38" t="s">
        <v>233</v>
      </c>
      <c r="E26" s="33" t="s">
        <v>155</v>
      </c>
      <c r="F26" s="412" t="str">
        <f>B26&amp;"."&amp;FIXED(C26,0)&amp;"."&amp;D26</f>
        <v>206&amp;207.58.b&amp;g</v>
      </c>
      <c r="G26" s="38"/>
      <c r="H26" s="275">
        <f t="shared" si="4"/>
        <v>2362668716.8000002</v>
      </c>
      <c r="I26" s="42"/>
      <c r="J26" s="275">
        <f t="shared" si="5"/>
        <v>2545227112.8000002</v>
      </c>
      <c r="K26" s="137"/>
      <c r="M26" s="252" t="s">
        <v>740</v>
      </c>
      <c r="N26" s="218">
        <f>N23</f>
        <v>2014</v>
      </c>
      <c r="O26" s="295">
        <f>-Q47</f>
        <v>-150746.74524279626</v>
      </c>
      <c r="P26" s="296" t="s">
        <v>747</v>
      </c>
      <c r="Q26" s="218"/>
      <c r="R26" s="294"/>
      <c r="S26" s="218"/>
      <c r="T26" s="276">
        <v>2552028132</v>
      </c>
      <c r="U26" s="276">
        <f>+O23</f>
        <v>-6801019.2000000002</v>
      </c>
      <c r="V26" s="192" t="s">
        <v>800</v>
      </c>
      <c r="W26" s="276">
        <v>2369469736</v>
      </c>
      <c r="X26" s="276">
        <f>+O22</f>
        <v>-6801019.2000000002</v>
      </c>
      <c r="Y26" s="276"/>
      <c r="AA26" s="201">
        <v>2160327800.5</v>
      </c>
      <c r="AB26" s="201">
        <v>2360572073.8000002</v>
      </c>
      <c r="AC26" s="201"/>
      <c r="AD26" s="201">
        <f>H26-AB26</f>
        <v>2096643</v>
      </c>
      <c r="AE26" t="s">
        <v>1104</v>
      </c>
    </row>
    <row r="27" spans="2:31" x14ac:dyDescent="0.25">
      <c r="B27" s="412" t="s">
        <v>1107</v>
      </c>
      <c r="C27" s="38">
        <v>75</v>
      </c>
      <c r="D27" s="38" t="s">
        <v>233</v>
      </c>
      <c r="E27" s="33" t="s">
        <v>156</v>
      </c>
      <c r="F27" s="412" t="str">
        <f>B27&amp;"."&amp;FIXED(C27,0)&amp;"."&amp;D27</f>
        <v>206&amp;207.75.b&amp;g</v>
      </c>
      <c r="G27" s="38"/>
      <c r="H27" s="275">
        <f t="shared" si="4"/>
        <v>4485730287</v>
      </c>
      <c r="I27" s="42"/>
      <c r="J27" s="275">
        <f t="shared" si="5"/>
        <v>4638606332</v>
      </c>
      <c r="K27" s="137"/>
      <c r="M27" s="287" t="s">
        <v>743</v>
      </c>
      <c r="N27" s="288"/>
      <c r="O27" s="288"/>
      <c r="P27" s="297"/>
      <c r="Q27" s="288"/>
      <c r="R27" s="298"/>
      <c r="S27" s="218"/>
      <c r="T27" s="276">
        <v>4638606332</v>
      </c>
      <c r="U27" s="276"/>
      <c r="V27" s="276"/>
      <c r="W27" s="276">
        <v>4485730287</v>
      </c>
      <c r="X27" s="276"/>
      <c r="Y27" s="276"/>
      <c r="AA27" s="201">
        <v>4307614618</v>
      </c>
      <c r="AB27" s="201">
        <v>4487826930</v>
      </c>
      <c r="AC27" s="201"/>
      <c r="AD27" s="201">
        <f>H27-AB27</f>
        <v>-2096643</v>
      </c>
      <c r="AE27" t="s">
        <v>1104</v>
      </c>
    </row>
    <row r="28" spans="2:31" x14ac:dyDescent="0.25">
      <c r="B28" s="412" t="s">
        <v>1107</v>
      </c>
      <c r="C28" s="38">
        <v>99</v>
      </c>
      <c r="D28" s="38" t="s">
        <v>233</v>
      </c>
      <c r="E28" s="33" t="s">
        <v>157</v>
      </c>
      <c r="F28" s="412" t="str">
        <f>B28&amp;"."&amp;FIXED(C28,0)&amp;"."&amp;D28</f>
        <v>206&amp;207.99.b&amp;g</v>
      </c>
      <c r="G28" s="38"/>
      <c r="H28" s="275">
        <f t="shared" si="4"/>
        <v>353370054</v>
      </c>
      <c r="I28" s="42"/>
      <c r="J28" s="275">
        <f t="shared" si="5"/>
        <v>404635245.89999998</v>
      </c>
      <c r="K28" s="137"/>
      <c r="M28" s="285"/>
      <c r="N28" s="218"/>
      <c r="O28" s="297" t="s">
        <v>737</v>
      </c>
      <c r="P28" s="297" t="s">
        <v>753</v>
      </c>
      <c r="Q28" s="297" t="s">
        <v>738</v>
      </c>
      <c r="R28" s="294"/>
      <c r="S28" s="218"/>
      <c r="T28" s="276">
        <v>410848451</v>
      </c>
      <c r="U28" s="276">
        <v>-6213205.0999999996</v>
      </c>
      <c r="V28" s="192" t="s">
        <v>1099</v>
      </c>
      <c r="W28" s="276">
        <v>403279964</v>
      </c>
      <c r="X28" s="276">
        <v>-49909910</v>
      </c>
      <c r="Y28" s="192" t="s">
        <v>1102</v>
      </c>
      <c r="Z28" s="33"/>
      <c r="AA28" s="201">
        <v>330661239</v>
      </c>
      <c r="AB28" s="201">
        <v>353370054</v>
      </c>
      <c r="AC28" s="201"/>
      <c r="AD28" s="201">
        <f>H28-AB28</f>
        <v>0</v>
      </c>
    </row>
    <row r="29" spans="2:31" x14ac:dyDescent="0.25">
      <c r="B29" s="38">
        <v>214</v>
      </c>
      <c r="C29" s="38">
        <v>47</v>
      </c>
      <c r="D29" s="38" t="s">
        <v>15</v>
      </c>
      <c r="E29" s="33" t="s">
        <v>11</v>
      </c>
      <c r="F29" s="38" t="str">
        <f t="shared" si="6"/>
        <v>214.47.d</v>
      </c>
      <c r="G29" s="38"/>
      <c r="H29" s="275"/>
      <c r="I29" s="42"/>
      <c r="J29" s="275">
        <f t="shared" si="5"/>
        <v>29554745</v>
      </c>
      <c r="M29" s="285"/>
      <c r="N29" s="297" t="s">
        <v>730</v>
      </c>
      <c r="O29" s="297" t="s">
        <v>734</v>
      </c>
      <c r="P29" s="297" t="s">
        <v>755</v>
      </c>
      <c r="Q29" s="297" t="s">
        <v>757</v>
      </c>
      <c r="R29" s="299" t="s">
        <v>731</v>
      </c>
      <c r="S29" s="297"/>
      <c r="T29" s="42">
        <f>16941308+6421115+2584486+1808764+1046211+752861</f>
        <v>29554745</v>
      </c>
      <c r="U29" s="276"/>
      <c r="V29" s="192" t="s">
        <v>1075</v>
      </c>
      <c r="W29" s="276"/>
      <c r="X29" s="276"/>
      <c r="Y29" s="276"/>
      <c r="AA29" s="201">
        <v>0</v>
      </c>
      <c r="AB29" s="201">
        <v>29554745</v>
      </c>
      <c r="AC29" s="201"/>
      <c r="AD29" s="201">
        <f>J74-AB29</f>
        <v>0</v>
      </c>
    </row>
    <row r="30" spans="2:31" x14ac:dyDescent="0.25">
      <c r="B30" s="38">
        <v>219</v>
      </c>
      <c r="C30" s="121" t="s">
        <v>426</v>
      </c>
      <c r="D30" s="43" t="s">
        <v>12</v>
      </c>
      <c r="E30" s="33" t="s">
        <v>159</v>
      </c>
      <c r="F30" s="38" t="str">
        <f>B30&amp;"."&amp;C30&amp;"."&amp;D30</f>
        <v>219.20 thru 24.c</v>
      </c>
      <c r="G30" s="38"/>
      <c r="H30" s="275"/>
      <c r="I30" s="42"/>
      <c r="J30" s="275">
        <f t="shared" si="5"/>
        <v>2449104430</v>
      </c>
      <c r="M30" s="285"/>
      <c r="N30" s="300" t="s">
        <v>736</v>
      </c>
      <c r="O30" s="300" t="s">
        <v>735</v>
      </c>
      <c r="P30" s="300" t="s">
        <v>754</v>
      </c>
      <c r="Q30" s="300" t="s">
        <v>756</v>
      </c>
      <c r="R30" s="301" t="s">
        <v>711</v>
      </c>
      <c r="S30" s="300"/>
      <c r="T30" s="192">
        <f>1548143016+75239745+825721669</f>
        <v>2449104430</v>
      </c>
      <c r="U30" s="276"/>
      <c r="V30" s="276"/>
      <c r="W30" s="276"/>
      <c r="X30" s="276"/>
      <c r="Y30" s="276"/>
      <c r="AA30" s="201">
        <v>0</v>
      </c>
      <c r="AB30" s="201">
        <v>2347335972</v>
      </c>
      <c r="AC30" s="201"/>
      <c r="AD30" s="201">
        <f>J75-AB30</f>
        <v>0</v>
      </c>
    </row>
    <row r="31" spans="2:31" x14ac:dyDescent="0.25">
      <c r="B31" s="38">
        <v>219</v>
      </c>
      <c r="C31" s="38">
        <v>25</v>
      </c>
      <c r="D31" s="43" t="s">
        <v>12</v>
      </c>
      <c r="E31" s="33" t="s">
        <v>160</v>
      </c>
      <c r="F31" s="38" t="str">
        <f t="shared" si="6"/>
        <v>219.25.c</v>
      </c>
      <c r="G31" s="38"/>
      <c r="H31" s="275"/>
      <c r="I31" s="42"/>
      <c r="J31" s="275">
        <f t="shared" si="5"/>
        <v>595666947.81025827</v>
      </c>
      <c r="K31" s="137"/>
      <c r="M31" s="285">
        <v>2009</v>
      </c>
      <c r="N31" s="318">
        <v>8980981</v>
      </c>
      <c r="O31" s="318">
        <f t="shared" ref="O31:O32" si="7">N31*0.5</f>
        <v>4490490.5</v>
      </c>
      <c r="P31" s="318">
        <v>1255990</v>
      </c>
      <c r="Q31" s="318">
        <f t="shared" ref="Q31:Q33" si="8">O31-P31</f>
        <v>3234500.5</v>
      </c>
      <c r="R31" s="302">
        <f>Q31</f>
        <v>3234500.5</v>
      </c>
      <c r="S31" s="313"/>
      <c r="T31" s="276">
        <v>596220934</v>
      </c>
      <c r="U31" s="276">
        <f>+O25</f>
        <v>-553986.18974178785</v>
      </c>
      <c r="V31" s="192" t="s">
        <v>800</v>
      </c>
      <c r="W31" s="276"/>
      <c r="X31" s="276"/>
      <c r="Y31" s="276"/>
      <c r="AA31" s="201">
        <v>0</v>
      </c>
      <c r="AB31" s="201">
        <v>559906250.55550098</v>
      </c>
      <c r="AC31" s="201"/>
      <c r="AD31" s="201">
        <f>J76-AB31</f>
        <v>0</v>
      </c>
    </row>
    <row r="32" spans="2:31" x14ac:dyDescent="0.25">
      <c r="B32" s="38">
        <v>219</v>
      </c>
      <c r="C32" s="38">
        <v>26</v>
      </c>
      <c r="D32" s="43" t="s">
        <v>12</v>
      </c>
      <c r="E32" s="33" t="s">
        <v>161</v>
      </c>
      <c r="F32" s="38" t="str">
        <f t="shared" si="6"/>
        <v>219.26.c</v>
      </c>
      <c r="G32" s="38"/>
      <c r="H32" s="275"/>
      <c r="I32" s="42"/>
      <c r="J32" s="275">
        <f t="shared" si="5"/>
        <v>1848224306</v>
      </c>
      <c r="L32" s="319"/>
      <c r="M32" s="285">
        <v>2010</v>
      </c>
      <c r="N32" s="318">
        <v>3121018</v>
      </c>
      <c r="O32" s="318">
        <f t="shared" si="7"/>
        <v>1560509</v>
      </c>
      <c r="P32" s="318">
        <v>436474</v>
      </c>
      <c r="Q32" s="318">
        <f t="shared" si="8"/>
        <v>1124035</v>
      </c>
      <c r="R32" s="302">
        <f t="shared" ref="R32:R33" si="9">R31+Q32</f>
        <v>4358535.5</v>
      </c>
      <c r="S32" s="313"/>
      <c r="T32" s="276">
        <v>1848224306</v>
      </c>
      <c r="U32" s="276"/>
      <c r="V32" s="276"/>
      <c r="W32" s="276"/>
      <c r="X32" s="276"/>
      <c r="Y32" s="276"/>
      <c r="AA32" s="201">
        <v>0</v>
      </c>
      <c r="AB32" s="201">
        <v>1780751221</v>
      </c>
      <c r="AC32" s="201"/>
      <c r="AD32" s="201">
        <f>J77-AB32</f>
        <v>0</v>
      </c>
    </row>
    <row r="33" spans="2:30" x14ac:dyDescent="0.25">
      <c r="B33" s="38">
        <v>219</v>
      </c>
      <c r="C33" s="38">
        <v>28</v>
      </c>
      <c r="D33" s="43" t="s">
        <v>12</v>
      </c>
      <c r="E33" s="33" t="s">
        <v>162</v>
      </c>
      <c r="F33" s="38" t="str">
        <f t="shared" si="6"/>
        <v>219.28.c</v>
      </c>
      <c r="G33" s="38"/>
      <c r="H33" s="275"/>
      <c r="I33" s="42"/>
      <c r="J33" s="275">
        <f t="shared" si="5"/>
        <v>106505009.15000001</v>
      </c>
      <c r="M33" s="285">
        <v>2011</v>
      </c>
      <c r="N33" s="318">
        <v>0</v>
      </c>
      <c r="O33" s="318">
        <f>N33*0.5</f>
        <v>0</v>
      </c>
      <c r="P33" s="318">
        <v>0</v>
      </c>
      <c r="Q33" s="318">
        <f t="shared" si="8"/>
        <v>0</v>
      </c>
      <c r="R33" s="302">
        <f t="shared" si="9"/>
        <v>4358535.5</v>
      </c>
      <c r="S33" s="313"/>
      <c r="T33" s="276">
        <v>107499793</v>
      </c>
      <c r="U33" s="276">
        <v>-994783.85000000009</v>
      </c>
      <c r="V33" s="192" t="s">
        <v>1100</v>
      </c>
      <c r="W33" s="276"/>
      <c r="X33" s="276"/>
      <c r="Y33" s="276"/>
      <c r="AA33" s="201">
        <v>0</v>
      </c>
      <c r="AB33" s="201">
        <v>95523096</v>
      </c>
      <c r="AC33" s="201"/>
      <c r="AD33" s="201">
        <f>J78-AB33</f>
        <v>0</v>
      </c>
    </row>
    <row r="34" spans="2:30" x14ac:dyDescent="0.25">
      <c r="B34" s="38">
        <v>227</v>
      </c>
      <c r="C34" s="38">
        <v>8</v>
      </c>
      <c r="D34" s="38" t="s">
        <v>245</v>
      </c>
      <c r="E34" s="33" t="s">
        <v>65</v>
      </c>
      <c r="F34" s="38" t="str">
        <f>FIXED(B34,0)&amp;"."&amp;FIXED(C34,0)&amp;"."&amp;D34</f>
        <v>227.8.b&amp;c</v>
      </c>
      <c r="G34" s="38"/>
      <c r="H34" s="275">
        <f t="shared" si="4"/>
        <v>1124024</v>
      </c>
      <c r="I34" s="42"/>
      <c r="J34" s="275">
        <f t="shared" si="5"/>
        <v>8062018</v>
      </c>
      <c r="L34" s="1"/>
      <c r="M34" s="285">
        <v>2012</v>
      </c>
      <c r="N34" s="318">
        <v>0</v>
      </c>
      <c r="O34" s="368">
        <f>N34*0.5</f>
        <v>0</v>
      </c>
      <c r="P34" s="318">
        <v>0</v>
      </c>
      <c r="Q34" s="318">
        <f>O34-P34</f>
        <v>0</v>
      </c>
      <c r="R34" s="302">
        <f>R33+Q34</f>
        <v>4358535.5</v>
      </c>
      <c r="S34" s="218"/>
      <c r="T34" s="276">
        <v>8062018</v>
      </c>
      <c r="U34" s="276"/>
      <c r="V34" s="276"/>
      <c r="W34" s="276">
        <v>1124024</v>
      </c>
      <c r="X34" s="276"/>
      <c r="Y34" s="276"/>
      <c r="AA34" s="201">
        <v>5482316</v>
      </c>
      <c r="AB34" s="201">
        <v>1124024</v>
      </c>
      <c r="AC34" s="201"/>
      <c r="AD34" s="201">
        <f>H34-AB34</f>
        <v>0</v>
      </c>
    </row>
    <row r="35" spans="2:30" x14ac:dyDescent="0.25">
      <c r="B35" s="38">
        <v>227</v>
      </c>
      <c r="C35" s="38">
        <v>16</v>
      </c>
      <c r="D35" s="38" t="s">
        <v>245</v>
      </c>
      <c r="E35" s="33" t="s">
        <v>66</v>
      </c>
      <c r="F35" s="38" t="str">
        <f>FIXED(B35,0)&amp;"."&amp;FIXED(C35,0)&amp;"."&amp;D35</f>
        <v>227.16.b&amp;c</v>
      </c>
      <c r="G35" s="38"/>
      <c r="H35" s="275">
        <f t="shared" si="4"/>
        <v>6935715</v>
      </c>
      <c r="I35" s="42"/>
      <c r="J35" s="275">
        <f t="shared" si="5"/>
        <v>15956841</v>
      </c>
      <c r="L35" s="1"/>
      <c r="M35" s="285">
        <v>2013</v>
      </c>
      <c r="N35" s="318">
        <v>6983504.6400000015</v>
      </c>
      <c r="O35" s="318">
        <f>N35*0.5</f>
        <v>3491752.3200000008</v>
      </c>
      <c r="P35" s="318">
        <v>1049268.6200000008</v>
      </c>
      <c r="Q35" s="318">
        <f>O35-P35</f>
        <v>2442483.7000000002</v>
      </c>
      <c r="R35" s="302">
        <f>R34+Q35</f>
        <v>6801019.2000000002</v>
      </c>
      <c r="S35" s="274"/>
      <c r="T35" s="276">
        <v>15956841</v>
      </c>
      <c r="U35" s="276"/>
      <c r="V35" s="276"/>
      <c r="W35" s="276">
        <v>6935715</v>
      </c>
      <c r="X35" s="276"/>
      <c r="Y35" s="276"/>
      <c r="AA35" s="201">
        <v>9773644</v>
      </c>
      <c r="AB35" s="201">
        <v>6935715</v>
      </c>
      <c r="AC35" s="201"/>
      <c r="AD35" s="201">
        <f>H35-AB35</f>
        <v>0</v>
      </c>
    </row>
    <row r="36" spans="2:30" x14ac:dyDescent="0.25">
      <c r="B36" s="38" t="s">
        <v>16</v>
      </c>
      <c r="C36" s="38">
        <v>5</v>
      </c>
      <c r="D36" s="38" t="s">
        <v>13</v>
      </c>
      <c r="E36" s="33" t="s">
        <v>168</v>
      </c>
      <c r="F36" s="38" t="str">
        <f>B36&amp;"."&amp;C36&amp;"."&amp;D36</f>
        <v>230a.5.b</v>
      </c>
      <c r="G36" s="38"/>
      <c r="H36" s="275"/>
      <c r="I36" s="42"/>
      <c r="J36" s="275">
        <f t="shared" si="5"/>
        <v>1959865</v>
      </c>
      <c r="M36" s="285">
        <v>2014</v>
      </c>
      <c r="N36" s="318">
        <v>1341030.4100000039</v>
      </c>
      <c r="O36" s="318">
        <f>N36*0.5</f>
        <v>670515.20500000194</v>
      </c>
      <c r="P36" s="318">
        <v>191234.1674809996</v>
      </c>
      <c r="Q36" s="318">
        <f>O36-P36</f>
        <v>479281.03751900233</v>
      </c>
      <c r="R36" s="302">
        <f>R35+Q36</f>
        <v>7280300.2375190025</v>
      </c>
      <c r="S36" s="297"/>
      <c r="T36" s="276">
        <v>1959865</v>
      </c>
      <c r="U36" s="276"/>
      <c r="V36" s="276"/>
      <c r="W36" s="276"/>
      <c r="X36" s="276"/>
      <c r="Y36" s="276"/>
      <c r="AA36" s="201">
        <v>0</v>
      </c>
      <c r="AB36" s="201">
        <v>2025020</v>
      </c>
      <c r="AC36" s="201"/>
      <c r="AD36" s="201"/>
    </row>
    <row r="37" spans="2:30" x14ac:dyDescent="0.25">
      <c r="B37" s="38" t="s">
        <v>16</v>
      </c>
      <c r="C37" s="38">
        <v>5</v>
      </c>
      <c r="D37" s="38" t="s">
        <v>17</v>
      </c>
      <c r="E37" s="33" t="s">
        <v>168</v>
      </c>
      <c r="F37" s="38" t="str">
        <f>B37&amp;"."&amp;C37&amp;"."&amp;D37</f>
        <v>230a.5.e</v>
      </c>
      <c r="G37" s="38"/>
      <c r="H37" s="275"/>
      <c r="I37" s="42"/>
      <c r="J37" s="275">
        <f t="shared" si="5"/>
        <v>65155</v>
      </c>
      <c r="M37" s="286"/>
      <c r="N37" s="303"/>
      <c r="O37" s="303"/>
      <c r="P37" s="303"/>
      <c r="Q37" s="303"/>
      <c r="R37" s="304"/>
      <c r="S37" s="297"/>
      <c r="T37" s="276">
        <v>65155</v>
      </c>
      <c r="U37" s="276"/>
      <c r="V37" s="276"/>
      <c r="W37" s="276"/>
      <c r="X37" s="276"/>
      <c r="Y37" s="276"/>
      <c r="AA37" s="201">
        <v>0</v>
      </c>
      <c r="AB37" s="201">
        <v>65155</v>
      </c>
      <c r="AC37" s="201"/>
      <c r="AD37" s="201"/>
    </row>
    <row r="38" spans="2:30" x14ac:dyDescent="0.25">
      <c r="B38" s="38" t="s">
        <v>16</v>
      </c>
      <c r="C38" s="38">
        <v>5</v>
      </c>
      <c r="D38" s="38" t="s">
        <v>35</v>
      </c>
      <c r="E38" s="33" t="s">
        <v>169</v>
      </c>
      <c r="F38" s="38" t="str">
        <f>B38&amp;"."&amp;C38&amp;"."&amp;D38</f>
        <v>230a.5.f</v>
      </c>
      <c r="G38" s="38"/>
      <c r="H38" s="275"/>
      <c r="I38" s="42"/>
      <c r="J38" s="275">
        <f t="shared" si="5"/>
        <v>-6733140.7899999991</v>
      </c>
      <c r="L38" s="113"/>
      <c r="M38" s="285" t="s">
        <v>742</v>
      </c>
      <c r="N38" s="274"/>
      <c r="O38" s="274"/>
      <c r="P38" s="305"/>
      <c r="Q38" s="274"/>
      <c r="R38" s="306"/>
      <c r="S38" s="300"/>
      <c r="T38" s="411">
        <v>1894710</v>
      </c>
      <c r="U38" s="411">
        <v>-8627850.7899999991</v>
      </c>
      <c r="V38" s="245" t="s">
        <v>1067</v>
      </c>
      <c r="W38" s="276"/>
      <c r="X38" s="276"/>
      <c r="Y38" s="276"/>
      <c r="AA38" s="201">
        <v>0</v>
      </c>
      <c r="AB38" s="201">
        <v>-6667985.7900000066</v>
      </c>
      <c r="AC38" s="201"/>
      <c r="AD38" s="201"/>
    </row>
    <row r="39" spans="2:30" x14ac:dyDescent="0.25">
      <c r="B39" s="38">
        <v>234</v>
      </c>
      <c r="C39" s="38">
        <v>8</v>
      </c>
      <c r="D39" s="38" t="s">
        <v>245</v>
      </c>
      <c r="E39" s="33" t="s">
        <v>18</v>
      </c>
      <c r="F39" s="38" t="str">
        <f>FIXED(B39,0)&amp;"."&amp;FIXED(C39,0)&amp;"."&amp;D39</f>
        <v>234.8.b&amp;c</v>
      </c>
      <c r="G39" s="38"/>
      <c r="H39" s="275">
        <f t="shared" si="4"/>
        <v>1107815236</v>
      </c>
      <c r="I39" s="42"/>
      <c r="J39" s="275">
        <f t="shared" si="5"/>
        <v>400406855</v>
      </c>
      <c r="L39" s="113"/>
      <c r="M39" s="307"/>
      <c r="N39" s="297" t="s">
        <v>732</v>
      </c>
      <c r="O39" s="297" t="s">
        <v>737</v>
      </c>
      <c r="P39" s="297" t="s">
        <v>753</v>
      </c>
      <c r="Q39" s="297" t="s">
        <v>738</v>
      </c>
      <c r="R39" s="299" t="s">
        <v>738</v>
      </c>
      <c r="S39" s="313"/>
      <c r="T39" s="411">
        <v>400406855</v>
      </c>
      <c r="U39" s="411"/>
      <c r="V39" s="411"/>
      <c r="W39" s="411">
        <v>1107815236</v>
      </c>
      <c r="X39" s="276"/>
      <c r="Y39" s="276"/>
      <c r="AA39" s="201">
        <v>995528084</v>
      </c>
      <c r="AB39" s="201">
        <v>1107815236</v>
      </c>
      <c r="AC39" s="201"/>
      <c r="AD39" s="201">
        <f>H39-AB39</f>
        <v>0</v>
      </c>
    </row>
    <row r="40" spans="2:30" x14ac:dyDescent="0.25">
      <c r="B40" s="38">
        <v>263</v>
      </c>
      <c r="C40" s="375">
        <v>3</v>
      </c>
      <c r="D40" s="38" t="s">
        <v>94</v>
      </c>
      <c r="E40" s="33" t="s">
        <v>147</v>
      </c>
      <c r="F40" s="351" t="str">
        <f t="shared" ref="F40:F45" si="10">B40&amp;"."&amp;C40&amp;"."&amp;D40</f>
        <v>263.3.i</v>
      </c>
      <c r="G40" s="38"/>
      <c r="H40" s="275"/>
      <c r="I40" s="42"/>
      <c r="J40" s="275">
        <f t="shared" si="5"/>
        <v>17914994.0479922</v>
      </c>
      <c r="M40" s="285"/>
      <c r="N40" s="297" t="s">
        <v>733</v>
      </c>
      <c r="O40" s="297" t="s">
        <v>734</v>
      </c>
      <c r="P40" s="297" t="s">
        <v>755</v>
      </c>
      <c r="Q40" s="297" t="s">
        <v>739</v>
      </c>
      <c r="R40" s="299" t="s">
        <v>739</v>
      </c>
      <c r="S40" s="313"/>
      <c r="T40" s="411">
        <v>18656675</v>
      </c>
      <c r="U40" s="411">
        <v>-741680.95200780011</v>
      </c>
      <c r="V40" s="245" t="s">
        <v>1090</v>
      </c>
      <c r="W40" s="276"/>
      <c r="X40" s="276"/>
      <c r="Y40" s="276"/>
      <c r="AA40" s="201">
        <v>0</v>
      </c>
      <c r="AB40" s="201">
        <v>20710020.628027</v>
      </c>
      <c r="AC40" s="201"/>
      <c r="AD40" s="201"/>
    </row>
    <row r="41" spans="2:30" x14ac:dyDescent="0.25">
      <c r="B41" s="38">
        <v>263</v>
      </c>
      <c r="C41" s="375">
        <v>4</v>
      </c>
      <c r="D41" s="38" t="s">
        <v>94</v>
      </c>
      <c r="E41" s="33" t="s">
        <v>148</v>
      </c>
      <c r="F41" s="351" t="str">
        <f t="shared" si="10"/>
        <v>263.4.i</v>
      </c>
      <c r="G41" s="38"/>
      <c r="H41" s="275"/>
      <c r="I41" s="42"/>
      <c r="J41" s="275">
        <f t="shared" si="5"/>
        <v>-1346722</v>
      </c>
      <c r="K41" s="320"/>
      <c r="L41" s="113"/>
      <c r="M41" s="307"/>
      <c r="N41" s="300" t="s">
        <v>736</v>
      </c>
      <c r="O41" s="300" t="s">
        <v>735</v>
      </c>
      <c r="P41" s="300" t="s">
        <v>758</v>
      </c>
      <c r="Q41" s="300" t="s">
        <v>740</v>
      </c>
      <c r="R41" s="301" t="s">
        <v>741</v>
      </c>
      <c r="S41" s="313"/>
      <c r="T41" s="411">
        <v>-1346722</v>
      </c>
      <c r="U41" s="411"/>
      <c r="V41" s="411"/>
      <c r="W41" s="276"/>
      <c r="X41" s="276"/>
      <c r="Y41" s="276"/>
      <c r="AA41" s="201">
        <v>0</v>
      </c>
      <c r="AB41" s="201">
        <v>0</v>
      </c>
      <c r="AC41" s="201"/>
      <c r="AD41" s="201"/>
    </row>
    <row r="42" spans="2:30" x14ac:dyDescent="0.25">
      <c r="B42" s="38">
        <v>263</v>
      </c>
      <c r="C42" s="375">
        <v>7</v>
      </c>
      <c r="D42" s="38" t="s">
        <v>94</v>
      </c>
      <c r="E42" s="33" t="s">
        <v>151</v>
      </c>
      <c r="F42" s="351" t="str">
        <f t="shared" si="10"/>
        <v>263.7.i</v>
      </c>
      <c r="G42" s="38"/>
      <c r="H42" s="275"/>
      <c r="I42" s="42"/>
      <c r="J42" s="275">
        <f t="shared" si="5"/>
        <v>30299</v>
      </c>
      <c r="K42" s="320"/>
      <c r="L42" s="408">
        <v>0.2797</v>
      </c>
      <c r="M42" s="285">
        <v>2009</v>
      </c>
      <c r="N42" s="318">
        <f t="shared" ref="N42:N43" si="11">O42*2</f>
        <v>106750.08938148015</v>
      </c>
      <c r="O42" s="318">
        <f t="shared" ref="O42:O47" si="12">P42/L42</f>
        <v>53375.044690740076</v>
      </c>
      <c r="P42" s="318">
        <v>14929</v>
      </c>
      <c r="Q42" s="318">
        <f t="shared" ref="Q42:Q43" si="13">O42-P42</f>
        <v>38446.044690740076</v>
      </c>
      <c r="R42" s="302">
        <f t="shared" ref="R42" si="14">Q42</f>
        <v>38446.044690740076</v>
      </c>
      <c r="T42" s="411">
        <v>30299</v>
      </c>
      <c r="U42" s="411"/>
      <c r="V42" s="411"/>
      <c r="W42" s="276"/>
      <c r="X42" s="276"/>
      <c r="Y42" s="276"/>
      <c r="AA42" s="201">
        <v>0</v>
      </c>
      <c r="AB42" s="201">
        <v>83707</v>
      </c>
      <c r="AC42" s="201"/>
      <c r="AD42" s="201"/>
    </row>
    <row r="43" spans="2:30" x14ac:dyDescent="0.25">
      <c r="B43" s="38">
        <v>263</v>
      </c>
      <c r="C43" s="375">
        <v>15</v>
      </c>
      <c r="D43" s="38" t="s">
        <v>94</v>
      </c>
      <c r="E43" s="33" t="s">
        <v>149</v>
      </c>
      <c r="F43" s="351" t="str">
        <f t="shared" si="10"/>
        <v>263.15.i</v>
      </c>
      <c r="G43" s="38"/>
      <c r="H43" s="275"/>
      <c r="I43" s="42"/>
      <c r="J43" s="275">
        <f t="shared" si="5"/>
        <v>1078730</v>
      </c>
      <c r="K43" s="320"/>
      <c r="L43" s="408">
        <v>0.2797</v>
      </c>
      <c r="M43" s="285">
        <v>2010</v>
      </c>
      <c r="N43" s="318">
        <f t="shared" si="11"/>
        <v>207593.85055416517</v>
      </c>
      <c r="O43" s="318">
        <f t="shared" si="12"/>
        <v>103796.92527708258</v>
      </c>
      <c r="P43" s="318">
        <v>29032</v>
      </c>
      <c r="Q43" s="318">
        <f t="shared" si="13"/>
        <v>74764.925277082584</v>
      </c>
      <c r="R43" s="302">
        <f>Q43+R42</f>
        <v>113210.96996782266</v>
      </c>
      <c r="T43" s="411">
        <v>1078730</v>
      </c>
      <c r="U43" s="411"/>
      <c r="V43" s="411"/>
      <c r="W43" s="276"/>
      <c r="X43" s="276"/>
      <c r="Y43" s="276"/>
      <c r="AA43" s="201">
        <v>0</v>
      </c>
      <c r="AB43" s="201">
        <v>0</v>
      </c>
      <c r="AC43" s="201"/>
      <c r="AD43" s="201"/>
    </row>
    <row r="44" spans="2:30" x14ac:dyDescent="0.25">
      <c r="B44" s="38">
        <v>263</v>
      </c>
      <c r="C44" s="56">
        <v>16</v>
      </c>
      <c r="D44" s="38" t="s">
        <v>94</v>
      </c>
      <c r="E44" s="33" t="s">
        <v>150</v>
      </c>
      <c r="F44" s="351" t="str">
        <f t="shared" si="10"/>
        <v>263.16.i</v>
      </c>
      <c r="G44" s="38"/>
      <c r="H44" s="275"/>
      <c r="I44" s="42"/>
      <c r="J44" s="275">
        <f t="shared" si="5"/>
        <v>0</v>
      </c>
      <c r="L44" s="408">
        <v>0.2797</v>
      </c>
      <c r="M44" s="285">
        <f>M45-1</f>
        <v>2011</v>
      </c>
      <c r="N44" s="318">
        <f>O44*2</f>
        <v>240343.22488380407</v>
      </c>
      <c r="O44" s="318">
        <f t="shared" si="12"/>
        <v>120171.61244190203</v>
      </c>
      <c r="P44" s="318">
        <v>33612</v>
      </c>
      <c r="Q44" s="273">
        <f>O44-P44</f>
        <v>86559.612441902034</v>
      </c>
      <c r="R44" s="302">
        <f t="shared" ref="R44:R46" si="15">Q44+R43</f>
        <v>199770.58240972471</v>
      </c>
      <c r="T44" s="411">
        <v>0</v>
      </c>
      <c r="U44" s="411"/>
      <c r="V44" s="411"/>
      <c r="W44" s="276"/>
      <c r="X44" s="276"/>
      <c r="Y44" s="276"/>
      <c r="AA44" s="201">
        <v>0</v>
      </c>
      <c r="AB44" s="201">
        <v>0</v>
      </c>
      <c r="AC44" s="201"/>
      <c r="AD44" s="201"/>
    </row>
    <row r="45" spans="2:30" x14ac:dyDescent="0.25">
      <c r="B45" s="38">
        <v>263</v>
      </c>
      <c r="C45" s="375">
        <v>22</v>
      </c>
      <c r="D45" s="38" t="s">
        <v>94</v>
      </c>
      <c r="E45" s="33" t="s">
        <v>152</v>
      </c>
      <c r="F45" s="351" t="str">
        <f t="shared" si="10"/>
        <v>263.22.i</v>
      </c>
      <c r="G45" s="38"/>
      <c r="H45" s="275"/>
      <c r="I45" s="42"/>
      <c r="J45" s="275">
        <f t="shared" si="5"/>
        <v>116462023</v>
      </c>
      <c r="L45" s="409">
        <v>0.29732518292315391</v>
      </c>
      <c r="M45" s="285">
        <f>M46-1</f>
        <v>2012</v>
      </c>
      <c r="N45" s="318">
        <f>O45*2</f>
        <v>226095.88376970627</v>
      </c>
      <c r="O45" s="318">
        <f t="shared" si="12"/>
        <v>113047.94188485313</v>
      </c>
      <c r="P45" s="318">
        <v>33612.000000000029</v>
      </c>
      <c r="Q45" s="273">
        <f>O45-P45</f>
        <v>79435.941884853106</v>
      </c>
      <c r="R45" s="302">
        <f t="shared" si="15"/>
        <v>279206.52429457783</v>
      </c>
      <c r="T45" s="411">
        <v>116462023</v>
      </c>
      <c r="U45" s="411"/>
      <c r="V45" s="411"/>
      <c r="W45" s="276"/>
      <c r="X45" s="276"/>
      <c r="Y45" s="276"/>
      <c r="AA45" s="201">
        <v>0</v>
      </c>
      <c r="AB45" s="201">
        <v>115520568</v>
      </c>
      <c r="AC45" s="201"/>
      <c r="AD45" s="201"/>
    </row>
    <row r="46" spans="2:30" x14ac:dyDescent="0.25">
      <c r="B46" s="38">
        <v>266</v>
      </c>
      <c r="C46" s="38">
        <v>8</v>
      </c>
      <c r="D46" s="38" t="s">
        <v>35</v>
      </c>
      <c r="E46" s="33" t="s">
        <v>36</v>
      </c>
      <c r="F46" s="38" t="str">
        <f t="shared" ref="F46:F64" si="16">FIXED(B46,0)&amp;"."&amp;FIXED(C46,0)&amp;"."&amp;D46</f>
        <v>266.8.f</v>
      </c>
      <c r="G46" s="38"/>
      <c r="H46" s="275"/>
      <c r="I46" s="42"/>
      <c r="J46" s="275">
        <f t="shared" si="5"/>
        <v>-1307000</v>
      </c>
      <c r="L46" s="410">
        <v>0.29315467472360085</v>
      </c>
      <c r="M46" s="285">
        <f>+M47-1</f>
        <v>2013</v>
      </c>
      <c r="N46" s="318">
        <f>O46*2</f>
        <v>350947.84040882764</v>
      </c>
      <c r="O46" s="318">
        <f t="shared" si="12"/>
        <v>175473.92020441382</v>
      </c>
      <c r="P46" s="318">
        <v>51441.000000000029</v>
      </c>
      <c r="Q46" s="318">
        <f>O46-P46</f>
        <v>124032.92020441379</v>
      </c>
      <c r="R46" s="302">
        <f t="shared" si="15"/>
        <v>403239.44449899159</v>
      </c>
      <c r="T46" s="411">
        <v>-1307000</v>
      </c>
      <c r="U46" s="411"/>
      <c r="V46" s="411"/>
      <c r="W46" s="276"/>
      <c r="X46" s="276"/>
      <c r="Y46" s="276"/>
      <c r="AA46" s="201">
        <v>0</v>
      </c>
      <c r="AB46" s="201">
        <v>-1307003</v>
      </c>
      <c r="AC46" s="201"/>
      <c r="AD46" s="201"/>
    </row>
    <row r="47" spans="2:30" x14ac:dyDescent="0.25">
      <c r="B47" s="38" t="s">
        <v>1108</v>
      </c>
      <c r="C47" s="38">
        <v>8</v>
      </c>
      <c r="D47" s="38" t="s">
        <v>243</v>
      </c>
      <c r="E47" s="33" t="s">
        <v>33</v>
      </c>
      <c r="F47" s="38" t="str">
        <f>B47&amp;"."&amp;FIXED(C47,0)&amp;"."&amp;D47</f>
        <v>266&amp;267.8.b&amp;h</v>
      </c>
      <c r="G47" s="38"/>
      <c r="H47" s="275">
        <f t="shared" si="4"/>
        <v>-1732513</v>
      </c>
      <c r="I47" s="42"/>
      <c r="J47" s="275">
        <f t="shared" si="5"/>
        <v>-425513</v>
      </c>
      <c r="L47" s="409">
        <f>(J66+J67+J68+J69)/(J66+J67+J68+J69+J65)</f>
        <v>0.29109643240901933</v>
      </c>
      <c r="M47" s="285">
        <v>2014</v>
      </c>
      <c r="N47" s="318">
        <f>O47*2</f>
        <v>425295.49048559251</v>
      </c>
      <c r="O47" s="318">
        <f t="shared" si="12"/>
        <v>212647.74524279626</v>
      </c>
      <c r="P47" s="318">
        <v>61901</v>
      </c>
      <c r="Q47" s="318">
        <f>O47-P47</f>
        <v>150746.74524279626</v>
      </c>
      <c r="R47" s="302">
        <f t="shared" ref="R47" si="17">Q47+R46</f>
        <v>553986.18974178785</v>
      </c>
      <c r="T47" s="411">
        <v>-425513</v>
      </c>
      <c r="U47" s="411"/>
      <c r="V47" s="411"/>
      <c r="W47" s="411">
        <v>-1732513</v>
      </c>
      <c r="X47" s="276"/>
      <c r="Y47" s="276"/>
      <c r="AA47" s="201">
        <v>-3039516</v>
      </c>
      <c r="AB47" s="201">
        <v>-1732513</v>
      </c>
      <c r="AC47" s="201"/>
      <c r="AD47" s="201">
        <f>H47-AB47</f>
        <v>0</v>
      </c>
    </row>
    <row r="48" spans="2:30" x14ac:dyDescent="0.25">
      <c r="B48" s="38" t="s">
        <v>1109</v>
      </c>
      <c r="C48" s="38">
        <v>8</v>
      </c>
      <c r="D48" s="38" t="s">
        <v>244</v>
      </c>
      <c r="E48" s="33" t="s">
        <v>19</v>
      </c>
      <c r="F48" s="412" t="str">
        <f>B48&amp;"."&amp;FIXED(C48,0)&amp;"."&amp;D48</f>
        <v>272&amp;273.8.b&amp;k</v>
      </c>
      <c r="G48" s="38"/>
      <c r="H48" s="275">
        <f t="shared" si="4"/>
        <v>-3757590</v>
      </c>
      <c r="I48" s="42"/>
      <c r="J48" s="275">
        <f t="shared" si="5"/>
        <v>-3757590</v>
      </c>
      <c r="L48" s="113"/>
      <c r="M48" s="286"/>
      <c r="N48" s="369"/>
      <c r="O48" s="369"/>
      <c r="P48" s="369"/>
      <c r="Q48" s="369"/>
      <c r="R48" s="304"/>
      <c r="T48" s="411">
        <v>-3757590</v>
      </c>
      <c r="U48" s="411"/>
      <c r="V48" s="411"/>
      <c r="W48" s="411">
        <v>-3757590</v>
      </c>
      <c r="X48" s="276"/>
      <c r="Y48" s="276"/>
      <c r="AA48" s="201">
        <v>-3757590</v>
      </c>
      <c r="AB48" s="201">
        <v>-3757590</v>
      </c>
      <c r="AC48" s="201"/>
      <c r="AD48" s="201">
        <f>H48-AB48</f>
        <v>0</v>
      </c>
    </row>
    <row r="49" spans="2:30" x14ac:dyDescent="0.25">
      <c r="B49" s="38" t="s">
        <v>1110</v>
      </c>
      <c r="C49" s="38">
        <v>2</v>
      </c>
      <c r="D49" s="38" t="s">
        <v>244</v>
      </c>
      <c r="E49" s="33" t="s">
        <v>20</v>
      </c>
      <c r="F49" s="412" t="str">
        <f>B49&amp;"."&amp;FIXED(C49,0)&amp;"."&amp;D49</f>
        <v>274&amp;275.2.b&amp;k</v>
      </c>
      <c r="G49" s="38"/>
      <c r="H49" s="275">
        <f t="shared" si="4"/>
        <v>-1601614562</v>
      </c>
      <c r="I49" s="42"/>
      <c r="J49" s="275">
        <f t="shared" si="5"/>
        <v>-1844284194</v>
      </c>
      <c r="L49" s="113"/>
      <c r="M49" s="138"/>
      <c r="T49" s="411">
        <v>-1844284194</v>
      </c>
      <c r="U49" s="411"/>
      <c r="V49" s="411"/>
      <c r="W49" s="411">
        <v>-1601614562</v>
      </c>
      <c r="X49" s="276"/>
      <c r="Y49" s="276"/>
      <c r="AA49" s="201">
        <v>-975116243</v>
      </c>
      <c r="AB49" s="201">
        <v>-1601614562</v>
      </c>
      <c r="AC49" s="201"/>
      <c r="AD49" s="201">
        <f>H49-AB49</f>
        <v>0</v>
      </c>
    </row>
    <row r="50" spans="2:30" x14ac:dyDescent="0.25">
      <c r="B50" s="38" t="s">
        <v>1111</v>
      </c>
      <c r="C50" s="38">
        <v>9</v>
      </c>
      <c r="D50" s="38" t="s">
        <v>244</v>
      </c>
      <c r="E50" s="33" t="s">
        <v>181</v>
      </c>
      <c r="F50" s="412" t="str">
        <f>B50&amp;"."&amp;FIXED(C50,0)&amp;"."&amp;D50</f>
        <v>267&amp;277.9.b&amp;k</v>
      </c>
      <c r="G50" s="38"/>
      <c r="H50" s="275">
        <f t="shared" si="4"/>
        <v>-1227860892</v>
      </c>
      <c r="I50" s="42"/>
      <c r="J50" s="275">
        <f t="shared" si="5"/>
        <v>-672696434</v>
      </c>
      <c r="L50" s="113"/>
      <c r="T50" s="411">
        <v>-672696434</v>
      </c>
      <c r="U50" s="411"/>
      <c r="V50" s="411"/>
      <c r="W50" s="411">
        <v>-1227860892</v>
      </c>
      <c r="X50" s="276"/>
      <c r="Y50" s="276"/>
      <c r="AA50" s="201">
        <v>-1425000944</v>
      </c>
      <c r="AB50" s="201">
        <v>-1227860892</v>
      </c>
      <c r="AC50" s="201"/>
      <c r="AD50" s="201">
        <f>H50-AB50</f>
        <v>0</v>
      </c>
    </row>
    <row r="51" spans="2:30" x14ac:dyDescent="0.25">
      <c r="B51" s="38">
        <v>321</v>
      </c>
      <c r="C51" s="121" t="s">
        <v>427</v>
      </c>
      <c r="D51" s="121" t="s">
        <v>13</v>
      </c>
      <c r="E51" s="87" t="s">
        <v>428</v>
      </c>
      <c r="F51" s="38" t="str">
        <f>B51&amp;"."&amp;C51&amp;"."&amp;D51</f>
        <v>321.84 thru 92.b</v>
      </c>
      <c r="G51" s="38"/>
      <c r="H51" s="275"/>
      <c r="I51" s="42"/>
      <c r="J51" s="275">
        <f t="shared" si="5"/>
        <v>8167531</v>
      </c>
      <c r="L51" s="113"/>
      <c r="T51" s="411">
        <f>3553103+2672334+1071241+737079+102257+31517</f>
        <v>8167531</v>
      </c>
      <c r="U51" s="411"/>
      <c r="V51" s="411"/>
      <c r="W51" s="276"/>
      <c r="X51" s="276"/>
      <c r="Y51" s="276"/>
      <c r="AA51" s="201">
        <v>4772592</v>
      </c>
      <c r="AB51" s="201">
        <v>6300187</v>
      </c>
      <c r="AC51" s="201"/>
      <c r="AD51" s="201"/>
    </row>
    <row r="52" spans="2:30" x14ac:dyDescent="0.25">
      <c r="B52" s="38">
        <v>321</v>
      </c>
      <c r="C52" s="38">
        <v>96</v>
      </c>
      <c r="D52" s="38" t="s">
        <v>13</v>
      </c>
      <c r="E52" s="33" t="s">
        <v>7</v>
      </c>
      <c r="F52" s="38" t="str">
        <f t="shared" si="16"/>
        <v>321.96.b</v>
      </c>
      <c r="G52" s="38"/>
      <c r="H52" s="275"/>
      <c r="I52" s="42"/>
      <c r="J52" s="275">
        <f t="shared" si="5"/>
        <v>61299</v>
      </c>
      <c r="L52" s="113"/>
      <c r="T52" s="276">
        <v>61299</v>
      </c>
      <c r="U52" s="276"/>
      <c r="V52" s="276"/>
      <c r="W52" s="276"/>
      <c r="X52" s="276"/>
      <c r="Y52" s="276"/>
      <c r="AA52" s="201">
        <v>0</v>
      </c>
      <c r="AB52" s="201">
        <v>0</v>
      </c>
      <c r="AC52" s="201"/>
      <c r="AD52" s="201"/>
    </row>
    <row r="53" spans="2:30" x14ac:dyDescent="0.25">
      <c r="B53" s="38">
        <v>321</v>
      </c>
      <c r="C53" s="38">
        <v>112</v>
      </c>
      <c r="D53" s="38" t="s">
        <v>13</v>
      </c>
      <c r="E53" s="33" t="s">
        <v>50</v>
      </c>
      <c r="F53" s="38" t="str">
        <f t="shared" si="16"/>
        <v>321.112.b</v>
      </c>
      <c r="G53" s="38"/>
      <c r="H53" s="275"/>
      <c r="I53" s="42"/>
      <c r="J53" s="275">
        <f t="shared" si="5"/>
        <v>35840451.266592003</v>
      </c>
      <c r="T53" s="276">
        <v>35842254</v>
      </c>
      <c r="U53" s="276">
        <v>-1802.7334080000001</v>
      </c>
      <c r="V53" s="245" t="s">
        <v>1085</v>
      </c>
      <c r="W53" s="276"/>
      <c r="X53" s="276"/>
      <c r="Y53" s="276"/>
      <c r="AA53" s="201">
        <v>0</v>
      </c>
      <c r="AB53" s="201">
        <v>41236367.376227997</v>
      </c>
      <c r="AC53" s="201"/>
      <c r="AD53" s="201"/>
    </row>
    <row r="54" spans="2:30" x14ac:dyDescent="0.25">
      <c r="B54" s="38">
        <v>323</v>
      </c>
      <c r="C54" s="38">
        <v>185</v>
      </c>
      <c r="D54" s="38" t="s">
        <v>13</v>
      </c>
      <c r="E54" s="33" t="s">
        <v>52</v>
      </c>
      <c r="F54" s="38" t="str">
        <f t="shared" si="16"/>
        <v>323.185.b</v>
      </c>
      <c r="G54" s="38"/>
      <c r="H54" s="275"/>
      <c r="I54" s="42"/>
      <c r="J54" s="275">
        <f t="shared" si="5"/>
        <v>12678261.62093596</v>
      </c>
      <c r="T54" s="276">
        <v>12831843</v>
      </c>
      <c r="U54" s="276">
        <v>-153581.37906404</v>
      </c>
      <c r="V54" s="245" t="s">
        <v>1091</v>
      </c>
      <c r="W54" s="276"/>
      <c r="X54" s="276"/>
      <c r="Y54" s="276"/>
      <c r="AA54" s="201">
        <v>0</v>
      </c>
      <c r="AB54" s="201">
        <v>11181556</v>
      </c>
      <c r="AC54" s="201"/>
      <c r="AD54" s="201"/>
    </row>
    <row r="55" spans="2:30" x14ac:dyDescent="0.25">
      <c r="B55" s="38">
        <v>323</v>
      </c>
      <c r="C55" s="38">
        <v>189</v>
      </c>
      <c r="D55" s="38" t="s">
        <v>13</v>
      </c>
      <c r="E55" s="33" t="s">
        <v>9</v>
      </c>
      <c r="F55" s="38" t="str">
        <f t="shared" si="16"/>
        <v>323.189.b</v>
      </c>
      <c r="G55" s="38"/>
      <c r="H55" s="275"/>
      <c r="I55" s="42"/>
      <c r="J55" s="275">
        <f t="shared" si="5"/>
        <v>4276269</v>
      </c>
      <c r="T55" s="276">
        <v>4276269</v>
      </c>
      <c r="U55" s="276"/>
      <c r="V55" s="276"/>
      <c r="W55" s="276"/>
      <c r="X55" s="276"/>
      <c r="Y55" s="276"/>
      <c r="AA55" s="201">
        <v>0</v>
      </c>
      <c r="AB55" s="201">
        <v>3997496</v>
      </c>
      <c r="AC55" s="201"/>
      <c r="AD55" s="201"/>
    </row>
    <row r="56" spans="2:30" x14ac:dyDescent="0.25">
      <c r="B56" s="38">
        <v>323</v>
      </c>
      <c r="C56" s="38">
        <v>191</v>
      </c>
      <c r="D56" s="38" t="s">
        <v>13</v>
      </c>
      <c r="E56" s="33" t="s">
        <v>10</v>
      </c>
      <c r="F56" s="38" t="str">
        <f t="shared" si="16"/>
        <v>323.191.b</v>
      </c>
      <c r="G56" s="38"/>
      <c r="H56" s="275"/>
      <c r="I56" s="42"/>
      <c r="J56" s="275">
        <f t="shared" si="5"/>
        <v>1206987</v>
      </c>
      <c r="T56" s="276">
        <v>1206987</v>
      </c>
      <c r="U56" s="276"/>
      <c r="V56" s="276"/>
      <c r="W56" s="276"/>
      <c r="X56" s="276"/>
      <c r="Y56" s="276"/>
      <c r="AA56" s="201">
        <v>0</v>
      </c>
      <c r="AB56" s="201">
        <v>867906</v>
      </c>
      <c r="AC56" s="201"/>
      <c r="AD56" s="201"/>
    </row>
    <row r="57" spans="2:30" x14ac:dyDescent="0.25">
      <c r="B57" s="38">
        <v>323</v>
      </c>
      <c r="C57" s="38">
        <v>197</v>
      </c>
      <c r="D57" s="38" t="s">
        <v>13</v>
      </c>
      <c r="E57" s="33" t="s">
        <v>8</v>
      </c>
      <c r="F57" s="38" t="str">
        <f t="shared" si="16"/>
        <v>323.197.b</v>
      </c>
      <c r="G57" s="38"/>
      <c r="H57" s="275"/>
      <c r="I57" s="42"/>
      <c r="J57" s="275">
        <f t="shared" si="5"/>
        <v>260041829.28999999</v>
      </c>
      <c r="T57" s="276">
        <v>260804265</v>
      </c>
      <c r="U57" s="276">
        <v>-762435.71</v>
      </c>
      <c r="V57" s="192" t="s">
        <v>1069</v>
      </c>
      <c r="W57" s="276"/>
      <c r="X57" s="276"/>
      <c r="Y57" s="276"/>
      <c r="AA57" s="201">
        <v>0</v>
      </c>
      <c r="AB57" s="201">
        <v>277699987.70999998</v>
      </c>
      <c r="AC57" s="201"/>
      <c r="AD57" s="201"/>
    </row>
    <row r="58" spans="2:30" x14ac:dyDescent="0.25">
      <c r="B58" s="38">
        <v>335</v>
      </c>
      <c r="C58" s="38">
        <v>1</v>
      </c>
      <c r="D58" s="38" t="s">
        <v>13</v>
      </c>
      <c r="E58" s="33" t="s">
        <v>248</v>
      </c>
      <c r="F58" s="38" t="str">
        <f t="shared" si="16"/>
        <v>335.1.b</v>
      </c>
      <c r="G58" s="38"/>
      <c r="H58" s="275"/>
      <c r="I58" s="42"/>
      <c r="J58" s="275">
        <f t="shared" si="5"/>
        <v>584445</v>
      </c>
      <c r="T58" s="276">
        <v>584445</v>
      </c>
      <c r="U58" s="276"/>
      <c r="V58" s="276"/>
      <c r="W58" s="276"/>
      <c r="X58" s="276"/>
      <c r="Y58" s="276"/>
      <c r="AA58" s="201">
        <v>0</v>
      </c>
      <c r="AB58" s="201">
        <v>780582</v>
      </c>
      <c r="AC58" s="201"/>
      <c r="AD58" s="201"/>
    </row>
    <row r="59" spans="2:30" x14ac:dyDescent="0.25">
      <c r="B59" s="2">
        <v>336</v>
      </c>
      <c r="C59" s="2">
        <v>1</v>
      </c>
      <c r="D59" s="2" t="s">
        <v>35</v>
      </c>
      <c r="E59" t="s">
        <v>166</v>
      </c>
      <c r="F59" s="2" t="str">
        <f t="shared" si="16"/>
        <v>336.1.f</v>
      </c>
      <c r="G59" s="2"/>
      <c r="H59" s="275"/>
      <c r="I59" s="28"/>
      <c r="J59" s="275">
        <f t="shared" si="5"/>
        <v>6460996.2699999996</v>
      </c>
      <c r="T59" s="276">
        <v>6550783</v>
      </c>
      <c r="U59" s="276">
        <v>-89786.73000000001</v>
      </c>
      <c r="V59" s="245" t="s">
        <v>1085</v>
      </c>
      <c r="W59" s="276"/>
      <c r="X59" s="276"/>
      <c r="Y59" s="276"/>
      <c r="AA59" s="201">
        <v>0</v>
      </c>
      <c r="AB59" s="201">
        <v>5328911</v>
      </c>
      <c r="AC59" s="201"/>
      <c r="AD59" s="201"/>
    </row>
    <row r="60" spans="2:30" x14ac:dyDescent="0.25">
      <c r="B60" s="2">
        <v>336</v>
      </c>
      <c r="C60" s="2">
        <v>7</v>
      </c>
      <c r="D60" s="2" t="s">
        <v>35</v>
      </c>
      <c r="E60" t="s">
        <v>58</v>
      </c>
      <c r="F60" s="2" t="str">
        <f t="shared" si="16"/>
        <v>336.7.f</v>
      </c>
      <c r="G60" s="2"/>
      <c r="H60" s="275"/>
      <c r="I60" s="28"/>
      <c r="J60" s="275">
        <f t="shared" si="5"/>
        <v>53728069.254757203</v>
      </c>
      <c r="K60" s="137"/>
      <c r="T60" s="276">
        <v>53878816</v>
      </c>
      <c r="U60" s="276">
        <f>+O26</f>
        <v>-150746.74524279626</v>
      </c>
      <c r="V60" s="276" t="s">
        <v>1076</v>
      </c>
      <c r="W60" s="276"/>
      <c r="X60" s="276"/>
      <c r="Y60" s="276"/>
      <c r="AA60" s="201">
        <v>0</v>
      </c>
      <c r="AB60" s="201">
        <v>48921915.079795584</v>
      </c>
      <c r="AC60" s="201"/>
      <c r="AD60" s="201"/>
    </row>
    <row r="61" spans="2:30" x14ac:dyDescent="0.25">
      <c r="B61" s="2">
        <v>336</v>
      </c>
      <c r="C61" s="2">
        <v>10</v>
      </c>
      <c r="D61" s="2" t="s">
        <v>35</v>
      </c>
      <c r="E61" t="s">
        <v>59</v>
      </c>
      <c r="F61" s="2" t="str">
        <f t="shared" si="16"/>
        <v>336.10.f</v>
      </c>
      <c r="G61" s="2"/>
      <c r="H61" s="275"/>
      <c r="I61" s="28"/>
      <c r="J61" s="275">
        <f t="shared" si="5"/>
        <v>18994329.68</v>
      </c>
      <c r="K61" s="137"/>
      <c r="T61" s="276">
        <v>19714961</v>
      </c>
      <c r="U61" s="276">
        <v>-720631.32000000007</v>
      </c>
      <c r="V61" s="245" t="s">
        <v>1103</v>
      </c>
      <c r="W61" s="276"/>
      <c r="X61" s="276"/>
      <c r="Y61" s="276"/>
      <c r="AA61" s="201">
        <v>0</v>
      </c>
      <c r="AB61" s="201">
        <v>15613900.821056001</v>
      </c>
      <c r="AC61" s="201"/>
      <c r="AD61" s="201"/>
    </row>
    <row r="62" spans="2:30" x14ac:dyDescent="0.25">
      <c r="B62" s="2">
        <v>354</v>
      </c>
      <c r="C62" s="314">
        <v>21</v>
      </c>
      <c r="D62" s="2" t="s">
        <v>13</v>
      </c>
      <c r="E62" t="s">
        <v>6</v>
      </c>
      <c r="F62" s="2" t="str">
        <f t="shared" si="16"/>
        <v>354.21.b</v>
      </c>
      <c r="G62" s="2"/>
      <c r="H62" s="275"/>
      <c r="I62" s="28"/>
      <c r="J62" s="275">
        <f t="shared" si="5"/>
        <v>13491555</v>
      </c>
      <c r="T62" s="276">
        <v>13491555</v>
      </c>
      <c r="U62" s="276"/>
      <c r="V62" s="411"/>
      <c r="W62" s="276"/>
      <c r="X62" s="276"/>
      <c r="Y62" s="276"/>
      <c r="AA62" s="201">
        <v>0</v>
      </c>
      <c r="AB62" s="201">
        <v>20064186</v>
      </c>
      <c r="AC62" s="201"/>
      <c r="AD62" s="201"/>
    </row>
    <row r="63" spans="2:30" x14ac:dyDescent="0.25">
      <c r="B63" s="2">
        <v>354</v>
      </c>
      <c r="C63" s="314">
        <v>27</v>
      </c>
      <c r="D63" s="2" t="s">
        <v>13</v>
      </c>
      <c r="E63" t="s">
        <v>153</v>
      </c>
      <c r="F63" s="2" t="str">
        <f t="shared" si="16"/>
        <v>354.27.b</v>
      </c>
      <c r="G63" s="2"/>
      <c r="H63" s="275"/>
      <c r="I63" s="28"/>
      <c r="J63" s="275">
        <f t="shared" si="5"/>
        <v>55235179.340000004</v>
      </c>
      <c r="T63" s="276">
        <v>55764516</v>
      </c>
      <c r="U63" s="276">
        <v>-529336.65999999992</v>
      </c>
      <c r="V63" s="192" t="s">
        <v>849</v>
      </c>
      <c r="W63" s="276"/>
      <c r="X63" s="276"/>
      <c r="Y63" s="276"/>
      <c r="AA63" s="201">
        <v>0</v>
      </c>
      <c r="AB63" s="201">
        <v>78745238.709999993</v>
      </c>
      <c r="AC63" s="201"/>
      <c r="AD63" s="201"/>
    </row>
    <row r="64" spans="2:30" x14ac:dyDescent="0.25">
      <c r="B64" s="2">
        <v>354</v>
      </c>
      <c r="C64" s="314">
        <v>28</v>
      </c>
      <c r="D64" s="2" t="s">
        <v>13</v>
      </c>
      <c r="E64" t="s">
        <v>5</v>
      </c>
      <c r="F64" s="2" t="str">
        <f t="shared" si="16"/>
        <v>354.28.b</v>
      </c>
      <c r="G64" s="2"/>
      <c r="H64" s="275"/>
      <c r="I64" s="28"/>
      <c r="J64" s="275">
        <f t="shared" si="5"/>
        <v>293470186</v>
      </c>
      <c r="T64" s="276">
        <v>293470186</v>
      </c>
      <c r="U64" s="276"/>
      <c r="V64" s="276"/>
      <c r="W64" s="276"/>
      <c r="X64" s="276"/>
      <c r="Y64" s="276"/>
      <c r="AA64" s="201">
        <v>0</v>
      </c>
      <c r="AB64" s="201">
        <v>317814547</v>
      </c>
      <c r="AC64" s="201"/>
      <c r="AD64" s="201"/>
    </row>
    <row r="65" spans="2:30" x14ac:dyDescent="0.25">
      <c r="B65" s="2">
        <v>400</v>
      </c>
      <c r="C65" s="314">
        <v>17</v>
      </c>
      <c r="D65" s="2" t="s">
        <v>17</v>
      </c>
      <c r="E65" t="s">
        <v>96</v>
      </c>
      <c r="F65" s="2" t="str">
        <f>B65&amp;"."&amp;C65&amp;"."&amp;D65</f>
        <v>400.17.e</v>
      </c>
      <c r="G65" s="2"/>
      <c r="H65" s="275"/>
      <c r="I65" s="28"/>
      <c r="J65" s="275">
        <f t="shared" si="5"/>
        <v>85106</v>
      </c>
      <c r="T65" s="276">
        <v>85106</v>
      </c>
      <c r="U65" s="276"/>
      <c r="V65" s="276"/>
      <c r="W65" s="276"/>
      <c r="X65" s="276"/>
      <c r="Y65" s="276"/>
      <c r="AA65" s="201">
        <v>0</v>
      </c>
      <c r="AB65" s="201">
        <v>84456</v>
      </c>
      <c r="AC65" s="201"/>
      <c r="AD65" s="201"/>
    </row>
    <row r="66" spans="2:30" x14ac:dyDescent="0.25">
      <c r="B66" s="2">
        <v>400</v>
      </c>
      <c r="C66" s="314">
        <v>17</v>
      </c>
      <c r="D66" s="2" t="s">
        <v>35</v>
      </c>
      <c r="E66" t="s">
        <v>95</v>
      </c>
      <c r="F66" s="2" t="str">
        <f>B66&amp;"."&amp;C66&amp;"."&amp;D66</f>
        <v>400.17.f</v>
      </c>
      <c r="G66" s="2"/>
      <c r="H66" s="275"/>
      <c r="I66" s="28"/>
      <c r="J66" s="275">
        <f t="shared" si="5"/>
        <v>32347</v>
      </c>
      <c r="T66" s="276">
        <v>32347</v>
      </c>
      <c r="U66" s="276"/>
      <c r="V66" s="276"/>
      <c r="W66" s="276"/>
      <c r="X66" s="276"/>
      <c r="Y66" s="276"/>
      <c r="AA66" s="201">
        <v>0</v>
      </c>
      <c r="AB66" s="201">
        <v>31432</v>
      </c>
      <c r="AC66" s="201"/>
      <c r="AD66" s="201"/>
    </row>
    <row r="67" spans="2:30" x14ac:dyDescent="0.25">
      <c r="B67" s="2">
        <v>400</v>
      </c>
      <c r="C67" s="2">
        <v>17</v>
      </c>
      <c r="D67" s="2" t="s">
        <v>14</v>
      </c>
      <c r="E67" s="137" t="s">
        <v>846</v>
      </c>
      <c r="F67" s="2" t="str">
        <f>B67&amp;"."&amp;C67&amp;"."&amp;D67</f>
        <v>400.17.g</v>
      </c>
      <c r="G67" s="2"/>
      <c r="H67" s="275"/>
      <c r="I67" s="28"/>
      <c r="J67" s="275">
        <f t="shared" si="5"/>
        <v>2110</v>
      </c>
      <c r="T67" s="276">
        <v>2108</v>
      </c>
      <c r="U67" s="276">
        <v>2</v>
      </c>
      <c r="V67" s="192" t="s">
        <v>850</v>
      </c>
      <c r="W67" s="276"/>
      <c r="X67" s="276"/>
      <c r="Y67" s="276"/>
      <c r="AA67" s="201">
        <v>0</v>
      </c>
      <c r="AB67" s="201">
        <v>3109</v>
      </c>
      <c r="AC67" s="201"/>
      <c r="AD67" s="201"/>
    </row>
    <row r="68" spans="2:30" x14ac:dyDescent="0.25">
      <c r="B68" s="2">
        <v>400</v>
      </c>
      <c r="C68" s="2">
        <v>17</v>
      </c>
      <c r="D68" s="2" t="s">
        <v>34</v>
      </c>
      <c r="E68" t="s">
        <v>146</v>
      </c>
      <c r="F68" s="2" t="str">
        <f>B68&amp;"."&amp;C68&amp;"."&amp;D68</f>
        <v>400.17.h</v>
      </c>
      <c r="G68" s="2"/>
      <c r="H68" s="275"/>
      <c r="I68" s="28"/>
      <c r="J68" s="275">
        <f t="shared" si="5"/>
        <v>490</v>
      </c>
      <c r="L68" s="277"/>
      <c r="T68" s="276">
        <v>483</v>
      </c>
      <c r="U68" s="276">
        <v>7</v>
      </c>
      <c r="V68" s="192" t="s">
        <v>851</v>
      </c>
      <c r="W68" s="276"/>
      <c r="X68" s="276"/>
      <c r="Y68" s="276"/>
      <c r="AA68" s="201">
        <v>0</v>
      </c>
      <c r="AB68" s="201">
        <v>486</v>
      </c>
      <c r="AC68" s="201"/>
      <c r="AD68" s="201"/>
    </row>
    <row r="69" spans="2:30" ht="15.6" x14ac:dyDescent="0.3">
      <c r="B69" s="2">
        <v>400</v>
      </c>
      <c r="C69" s="2">
        <v>17</v>
      </c>
      <c r="D69" s="2" t="s">
        <v>94</v>
      </c>
      <c r="E69" s="137" t="s">
        <v>847</v>
      </c>
      <c r="F69" s="2" t="str">
        <f>B69&amp;"."&amp;C69&amp;"."&amp;D69</f>
        <v>400.17.i</v>
      </c>
      <c r="G69" s="2"/>
      <c r="H69" s="275"/>
      <c r="I69" s="28"/>
      <c r="J69" s="275">
        <f t="shared" si="5"/>
        <v>0</v>
      </c>
      <c r="M69" s="219"/>
      <c r="N69" s="220"/>
      <c r="O69" s="220"/>
      <c r="P69" s="218"/>
      <c r="Q69" s="218"/>
      <c r="T69" s="276">
        <v>0</v>
      </c>
      <c r="U69" s="276"/>
      <c r="V69" s="276"/>
      <c r="W69" s="276"/>
      <c r="X69" s="276"/>
      <c r="Y69" s="276"/>
      <c r="AA69" s="201">
        <v>0</v>
      </c>
      <c r="AB69" s="201">
        <v>0</v>
      </c>
      <c r="AC69" s="201"/>
      <c r="AD69" s="201"/>
    </row>
    <row r="70" spans="2:30" ht="15" x14ac:dyDescent="0.25">
      <c r="B70" s="2"/>
      <c r="D70" s="2"/>
      <c r="H70" s="137"/>
      <c r="I70" s="137"/>
      <c r="J70" s="137"/>
      <c r="M70" s="220"/>
      <c r="N70" s="220"/>
      <c r="O70" s="221"/>
      <c r="P70" s="218"/>
      <c r="Q70" s="218"/>
      <c r="T70" s="276"/>
      <c r="U70" s="276"/>
      <c r="V70" s="276"/>
      <c r="W70" s="276"/>
      <c r="X70" s="276"/>
      <c r="Y70" s="276"/>
      <c r="AA70" s="201">
        <v>0</v>
      </c>
      <c r="AB70" s="201">
        <v>0</v>
      </c>
      <c r="AC70" s="201"/>
      <c r="AD70" s="201"/>
    </row>
    <row r="71" spans="2:30" ht="15" x14ac:dyDescent="0.25">
      <c r="B71" s="3" t="s">
        <v>238</v>
      </c>
      <c r="H71" s="137"/>
      <c r="I71" s="137"/>
      <c r="J71" s="137"/>
      <c r="M71" s="220"/>
      <c r="N71" s="220"/>
      <c r="O71" s="221"/>
      <c r="P71" s="218"/>
      <c r="Q71" s="218"/>
      <c r="T71" s="276"/>
      <c r="U71" s="276"/>
      <c r="V71" s="276"/>
      <c r="W71" s="276"/>
      <c r="X71" s="276"/>
      <c r="Y71" s="276"/>
      <c r="AA71" s="201">
        <v>0</v>
      </c>
      <c r="AB71" s="201">
        <v>0</v>
      </c>
      <c r="AC71" s="201"/>
      <c r="AD71" s="201"/>
    </row>
    <row r="72" spans="2:30" ht="15" x14ac:dyDescent="0.25">
      <c r="H72" s="137"/>
      <c r="I72" s="137"/>
      <c r="J72" s="137"/>
      <c r="M72" s="220"/>
      <c r="N72" s="220"/>
      <c r="O72" s="220"/>
      <c r="P72" s="218"/>
      <c r="Q72" s="218"/>
      <c r="T72" s="276"/>
      <c r="U72" s="276"/>
      <c r="V72" s="276"/>
      <c r="W72" s="276"/>
      <c r="X72" s="276"/>
      <c r="Y72" s="276"/>
      <c r="AA72" s="201">
        <v>0</v>
      </c>
      <c r="AB72" s="201">
        <v>0</v>
      </c>
      <c r="AC72" s="201"/>
      <c r="AD72" s="201"/>
    </row>
    <row r="73" spans="2:30" x14ac:dyDescent="0.25">
      <c r="B73" s="38">
        <v>200</v>
      </c>
      <c r="C73" s="38">
        <v>21</v>
      </c>
      <c r="D73" s="38" t="s">
        <v>12</v>
      </c>
      <c r="E73" s="33" t="s">
        <v>158</v>
      </c>
      <c r="F73" s="38" t="str">
        <f t="shared" ref="F73:F78" si="18">FIXED(B73,0)&amp;"."&amp;FIXED(C73,0)&amp;"."&amp;D73</f>
        <v>200.21.c</v>
      </c>
      <c r="G73" s="38"/>
      <c r="H73" s="42"/>
      <c r="I73" s="42"/>
      <c r="J73" s="42">
        <f>T73+U73</f>
        <v>129155675</v>
      </c>
      <c r="M73" s="35"/>
      <c r="T73" s="276">
        <f>AB23</f>
        <v>129155675</v>
      </c>
      <c r="U73" s="276"/>
      <c r="V73" s="276"/>
      <c r="W73" s="276"/>
      <c r="X73" s="276"/>
      <c r="Y73" s="276"/>
      <c r="AA73" s="201">
        <v>0</v>
      </c>
      <c r="AB73" s="201">
        <v>138037065</v>
      </c>
      <c r="AC73" s="201"/>
      <c r="AD73" s="201"/>
    </row>
    <row r="74" spans="2:30" ht="15" x14ac:dyDescent="0.25">
      <c r="B74" s="38">
        <v>214</v>
      </c>
      <c r="C74" s="38">
        <v>47</v>
      </c>
      <c r="D74" s="38" t="s">
        <v>15</v>
      </c>
      <c r="E74" s="33" t="s">
        <v>242</v>
      </c>
      <c r="F74" s="38" t="str">
        <f t="shared" si="18"/>
        <v>214.47.d</v>
      </c>
      <c r="G74" s="38"/>
      <c r="H74" s="42"/>
      <c r="I74" s="42"/>
      <c r="J74" s="42">
        <f t="shared" ref="J74:J79" si="19">T74+U74</f>
        <v>29554745</v>
      </c>
      <c r="K74" s="137"/>
      <c r="O74" s="308"/>
      <c r="P74" s="308"/>
      <c r="Q74" s="308"/>
      <c r="T74" s="276">
        <f>+AB29</f>
        <v>29554745</v>
      </c>
      <c r="U74" s="276"/>
      <c r="V74" s="192"/>
      <c r="W74" s="276"/>
      <c r="X74" s="276"/>
      <c r="Y74" s="276"/>
      <c r="AA74" s="201">
        <v>0</v>
      </c>
      <c r="AB74" s="201">
        <v>12613437</v>
      </c>
      <c r="AC74" s="201"/>
      <c r="AD74" s="201"/>
    </row>
    <row r="75" spans="2:30" ht="15.6" x14ac:dyDescent="0.3">
      <c r="B75" s="38">
        <v>219</v>
      </c>
      <c r="C75" s="121" t="s">
        <v>426</v>
      </c>
      <c r="D75" s="43" t="s">
        <v>12</v>
      </c>
      <c r="E75" s="33" t="s">
        <v>159</v>
      </c>
      <c r="F75" s="38" t="str">
        <f>B75&amp;"."&amp;C75&amp;"."&amp;D75</f>
        <v>219.20 thru 24.c</v>
      </c>
      <c r="G75" s="38"/>
      <c r="H75" s="42"/>
      <c r="I75" s="42"/>
      <c r="J75" s="42">
        <f t="shared" si="19"/>
        <v>2347335972</v>
      </c>
      <c r="O75" s="309"/>
      <c r="P75" s="309"/>
      <c r="Q75" s="310"/>
      <c r="T75" s="276">
        <f>AB30</f>
        <v>2347335972</v>
      </c>
      <c r="U75" s="276"/>
      <c r="V75" s="276"/>
      <c r="W75" s="276"/>
      <c r="X75" s="276"/>
      <c r="Y75" s="276"/>
      <c r="AA75" s="201">
        <v>0</v>
      </c>
      <c r="AB75" s="201">
        <v>2277766078</v>
      </c>
      <c r="AC75" s="201"/>
      <c r="AD75" s="201"/>
    </row>
    <row r="76" spans="2:30" ht="15" x14ac:dyDescent="0.25">
      <c r="B76" s="38">
        <v>219</v>
      </c>
      <c r="C76" s="38">
        <v>25</v>
      </c>
      <c r="D76" s="43" t="s">
        <v>12</v>
      </c>
      <c r="E76" s="33" t="s">
        <v>160</v>
      </c>
      <c r="F76" s="38" t="str">
        <f t="shared" si="18"/>
        <v>219.25.c</v>
      </c>
      <c r="G76" s="38"/>
      <c r="H76" s="42"/>
      <c r="I76" s="42"/>
      <c r="J76" s="42">
        <f t="shared" si="19"/>
        <v>559906250.55550098</v>
      </c>
      <c r="K76" s="137"/>
      <c r="O76" s="308"/>
      <c r="P76" s="308"/>
      <c r="Q76" s="310"/>
      <c r="T76" s="276">
        <f>+AB31</f>
        <v>559906250.55550098</v>
      </c>
      <c r="U76" s="276">
        <f>+O24*0</f>
        <v>0</v>
      </c>
      <c r="V76" s="192" t="s">
        <v>1093</v>
      </c>
      <c r="W76" s="276"/>
      <c r="X76" s="276"/>
      <c r="Y76" s="276"/>
      <c r="AA76" s="201">
        <v>0</v>
      </c>
      <c r="AB76" s="201">
        <v>539294144.47570539</v>
      </c>
      <c r="AC76" s="201"/>
      <c r="AD76" s="201"/>
    </row>
    <row r="77" spans="2:30" x14ac:dyDescent="0.25">
      <c r="B77" s="38">
        <v>219</v>
      </c>
      <c r="C77" s="38">
        <v>26</v>
      </c>
      <c r="D77" s="43" t="s">
        <v>12</v>
      </c>
      <c r="E77" s="33" t="s">
        <v>161</v>
      </c>
      <c r="F77" s="38" t="str">
        <f t="shared" si="18"/>
        <v>219.26.c</v>
      </c>
      <c r="G77" s="38"/>
      <c r="H77" s="42"/>
      <c r="I77" s="42"/>
      <c r="J77" s="42">
        <f t="shared" si="19"/>
        <v>1780751221</v>
      </c>
      <c r="T77" s="276">
        <f>AB32</f>
        <v>1780751221</v>
      </c>
      <c r="U77" s="276"/>
      <c r="V77" s="276"/>
      <c r="W77" s="276"/>
      <c r="X77" s="276"/>
      <c r="Y77" s="276"/>
      <c r="AA77" s="201">
        <v>0</v>
      </c>
      <c r="AB77" s="201">
        <v>1705437350</v>
      </c>
      <c r="AC77" s="201"/>
      <c r="AD77" s="201"/>
    </row>
    <row r="78" spans="2:30" x14ac:dyDescent="0.25">
      <c r="B78" s="38">
        <v>219</v>
      </c>
      <c r="C78" s="38">
        <v>28</v>
      </c>
      <c r="D78" s="43" t="s">
        <v>12</v>
      </c>
      <c r="E78" s="33" t="s">
        <v>162</v>
      </c>
      <c r="F78" s="38" t="str">
        <f t="shared" si="18"/>
        <v>219.28.c</v>
      </c>
      <c r="G78" s="38"/>
      <c r="H78" s="42"/>
      <c r="I78" s="42"/>
      <c r="J78" s="42">
        <f t="shared" si="19"/>
        <v>95523096</v>
      </c>
      <c r="T78" s="276">
        <f>AB33</f>
        <v>95523096</v>
      </c>
      <c r="U78" s="276"/>
      <c r="V78" s="276"/>
      <c r="W78" s="276"/>
      <c r="X78" s="276"/>
      <c r="Y78" s="276"/>
      <c r="AA78" s="201">
        <v>0</v>
      </c>
      <c r="AB78" s="201">
        <v>89081929</v>
      </c>
      <c r="AC78" s="201"/>
      <c r="AD78" s="201"/>
    </row>
    <row r="79" spans="2:30" x14ac:dyDescent="0.25">
      <c r="B79" s="38" t="s">
        <v>16</v>
      </c>
      <c r="C79" s="38">
        <v>5</v>
      </c>
      <c r="D79" s="38" t="s">
        <v>35</v>
      </c>
      <c r="E79" s="33" t="s">
        <v>169</v>
      </c>
      <c r="F79" s="38" t="str">
        <f>B79&amp;"."&amp;C79&amp;"."&amp;D79</f>
        <v>230a.5.f</v>
      </c>
      <c r="G79" s="38"/>
      <c r="H79" s="42"/>
      <c r="I79" s="42"/>
      <c r="J79" s="42">
        <f t="shared" si="19"/>
        <v>-6667985.7900000066</v>
      </c>
      <c r="T79" s="276">
        <f>AB38</f>
        <v>-6667985.7900000066</v>
      </c>
      <c r="U79" s="276"/>
      <c r="V79" s="276"/>
      <c r="W79" s="276"/>
      <c r="X79" s="276"/>
      <c r="Y79" s="276"/>
      <c r="AA79" s="201">
        <v>0</v>
      </c>
      <c r="AB79" s="201">
        <v>-4618198</v>
      </c>
      <c r="AC79" s="201"/>
      <c r="AD79" s="201"/>
    </row>
    <row r="85" spans="2:10" x14ac:dyDescent="0.25">
      <c r="B85" s="3" t="s">
        <v>1070</v>
      </c>
    </row>
    <row r="86" spans="2:10" x14ac:dyDescent="0.25">
      <c r="B86" s="137"/>
      <c r="E86" s="137" t="s">
        <v>1041</v>
      </c>
      <c r="H86" s="33"/>
      <c r="I86" s="33"/>
      <c r="J86" s="50">
        <v>0.1</v>
      </c>
    </row>
    <row r="87" spans="2:10" x14ac:dyDescent="0.25">
      <c r="E87" s="137" t="s">
        <v>1042</v>
      </c>
      <c r="F87" s="137" t="s">
        <v>1044</v>
      </c>
      <c r="H87" s="33"/>
      <c r="I87" s="33"/>
      <c r="J87" s="50">
        <v>0.35</v>
      </c>
    </row>
    <row r="88" spans="2:10" x14ac:dyDescent="0.25">
      <c r="E88" s="137" t="s">
        <v>1043</v>
      </c>
      <c r="F88" s="137" t="s">
        <v>1044</v>
      </c>
      <c r="H88" s="33"/>
      <c r="I88" s="33"/>
      <c r="J88" s="50">
        <v>5.5E-2</v>
      </c>
    </row>
    <row r="89" spans="2:10" x14ac:dyDescent="0.25">
      <c r="H89" s="33"/>
      <c r="I89" s="33"/>
      <c r="J89" s="33"/>
    </row>
    <row r="90" spans="2:10" x14ac:dyDescent="0.25">
      <c r="E90" s="137" t="s">
        <v>1078</v>
      </c>
      <c r="F90" s="137" t="s">
        <v>1086</v>
      </c>
      <c r="H90" s="276">
        <v>39937905.579999998</v>
      </c>
      <c r="I90" s="33"/>
      <c r="J90" s="276">
        <v>44056177.590000004</v>
      </c>
    </row>
    <row r="91" spans="2:10" x14ac:dyDescent="0.25">
      <c r="H91" s="33"/>
      <c r="I91" s="33"/>
      <c r="J91" s="33"/>
    </row>
    <row r="92" spans="2:10" x14ac:dyDescent="0.25">
      <c r="B92" s="371">
        <v>335</v>
      </c>
      <c r="C92" s="371">
        <v>3</v>
      </c>
      <c r="D92" s="371" t="s">
        <v>13</v>
      </c>
      <c r="E92" t="s">
        <v>1094</v>
      </c>
      <c r="F92" t="s">
        <v>1095</v>
      </c>
      <c r="H92" s="33"/>
      <c r="I92" s="33"/>
      <c r="J92" s="276">
        <v>-171479</v>
      </c>
    </row>
  </sheetData>
  <mergeCells count="4">
    <mergeCell ref="K3:L3"/>
    <mergeCell ref="A5:L5"/>
    <mergeCell ref="A6:L6"/>
    <mergeCell ref="AA8:AB8"/>
  </mergeCells>
  <phoneticPr fontId="0" type="noConversion"/>
  <printOptions horizontalCentered="1"/>
  <pageMargins left="0.5" right="0.5" top="0.5" bottom="0.5" header="0.5" footer="0.5"/>
  <pageSetup scale="67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L72"/>
  <sheetViews>
    <sheetView topLeftCell="A38" workbookViewId="0">
      <selection activeCell="F63" sqref="F63"/>
    </sheetView>
  </sheetViews>
  <sheetFormatPr defaultColWidth="9.109375" defaultRowHeight="13.2" x14ac:dyDescent="0.25"/>
  <cols>
    <col min="1" max="1" width="5.6640625" style="119" customWidth="1"/>
    <col min="2" max="2" width="3.6640625" style="119" customWidth="1"/>
    <col min="3" max="3" width="9.109375" style="119"/>
    <col min="4" max="4" width="14.5546875" style="119" customWidth="1"/>
    <col min="5" max="5" width="25.33203125" style="119" customWidth="1"/>
    <col min="6" max="10" width="12.6640625" style="119" customWidth="1"/>
    <col min="11" max="11" width="11.6640625" style="119" customWidth="1"/>
    <col min="12" max="12" width="13.44140625" style="119" customWidth="1"/>
    <col min="13" max="16384" width="9.109375" style="119"/>
  </cols>
  <sheetData>
    <row r="1" spans="1:12" ht="13.8" x14ac:dyDescent="0.25">
      <c r="A1" s="119" t="s">
        <v>382</v>
      </c>
      <c r="K1" s="323" t="s">
        <v>824</v>
      </c>
    </row>
    <row r="2" spans="1:12" ht="13.8" x14ac:dyDescent="0.25">
      <c r="K2" s="323" t="s">
        <v>358</v>
      </c>
    </row>
    <row r="3" spans="1:12" x14ac:dyDescent="0.25">
      <c r="K3" s="470"/>
      <c r="L3" s="470"/>
    </row>
    <row r="5" spans="1:12" x14ac:dyDescent="0.25">
      <c r="A5" s="471" t="s">
        <v>826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</row>
    <row r="6" spans="1:12" ht="6" customHeight="1" x14ac:dyDescent="0.25"/>
    <row r="7" spans="1:12" x14ac:dyDescent="0.25">
      <c r="A7" s="472" t="s">
        <v>381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</row>
    <row r="10" spans="1:12" x14ac:dyDescent="0.25">
      <c r="A10" s="324" t="s">
        <v>276</v>
      </c>
      <c r="B10" s="325"/>
      <c r="C10" s="325"/>
      <c r="D10" s="325"/>
      <c r="E10" s="325"/>
      <c r="F10" s="280"/>
      <c r="G10" s="280"/>
      <c r="H10" s="280"/>
      <c r="I10" s="280"/>
      <c r="J10" s="280"/>
    </row>
    <row r="11" spans="1:12" ht="13.8" thickBot="1" x14ac:dyDescent="0.3"/>
    <row r="12" spans="1:12" ht="13.8" thickBot="1" x14ac:dyDescent="0.3">
      <c r="A12" s="326">
        <v>1</v>
      </c>
      <c r="B12" s="348" t="s">
        <v>388</v>
      </c>
      <c r="C12" s="348"/>
      <c r="D12" s="348"/>
      <c r="E12" s="348"/>
      <c r="F12" s="348"/>
    </row>
    <row r="13" spans="1:12" x14ac:dyDescent="0.25">
      <c r="A13" s="326">
        <f t="shared" ref="A13:A44" si="0">A12+1</f>
        <v>2</v>
      </c>
      <c r="H13" s="123"/>
      <c r="I13" s="123"/>
      <c r="J13" s="123"/>
    </row>
    <row r="14" spans="1:12" x14ac:dyDescent="0.25">
      <c r="A14" s="326">
        <f t="shared" si="0"/>
        <v>3</v>
      </c>
      <c r="C14" s="327" t="s">
        <v>389</v>
      </c>
      <c r="E14" s="123"/>
      <c r="F14" s="123"/>
      <c r="H14" s="123"/>
      <c r="I14" s="123"/>
      <c r="J14" s="123"/>
    </row>
    <row r="15" spans="1:12" x14ac:dyDescent="0.25">
      <c r="A15" s="326">
        <f t="shared" si="0"/>
        <v>4</v>
      </c>
      <c r="C15" s="328"/>
      <c r="E15" s="123"/>
      <c r="F15" s="123"/>
      <c r="H15" s="123"/>
      <c r="I15" s="123"/>
      <c r="J15" s="123"/>
    </row>
    <row r="16" spans="1:12" x14ac:dyDescent="0.25">
      <c r="A16" s="326">
        <f t="shared" si="0"/>
        <v>5</v>
      </c>
      <c r="C16" s="329" t="s">
        <v>389</v>
      </c>
      <c r="E16" s="123"/>
      <c r="F16" s="123"/>
      <c r="H16" s="123"/>
      <c r="I16" s="123"/>
      <c r="J16" s="123"/>
    </row>
    <row r="17" spans="1:11" x14ac:dyDescent="0.25">
      <c r="A17" s="326">
        <f t="shared" si="0"/>
        <v>6</v>
      </c>
      <c r="C17" s="328" t="s">
        <v>277</v>
      </c>
      <c r="E17" s="123" t="s">
        <v>843</v>
      </c>
      <c r="F17" s="126">
        <f>'DEF - 2 - Page 5 Storm'!$K$19</f>
        <v>13307907.028750595</v>
      </c>
      <c r="H17" s="123"/>
      <c r="I17" s="123"/>
      <c r="J17" s="123"/>
    </row>
    <row r="18" spans="1:11" x14ac:dyDescent="0.25">
      <c r="A18" s="326">
        <f t="shared" si="0"/>
        <v>7</v>
      </c>
      <c r="C18" s="328" t="s">
        <v>278</v>
      </c>
      <c r="E18" s="123" t="s">
        <v>844</v>
      </c>
      <c r="F18" s="128">
        <f>'DEF - 2 - Page 5 Storm'!$K$24</f>
        <v>8614773.8050481882</v>
      </c>
      <c r="H18" s="123"/>
      <c r="I18" s="123"/>
      <c r="J18" s="123"/>
    </row>
    <row r="19" spans="1:11" x14ac:dyDescent="0.25">
      <c r="A19" s="326">
        <f t="shared" si="0"/>
        <v>8</v>
      </c>
      <c r="C19" s="119" t="s">
        <v>372</v>
      </c>
      <c r="F19" s="126">
        <f>F17+F18</f>
        <v>21922680.833798781</v>
      </c>
      <c r="G19" s="123"/>
      <c r="H19" s="127"/>
      <c r="I19" s="127"/>
      <c r="J19" s="127"/>
    </row>
    <row r="20" spans="1:11" x14ac:dyDescent="0.25">
      <c r="A20" s="326">
        <f t="shared" si="0"/>
        <v>9</v>
      </c>
      <c r="C20" s="330" t="s">
        <v>390</v>
      </c>
      <c r="F20" s="123"/>
      <c r="G20" s="123"/>
      <c r="H20" s="127"/>
      <c r="I20" s="127"/>
      <c r="J20" s="127"/>
    </row>
    <row r="21" spans="1:11" x14ac:dyDescent="0.25">
      <c r="A21" s="326">
        <f t="shared" si="0"/>
        <v>10</v>
      </c>
      <c r="B21" s="331"/>
      <c r="C21" s="328" t="s">
        <v>391</v>
      </c>
      <c r="F21" s="123"/>
      <c r="G21" s="123"/>
      <c r="H21" s="127"/>
      <c r="I21" s="127"/>
      <c r="J21" s="127"/>
    </row>
    <row r="22" spans="1:11" x14ac:dyDescent="0.25">
      <c r="A22" s="326">
        <f t="shared" si="0"/>
        <v>11</v>
      </c>
      <c r="C22" s="332" t="s">
        <v>392</v>
      </c>
      <c r="E22" s="123" t="s">
        <v>845</v>
      </c>
      <c r="F22" s="126">
        <f>'DEF - 2 - Page 5 Storm'!$K$26</f>
        <v>368844.85383767809</v>
      </c>
      <c r="H22" s="127"/>
      <c r="I22" s="127"/>
      <c r="J22" s="127"/>
    </row>
    <row r="23" spans="1:11" x14ac:dyDescent="0.25">
      <c r="A23" s="326">
        <f t="shared" si="0"/>
        <v>12</v>
      </c>
      <c r="C23" s="332" t="s">
        <v>393</v>
      </c>
      <c r="E23" s="123" t="s">
        <v>394</v>
      </c>
      <c r="F23" s="126">
        <f>F22*5</f>
        <v>1844224.2691883906</v>
      </c>
      <c r="H23" s="127"/>
      <c r="I23" s="127"/>
      <c r="J23" s="127"/>
    </row>
    <row r="24" spans="1:11" x14ac:dyDescent="0.25">
      <c r="A24" s="326">
        <f t="shared" si="0"/>
        <v>13</v>
      </c>
      <c r="F24" s="123"/>
      <c r="G24" s="123"/>
      <c r="H24" s="127"/>
      <c r="I24" s="127"/>
      <c r="J24" s="127"/>
    </row>
    <row r="25" spans="1:11" x14ac:dyDescent="0.25">
      <c r="A25" s="326">
        <f t="shared" si="0"/>
        <v>14</v>
      </c>
      <c r="C25" s="330" t="s">
        <v>395</v>
      </c>
      <c r="E25" s="123" t="s">
        <v>396</v>
      </c>
      <c r="F25" s="126">
        <f>F19-F23</f>
        <v>20078456.564610392</v>
      </c>
      <c r="H25" s="127"/>
      <c r="I25" s="127"/>
      <c r="J25" s="127"/>
    </row>
    <row r="26" spans="1:11" x14ac:dyDescent="0.25">
      <c r="A26" s="326">
        <f t="shared" si="0"/>
        <v>15</v>
      </c>
      <c r="F26" s="123"/>
      <c r="G26" s="123"/>
      <c r="H26" s="127"/>
      <c r="I26" s="127"/>
      <c r="J26" s="127"/>
    </row>
    <row r="27" spans="1:11" x14ac:dyDescent="0.25">
      <c r="A27" s="326">
        <f t="shared" si="0"/>
        <v>16</v>
      </c>
      <c r="C27" s="333" t="s">
        <v>397</v>
      </c>
      <c r="F27" s="280">
        <v>2008</v>
      </c>
      <c r="G27" s="280">
        <v>2009</v>
      </c>
      <c r="H27" s="280">
        <v>2010</v>
      </c>
      <c r="I27" s="280">
        <v>2011</v>
      </c>
      <c r="J27" s="280">
        <v>2012</v>
      </c>
      <c r="K27" s="280" t="s">
        <v>22</v>
      </c>
    </row>
    <row r="28" spans="1:11" x14ac:dyDescent="0.25">
      <c r="A28" s="326">
        <f t="shared" si="0"/>
        <v>17</v>
      </c>
      <c r="F28" s="123"/>
    </row>
    <row r="29" spans="1:11" x14ac:dyDescent="0.25">
      <c r="A29" s="326">
        <f t="shared" si="0"/>
        <v>18</v>
      </c>
      <c r="C29" s="119" t="s">
        <v>398</v>
      </c>
      <c r="F29" s="123"/>
      <c r="G29" s="123"/>
      <c r="H29" s="123"/>
      <c r="I29" s="123"/>
      <c r="J29" s="123"/>
    </row>
    <row r="30" spans="1:11" x14ac:dyDescent="0.25">
      <c r="A30" s="326">
        <f t="shared" si="0"/>
        <v>19</v>
      </c>
      <c r="C30" s="328" t="s">
        <v>378</v>
      </c>
      <c r="E30" s="328" t="s">
        <v>399</v>
      </c>
      <c r="F30" s="123">
        <v>6593.3859762747506</v>
      </c>
      <c r="G30" s="123">
        <v>13904.176834689111</v>
      </c>
      <c r="H30" s="123">
        <v>30194.461167706668</v>
      </c>
      <c r="I30" s="123">
        <v>37330.800746542569</v>
      </c>
      <c r="J30" s="123">
        <v>39888.800701937114</v>
      </c>
      <c r="K30" s="123">
        <f>SUM(F30:J30)</f>
        <v>127911.62542715023</v>
      </c>
    </row>
    <row r="31" spans="1:11" x14ac:dyDescent="0.25">
      <c r="A31" s="326">
        <f t="shared" si="0"/>
        <v>20</v>
      </c>
      <c r="C31" s="328" t="s">
        <v>373</v>
      </c>
      <c r="E31" s="328" t="s">
        <v>399</v>
      </c>
      <c r="F31" s="124">
        <v>3000</v>
      </c>
      <c r="G31" s="124">
        <v>3000</v>
      </c>
      <c r="H31" s="124">
        <v>3000</v>
      </c>
      <c r="I31" s="124">
        <v>3000</v>
      </c>
      <c r="J31" s="124">
        <v>3000</v>
      </c>
      <c r="K31" s="124">
        <f>SUM(F31:J31)</f>
        <v>15000</v>
      </c>
    </row>
    <row r="32" spans="1:11" x14ac:dyDescent="0.25">
      <c r="A32" s="326">
        <f t="shared" si="0"/>
        <v>21</v>
      </c>
      <c r="C32" s="119" t="s">
        <v>400</v>
      </c>
      <c r="F32" s="123">
        <f t="shared" ref="F32:K32" si="1">SUM(F30:F31)</f>
        <v>9593.3859762747506</v>
      </c>
      <c r="G32" s="123">
        <f t="shared" si="1"/>
        <v>16904.176834689111</v>
      </c>
      <c r="H32" s="123">
        <f t="shared" si="1"/>
        <v>33194.461167706671</v>
      </c>
      <c r="I32" s="123">
        <f t="shared" si="1"/>
        <v>40330.800746542569</v>
      </c>
      <c r="J32" s="123">
        <f t="shared" si="1"/>
        <v>42888.800701937114</v>
      </c>
      <c r="K32" s="123">
        <f t="shared" si="1"/>
        <v>142911.62542715023</v>
      </c>
    </row>
    <row r="33" spans="1:11" x14ac:dyDescent="0.25">
      <c r="A33" s="326">
        <f t="shared" si="0"/>
        <v>22</v>
      </c>
      <c r="F33" s="123"/>
    </row>
    <row r="34" spans="1:11" x14ac:dyDescent="0.25">
      <c r="A34" s="326">
        <f t="shared" si="0"/>
        <v>23</v>
      </c>
      <c r="C34" s="119" t="s">
        <v>401</v>
      </c>
      <c r="E34" s="334" t="s">
        <v>423</v>
      </c>
      <c r="F34" s="335">
        <f>F32/$K$32</f>
        <v>6.7128100653819925E-2</v>
      </c>
      <c r="G34" s="335">
        <f>G32/$K$32</f>
        <v>0.11828412688025917</v>
      </c>
      <c r="H34" s="335">
        <f>H32/$K$32</f>
        <v>0.23227264449964347</v>
      </c>
      <c r="I34" s="335">
        <f>I32/$K$32</f>
        <v>0.28220797731463321</v>
      </c>
      <c r="J34" s="335">
        <f>J32/$K$32</f>
        <v>0.30010715065164417</v>
      </c>
      <c r="K34" s="336">
        <f>SUM(F34:J34)</f>
        <v>1</v>
      </c>
    </row>
    <row r="35" spans="1:11" ht="12" customHeight="1" x14ac:dyDescent="0.25">
      <c r="A35" s="326">
        <f t="shared" si="0"/>
        <v>24</v>
      </c>
      <c r="F35" s="123"/>
    </row>
    <row r="36" spans="1:11" ht="12" customHeight="1" x14ac:dyDescent="0.25">
      <c r="A36" s="326">
        <f t="shared" si="0"/>
        <v>25</v>
      </c>
      <c r="C36" s="119" t="s">
        <v>397</v>
      </c>
      <c r="F36" s="123"/>
    </row>
    <row r="37" spans="1:11" x14ac:dyDescent="0.25">
      <c r="A37" s="326">
        <f t="shared" si="0"/>
        <v>26</v>
      </c>
      <c r="C37" s="328" t="s">
        <v>277</v>
      </c>
      <c r="E37" s="119" t="s">
        <v>402</v>
      </c>
      <c r="F37" s="126">
        <f>F$34*$F$25*($F$17/$F$19)</f>
        <v>818183.62197674019</v>
      </c>
      <c r="G37" s="126">
        <f>G$34*$F$25*($F$17/$F$19)</f>
        <v>1441693.3357362852</v>
      </c>
      <c r="H37" s="126">
        <f>H$34*$F$25*($F$17/$F$19)</f>
        <v>2831030.1008348246</v>
      </c>
      <c r="I37" s="126">
        <f>I$34*$F$25*($F$17/$F$19)</f>
        <v>3439661.5244748043</v>
      </c>
      <c r="J37" s="126">
        <f>J$34*$F$25*($F$17/$F$19)</f>
        <v>3657823.6701131635</v>
      </c>
      <c r="K37" s="126">
        <f>SUM(F37:J37)</f>
        <v>12188392.253135817</v>
      </c>
    </row>
    <row r="38" spans="1:11" x14ac:dyDescent="0.25">
      <c r="A38" s="326">
        <f t="shared" si="0"/>
        <v>27</v>
      </c>
      <c r="C38" s="328" t="s">
        <v>278</v>
      </c>
      <c r="E38" s="119" t="s">
        <v>403</v>
      </c>
      <c r="F38" s="128">
        <f>F$34*$F$25*($F$18/$F$19)</f>
        <v>529645.03126577765</v>
      </c>
      <c r="G38" s="128">
        <f>G$34*$F$25*($F$18/$F$19)</f>
        <v>933269.36811186338</v>
      </c>
      <c r="H38" s="128">
        <f>H$34*$F$25*($F$18/$F$19)</f>
        <v>1832646.1028984583</v>
      </c>
      <c r="I38" s="128">
        <f>I$34*$F$25*($F$18/$F$19)</f>
        <v>2226639.0902236141</v>
      </c>
      <c r="J38" s="128">
        <f>J$34*$F$25*($F$18/$F$19)</f>
        <v>2367864.7189748613</v>
      </c>
      <c r="K38" s="124">
        <f>SUM(F38:J38)</f>
        <v>7890064.3114745747</v>
      </c>
    </row>
    <row r="39" spans="1:11" x14ac:dyDescent="0.25">
      <c r="A39" s="326">
        <f t="shared" si="0"/>
        <v>28</v>
      </c>
      <c r="C39" s="119" t="s">
        <v>279</v>
      </c>
      <c r="F39" s="126">
        <f t="shared" ref="F39:K39" si="2">SUM(F37:F38)</f>
        <v>1347828.6532425177</v>
      </c>
      <c r="G39" s="126">
        <f t="shared" si="2"/>
        <v>2374962.7038481487</v>
      </c>
      <c r="H39" s="126">
        <f t="shared" si="2"/>
        <v>4663676.2037332831</v>
      </c>
      <c r="I39" s="126">
        <f t="shared" si="2"/>
        <v>5666300.6146984184</v>
      </c>
      <c r="J39" s="126">
        <f t="shared" si="2"/>
        <v>6025688.3890880253</v>
      </c>
      <c r="K39" s="126">
        <f t="shared" si="2"/>
        <v>20078456.564610392</v>
      </c>
    </row>
    <row r="40" spans="1:11" x14ac:dyDescent="0.25">
      <c r="A40" s="326">
        <f t="shared" si="0"/>
        <v>29</v>
      </c>
      <c r="F40" s="123"/>
    </row>
    <row r="41" spans="1:11" ht="13.8" thickBot="1" x14ac:dyDescent="0.3">
      <c r="A41" s="326">
        <f t="shared" si="0"/>
        <v>30</v>
      </c>
      <c r="C41" s="331" t="s">
        <v>404</v>
      </c>
      <c r="D41" s="331"/>
      <c r="E41" s="331"/>
    </row>
    <row r="42" spans="1:11" ht="13.8" thickBot="1" x14ac:dyDescent="0.3">
      <c r="A42" s="326">
        <f t="shared" si="0"/>
        <v>31</v>
      </c>
      <c r="C42" s="337" t="s">
        <v>405</v>
      </c>
      <c r="E42" s="123" t="s">
        <v>406</v>
      </c>
      <c r="F42" s="347">
        <f t="shared" ref="F42:K42" si="3">F39/F32</f>
        <v>140.49561401738774</v>
      </c>
      <c r="G42" s="347">
        <f t="shared" si="3"/>
        <v>140.49561401738774</v>
      </c>
      <c r="H42" s="347">
        <f t="shared" si="3"/>
        <v>140.49561401738777</v>
      </c>
      <c r="I42" s="347">
        <f t="shared" si="3"/>
        <v>140.49561401738774</v>
      </c>
      <c r="J42" s="347">
        <f t="shared" si="3"/>
        <v>140.49561401738774</v>
      </c>
      <c r="K42" s="347">
        <f t="shared" si="3"/>
        <v>140.49561401738774</v>
      </c>
    </row>
    <row r="43" spans="1:11" ht="13.8" thickBot="1" x14ac:dyDescent="0.3">
      <c r="A43" s="326">
        <f t="shared" si="0"/>
        <v>32</v>
      </c>
    </row>
    <row r="44" spans="1:11" ht="13.8" thickBot="1" x14ac:dyDescent="0.3">
      <c r="A44" s="326">
        <f t="shared" si="0"/>
        <v>33</v>
      </c>
      <c r="B44" s="346" t="s">
        <v>407</v>
      </c>
      <c r="C44" s="346"/>
      <c r="D44" s="346"/>
      <c r="E44" s="346"/>
      <c r="F44" s="346"/>
    </row>
    <row r="45" spans="1:11" x14ac:dyDescent="0.25">
      <c r="A45" s="326">
        <f t="shared" ref="A45:A72" si="4">A44+1</f>
        <v>34</v>
      </c>
    </row>
    <row r="46" spans="1:11" x14ac:dyDescent="0.25">
      <c r="A46" s="326">
        <f t="shared" si="4"/>
        <v>35</v>
      </c>
      <c r="C46" s="338" t="s">
        <v>424</v>
      </c>
      <c r="F46" s="123"/>
      <c r="G46" s="123"/>
      <c r="H46" s="123"/>
      <c r="I46" s="123"/>
      <c r="J46" s="123"/>
    </row>
    <row r="47" spans="1:11" x14ac:dyDescent="0.25">
      <c r="A47" s="326">
        <f t="shared" si="4"/>
        <v>36</v>
      </c>
      <c r="C47" s="328" t="s">
        <v>378</v>
      </c>
      <c r="E47" s="328" t="s">
        <v>408</v>
      </c>
      <c r="F47" s="123">
        <f t="shared" ref="F47:J48" si="5">F30*1.05</f>
        <v>6923.0552750884881</v>
      </c>
      <c r="G47" s="123">
        <f t="shared" si="5"/>
        <v>14599.385676423568</v>
      </c>
      <c r="H47" s="123">
        <f t="shared" si="5"/>
        <v>31704.184226092002</v>
      </c>
      <c r="I47" s="123">
        <f t="shared" si="5"/>
        <v>39197.340783869702</v>
      </c>
      <c r="J47" s="123">
        <f t="shared" si="5"/>
        <v>41883.240737033972</v>
      </c>
      <c r="K47" s="123">
        <f>SUM(F47:J47)</f>
        <v>134307.20669850774</v>
      </c>
    </row>
    <row r="48" spans="1:11" x14ac:dyDescent="0.25">
      <c r="A48" s="326">
        <f t="shared" si="4"/>
        <v>37</v>
      </c>
      <c r="C48" s="328" t="s">
        <v>373</v>
      </c>
      <c r="E48" s="328" t="s">
        <v>409</v>
      </c>
      <c r="F48" s="124">
        <f t="shared" si="5"/>
        <v>3150</v>
      </c>
      <c r="G48" s="124">
        <f t="shared" si="5"/>
        <v>3150</v>
      </c>
      <c r="H48" s="124">
        <f t="shared" si="5"/>
        <v>3150</v>
      </c>
      <c r="I48" s="124">
        <f t="shared" si="5"/>
        <v>3150</v>
      </c>
      <c r="J48" s="124">
        <f t="shared" si="5"/>
        <v>3150</v>
      </c>
      <c r="K48" s="124">
        <f>SUM(F48:J48)</f>
        <v>15750</v>
      </c>
    </row>
    <row r="49" spans="1:11" x14ac:dyDescent="0.25">
      <c r="A49" s="326">
        <f t="shared" si="4"/>
        <v>38</v>
      </c>
      <c r="C49" s="119" t="s">
        <v>410</v>
      </c>
      <c r="E49" s="328" t="s">
        <v>411</v>
      </c>
      <c r="F49" s="123">
        <f t="shared" ref="F49:K49" si="6">SUM(F47:F48)</f>
        <v>10073.055275088489</v>
      </c>
      <c r="G49" s="123">
        <f t="shared" si="6"/>
        <v>17749.385676423568</v>
      </c>
      <c r="H49" s="123">
        <f t="shared" si="6"/>
        <v>34854.184226092002</v>
      </c>
      <c r="I49" s="123">
        <f t="shared" si="6"/>
        <v>42347.340783869702</v>
      </c>
      <c r="J49" s="123">
        <f t="shared" si="6"/>
        <v>45033.240737033972</v>
      </c>
      <c r="K49" s="123">
        <f t="shared" si="6"/>
        <v>150057.20669850774</v>
      </c>
    </row>
    <row r="50" spans="1:11" x14ac:dyDescent="0.25">
      <c r="A50" s="326">
        <f t="shared" si="4"/>
        <v>39</v>
      </c>
    </row>
    <row r="51" spans="1:11" x14ac:dyDescent="0.25">
      <c r="A51" s="326">
        <f t="shared" si="4"/>
        <v>40</v>
      </c>
      <c r="C51" s="119" t="s">
        <v>412</v>
      </c>
    </row>
    <row r="52" spans="1:11" x14ac:dyDescent="0.25">
      <c r="A52" s="326">
        <f t="shared" si="4"/>
        <v>41</v>
      </c>
      <c r="C52" s="328" t="s">
        <v>378</v>
      </c>
      <c r="E52" s="328" t="s">
        <v>413</v>
      </c>
      <c r="F52" s="126">
        <f t="shared" ref="F52:J53" si="7">F$42*F47</f>
        <v>972658.90174987225</v>
      </c>
      <c r="G52" s="126">
        <f t="shared" si="7"/>
        <v>2051149.6548857847</v>
      </c>
      <c r="H52" s="126">
        <f t="shared" si="7"/>
        <v>4454298.8297651755</v>
      </c>
      <c r="I52" s="126">
        <f t="shared" si="7"/>
        <v>5507054.461278568</v>
      </c>
      <c r="J52" s="126">
        <f t="shared" si="7"/>
        <v>5884411.6243876554</v>
      </c>
      <c r="K52" s="126">
        <f>SUM(F52:J52)</f>
        <v>18869573.472067054</v>
      </c>
    </row>
    <row r="53" spans="1:11" x14ac:dyDescent="0.25">
      <c r="A53" s="326">
        <f t="shared" si="4"/>
        <v>42</v>
      </c>
      <c r="C53" s="328" t="s">
        <v>373</v>
      </c>
      <c r="E53" s="328" t="s">
        <v>414</v>
      </c>
      <c r="F53" s="128">
        <f t="shared" si="7"/>
        <v>442561.18415477138</v>
      </c>
      <c r="G53" s="128">
        <f t="shared" si="7"/>
        <v>442561.18415477138</v>
      </c>
      <c r="H53" s="128">
        <f t="shared" si="7"/>
        <v>442561.18415477144</v>
      </c>
      <c r="I53" s="128">
        <f t="shared" si="7"/>
        <v>442561.18415477138</v>
      </c>
      <c r="J53" s="128">
        <f t="shared" si="7"/>
        <v>442561.18415477138</v>
      </c>
      <c r="K53" s="124">
        <f>SUM(F53:J53)</f>
        <v>2212805.9207738568</v>
      </c>
    </row>
    <row r="54" spans="1:11" x14ac:dyDescent="0.25">
      <c r="A54" s="326">
        <f t="shared" si="4"/>
        <v>43</v>
      </c>
      <c r="C54" s="339" t="s">
        <v>415</v>
      </c>
      <c r="D54" s="267"/>
      <c r="E54" s="328" t="s">
        <v>416</v>
      </c>
      <c r="F54" s="126">
        <f t="shared" ref="F54:K54" si="8">SUM(F52:F53)</f>
        <v>1415220.0859046436</v>
      </c>
      <c r="G54" s="126">
        <f t="shared" si="8"/>
        <v>2493710.839040556</v>
      </c>
      <c r="H54" s="126">
        <f t="shared" si="8"/>
        <v>4896860.0139199467</v>
      </c>
      <c r="I54" s="126">
        <f t="shared" si="8"/>
        <v>5949615.6454333393</v>
      </c>
      <c r="J54" s="126">
        <f t="shared" si="8"/>
        <v>6326972.8085424267</v>
      </c>
      <c r="K54" s="126">
        <f t="shared" si="8"/>
        <v>21082379.392840911</v>
      </c>
    </row>
    <row r="55" spans="1:11" x14ac:dyDescent="0.25">
      <c r="A55" s="326">
        <f t="shared" si="4"/>
        <v>44</v>
      </c>
    </row>
    <row r="56" spans="1:11" ht="13.8" thickBot="1" x14ac:dyDescent="0.3">
      <c r="A56" s="326">
        <f t="shared" si="4"/>
        <v>45</v>
      </c>
      <c r="C56" s="331" t="s">
        <v>417</v>
      </c>
      <c r="D56" s="331"/>
      <c r="E56" s="331"/>
    </row>
    <row r="57" spans="1:11" ht="13.8" thickBot="1" x14ac:dyDescent="0.3">
      <c r="A57" s="326">
        <f t="shared" si="4"/>
        <v>46</v>
      </c>
      <c r="C57" s="337" t="s">
        <v>418</v>
      </c>
      <c r="E57" s="328" t="s">
        <v>419</v>
      </c>
      <c r="F57" s="343">
        <f>F54-F39</f>
        <v>67391.43266212591</v>
      </c>
      <c r="G57" s="344">
        <f>G54-G39</f>
        <v>118748.1351924073</v>
      </c>
      <c r="H57" s="344">
        <f>H54-H39</f>
        <v>233183.81018666364</v>
      </c>
      <c r="I57" s="344">
        <f>I54-I39</f>
        <v>283315.03073492087</v>
      </c>
      <c r="J57" s="344">
        <f>J54-J39</f>
        <v>301284.41945440136</v>
      </c>
      <c r="K57" s="345">
        <f>SUM(F57:J57)</f>
        <v>1003922.8282305191</v>
      </c>
    </row>
    <row r="58" spans="1:11" x14ac:dyDescent="0.25">
      <c r="A58" s="326">
        <f t="shared" si="4"/>
        <v>47</v>
      </c>
    </row>
    <row r="59" spans="1:11" ht="3" customHeight="1" x14ac:dyDescent="0.25">
      <c r="A59" s="326">
        <f t="shared" si="4"/>
        <v>48</v>
      </c>
    </row>
    <row r="60" spans="1:11" x14ac:dyDescent="0.25">
      <c r="A60" s="326">
        <f t="shared" si="4"/>
        <v>49</v>
      </c>
    </row>
    <row r="61" spans="1:11" x14ac:dyDescent="0.25">
      <c r="A61" s="326">
        <f t="shared" si="4"/>
        <v>50</v>
      </c>
      <c r="B61" s="331" t="s">
        <v>374</v>
      </c>
      <c r="K61" s="331" t="s">
        <v>376</v>
      </c>
    </row>
    <row r="62" spans="1:11" x14ac:dyDescent="0.25">
      <c r="A62" s="326">
        <f t="shared" si="4"/>
        <v>51</v>
      </c>
      <c r="K62" s="331"/>
    </row>
    <row r="63" spans="1:11" x14ac:dyDescent="0.25">
      <c r="A63" s="326">
        <f t="shared" si="4"/>
        <v>52</v>
      </c>
      <c r="C63" s="119" t="s">
        <v>234</v>
      </c>
      <c r="F63" s="123">
        <f>-F17</f>
        <v>-13307907.028750595</v>
      </c>
      <c r="G63" s="123">
        <f>F68</f>
        <v>-11591233.521670399</v>
      </c>
      <c r="H63" s="123">
        <f>G68</f>
        <v>-8847425.9639845733</v>
      </c>
      <c r="I63" s="123">
        <f>H68</f>
        <v>-3814904.906413612</v>
      </c>
      <c r="J63" s="123">
        <f>I68</f>
        <v>2220240.5621224847</v>
      </c>
      <c r="K63" s="340">
        <f>J68</f>
        <v>8614773.8050481882</v>
      </c>
    </row>
    <row r="64" spans="1:11" x14ac:dyDescent="0.25">
      <c r="A64" s="326">
        <f t="shared" si="4"/>
        <v>53</v>
      </c>
      <c r="F64" s="123"/>
      <c r="K64" s="331"/>
    </row>
    <row r="65" spans="1:11" x14ac:dyDescent="0.25">
      <c r="A65" s="326">
        <f t="shared" si="4"/>
        <v>54</v>
      </c>
      <c r="C65" s="119" t="s">
        <v>420</v>
      </c>
      <c r="E65" s="119" t="s">
        <v>421</v>
      </c>
      <c r="F65" s="123">
        <f>F39</f>
        <v>1347828.6532425177</v>
      </c>
      <c r="G65" s="123">
        <f>G39</f>
        <v>2374962.7038481487</v>
      </c>
      <c r="H65" s="123">
        <f>H39</f>
        <v>4663676.2037332831</v>
      </c>
      <c r="I65" s="123">
        <f>I39</f>
        <v>5666300.6146984184</v>
      </c>
      <c r="J65" s="123">
        <f>J39</f>
        <v>6025688.3890880253</v>
      </c>
      <c r="K65" s="340"/>
    </row>
    <row r="66" spans="1:11" x14ac:dyDescent="0.25">
      <c r="A66" s="326">
        <f t="shared" si="4"/>
        <v>55</v>
      </c>
      <c r="C66" s="119" t="s">
        <v>386</v>
      </c>
      <c r="E66" s="119" t="s">
        <v>422</v>
      </c>
      <c r="F66" s="123">
        <f>$F$22</f>
        <v>368844.85383767809</v>
      </c>
      <c r="G66" s="123">
        <f>$F$22</f>
        <v>368844.85383767809</v>
      </c>
      <c r="H66" s="123">
        <f>$F$22</f>
        <v>368844.85383767809</v>
      </c>
      <c r="I66" s="123">
        <f>$F$22</f>
        <v>368844.85383767809</v>
      </c>
      <c r="J66" s="123">
        <f>$F$22</f>
        <v>368844.85383767809</v>
      </c>
      <c r="K66" s="340"/>
    </row>
    <row r="67" spans="1:11" x14ac:dyDescent="0.25">
      <c r="A67" s="326">
        <f t="shared" si="4"/>
        <v>56</v>
      </c>
    </row>
    <row r="68" spans="1:11" x14ac:dyDescent="0.25">
      <c r="A68" s="326">
        <f t="shared" si="4"/>
        <v>57</v>
      </c>
      <c r="C68" s="119" t="s">
        <v>235</v>
      </c>
      <c r="F68" s="123">
        <f>SUM(F63:F66)</f>
        <v>-11591233.521670399</v>
      </c>
      <c r="G68" s="123">
        <f>SUM(G63:G66)</f>
        <v>-8847425.9639845733</v>
      </c>
      <c r="H68" s="123">
        <f>SUM(H63:H66)</f>
        <v>-3814904.906413612</v>
      </c>
      <c r="I68" s="123">
        <f>SUM(I63:I66)</f>
        <v>2220240.5621224847</v>
      </c>
      <c r="J68" s="123">
        <f>SUM(J63:J66)</f>
        <v>8614773.8050481882</v>
      </c>
      <c r="K68" s="340">
        <f>J68</f>
        <v>8614773.8050481882</v>
      </c>
    </row>
    <row r="69" spans="1:11" x14ac:dyDescent="0.25">
      <c r="A69" s="326">
        <f t="shared" si="4"/>
        <v>58</v>
      </c>
    </row>
    <row r="70" spans="1:11" x14ac:dyDescent="0.25">
      <c r="A70" s="326">
        <f t="shared" si="4"/>
        <v>59</v>
      </c>
      <c r="C70" s="119" t="s">
        <v>377</v>
      </c>
      <c r="F70" s="123">
        <f t="shared" ref="F70:K70" si="9">$F$18</f>
        <v>8614773.8050481882</v>
      </c>
      <c r="G70" s="123">
        <f t="shared" si="9"/>
        <v>8614773.8050481882</v>
      </c>
      <c r="H70" s="123">
        <f t="shared" si="9"/>
        <v>8614773.8050481882</v>
      </c>
      <c r="I70" s="123">
        <f t="shared" si="9"/>
        <v>8614773.8050481882</v>
      </c>
      <c r="J70" s="123">
        <f t="shared" si="9"/>
        <v>8614773.8050481882</v>
      </c>
      <c r="K70" s="123">
        <f t="shared" si="9"/>
        <v>8614773.8050481882</v>
      </c>
    </row>
    <row r="71" spans="1:11" x14ac:dyDescent="0.25">
      <c r="A71" s="326">
        <f t="shared" si="4"/>
        <v>60</v>
      </c>
    </row>
    <row r="72" spans="1:11" x14ac:dyDescent="0.25">
      <c r="A72" s="326">
        <f t="shared" si="4"/>
        <v>61</v>
      </c>
      <c r="C72" s="119" t="s">
        <v>375</v>
      </c>
      <c r="F72" s="123">
        <f t="shared" ref="F72:K72" si="10">MIN(F70-F68,0)</f>
        <v>0</v>
      </c>
      <c r="G72" s="123">
        <f t="shared" si="10"/>
        <v>0</v>
      </c>
      <c r="H72" s="123">
        <f t="shared" si="10"/>
        <v>0</v>
      </c>
      <c r="I72" s="123">
        <f t="shared" si="10"/>
        <v>0</v>
      </c>
      <c r="J72" s="123">
        <f t="shared" si="10"/>
        <v>0</v>
      </c>
      <c r="K72" s="123">
        <f t="shared" si="10"/>
        <v>0</v>
      </c>
    </row>
  </sheetData>
  <mergeCells count="3">
    <mergeCell ref="K3:L3"/>
    <mergeCell ref="A5:K5"/>
    <mergeCell ref="A7:K7"/>
  </mergeCells>
  <phoneticPr fontId="22" type="noConversion"/>
  <printOptions horizontalCentered="1"/>
  <pageMargins left="0.5" right="0.5" top="0.5" bottom="0.5" header="0.5" footer="0.5"/>
  <pageSetup scale="6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I80"/>
  <sheetViews>
    <sheetView topLeftCell="A43" workbookViewId="0">
      <selection activeCell="A5" sqref="A5"/>
    </sheetView>
  </sheetViews>
  <sheetFormatPr defaultRowHeight="13.2" x14ac:dyDescent="0.25"/>
  <cols>
    <col min="1" max="1" width="34.88671875" customWidth="1"/>
    <col min="2" max="2" width="11.88671875" bestFit="1" customWidth="1"/>
    <col min="3" max="4" width="14" bestFit="1" customWidth="1"/>
    <col min="5" max="5" width="13.5546875" customWidth="1"/>
    <col min="6" max="6" width="36.88671875" customWidth="1"/>
    <col min="7" max="7" width="15.44140625" customWidth="1"/>
    <col min="8" max="8" width="17.44140625" customWidth="1"/>
    <col min="9" max="9" width="15.5546875" customWidth="1"/>
  </cols>
  <sheetData>
    <row r="1" spans="1:9" ht="13.8" x14ac:dyDescent="0.25">
      <c r="I1" s="29" t="s">
        <v>824</v>
      </c>
    </row>
    <row r="2" spans="1:9" ht="14.25" customHeight="1" x14ac:dyDescent="0.25">
      <c r="I2" s="29" t="s">
        <v>359</v>
      </c>
    </row>
    <row r="3" spans="1:9" ht="9" customHeight="1" x14ac:dyDescent="0.25"/>
    <row r="4" spans="1:9" x14ac:dyDescent="0.25">
      <c r="A4" s="3" t="s">
        <v>827</v>
      </c>
    </row>
    <row r="5" spans="1:9" x14ac:dyDescent="0.25">
      <c r="A5" t="s">
        <v>284</v>
      </c>
    </row>
    <row r="6" spans="1:9" ht="5.25" customHeight="1" x14ac:dyDescent="0.25"/>
    <row r="7" spans="1:9" ht="6" customHeight="1" x14ac:dyDescent="0.25"/>
    <row r="8" spans="1:9" x14ac:dyDescent="0.25">
      <c r="A8" s="90" t="s">
        <v>285</v>
      </c>
    </row>
    <row r="9" spans="1:9" x14ac:dyDescent="0.25">
      <c r="A9" s="92" t="s">
        <v>286</v>
      </c>
    </row>
    <row r="10" spans="1:9" x14ac:dyDescent="0.25">
      <c r="A10" t="s">
        <v>287</v>
      </c>
    </row>
    <row r="11" spans="1:9" x14ac:dyDescent="0.25">
      <c r="A11" t="s">
        <v>288</v>
      </c>
    </row>
    <row r="12" spans="1:9" x14ac:dyDescent="0.25">
      <c r="A12" t="s">
        <v>289</v>
      </c>
    </row>
    <row r="13" spans="1:9" x14ac:dyDescent="0.25">
      <c r="A13" t="s">
        <v>290</v>
      </c>
    </row>
    <row r="14" spans="1:9" ht="8.25" customHeight="1" x14ac:dyDescent="0.25"/>
    <row r="15" spans="1:9" x14ac:dyDescent="0.25">
      <c r="A15" s="3" t="s">
        <v>291</v>
      </c>
    </row>
    <row r="16" spans="1:9" ht="8.25" customHeight="1" x14ac:dyDescent="0.25"/>
    <row r="17" spans="1:9" x14ac:dyDescent="0.25">
      <c r="A17" t="s">
        <v>292</v>
      </c>
      <c r="C17" s="349">
        <v>1000000</v>
      </c>
    </row>
    <row r="18" spans="1:9" x14ac:dyDescent="0.25">
      <c r="A18" t="s">
        <v>293</v>
      </c>
      <c r="C18" s="125" t="s">
        <v>294</v>
      </c>
    </row>
    <row r="19" spans="1:9" x14ac:dyDescent="0.25">
      <c r="A19" t="s">
        <v>295</v>
      </c>
      <c r="B19" s="2" t="s">
        <v>296</v>
      </c>
      <c r="C19" s="350">
        <v>0.06</v>
      </c>
    </row>
    <row r="20" spans="1:9" x14ac:dyDescent="0.25">
      <c r="A20" t="s">
        <v>297</v>
      </c>
      <c r="B20" s="2" t="s">
        <v>296</v>
      </c>
      <c r="C20" s="91">
        <f>+C17/5</f>
        <v>200000</v>
      </c>
      <c r="E20" s="93"/>
    </row>
    <row r="21" spans="1:9" ht="6" customHeight="1" x14ac:dyDescent="0.25">
      <c r="E21" s="93"/>
    </row>
    <row r="22" spans="1:9" x14ac:dyDescent="0.25">
      <c r="A22" s="94" t="s">
        <v>298</v>
      </c>
      <c r="B22" s="95"/>
      <c r="C22" s="95"/>
      <c r="D22" s="95"/>
      <c r="E22" s="93"/>
      <c r="F22" s="94" t="s">
        <v>299</v>
      </c>
      <c r="G22" s="95"/>
      <c r="H22" s="95"/>
      <c r="I22" s="95"/>
    </row>
    <row r="23" spans="1:9" x14ac:dyDescent="0.25">
      <c r="F23" s="96" t="s">
        <v>300</v>
      </c>
      <c r="G23" s="33"/>
      <c r="H23" s="33"/>
      <c r="I23" s="33"/>
    </row>
    <row r="24" spans="1:9" x14ac:dyDescent="0.25">
      <c r="A24" s="3" t="s">
        <v>301</v>
      </c>
      <c r="F24" s="96" t="s">
        <v>302</v>
      </c>
      <c r="G24" s="33"/>
      <c r="H24" s="33"/>
      <c r="I24" s="33"/>
    </row>
    <row r="25" spans="1:9" x14ac:dyDescent="0.25">
      <c r="A25" s="97" t="s">
        <v>303</v>
      </c>
      <c r="B25" s="97" t="s">
        <v>304</v>
      </c>
      <c r="C25" s="97" t="s">
        <v>305</v>
      </c>
      <c r="D25" s="97" t="s">
        <v>306</v>
      </c>
      <c r="F25" s="96" t="s">
        <v>307</v>
      </c>
      <c r="G25" s="33"/>
      <c r="H25" s="33"/>
      <c r="I25" s="33"/>
    </row>
    <row r="26" spans="1:9" x14ac:dyDescent="0.25">
      <c r="A26" t="s">
        <v>308</v>
      </c>
      <c r="B26" s="265">
        <v>101</v>
      </c>
      <c r="C26" s="267">
        <f>+C17</f>
        <v>1000000</v>
      </c>
      <c r="F26" s="96" t="s">
        <v>309</v>
      </c>
      <c r="G26" s="33"/>
      <c r="H26" s="33"/>
      <c r="I26" s="33"/>
    </row>
    <row r="27" spans="1:9" x14ac:dyDescent="0.25">
      <c r="A27" t="s">
        <v>310</v>
      </c>
      <c r="B27" s="265">
        <v>252</v>
      </c>
      <c r="C27" s="33"/>
      <c r="D27" s="91">
        <f>+C17</f>
        <v>1000000</v>
      </c>
      <c r="F27" s="33"/>
      <c r="G27" s="33"/>
      <c r="H27" s="33"/>
      <c r="I27" s="33"/>
    </row>
    <row r="28" spans="1:9" x14ac:dyDescent="0.25">
      <c r="B28" s="33"/>
      <c r="C28" s="33"/>
      <c r="F28" s="3" t="s">
        <v>301</v>
      </c>
    </row>
    <row r="29" spans="1:9" x14ac:dyDescent="0.25">
      <c r="F29" s="97" t="s">
        <v>303</v>
      </c>
      <c r="G29" s="97" t="s">
        <v>304</v>
      </c>
      <c r="H29" s="97" t="s">
        <v>305</v>
      </c>
      <c r="I29" s="97" t="s">
        <v>306</v>
      </c>
    </row>
    <row r="30" spans="1:9" x14ac:dyDescent="0.25">
      <c r="F30" t="s">
        <v>308</v>
      </c>
      <c r="G30" s="265">
        <v>101</v>
      </c>
      <c r="H30" s="91">
        <f>-+G50</f>
        <v>1000000</v>
      </c>
    </row>
    <row r="31" spans="1:9" x14ac:dyDescent="0.25">
      <c r="A31" s="3" t="s">
        <v>311</v>
      </c>
      <c r="F31" t="s">
        <v>310</v>
      </c>
      <c r="G31" s="265">
        <v>252</v>
      </c>
      <c r="I31" s="91">
        <f>+H30</f>
        <v>1000000</v>
      </c>
    </row>
    <row r="32" spans="1:9" x14ac:dyDescent="0.25">
      <c r="A32" s="97" t="s">
        <v>303</v>
      </c>
      <c r="B32" s="97" t="s">
        <v>304</v>
      </c>
      <c r="C32" s="97" t="s">
        <v>305</v>
      </c>
      <c r="D32" s="97" t="s">
        <v>306</v>
      </c>
    </row>
    <row r="33" spans="1:9" x14ac:dyDescent="0.25">
      <c r="A33" t="s">
        <v>312</v>
      </c>
      <c r="B33" s="265">
        <v>130</v>
      </c>
      <c r="C33" s="267"/>
      <c r="D33" s="101">
        <f>+C34+C35</f>
        <v>260000</v>
      </c>
      <c r="F33" s="3" t="s">
        <v>313</v>
      </c>
    </row>
    <row r="34" spans="1:9" x14ac:dyDescent="0.25">
      <c r="A34" t="s">
        <v>310</v>
      </c>
      <c r="B34" s="265">
        <v>252</v>
      </c>
      <c r="C34" s="101">
        <f>+C20</f>
        <v>200000</v>
      </c>
      <c r="D34" s="267"/>
      <c r="F34" s="97" t="s">
        <v>303</v>
      </c>
      <c r="G34" s="97" t="s">
        <v>304</v>
      </c>
      <c r="H34" s="97" t="s">
        <v>305</v>
      </c>
      <c r="I34" s="97" t="s">
        <v>306</v>
      </c>
    </row>
    <row r="35" spans="1:9" x14ac:dyDescent="0.25">
      <c r="A35" t="s">
        <v>314</v>
      </c>
      <c r="B35" s="265">
        <v>431</v>
      </c>
      <c r="C35" s="267">
        <f>+C26*C19</f>
        <v>60000</v>
      </c>
      <c r="D35" s="33"/>
      <c r="F35" t="s">
        <v>310</v>
      </c>
      <c r="G35" s="265">
        <v>252</v>
      </c>
      <c r="H35" s="98"/>
      <c r="I35" s="91">
        <f>+H36</f>
        <v>60000</v>
      </c>
    </row>
    <row r="36" spans="1:9" x14ac:dyDescent="0.25">
      <c r="B36" s="33"/>
      <c r="C36" s="33"/>
      <c r="D36" s="101"/>
      <c r="F36" t="s">
        <v>315</v>
      </c>
      <c r="G36" s="265">
        <v>431</v>
      </c>
      <c r="H36" s="267">
        <f>+H30*C19</f>
        <v>60000</v>
      </c>
    </row>
    <row r="37" spans="1:9" x14ac:dyDescent="0.25">
      <c r="B37" s="33"/>
      <c r="C37" s="33"/>
      <c r="D37" s="33"/>
      <c r="F37" t="s">
        <v>316</v>
      </c>
      <c r="G37" s="265">
        <v>182.3</v>
      </c>
      <c r="H37" s="98">
        <f>+H36</f>
        <v>60000</v>
      </c>
    </row>
    <row r="38" spans="1:9" ht="13.8" thickBot="1" x14ac:dyDescent="0.3">
      <c r="A38" s="99"/>
      <c r="B38" s="269" t="s">
        <v>317</v>
      </c>
      <c r="C38" s="269"/>
      <c r="D38" s="269" t="s">
        <v>318</v>
      </c>
      <c r="F38" s="33" t="s">
        <v>319</v>
      </c>
      <c r="G38" s="265">
        <v>407.4</v>
      </c>
      <c r="H38" s="33"/>
      <c r="I38" s="101">
        <f>+H37</f>
        <v>60000</v>
      </c>
    </row>
    <row r="39" spans="1:9" x14ac:dyDescent="0.25">
      <c r="B39" s="270"/>
      <c r="C39" s="270"/>
      <c r="D39" s="270"/>
      <c r="F39" s="33"/>
      <c r="G39" s="33"/>
      <c r="H39" s="33"/>
      <c r="I39" s="33"/>
    </row>
    <row r="40" spans="1:9" x14ac:dyDescent="0.25">
      <c r="A40" s="102"/>
      <c r="B40" s="270"/>
      <c r="C40" s="270"/>
      <c r="D40" s="270"/>
      <c r="F40" s="3" t="s">
        <v>320</v>
      </c>
    </row>
    <row r="41" spans="1:9" ht="15.6" x14ac:dyDescent="0.35">
      <c r="A41" s="3" t="s">
        <v>321</v>
      </c>
      <c r="B41" s="271">
        <f>+C26</f>
        <v>1000000</v>
      </c>
      <c r="C41" s="270"/>
      <c r="D41" s="270"/>
      <c r="F41" s="97" t="s">
        <v>303</v>
      </c>
      <c r="G41" s="97" t="s">
        <v>304</v>
      </c>
      <c r="H41" s="97" t="s">
        <v>305</v>
      </c>
      <c r="I41" s="97" t="s">
        <v>306</v>
      </c>
    </row>
    <row r="42" spans="1:9" x14ac:dyDescent="0.25">
      <c r="A42" s="102"/>
      <c r="B42" s="270"/>
      <c r="C42" s="270"/>
      <c r="D42" s="270"/>
      <c r="F42" t="s">
        <v>310</v>
      </c>
      <c r="G42" s="265">
        <v>252</v>
      </c>
      <c r="H42" s="98">
        <f>+G65+I65</f>
        <v>1338225.5776</v>
      </c>
      <c r="I42" s="91"/>
    </row>
    <row r="43" spans="1:9" x14ac:dyDescent="0.25">
      <c r="A43" t="s">
        <v>322</v>
      </c>
      <c r="B43" s="101">
        <f>-D27</f>
        <v>-1000000</v>
      </c>
      <c r="C43" s="33"/>
      <c r="D43" s="33"/>
      <c r="F43" t="s">
        <v>312</v>
      </c>
      <c r="G43" s="265">
        <v>131</v>
      </c>
      <c r="H43" s="91"/>
      <c r="I43" s="98">
        <f>+H42</f>
        <v>1338225.5776</v>
      </c>
    </row>
    <row r="44" spans="1:9" ht="15.6" x14ac:dyDescent="0.35">
      <c r="A44" t="s">
        <v>331</v>
      </c>
      <c r="B44" s="101">
        <f>-C35</f>
        <v>-60000</v>
      </c>
      <c r="C44" s="33"/>
      <c r="D44" s="101">
        <f>-B44</f>
        <v>60000</v>
      </c>
      <c r="F44" t="s">
        <v>316</v>
      </c>
      <c r="G44" s="265">
        <v>182.3</v>
      </c>
      <c r="H44" s="98"/>
      <c r="I44" s="98">
        <f>+I65</f>
        <v>338225.57759999996</v>
      </c>
    </row>
    <row r="45" spans="1:9" ht="15.6" x14ac:dyDescent="0.35">
      <c r="A45" t="s">
        <v>332</v>
      </c>
      <c r="B45" s="101">
        <f>+D33</f>
        <v>260000</v>
      </c>
      <c r="C45" s="33"/>
      <c r="D45" s="33"/>
      <c r="F45" s="33" t="s">
        <v>319</v>
      </c>
      <c r="G45" s="265">
        <v>407.3</v>
      </c>
      <c r="H45" s="101">
        <f>+I44</f>
        <v>338225.57759999996</v>
      </c>
      <c r="I45" s="101"/>
    </row>
    <row r="46" spans="1:9" ht="16.2" thickBot="1" x14ac:dyDescent="0.4">
      <c r="A46" s="3" t="s">
        <v>323</v>
      </c>
      <c r="B46" s="268">
        <f>SUM(B43:B45)</f>
        <v>-800000</v>
      </c>
      <c r="C46" s="39"/>
      <c r="D46" s="268">
        <f>+-B44</f>
        <v>60000</v>
      </c>
      <c r="F46" s="33"/>
      <c r="G46" s="38"/>
      <c r="H46" s="101"/>
      <c r="I46" s="101"/>
    </row>
    <row r="47" spans="1:9" ht="14.4" thickTop="1" thickBot="1" x14ac:dyDescent="0.3">
      <c r="B47" s="33"/>
      <c r="C47" s="33"/>
      <c r="D47" s="33"/>
      <c r="F47" s="99"/>
      <c r="G47" s="100" t="s">
        <v>317</v>
      </c>
      <c r="H47" s="100"/>
      <c r="I47" s="100" t="s">
        <v>318</v>
      </c>
    </row>
    <row r="48" spans="1:9" ht="15.6" x14ac:dyDescent="0.35">
      <c r="A48" s="3" t="s">
        <v>324</v>
      </c>
      <c r="B48" s="271">
        <f>+B41</f>
        <v>1000000</v>
      </c>
      <c r="C48" s="33"/>
      <c r="D48" s="33"/>
    </row>
    <row r="49" spans="1:9" ht="16.2" thickBot="1" x14ac:dyDescent="0.4">
      <c r="A49" s="3" t="s">
        <v>325</v>
      </c>
      <c r="B49" s="272">
        <f>+-B48/40</f>
        <v>-25000</v>
      </c>
      <c r="C49" s="33"/>
      <c r="D49" s="33"/>
      <c r="F49" s="104" t="s">
        <v>326</v>
      </c>
      <c r="G49" s="266"/>
    </row>
    <row r="50" spans="1:9" x14ac:dyDescent="0.25">
      <c r="B50" s="33"/>
      <c r="C50" s="33"/>
      <c r="D50" s="33"/>
      <c r="F50" t="str">
        <f>+A51</f>
        <v>BEGINNING BAL.</v>
      </c>
      <c r="G50" s="101">
        <f>+B43</f>
        <v>-1000000</v>
      </c>
    </row>
    <row r="51" spans="1:9" ht="15.6" x14ac:dyDescent="0.35">
      <c r="A51" t="s">
        <v>322</v>
      </c>
      <c r="B51" s="101">
        <f>+B46</f>
        <v>-800000</v>
      </c>
      <c r="C51" s="33"/>
      <c r="D51" s="33"/>
      <c r="F51" t="s">
        <v>333</v>
      </c>
      <c r="G51" s="267">
        <f>+G50*C19</f>
        <v>-60000</v>
      </c>
      <c r="I51" s="98">
        <f>+G51</f>
        <v>-60000</v>
      </c>
    </row>
    <row r="52" spans="1:9" ht="15.6" x14ac:dyDescent="0.35">
      <c r="A52" t="s">
        <v>334</v>
      </c>
      <c r="B52" s="101">
        <f>+B51*C19</f>
        <v>-48000</v>
      </c>
      <c r="C52" s="33"/>
      <c r="D52" s="101">
        <f>-B52</f>
        <v>48000</v>
      </c>
      <c r="F52" t="s">
        <v>335</v>
      </c>
      <c r="G52" s="267">
        <f>-G51</f>
        <v>60000</v>
      </c>
      <c r="I52" s="98">
        <f>+G52</f>
        <v>60000</v>
      </c>
    </row>
    <row r="53" spans="1:9" ht="16.2" thickBot="1" x14ac:dyDescent="0.4">
      <c r="A53" t="s">
        <v>336</v>
      </c>
      <c r="B53" s="129" t="s">
        <v>232</v>
      </c>
      <c r="F53" s="3" t="s">
        <v>323</v>
      </c>
      <c r="G53" s="268">
        <f>SUM(G50:G52)</f>
        <v>-1000000</v>
      </c>
      <c r="H53" s="3"/>
      <c r="I53" s="103">
        <f>SUM(I51:I52)</f>
        <v>0</v>
      </c>
    </row>
    <row r="54" spans="1:9" ht="16.8" thickTop="1" thickBot="1" x14ac:dyDescent="0.4">
      <c r="A54" s="3" t="s">
        <v>327</v>
      </c>
      <c r="B54" s="103">
        <f>SUM(B51:B53)</f>
        <v>-848000</v>
      </c>
      <c r="C54" s="3"/>
      <c r="D54" s="103">
        <f>+-B52</f>
        <v>48000</v>
      </c>
      <c r="F54" t="s">
        <v>337</v>
      </c>
      <c r="G54" s="267">
        <f>(+G53+G51)*C19</f>
        <v>-63600</v>
      </c>
      <c r="I54" s="98">
        <f>+G54</f>
        <v>-63600</v>
      </c>
    </row>
    <row r="55" spans="1:9" ht="16.2" thickTop="1" x14ac:dyDescent="0.35">
      <c r="A55" s="95"/>
      <c r="B55" s="95"/>
      <c r="C55" s="95"/>
      <c r="D55" s="95"/>
      <c r="F55" t="s">
        <v>338</v>
      </c>
      <c r="G55" s="267">
        <f>-G54</f>
        <v>63600</v>
      </c>
      <c r="I55" s="98">
        <f>+G55</f>
        <v>63600</v>
      </c>
    </row>
    <row r="56" spans="1:9" s="33" customFormat="1" ht="16.2" thickBot="1" x14ac:dyDescent="0.4">
      <c r="F56" s="3" t="s">
        <v>327</v>
      </c>
      <c r="G56" s="268">
        <f>SUM(G53:G55)</f>
        <v>-1000000</v>
      </c>
      <c r="H56" s="3"/>
      <c r="I56" s="103">
        <f>SUM(I54:I55)</f>
        <v>0</v>
      </c>
    </row>
    <row r="57" spans="1:9" s="33" customFormat="1" ht="16.2" thickTop="1" x14ac:dyDescent="0.35">
      <c r="F57" t="s">
        <v>339</v>
      </c>
      <c r="G57" s="267">
        <f>(+G56+G54+G51)*C19</f>
        <v>-67416</v>
      </c>
      <c r="H57"/>
      <c r="I57" s="98">
        <f>+G57</f>
        <v>-67416</v>
      </c>
    </row>
    <row r="58" spans="1:9" s="33" customFormat="1" ht="15.6" x14ac:dyDescent="0.35">
      <c r="F58" t="s">
        <v>340</v>
      </c>
      <c r="G58" s="267">
        <f>-G57</f>
        <v>67416</v>
      </c>
      <c r="H58"/>
      <c r="I58" s="98">
        <f>+G58</f>
        <v>67416</v>
      </c>
    </row>
    <row r="59" spans="1:9" s="33" customFormat="1" ht="16.2" thickBot="1" x14ac:dyDescent="0.4">
      <c r="F59" s="3" t="s">
        <v>328</v>
      </c>
      <c r="G59" s="268">
        <f>SUM(G56:G58)</f>
        <v>-1000000</v>
      </c>
      <c r="H59" s="3"/>
      <c r="I59" s="103">
        <f>SUM(I57:I58)</f>
        <v>0</v>
      </c>
    </row>
    <row r="60" spans="1:9" s="33" customFormat="1" ht="16.2" thickTop="1" x14ac:dyDescent="0.35">
      <c r="F60" t="s">
        <v>341</v>
      </c>
      <c r="G60" s="267">
        <f>(+G59+G57+G54+G51)*C19</f>
        <v>-71460.959999999992</v>
      </c>
      <c r="H60"/>
      <c r="I60" s="98">
        <f>+G60</f>
        <v>-71460.959999999992</v>
      </c>
    </row>
    <row r="61" spans="1:9" ht="15.6" x14ac:dyDescent="0.35">
      <c r="F61" t="s">
        <v>342</v>
      </c>
      <c r="G61" s="267">
        <f>-G60</f>
        <v>71460.959999999992</v>
      </c>
      <c r="I61" s="98">
        <f>+G61</f>
        <v>71460.959999999992</v>
      </c>
    </row>
    <row r="62" spans="1:9" ht="16.2" thickBot="1" x14ac:dyDescent="0.4">
      <c r="F62" s="3" t="s">
        <v>329</v>
      </c>
      <c r="G62" s="268">
        <f>SUM(G59:G61)</f>
        <v>-1000000</v>
      </c>
      <c r="H62" s="3"/>
      <c r="I62" s="103">
        <f>SUM(I60:I61)</f>
        <v>0</v>
      </c>
    </row>
    <row r="63" spans="1:9" ht="16.2" thickTop="1" x14ac:dyDescent="0.35">
      <c r="F63" t="s">
        <v>343</v>
      </c>
      <c r="G63" s="267">
        <f>(+G62+G60+G57+G54+G51)*C19</f>
        <v>-75748.617599999998</v>
      </c>
      <c r="I63" s="98">
        <f>+G63</f>
        <v>-75748.617599999998</v>
      </c>
    </row>
    <row r="64" spans="1:9" ht="15.6" x14ac:dyDescent="0.35">
      <c r="F64" t="s">
        <v>344</v>
      </c>
      <c r="G64" s="267">
        <f>-G63</f>
        <v>75748.617599999998</v>
      </c>
      <c r="I64" s="98">
        <f>+G64</f>
        <v>75748.617599999998</v>
      </c>
    </row>
    <row r="65" spans="6:9" ht="15.6" x14ac:dyDescent="0.35">
      <c r="F65" t="s">
        <v>345</v>
      </c>
      <c r="G65" s="267">
        <f>+-G62</f>
        <v>1000000</v>
      </c>
      <c r="I65" s="98">
        <f>+I52+I55+I58+I61+I64</f>
        <v>338225.57759999996</v>
      </c>
    </row>
    <row r="66" spans="6:9" ht="16.2" thickBot="1" x14ac:dyDescent="0.4">
      <c r="F66" s="3" t="s">
        <v>330</v>
      </c>
      <c r="G66" s="103">
        <f>SUM(G62:G65)</f>
        <v>0</v>
      </c>
      <c r="H66" s="3"/>
      <c r="I66" s="103">
        <f>SUM(I63:I65)</f>
        <v>338225.57759999996</v>
      </c>
    </row>
    <row r="67" spans="6:9" ht="8.25" customHeight="1" thickTop="1" x14ac:dyDescent="0.25">
      <c r="F67" s="95"/>
      <c r="G67" s="95"/>
      <c r="H67" s="95"/>
      <c r="I67" s="95"/>
    </row>
    <row r="71" spans="6:9" s="33" customFormat="1" x14ac:dyDescent="0.25"/>
    <row r="72" spans="6:9" s="33" customFormat="1" x14ac:dyDescent="0.25"/>
    <row r="78" spans="6:9" s="33" customFormat="1" x14ac:dyDescent="0.25"/>
    <row r="79" spans="6:9" s="33" customFormat="1" x14ac:dyDescent="0.25"/>
    <row r="80" spans="6:9" s="33" customFormat="1" x14ac:dyDescent="0.25"/>
  </sheetData>
  <phoneticPr fontId="16" type="noConversion"/>
  <printOptions horizontalCentered="1"/>
  <pageMargins left="0.5" right="0.5" top="0.2" bottom="0.18" header="0.17" footer="0.17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T110"/>
  <sheetViews>
    <sheetView zoomScale="110" zoomScaleNormal="110" workbookViewId="0"/>
  </sheetViews>
  <sheetFormatPr defaultRowHeight="13.2" x14ac:dyDescent="0.25"/>
  <cols>
    <col min="1" max="1" width="5" bestFit="1" customWidth="1"/>
    <col min="2" max="2" width="2.6640625" customWidth="1"/>
    <col min="3" max="3" width="35.109375" customWidth="1"/>
    <col min="4" max="4" width="14.5546875" bestFit="1" customWidth="1"/>
    <col min="5" max="5" width="2.6640625" customWidth="1"/>
    <col min="6" max="6" width="18.5546875" bestFit="1" customWidth="1"/>
    <col min="7" max="7" width="2.6640625" customWidth="1"/>
    <col min="8" max="8" width="14.44140625" customWidth="1"/>
    <col min="9" max="9" width="2.6640625" customWidth="1"/>
    <col min="10" max="10" width="14.44140625" bestFit="1" customWidth="1"/>
    <col min="11" max="11" width="2.6640625" customWidth="1"/>
    <col min="12" max="12" width="12.5546875" bestFit="1" customWidth="1"/>
    <col min="13" max="13" width="8.6640625" bestFit="1" customWidth="1"/>
    <col min="14" max="14" width="2.6640625" customWidth="1"/>
    <col min="15" max="15" width="13.6640625" bestFit="1" customWidth="1"/>
    <col min="16" max="16" width="5" customWidth="1"/>
    <col min="17" max="17" width="17.5546875" style="201" bestFit="1" customWidth="1"/>
    <col min="18" max="18" width="18.5546875" bestFit="1" customWidth="1"/>
    <col min="19" max="19" width="11.33203125" bestFit="1" customWidth="1"/>
  </cols>
  <sheetData>
    <row r="1" spans="1:16" ht="13.8" x14ac:dyDescent="0.25">
      <c r="N1" s="437" t="s">
        <v>809</v>
      </c>
      <c r="O1" s="437"/>
      <c r="P1" s="437"/>
    </row>
    <row r="2" spans="1:16" ht="13.8" x14ac:dyDescent="0.25">
      <c r="N2" s="438" t="s">
        <v>207</v>
      </c>
      <c r="O2" s="438"/>
      <c r="P2" s="439"/>
    </row>
    <row r="3" spans="1:16" x14ac:dyDescent="0.25">
      <c r="N3" s="440" t="str">
        <f>FF1_Year</f>
        <v>Year Ending 12/31/2014</v>
      </c>
      <c r="O3" s="441"/>
      <c r="P3" s="441"/>
    </row>
    <row r="5" spans="1:16" x14ac:dyDescent="0.25">
      <c r="A5" s="447" t="s">
        <v>826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</row>
    <row r="6" spans="1:16" x14ac:dyDescent="0.25">
      <c r="A6" s="447" t="s">
        <v>128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</row>
    <row r="7" spans="1:16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x14ac:dyDescent="0.25">
      <c r="A8" s="447" t="s">
        <v>247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</row>
    <row r="10" spans="1:16" x14ac:dyDescent="0.25">
      <c r="A10" s="2"/>
    </row>
    <row r="11" spans="1:16" ht="26.4" x14ac:dyDescent="0.25">
      <c r="A11" s="11" t="s">
        <v>21</v>
      </c>
      <c r="B11" s="12" t="s">
        <v>25</v>
      </c>
      <c r="C11" s="13"/>
      <c r="D11" s="11" t="s">
        <v>4</v>
      </c>
      <c r="E11" s="11"/>
      <c r="F11" s="14" t="s">
        <v>234</v>
      </c>
      <c r="G11" s="11"/>
      <c r="H11" s="14" t="s">
        <v>235</v>
      </c>
      <c r="I11" s="11"/>
      <c r="J11" s="11" t="s">
        <v>240</v>
      </c>
      <c r="K11" s="11"/>
      <c r="L11" s="447" t="s">
        <v>23</v>
      </c>
      <c r="M11" s="447"/>
      <c r="N11" s="11"/>
      <c r="O11" s="14" t="s">
        <v>24</v>
      </c>
      <c r="P11" s="4"/>
    </row>
    <row r="12" spans="1:16" x14ac:dyDescent="0.25">
      <c r="A12" s="2"/>
    </row>
    <row r="13" spans="1:16" x14ac:dyDescent="0.25">
      <c r="A13" s="2"/>
      <c r="B13" s="3" t="s">
        <v>269</v>
      </c>
    </row>
    <row r="14" spans="1:16" x14ac:dyDescent="0.25">
      <c r="A14" s="8">
        <v>1</v>
      </c>
      <c r="B14" s="3"/>
      <c r="C14" t="str">
        <f>'DEF - 6  p1, FF1 Inputs '!E25</f>
        <v xml:space="preserve">Production Plant </v>
      </c>
      <c r="D14" s="2" t="str">
        <f>'DEF - 6  p1, FF1 Inputs '!F25</f>
        <v>204&amp;205.46.b&amp;g</v>
      </c>
      <c r="E14" s="2"/>
      <c r="F14" s="9">
        <f>'DEF - 6  p1, FF1 Inputs '!H25</f>
        <v>5914559556</v>
      </c>
      <c r="G14" s="9"/>
      <c r="H14" s="9">
        <f>'DEF - 6  p1, FF1 Inputs '!J25</f>
        <v>6019732267.6300001</v>
      </c>
      <c r="I14" s="2"/>
      <c r="J14" s="1">
        <f>(F14+H14)/2</f>
        <v>5967145911.8150005</v>
      </c>
      <c r="L14" s="2" t="s">
        <v>26</v>
      </c>
      <c r="O14" t="str">
        <f>IF(ISNUMBER(M14),J14*M14,"")</f>
        <v/>
      </c>
    </row>
    <row r="15" spans="1:16" ht="6" customHeight="1" x14ac:dyDescent="0.25">
      <c r="A15" s="8"/>
      <c r="B15" s="3"/>
      <c r="D15" s="2"/>
      <c r="E15" s="2"/>
      <c r="F15" s="9"/>
      <c r="G15" s="9"/>
      <c r="H15" s="9"/>
      <c r="I15" s="2"/>
      <c r="J15" s="1"/>
      <c r="L15" s="2"/>
    </row>
    <row r="16" spans="1:16" x14ac:dyDescent="0.25">
      <c r="A16" s="2">
        <f>A14+1</f>
        <v>2</v>
      </c>
      <c r="B16" s="3"/>
      <c r="C16" t="str">
        <f>'DEF - 6  p1, FF1 Inputs '!E26&amp;" (Note V)"</f>
        <v>Transmission Plant (Note V)</v>
      </c>
      <c r="D16" s="2" t="str">
        <f>'DEF - 6  p1, FF1 Inputs '!F26</f>
        <v>206&amp;207.58.b&amp;g</v>
      </c>
      <c r="E16" s="2"/>
      <c r="F16" s="9">
        <f>'DEF - 6  p1, FF1 Inputs '!H26</f>
        <v>2362668716.8000002</v>
      </c>
      <c r="G16" s="9"/>
      <c r="H16" s="9">
        <f>'DEF - 6  p1, FF1 Inputs '!J26</f>
        <v>2545227112.8000002</v>
      </c>
      <c r="I16" s="2"/>
      <c r="J16" s="1">
        <f>(F16+H16)/2</f>
        <v>2453947914.8000002</v>
      </c>
      <c r="L16" s="136"/>
      <c r="M16" s="168"/>
      <c r="N16" s="168"/>
      <c r="O16" s="28"/>
    </row>
    <row r="17" spans="1:15" x14ac:dyDescent="0.25">
      <c r="A17" s="56" t="s">
        <v>440</v>
      </c>
      <c r="B17" s="145"/>
      <c r="C17" s="138" t="s">
        <v>442</v>
      </c>
      <c r="D17" s="56" t="s">
        <v>839</v>
      </c>
      <c r="E17" s="48"/>
      <c r="F17" s="146">
        <f>'DEF - 7, Retail Radials'!I14</f>
        <v>16505824</v>
      </c>
      <c r="G17" s="146"/>
      <c r="H17" s="146">
        <f>'DEF - 7, Retail Radials'!I18</f>
        <v>16890876.640000001</v>
      </c>
      <c r="I17" s="48"/>
      <c r="J17" s="166">
        <f>(F17+H17)/2</f>
        <v>16698350.32</v>
      </c>
      <c r="K17" s="47"/>
      <c r="L17" s="48"/>
      <c r="M17" s="147"/>
      <c r="N17" s="147"/>
      <c r="O17" s="144"/>
    </row>
    <row r="18" spans="1:15" x14ac:dyDescent="0.25">
      <c r="A18" s="56" t="s">
        <v>441</v>
      </c>
      <c r="B18" s="145"/>
      <c r="C18" s="138" t="s">
        <v>443</v>
      </c>
      <c r="D18" s="56"/>
      <c r="E18" s="48"/>
      <c r="F18" s="146"/>
      <c r="G18" s="146"/>
      <c r="H18" s="146"/>
      <c r="I18" s="48"/>
      <c r="J18" s="42">
        <f>J16-J17</f>
        <v>2437249564.48</v>
      </c>
      <c r="K18" s="47"/>
      <c r="L18" s="56" t="s">
        <v>51</v>
      </c>
      <c r="M18" s="167">
        <f>'DEF - 2 - Page 4 Support'!I$20</f>
        <v>0.94470290917920241</v>
      </c>
      <c r="N18" s="167"/>
      <c r="O18" s="42">
        <f>J18*M18</f>
        <v>2302476753.96</v>
      </c>
    </row>
    <row r="19" spans="1:15" ht="6" customHeight="1" x14ac:dyDescent="0.25">
      <c r="A19" s="2"/>
      <c r="B19" s="3"/>
      <c r="D19" s="2"/>
      <c r="E19" s="2"/>
      <c r="F19" s="9"/>
      <c r="G19" s="9"/>
      <c r="H19" s="9"/>
      <c r="I19" s="2"/>
      <c r="J19" s="1"/>
      <c r="L19" s="2"/>
      <c r="M19" s="7"/>
      <c r="N19" s="7"/>
      <c r="O19" s="1"/>
    </row>
    <row r="20" spans="1:15" x14ac:dyDescent="0.25">
      <c r="A20" s="2">
        <f>A16+1</f>
        <v>3</v>
      </c>
      <c r="B20" s="3"/>
      <c r="C20" t="str">
        <f>'DEF - 6  p1, FF1 Inputs '!E27</f>
        <v>Distribution Plant</v>
      </c>
      <c r="D20" s="2" t="str">
        <f>'DEF - 6  p1, FF1 Inputs '!F27</f>
        <v>206&amp;207.75.b&amp;g</v>
      </c>
      <c r="E20" s="2"/>
      <c r="F20" s="9">
        <f>'DEF - 6  p1, FF1 Inputs '!H27</f>
        <v>4485730287</v>
      </c>
      <c r="G20" s="9"/>
      <c r="H20" s="9">
        <f>'DEF - 6  p1, FF1 Inputs '!J27</f>
        <v>4638606332</v>
      </c>
      <c r="I20" s="2"/>
      <c r="J20" s="1">
        <f>(F20+H20)/2</f>
        <v>4562168309.5</v>
      </c>
      <c r="L20" s="2" t="s">
        <v>26</v>
      </c>
      <c r="M20" s="7"/>
      <c r="N20" s="7"/>
      <c r="O20" s="1" t="str">
        <f>IF(ISNUMBER(M20),J20*M20,"")</f>
        <v/>
      </c>
    </row>
    <row r="21" spans="1:15" x14ac:dyDescent="0.25">
      <c r="A21" s="2">
        <f>A20+1</f>
        <v>4</v>
      </c>
      <c r="B21" s="3"/>
      <c r="C21" t="str">
        <f>'DEF - 6  p1, FF1 Inputs '!E28</f>
        <v>General Plant</v>
      </c>
      <c r="D21" s="2" t="str">
        <f>'DEF - 6  p1, FF1 Inputs '!F28</f>
        <v>206&amp;207.99.b&amp;g</v>
      </c>
      <c r="E21" s="38"/>
      <c r="F21" s="44">
        <f>'DEF - 6  p1, FF1 Inputs '!H28</f>
        <v>353370054</v>
      </c>
      <c r="G21" s="44"/>
      <c r="H21" s="44">
        <f>'DEF - 6  p1, FF1 Inputs '!J28</f>
        <v>404635245.89999998</v>
      </c>
      <c r="I21" s="38"/>
      <c r="J21" s="1">
        <f>(F21+H21)/2</f>
        <v>379002649.94999999</v>
      </c>
      <c r="L21" s="2" t="s">
        <v>182</v>
      </c>
      <c r="M21" s="7">
        <f>'DEF - 2 - Page 4 Support'!I$37</f>
        <v>5.301789141664983E-2</v>
      </c>
      <c r="N21" s="7"/>
      <c r="O21" s="1">
        <f>IF(ISNUMBER(M21),J21*M21,"")</f>
        <v>20093921.341671646</v>
      </c>
    </row>
    <row r="22" spans="1:15" ht="13.8" thickBot="1" x14ac:dyDescent="0.3">
      <c r="A22" s="2">
        <f>A21+1</f>
        <v>5</v>
      </c>
      <c r="B22" s="3"/>
      <c r="C22" t="str">
        <f>'DEF - 6  p1, FF1 Inputs '!E24</f>
        <v>Intangible Plant</v>
      </c>
      <c r="D22" s="2" t="str">
        <f>'DEF - 6  p1, FF1 Inputs '!F24</f>
        <v>204&amp;205.5.b&amp;g</v>
      </c>
      <c r="E22" s="2"/>
      <c r="F22" s="44">
        <f>'DEF - 6  p1, FF1 Inputs '!H24</f>
        <v>146835126</v>
      </c>
      <c r="G22" s="44"/>
      <c r="H22" s="44">
        <f>'DEF - 6  p1, FF1 Inputs '!J24</f>
        <v>162493825</v>
      </c>
      <c r="I22" s="2"/>
      <c r="J22" s="1">
        <f>(F22+H22)/2</f>
        <v>154664475.5</v>
      </c>
      <c r="L22" s="2" t="s">
        <v>182</v>
      </c>
      <c r="M22" s="7">
        <f>M21</f>
        <v>5.301789141664983E-2</v>
      </c>
      <c r="N22" s="7"/>
      <c r="O22" s="1">
        <f>IF(ISNUMBER(M22),J22*M22,"")</f>
        <v>8199984.3680720981</v>
      </c>
    </row>
    <row r="23" spans="1:15" ht="15" customHeight="1" thickTop="1" x14ac:dyDescent="0.25">
      <c r="A23" s="2">
        <f>A22+1</f>
        <v>6</v>
      </c>
      <c r="B23" s="3" t="s">
        <v>28</v>
      </c>
      <c r="D23" s="2"/>
      <c r="E23" s="2"/>
      <c r="F23" s="9"/>
      <c r="G23" s="9"/>
      <c r="H23" s="9"/>
      <c r="I23" s="2"/>
      <c r="J23" s="5">
        <f>J14+J16+SUM(J20:J22)</f>
        <v>13516929261.565001</v>
      </c>
      <c r="L23" s="2" t="s">
        <v>27</v>
      </c>
      <c r="M23" s="7">
        <f>IF(J23&lt;&gt;0,O23/J23,0)</f>
        <v>0.17243344361483218</v>
      </c>
      <c r="N23" s="7"/>
      <c r="O23" s="5">
        <f>SUM(O14:O22)</f>
        <v>2330770659.6697435</v>
      </c>
    </row>
    <row r="24" spans="1:15" x14ac:dyDescent="0.25">
      <c r="A24" s="2"/>
      <c r="B24" s="3"/>
      <c r="D24" s="2"/>
      <c r="E24" s="2"/>
      <c r="F24" s="9"/>
      <c r="G24" s="9"/>
      <c r="H24" s="383"/>
      <c r="I24" s="2"/>
      <c r="L24" s="2"/>
    </row>
    <row r="25" spans="1:15" x14ac:dyDescent="0.25">
      <c r="A25" s="2"/>
      <c r="B25" s="3" t="s">
        <v>270</v>
      </c>
      <c r="D25" s="2"/>
      <c r="E25" s="2"/>
      <c r="F25" s="9"/>
      <c r="G25" s="9"/>
      <c r="H25" s="9"/>
      <c r="I25" s="2"/>
      <c r="L25" s="2"/>
    </row>
    <row r="26" spans="1:15" x14ac:dyDescent="0.25">
      <c r="A26" s="2">
        <f>A23+1</f>
        <v>7</v>
      </c>
      <c r="B26" s="3"/>
      <c r="C26" t="str">
        <f>'DEF - 6  p1, FF1 Inputs '!E30</f>
        <v>Production Depr. Reserve</v>
      </c>
      <c r="D26" s="2" t="str">
        <f>'DEF - 6  p1, FF1 Inputs '!F30</f>
        <v>219.20 thru 24.c</v>
      </c>
      <c r="E26" s="2"/>
      <c r="F26" s="9">
        <f>'DEF - 6  p1, FF1 Inputs '!J75</f>
        <v>2347335972</v>
      </c>
      <c r="G26" s="9"/>
      <c r="H26" s="1">
        <f>'DEF - 6  p1, FF1 Inputs '!J30</f>
        <v>2449104430</v>
      </c>
      <c r="I26" s="2"/>
      <c r="J26" s="1">
        <f>(F26+H26)/2</f>
        <v>2398220201</v>
      </c>
      <c r="L26" s="2" t="s">
        <v>26</v>
      </c>
      <c r="O26" t="str">
        <f>IF(ISNUMBER(M26),J26*M26,"")</f>
        <v/>
      </c>
    </row>
    <row r="27" spans="1:15" ht="6" customHeight="1" x14ac:dyDescent="0.25">
      <c r="A27" s="2"/>
      <c r="B27" s="3"/>
      <c r="D27" s="2"/>
      <c r="E27" s="2"/>
      <c r="F27" s="9"/>
      <c r="G27" s="9"/>
      <c r="H27" s="1"/>
      <c r="I27" s="2"/>
      <c r="J27" s="1"/>
      <c r="L27" s="2"/>
    </row>
    <row r="28" spans="1:15" x14ac:dyDescent="0.25">
      <c r="A28" s="2">
        <f>A26+1</f>
        <v>8</v>
      </c>
      <c r="B28" s="39"/>
      <c r="C28" t="str">
        <f>'DEF - 6  p1, FF1 Inputs '!E31&amp;" (Note V)"</f>
        <v>Transmission Depr. Reserve (Note V)</v>
      </c>
      <c r="D28" s="2" t="str">
        <f>'DEF - 6  p1, FF1 Inputs '!F31</f>
        <v>219.25.c</v>
      </c>
      <c r="E28" s="2"/>
      <c r="F28" s="9">
        <f>'DEF - 6  p1, FF1 Inputs '!J76</f>
        <v>559906250.55550098</v>
      </c>
      <c r="G28" s="9"/>
      <c r="H28" s="1">
        <f>'DEF - 6  p1, FF1 Inputs '!J31</f>
        <v>595666947.81025827</v>
      </c>
      <c r="I28" s="2"/>
      <c r="J28" s="1">
        <f>(F28+H28)/2</f>
        <v>577786599.18287969</v>
      </c>
      <c r="K28" s="33"/>
      <c r="L28" s="136"/>
      <c r="M28" s="168"/>
      <c r="N28" s="168"/>
      <c r="O28" s="28"/>
    </row>
    <row r="29" spans="1:15" x14ac:dyDescent="0.25">
      <c r="A29" s="56" t="s">
        <v>444</v>
      </c>
      <c r="B29" s="39"/>
      <c r="C29" s="138" t="s">
        <v>442</v>
      </c>
      <c r="D29" s="56" t="s">
        <v>840</v>
      </c>
      <c r="E29" s="48"/>
      <c r="F29" s="146">
        <f>'DEF - 7, Retail Radials'!I25</f>
        <v>903460.26</v>
      </c>
      <c r="G29" s="146"/>
      <c r="H29" s="144">
        <f>'DEF - 7, Retail Radials'!I28</f>
        <v>1239738.98</v>
      </c>
      <c r="I29" s="48"/>
      <c r="J29" s="166">
        <f>(F29+H29)/2</f>
        <v>1071599.6200000001</v>
      </c>
      <c r="K29" s="47"/>
      <c r="L29" s="48"/>
      <c r="M29" s="147"/>
      <c r="N29" s="147"/>
      <c r="O29" s="144"/>
    </row>
    <row r="30" spans="1:15" x14ac:dyDescent="0.25">
      <c r="A30" s="56" t="s">
        <v>445</v>
      </c>
      <c r="B30" s="39"/>
      <c r="C30" s="138" t="s">
        <v>449</v>
      </c>
      <c r="D30" s="56"/>
      <c r="E30" s="48"/>
      <c r="F30" s="146"/>
      <c r="G30" s="146"/>
      <c r="H30" s="144"/>
      <c r="I30" s="48"/>
      <c r="J30" s="42">
        <f>J28-J29</f>
        <v>576714999.56287968</v>
      </c>
      <c r="K30" s="47"/>
      <c r="L30" s="56" t="s">
        <v>51</v>
      </c>
      <c r="M30" s="167">
        <f>'DEF - 2 - Page 4 Support'!I$20</f>
        <v>0.94470290917920241</v>
      </c>
      <c r="N30" s="167"/>
      <c r="O30" s="42">
        <f>IF(ISNUMBER(M30),J30*M30,"")</f>
        <v>544824337.85433483</v>
      </c>
    </row>
    <row r="31" spans="1:15" ht="6" customHeight="1" x14ac:dyDescent="0.25">
      <c r="A31" s="2"/>
      <c r="B31" s="39"/>
      <c r="D31" s="2"/>
      <c r="E31" s="2"/>
      <c r="F31" s="9"/>
      <c r="G31" s="9"/>
      <c r="H31" s="1"/>
      <c r="I31" s="2"/>
      <c r="J31" s="1"/>
      <c r="K31" s="33"/>
      <c r="L31" s="38"/>
      <c r="M31" s="36"/>
      <c r="N31" s="36"/>
      <c r="O31" s="35"/>
    </row>
    <row r="32" spans="1:15" x14ac:dyDescent="0.25">
      <c r="A32" s="2">
        <f>A28+1</f>
        <v>9</v>
      </c>
      <c r="B32" s="3"/>
      <c r="C32" t="str">
        <f>'DEF - 6  p1, FF1 Inputs '!E32</f>
        <v>Distribution Depr. Reserve</v>
      </c>
      <c r="D32" s="2" t="str">
        <f>'DEF - 6  p1, FF1 Inputs '!F32</f>
        <v>219.26.c</v>
      </c>
      <c r="E32" s="2"/>
      <c r="F32" s="9">
        <f>'DEF - 6  p1, FF1 Inputs '!J77</f>
        <v>1780751221</v>
      </c>
      <c r="G32" s="9"/>
      <c r="H32" s="1">
        <f>'DEF - 6  p1, FF1 Inputs '!J32</f>
        <v>1848224306</v>
      </c>
      <c r="I32" s="2"/>
      <c r="J32" s="1">
        <f>(F32+H32)/2</f>
        <v>1814487763.5</v>
      </c>
      <c r="L32" s="2" t="s">
        <v>26</v>
      </c>
      <c r="M32" s="7"/>
      <c r="N32" s="7"/>
      <c r="O32" s="1" t="str">
        <f>IF(ISNUMBER(M32),J32*M32,"")</f>
        <v/>
      </c>
    </row>
    <row r="33" spans="1:17" x14ac:dyDescent="0.25">
      <c r="A33" s="2">
        <f>A32+1</f>
        <v>10</v>
      </c>
      <c r="B33" s="3"/>
      <c r="C33" t="str">
        <f>'DEF - 6  p1, FF1 Inputs '!E33</f>
        <v>General Depr. Reserve</v>
      </c>
      <c r="D33" s="2" t="str">
        <f>'DEF - 6  p1, FF1 Inputs '!F33</f>
        <v>219.28.c</v>
      </c>
      <c r="E33" s="2"/>
      <c r="F33" s="9">
        <f>'DEF - 6  p1, FF1 Inputs '!J78</f>
        <v>95523096</v>
      </c>
      <c r="G33" s="9"/>
      <c r="H33" s="1">
        <f>'DEF - 6  p1, FF1 Inputs '!J33</f>
        <v>106505009.15000001</v>
      </c>
      <c r="I33" s="2"/>
      <c r="J33" s="1">
        <f>(F33+H33)/2</f>
        <v>101014052.575</v>
      </c>
      <c r="L33" s="2" t="s">
        <v>182</v>
      </c>
      <c r="M33" s="7">
        <f>'DEF - 2 - Page 4 Support'!I$37</f>
        <v>5.301789141664983E-2</v>
      </c>
      <c r="N33" s="7"/>
      <c r="O33" s="1">
        <f>IF(ISNUMBER(M33),J33*M33,"")</f>
        <v>5355552.0709771076</v>
      </c>
    </row>
    <row r="34" spans="1:17" ht="13.8" thickBot="1" x14ac:dyDescent="0.3">
      <c r="A34" s="2">
        <f>A33+1</f>
        <v>11</v>
      </c>
      <c r="B34" s="3"/>
      <c r="C34" t="str">
        <f>'DEF - 6  p1, FF1 Inputs '!E23</f>
        <v>Intangible Amort. Reserve</v>
      </c>
      <c r="D34" s="2" t="str">
        <f>'DEF - 6  p1, FF1 Inputs '!F23</f>
        <v>200.21.c</v>
      </c>
      <c r="E34" s="2"/>
      <c r="F34" s="9">
        <f>'DEF - 6  p1, FF1 Inputs '!J73</f>
        <v>129155675</v>
      </c>
      <c r="G34" s="9"/>
      <c r="H34" s="1">
        <f>'DEF - 6  p1, FF1 Inputs '!J23</f>
        <v>136160166</v>
      </c>
      <c r="I34" s="2"/>
      <c r="J34" s="1">
        <f>(F34+H34)/2</f>
        <v>132657920.5</v>
      </c>
      <c r="L34" s="2" t="s">
        <v>182</v>
      </c>
      <c r="M34" s="7">
        <f>M33</f>
        <v>5.301789141664983E-2</v>
      </c>
      <c r="N34" s="7"/>
      <c r="O34" s="1">
        <f>IF(ISNUMBER(M34),J34*M34,"")</f>
        <v>7033243.2246275656</v>
      </c>
    </row>
    <row r="35" spans="1:17" ht="13.8" thickTop="1" x14ac:dyDescent="0.25">
      <c r="A35" s="2">
        <f>A34+1</f>
        <v>12</v>
      </c>
      <c r="B35" s="3" t="s">
        <v>29</v>
      </c>
      <c r="D35" s="2"/>
      <c r="E35" s="2"/>
      <c r="F35" s="9"/>
      <c r="G35" s="9"/>
      <c r="H35" s="372"/>
      <c r="I35" s="2"/>
      <c r="J35" s="5">
        <f>J26+J28+SUM(J32:J34)</f>
        <v>5024166536.7578793</v>
      </c>
      <c r="L35" s="2"/>
      <c r="M35" s="7"/>
      <c r="N35" s="7"/>
      <c r="O35" s="5">
        <f>SUM(O26:O34)</f>
        <v>557213133.14993954</v>
      </c>
    </row>
    <row r="36" spans="1:17" x14ac:dyDescent="0.25">
      <c r="A36" s="2"/>
      <c r="B36" s="3"/>
      <c r="D36" s="2"/>
      <c r="E36" s="2"/>
      <c r="F36" s="9"/>
      <c r="G36" s="9"/>
      <c r="H36" s="9"/>
      <c r="I36" s="2"/>
      <c r="L36" s="2"/>
    </row>
    <row r="37" spans="1:17" x14ac:dyDescent="0.25">
      <c r="A37" s="2"/>
      <c r="B37" s="3" t="s">
        <v>30</v>
      </c>
      <c r="D37" s="2"/>
      <c r="E37" s="2"/>
      <c r="F37" s="9"/>
      <c r="G37" s="9"/>
      <c r="H37" s="9"/>
      <c r="I37" s="2"/>
      <c r="L37" s="2"/>
      <c r="O37" s="1"/>
    </row>
    <row r="38" spans="1:17" x14ac:dyDescent="0.25">
      <c r="A38" s="2">
        <f>A35+1</f>
        <v>13</v>
      </c>
      <c r="B38" s="3"/>
      <c r="C38" t="s">
        <v>176</v>
      </c>
      <c r="D38" s="2" t="s">
        <v>42</v>
      </c>
      <c r="E38" s="2"/>
      <c r="F38" s="9"/>
      <c r="G38" s="9"/>
      <c r="H38" s="9"/>
      <c r="I38" s="2"/>
      <c r="J38" s="1">
        <f>J14-J26</f>
        <v>3568925710.8150005</v>
      </c>
      <c r="L38" s="2"/>
      <c r="O38" s="1" t="str">
        <f>IF(ISNUMBER(O14),O14-O26,"")</f>
        <v/>
      </c>
    </row>
    <row r="39" spans="1:17" x14ac:dyDescent="0.25">
      <c r="A39" s="2">
        <f>A38+1</f>
        <v>14</v>
      </c>
      <c r="B39" s="3"/>
      <c r="C39" t="s">
        <v>177</v>
      </c>
      <c r="D39" s="136" t="s">
        <v>462</v>
      </c>
      <c r="E39" s="2"/>
      <c r="F39" s="9"/>
      <c r="G39" s="9"/>
      <c r="H39" s="9"/>
      <c r="I39" s="2"/>
      <c r="J39" s="1">
        <f>J18-J30</f>
        <v>1860534564.9171205</v>
      </c>
      <c r="L39" s="2"/>
      <c r="O39" s="1">
        <f>IF(ISNUMBER(O18),O18-O30,"")</f>
        <v>1757652416.1056652</v>
      </c>
    </row>
    <row r="40" spans="1:17" x14ac:dyDescent="0.25">
      <c r="A40" s="2">
        <f>A39+1</f>
        <v>15</v>
      </c>
      <c r="B40" s="3"/>
      <c r="C40" t="s">
        <v>178</v>
      </c>
      <c r="D40" s="2" t="s">
        <v>43</v>
      </c>
      <c r="E40" s="2"/>
      <c r="F40" s="9"/>
      <c r="G40" s="9"/>
      <c r="H40" s="9"/>
      <c r="I40" s="2"/>
      <c r="J40" s="1">
        <f>J20-J32</f>
        <v>2747680546</v>
      </c>
      <c r="L40" s="2"/>
      <c r="O40" s="1" t="str">
        <f>IF(ISNUMBER(O20),O20-O32,"")</f>
        <v/>
      </c>
    </row>
    <row r="41" spans="1:17" x14ac:dyDescent="0.25">
      <c r="A41" s="2">
        <f>A40+1</f>
        <v>16</v>
      </c>
      <c r="B41" s="3"/>
      <c r="C41" t="s">
        <v>179</v>
      </c>
      <c r="D41" s="2" t="s">
        <v>44</v>
      </c>
      <c r="E41" s="2"/>
      <c r="F41" s="9"/>
      <c r="G41" s="9"/>
      <c r="H41" s="9"/>
      <c r="I41" s="2"/>
      <c r="J41" s="1">
        <f>J21-J33</f>
        <v>277988597.375</v>
      </c>
      <c r="L41" s="2"/>
      <c r="O41" s="1">
        <f>IF(ISNUMBER(O21),O21-O33,"")</f>
        <v>14738369.270694539</v>
      </c>
    </row>
    <row r="42" spans="1:17" ht="13.8" thickBot="1" x14ac:dyDescent="0.3">
      <c r="A42" s="2">
        <f>A41+1</f>
        <v>17</v>
      </c>
      <c r="B42" s="3"/>
      <c r="C42" t="s">
        <v>180</v>
      </c>
      <c r="D42" s="2" t="s">
        <v>45</v>
      </c>
      <c r="E42" s="2"/>
      <c r="F42" s="9"/>
      <c r="G42" s="9"/>
      <c r="H42" s="9"/>
      <c r="I42" s="2"/>
      <c r="J42" s="1">
        <f>J22-J34</f>
        <v>22006555</v>
      </c>
      <c r="L42" s="2"/>
      <c r="O42" s="1">
        <f>IF(ISNUMBER(O22),O22-O34,"")</f>
        <v>1166741.1434445325</v>
      </c>
    </row>
    <row r="43" spans="1:17" ht="13.8" thickTop="1" x14ac:dyDescent="0.25">
      <c r="A43" s="2">
        <f>A42+1</f>
        <v>18</v>
      </c>
      <c r="B43" s="3" t="s">
        <v>31</v>
      </c>
      <c r="D43" s="2"/>
      <c r="E43" s="2"/>
      <c r="F43" s="9"/>
      <c r="G43" s="9"/>
      <c r="H43" s="9"/>
      <c r="I43" s="2"/>
      <c r="J43" s="5">
        <f>SUM(J38:J42)</f>
        <v>8477135974.1071205</v>
      </c>
      <c r="L43" s="2" t="s">
        <v>32</v>
      </c>
      <c r="M43" s="7">
        <f>IF(J43&lt;&gt;0,O43/J43,0)</f>
        <v>0.20921659531438735</v>
      </c>
      <c r="N43" s="7"/>
      <c r="O43" s="5">
        <f>SUM(O38:O42)</f>
        <v>1773557526.5198042</v>
      </c>
    </row>
    <row r="44" spans="1:17" x14ac:dyDescent="0.25">
      <c r="A44" s="2"/>
      <c r="B44" s="3"/>
      <c r="D44" s="2"/>
      <c r="E44" s="2"/>
      <c r="F44" s="9"/>
      <c r="G44" s="9"/>
      <c r="H44" s="9"/>
      <c r="I44" s="2"/>
      <c r="L44" s="2"/>
    </row>
    <row r="45" spans="1:17" x14ac:dyDescent="0.25">
      <c r="A45" s="2"/>
      <c r="B45" s="3" t="s">
        <v>252</v>
      </c>
      <c r="D45" s="2"/>
      <c r="E45" s="2"/>
      <c r="F45" s="9"/>
      <c r="G45" s="9"/>
      <c r="H45" s="9"/>
      <c r="I45" s="2"/>
      <c r="L45" s="2"/>
    </row>
    <row r="46" spans="1:17" x14ac:dyDescent="0.25">
      <c r="A46" s="2">
        <f>A43+1</f>
        <v>19</v>
      </c>
      <c r="B46" s="3"/>
      <c r="C46" t="s">
        <v>18</v>
      </c>
      <c r="D46" s="6" t="str">
        <f>'DEF - 6  p1, FF1 Inputs '!F39</f>
        <v>234.8.b&amp;c</v>
      </c>
      <c r="E46" s="2"/>
      <c r="F46" s="9">
        <f>'DEF - 6  p1, FF1 Inputs '!H39</f>
        <v>1107815236</v>
      </c>
      <c r="G46" s="9"/>
      <c r="H46" s="9">
        <f>'DEF - 6  p1, FF1 Inputs '!J39</f>
        <v>400406855</v>
      </c>
      <c r="I46" s="2"/>
      <c r="J46" s="1">
        <f>(F46+H46)/2</f>
        <v>754111045.5</v>
      </c>
      <c r="L46" s="445" t="s">
        <v>812</v>
      </c>
      <c r="M46" s="446"/>
      <c r="N46" s="33"/>
      <c r="O46" s="201">
        <f>(SUMIF('DEF - 5 p1 PY ADIT 190'!$B:$B,"Balance in Account 190",'DEF - 5 p1 PY ADIT 190'!$I:$I)+SUMIF('DEF - 5 p3 CY ADIT 190'!$B:$B,"Balance in Account 190",'DEF - 5 p3 CY ADIT 190'!$I:$I))/2</f>
        <v>74252803.461802185</v>
      </c>
    </row>
    <row r="47" spans="1:17" x14ac:dyDescent="0.25">
      <c r="A47" s="2">
        <f>A46+1</f>
        <v>20</v>
      </c>
      <c r="B47" s="3"/>
      <c r="C47" t="s">
        <v>19</v>
      </c>
      <c r="D47" s="6" t="str">
        <f>'DEF - 6  p1, FF1 Inputs '!F48</f>
        <v>272&amp;273.8.b&amp;k</v>
      </c>
      <c r="E47" s="2"/>
      <c r="F47" s="9">
        <f>'DEF - 6  p1, FF1 Inputs '!H48</f>
        <v>-3757590</v>
      </c>
      <c r="G47" s="9"/>
      <c r="H47" s="9">
        <f>'DEF - 6  p1, FF1 Inputs '!J48</f>
        <v>-3757590</v>
      </c>
      <c r="I47" s="2"/>
      <c r="J47" s="1">
        <f>(F47+H47)/2</f>
        <v>-3757590</v>
      </c>
      <c r="L47" s="445" t="s">
        <v>812</v>
      </c>
      <c r="M47" s="446"/>
      <c r="N47" s="33"/>
      <c r="O47" s="82">
        <f>(SUMIF('DEF - 5 p2 PY ADIT 28x'!$B:$B,"Balance in Account 281",'DEF - 5 p2 PY ADIT 28x'!$I:$I))+(SUMIF('DEF - 5 p4 CY ADIT 28x'!$B:$B,"Balance in Account 281",'DEF - 5 p4 CY ADIT 28x'!$I:$I))/2</f>
        <v>0</v>
      </c>
    </row>
    <row r="48" spans="1:17" x14ac:dyDescent="0.25">
      <c r="A48" s="2">
        <f>A47+1</f>
        <v>21</v>
      </c>
      <c r="B48" s="3"/>
      <c r="C48" t="s">
        <v>20</v>
      </c>
      <c r="D48" s="6" t="str">
        <f>'DEF - 6  p1, FF1 Inputs '!F49</f>
        <v>274&amp;275.2.b&amp;k</v>
      </c>
      <c r="E48" s="2"/>
      <c r="F48" s="9">
        <f>'DEF - 6  p1, FF1 Inputs '!H49</f>
        <v>-1601614562</v>
      </c>
      <c r="G48" s="9"/>
      <c r="H48" s="9">
        <f>'DEF - 6  p1, FF1 Inputs '!J49</f>
        <v>-1844284194</v>
      </c>
      <c r="I48" s="2"/>
      <c r="J48" s="1">
        <f>(F48+H48)/2</f>
        <v>-1722949378</v>
      </c>
      <c r="L48" s="445" t="s">
        <v>812</v>
      </c>
      <c r="M48" s="446"/>
      <c r="N48" s="33"/>
      <c r="O48" s="1">
        <f>(SUMIF('DEF - 5 p2 PY ADIT 28x'!$B:$B,"Balance in Account 282",'DEF - 5 p2 PY ADIT 28x'!$I:$I)+SUMIF('DEF - 5 p4 CY ADIT 28x'!$B:$B,"Balance in Account 282",'DEF - 5 p4 CY ADIT 28x'!$I:$I))/2</f>
        <v>-323875991.17869568</v>
      </c>
      <c r="Q48" s="82"/>
    </row>
    <row r="49" spans="1:20" ht="13.8" thickBot="1" x14ac:dyDescent="0.3">
      <c r="A49" s="2">
        <f>A48+1</f>
        <v>22</v>
      </c>
      <c r="B49" s="3"/>
      <c r="C49" t="s">
        <v>367</v>
      </c>
      <c r="D49" s="6" t="str">
        <f>'DEF - 6  p1, FF1 Inputs '!F50</f>
        <v>267&amp;277.9.b&amp;k</v>
      </c>
      <c r="E49" s="2"/>
      <c r="F49" s="9">
        <f>'DEF - 6  p1, FF1 Inputs '!H50</f>
        <v>-1227860892</v>
      </c>
      <c r="G49" s="9"/>
      <c r="H49" s="9">
        <f>'DEF - 6  p1, FF1 Inputs '!J50</f>
        <v>-672696434</v>
      </c>
      <c r="I49" s="2"/>
      <c r="J49" s="1">
        <f>(F49+H49)/2</f>
        <v>-950278663</v>
      </c>
      <c r="L49" s="445" t="s">
        <v>812</v>
      </c>
      <c r="M49" s="446"/>
      <c r="N49" s="33"/>
      <c r="O49" s="1">
        <f>(SUMIF('DEF - 5 p2 PY ADIT 28x'!$B:$B,"Balance in Account 283",'DEF - 5 p2 PY ADIT 28x'!$I:$I)+SUMIF('DEF - 5 p4 CY ADIT 28x'!$B:$B,"Balance in Account 283",'DEF - 5 p4 CY ADIT 28x'!$I:$I))/2</f>
        <v>-9361475.3112102412</v>
      </c>
    </row>
    <row r="50" spans="1:20" ht="13.8" thickTop="1" x14ac:dyDescent="0.25">
      <c r="A50" s="2">
        <f>A49+1</f>
        <v>23</v>
      </c>
      <c r="B50" s="3" t="s">
        <v>253</v>
      </c>
      <c r="D50" s="2"/>
      <c r="E50" s="2"/>
      <c r="F50" s="9">
        <f>SUM(F46:F49)</f>
        <v>-1725417808</v>
      </c>
      <c r="G50" s="9"/>
      <c r="H50" s="9">
        <f>SUM(H46:H49)</f>
        <v>-2120331363</v>
      </c>
      <c r="I50" s="2"/>
      <c r="J50" s="5">
        <f>SUM(J46:J49)</f>
        <v>-1922874585.5</v>
      </c>
      <c r="L50" s="2"/>
      <c r="M50" s="7"/>
      <c r="N50" s="7"/>
      <c r="O50" s="5">
        <f>IF(SUM(O46:O49)=('DEF - 5 p2 PY ADIT 28x'!I47+'DEF - 5 p4 CY ADIT 28x'!I48)/2,SUM(O46:O49),"error")</f>
        <v>-258984663.02810374</v>
      </c>
    </row>
    <row r="51" spans="1:20" x14ac:dyDescent="0.25">
      <c r="A51" s="2"/>
      <c r="B51" s="3"/>
      <c r="D51" s="2"/>
      <c r="E51" s="2"/>
      <c r="F51" s="9"/>
      <c r="G51" s="9"/>
      <c r="H51" s="9"/>
      <c r="I51" s="2"/>
      <c r="L51" s="2"/>
    </row>
    <row r="52" spans="1:20" ht="25.5" customHeight="1" x14ac:dyDescent="0.25">
      <c r="A52" s="16">
        <f>A50+1</f>
        <v>24</v>
      </c>
      <c r="B52" s="448" t="s">
        <v>473</v>
      </c>
      <c r="C52" s="450"/>
      <c r="D52" s="139" t="s">
        <v>472</v>
      </c>
      <c r="E52" s="139"/>
      <c r="F52" s="140">
        <f>-'DEF - 5A Unfunded Reserves'!E31</f>
        <v>-263488602.69999999</v>
      </c>
      <c r="G52" s="140"/>
      <c r="H52" s="140">
        <f>-'DEF - 5A Unfunded Reserves'!G31</f>
        <v>-152908187.75999999</v>
      </c>
      <c r="I52" s="139"/>
      <c r="J52" s="141">
        <f>(F52+H52)/2</f>
        <v>-208198395.22999999</v>
      </c>
      <c r="K52" s="142"/>
      <c r="L52" s="451" t="s">
        <v>813</v>
      </c>
      <c r="M52" s="452"/>
      <c r="N52" s="143"/>
      <c r="O52" s="141">
        <f>-'DEF - 5A Unfunded Reserves'!N31</f>
        <v>-11038239.911424883</v>
      </c>
    </row>
    <row r="53" spans="1:20" x14ac:dyDescent="0.25">
      <c r="A53" s="2"/>
      <c r="B53" s="3"/>
      <c r="D53" s="2"/>
      <c r="E53" s="2"/>
      <c r="F53" s="9"/>
      <c r="G53" s="9"/>
      <c r="H53" s="9"/>
      <c r="I53" s="2"/>
      <c r="L53" s="2"/>
    </row>
    <row r="54" spans="1:20" ht="25.5" customHeight="1" x14ac:dyDescent="0.25">
      <c r="A54" s="16">
        <f>A52+1</f>
        <v>25</v>
      </c>
      <c r="B54" s="448" t="s">
        <v>271</v>
      </c>
      <c r="C54" s="449"/>
      <c r="D54" s="16" t="str">
        <f>'DEF - 6  p1, FF1 Inputs '!F38</f>
        <v>230a.5.f</v>
      </c>
      <c r="E54" s="16"/>
      <c r="F54" s="26">
        <f>'DEF - 6  p1, FF1 Inputs '!J79</f>
        <v>-6667985.7900000066</v>
      </c>
      <c r="G54" s="26"/>
      <c r="H54" s="26">
        <f>'DEF - 6  p1, FF1 Inputs '!J38</f>
        <v>-6733140.7899999991</v>
      </c>
      <c r="I54" s="16"/>
      <c r="J54" s="17">
        <f>(F54+H54)/2</f>
        <v>-6700563.2900000028</v>
      </c>
      <c r="K54" s="13"/>
      <c r="L54" s="16" t="str">
        <f>"p. 5, l. "&amp;'DEF - 2 - Page 5 Storm'!B38</f>
        <v>p. 5, l. 16</v>
      </c>
      <c r="M54" s="18">
        <f>'DEF - 2 - Page 5 Storm'!K38</f>
        <v>2.9195580587387675</v>
      </c>
      <c r="N54" s="13"/>
      <c r="O54" s="17">
        <f>J54*M54</f>
        <v>-19562683.551408656</v>
      </c>
      <c r="R54" s="202"/>
      <c r="S54" s="200"/>
    </row>
    <row r="55" spans="1:20" x14ac:dyDescent="0.25">
      <c r="A55" s="2"/>
      <c r="B55" s="3"/>
      <c r="D55" s="2"/>
      <c r="E55" s="2"/>
      <c r="F55" s="9"/>
      <c r="G55" s="9"/>
      <c r="H55" s="9"/>
      <c r="I55" s="2"/>
      <c r="L55" s="2"/>
      <c r="R55" s="202"/>
      <c r="S55" s="200"/>
      <c r="T55" s="200"/>
    </row>
    <row r="56" spans="1:20" x14ac:dyDescent="0.25">
      <c r="A56" s="16">
        <f>A54+1</f>
        <v>26</v>
      </c>
      <c r="B56" s="3" t="s">
        <v>38</v>
      </c>
      <c r="D56" s="2" t="str">
        <f>'DEF - 6  p1, FF1 Inputs '!F29</f>
        <v>214.47.d</v>
      </c>
      <c r="E56" s="2"/>
      <c r="F56" s="9">
        <f>'DEF - 6  p1, FF1 Inputs '!J74</f>
        <v>29554745</v>
      </c>
      <c r="G56" s="9"/>
      <c r="H56" s="9">
        <f>'DEF - 6  p1, FF1 Inputs '!J29</f>
        <v>29554745</v>
      </c>
      <c r="I56" s="2"/>
      <c r="J56" s="1">
        <f>(F56+H56)/2</f>
        <v>29554745</v>
      </c>
      <c r="L56" s="2" t="s">
        <v>272</v>
      </c>
      <c r="O56" s="1">
        <f>J56</f>
        <v>29554745</v>
      </c>
      <c r="R56" s="202"/>
      <c r="S56" s="200"/>
      <c r="T56" s="200"/>
    </row>
    <row r="57" spans="1:20" x14ac:dyDescent="0.25">
      <c r="A57" s="2"/>
      <c r="B57" s="3"/>
      <c r="F57" s="1"/>
      <c r="G57" s="1"/>
      <c r="H57" s="1"/>
      <c r="L57" s="2"/>
      <c r="R57" s="202"/>
      <c r="S57" s="200"/>
      <c r="T57" s="200"/>
    </row>
    <row r="58" spans="1:20" x14ac:dyDescent="0.25">
      <c r="A58" s="16">
        <f>A56+1</f>
        <v>27</v>
      </c>
      <c r="B58" s="3" t="s">
        <v>463</v>
      </c>
      <c r="F58" s="384">
        <v>42273079.68</v>
      </c>
      <c r="G58" s="42"/>
      <c r="H58" s="384">
        <v>19309972.339999985</v>
      </c>
      <c r="J58" s="1">
        <f>(F58+H58)/2</f>
        <v>30791526.00999999</v>
      </c>
      <c r="L58" s="2"/>
      <c r="M58" s="55">
        <v>0.5</v>
      </c>
      <c r="O58" s="1">
        <f>J58*M58</f>
        <v>15395763.004999995</v>
      </c>
    </row>
    <row r="59" spans="1:20" ht="12.75" customHeight="1" x14ac:dyDescent="0.25">
      <c r="A59" s="2"/>
      <c r="C59" s="31"/>
      <c r="D59" s="16"/>
      <c r="E59" s="16"/>
      <c r="F59" s="52"/>
      <c r="G59" s="52"/>
      <c r="H59" s="52"/>
      <c r="I59" s="16"/>
      <c r="J59" s="17"/>
      <c r="K59" s="13"/>
      <c r="L59" s="16"/>
      <c r="M59" s="18"/>
      <c r="N59" s="13"/>
      <c r="O59" s="17"/>
    </row>
    <row r="60" spans="1:20" ht="12.75" customHeight="1" x14ac:dyDescent="0.25">
      <c r="A60" s="38"/>
      <c r="B60" s="39" t="s">
        <v>370</v>
      </c>
      <c r="C60" s="34"/>
      <c r="D60" s="51"/>
      <c r="E60" s="51"/>
      <c r="F60" s="52"/>
      <c r="G60" s="52"/>
      <c r="H60" s="52"/>
      <c r="I60" s="51"/>
      <c r="J60" s="53"/>
      <c r="K60" s="54"/>
      <c r="L60" s="51"/>
      <c r="M60" s="55"/>
      <c r="N60" s="54"/>
      <c r="O60" s="53"/>
    </row>
    <row r="61" spans="1:20" ht="12.75" customHeight="1" x14ac:dyDescent="0.25">
      <c r="A61" s="2">
        <f>A58+1</f>
        <v>28</v>
      </c>
      <c r="B61" s="33"/>
      <c r="C61" s="58" t="s">
        <v>464</v>
      </c>
      <c r="D61" s="51"/>
      <c r="E61" s="51"/>
      <c r="F61" s="44">
        <v>0</v>
      </c>
      <c r="G61" s="44"/>
      <c r="H61" s="44">
        <v>0</v>
      </c>
      <c r="I61" s="2"/>
      <c r="J61" s="1">
        <f>(F61+H61)/2</f>
        <v>0</v>
      </c>
      <c r="K61" s="54"/>
      <c r="L61" s="51" t="s">
        <v>55</v>
      </c>
      <c r="M61" s="55">
        <v>-1</v>
      </c>
      <c r="N61" s="54"/>
      <c r="O61" s="53">
        <f>J61*M61</f>
        <v>0</v>
      </c>
    </row>
    <row r="62" spans="1:20" ht="12.75" customHeight="1" thickBot="1" x14ac:dyDescent="0.3">
      <c r="A62" s="2">
        <f>A61+1</f>
        <v>29</v>
      </c>
      <c r="B62" s="33"/>
      <c r="C62" s="34" t="s">
        <v>250</v>
      </c>
      <c r="D62" s="51"/>
      <c r="E62" s="51"/>
      <c r="F62" s="44">
        <v>0</v>
      </c>
      <c r="G62" s="44"/>
      <c r="H62" s="44">
        <v>0</v>
      </c>
      <c r="I62" s="2"/>
      <c r="J62" s="1">
        <f>(F62+H62)/2</f>
        <v>0</v>
      </c>
      <c r="K62" s="54"/>
      <c r="L62" s="51" t="s">
        <v>55</v>
      </c>
      <c r="M62" s="55">
        <v>1</v>
      </c>
      <c r="N62" s="54"/>
      <c r="O62" s="53">
        <f>J62*M62</f>
        <v>0</v>
      </c>
    </row>
    <row r="63" spans="1:20" ht="12.75" customHeight="1" thickTop="1" x14ac:dyDescent="0.25">
      <c r="A63" s="2">
        <f>A62+1</f>
        <v>30</v>
      </c>
      <c r="B63" s="3" t="s">
        <v>254</v>
      </c>
      <c r="C63" s="58"/>
      <c r="D63" s="59"/>
      <c r="E63" s="59"/>
      <c r="F63" s="9"/>
      <c r="G63" s="9"/>
      <c r="H63" s="9"/>
      <c r="I63" s="2"/>
      <c r="J63" s="1"/>
      <c r="K63" s="54"/>
      <c r="L63" s="51"/>
      <c r="M63" s="55"/>
      <c r="N63" s="54"/>
      <c r="O63" s="5">
        <f>SUM(O61:O62)</f>
        <v>0</v>
      </c>
    </row>
    <row r="64" spans="1:20" ht="12.75" customHeight="1" x14ac:dyDescent="0.25">
      <c r="A64" s="56"/>
      <c r="B64" s="57"/>
      <c r="C64" s="58"/>
      <c r="D64" s="59"/>
      <c r="E64" s="59"/>
      <c r="F64" s="9"/>
      <c r="G64" s="9"/>
      <c r="H64" s="9"/>
      <c r="I64" s="2"/>
      <c r="J64" s="1"/>
      <c r="K64" s="54"/>
      <c r="L64" s="51"/>
      <c r="M64" s="55"/>
      <c r="N64" s="54"/>
      <c r="O64" s="53"/>
    </row>
    <row r="65" spans="1:18" x14ac:dyDescent="0.25">
      <c r="A65" s="2"/>
      <c r="B65" s="3" t="s">
        <v>39</v>
      </c>
      <c r="D65" s="2"/>
      <c r="E65" s="2"/>
      <c r="F65" s="6"/>
      <c r="G65" s="6"/>
      <c r="H65" s="6"/>
      <c r="I65" s="2"/>
      <c r="L65" s="2"/>
    </row>
    <row r="66" spans="1:18" x14ac:dyDescent="0.25">
      <c r="A66" s="2">
        <f>A63+1</f>
        <v>31</v>
      </c>
      <c r="B66" s="3"/>
      <c r="C66" t="s">
        <v>64</v>
      </c>
      <c r="D66" s="2" t="str">
        <f>"Page 3, line "&amp;'DEF - 2 - Page 3 Rev Reqt'!A34</f>
        <v>Page 3, line 17</v>
      </c>
      <c r="E66" s="2"/>
      <c r="F66" s="6"/>
      <c r="G66" s="6"/>
      <c r="H66" s="6"/>
      <c r="I66" s="2"/>
      <c r="L66" s="2"/>
      <c r="O66" s="1">
        <f>'DEF - 2 - Page 3 Rev Reqt'!K34/8</f>
        <v>5006713.1382614039</v>
      </c>
      <c r="R66" s="204"/>
    </row>
    <row r="67" spans="1:18" x14ac:dyDescent="0.25">
      <c r="A67" s="2">
        <f>A66+1</f>
        <v>32</v>
      </c>
      <c r="B67" s="3"/>
      <c r="C67" s="33" t="s">
        <v>65</v>
      </c>
      <c r="D67" s="2" t="str">
        <f>'DEF - 6  p1, FF1 Inputs '!F34</f>
        <v>227.8.b&amp;c</v>
      </c>
      <c r="E67" s="2"/>
      <c r="F67" s="9">
        <f>'DEF - 6  p1, FF1 Inputs '!H34</f>
        <v>1124024</v>
      </c>
      <c r="G67" s="6"/>
      <c r="H67" s="9">
        <f>'DEF - 6  p1, FF1 Inputs '!J34</f>
        <v>8062018</v>
      </c>
      <c r="I67" s="2"/>
      <c r="J67" s="1">
        <f>(F67+H67)/2</f>
        <v>4593021</v>
      </c>
      <c r="L67" s="136" t="s">
        <v>215</v>
      </c>
      <c r="M67" s="7">
        <f>+TExp_ALLOC</f>
        <v>0.95485513153239476</v>
      </c>
      <c r="N67" s="7"/>
      <c r="O67" s="1">
        <f>J67*M67</f>
        <v>4385669.6710860515</v>
      </c>
    </row>
    <row r="68" spans="1:18" x14ac:dyDescent="0.25">
      <c r="A68" s="2">
        <f>A67+1</f>
        <v>33</v>
      </c>
      <c r="B68" s="3"/>
      <c r="C68" s="33" t="s">
        <v>66</v>
      </c>
      <c r="D68" s="2" t="str">
        <f>'DEF - 6  p1, FF1 Inputs '!F35</f>
        <v>227.16.b&amp;c</v>
      </c>
      <c r="E68" s="2"/>
      <c r="F68" s="9">
        <f>'DEF - 6  p1, FF1 Inputs '!H35</f>
        <v>6935715</v>
      </c>
      <c r="G68" s="6"/>
      <c r="H68" s="9">
        <f>'DEF - 6  p1, FF1 Inputs '!J35</f>
        <v>15956841</v>
      </c>
      <c r="I68" s="2"/>
      <c r="J68" s="1">
        <f>(F68+H68)/2</f>
        <v>11446278</v>
      </c>
      <c r="L68" s="2" t="s">
        <v>182</v>
      </c>
      <c r="M68" s="7">
        <f>'DEF - 2 - Page 4 Support'!I37</f>
        <v>5.301789141664983E-2</v>
      </c>
      <c r="N68" s="7"/>
      <c r="O68" s="1">
        <f>J68*M68</f>
        <v>606857.5241287878</v>
      </c>
    </row>
    <row r="69" spans="1:18" x14ac:dyDescent="0.25">
      <c r="A69" s="2">
        <f>A68+1</f>
        <v>34</v>
      </c>
      <c r="B69" s="3"/>
      <c r="C69" s="33" t="s">
        <v>209</v>
      </c>
      <c r="D69" s="2"/>
      <c r="E69" s="2"/>
      <c r="F69" s="44"/>
      <c r="G69" s="6"/>
      <c r="H69" s="44"/>
      <c r="I69" s="354"/>
      <c r="J69" s="356"/>
      <c r="K69" s="357"/>
      <c r="L69" s="354"/>
      <c r="M69" s="355"/>
      <c r="N69" s="355"/>
      <c r="O69" s="356"/>
    </row>
    <row r="70" spans="1:18" x14ac:dyDescent="0.25">
      <c r="A70" s="342" t="s">
        <v>861</v>
      </c>
      <c r="B70" s="3"/>
      <c r="C70" s="352" t="s">
        <v>865</v>
      </c>
      <c r="D70" s="342"/>
      <c r="E70" s="342"/>
      <c r="F70" s="44"/>
      <c r="G70" s="6"/>
      <c r="H70" s="44"/>
      <c r="I70" s="342"/>
      <c r="J70" s="1"/>
      <c r="L70" s="342"/>
      <c r="M70" s="7"/>
      <c r="N70" s="7"/>
      <c r="O70" s="1"/>
    </row>
    <row r="71" spans="1:18" x14ac:dyDescent="0.25">
      <c r="A71" s="342" t="s">
        <v>862</v>
      </c>
      <c r="B71" s="3"/>
      <c r="C71" s="353" t="s">
        <v>866</v>
      </c>
      <c r="D71" s="342" t="s">
        <v>867</v>
      </c>
      <c r="E71" s="342"/>
      <c r="F71" s="44">
        <f>+'DEF - 6  p1, FF1 Inputs '!H12</f>
        <v>29051268.820000023</v>
      </c>
      <c r="G71" s="6"/>
      <c r="H71" s="44">
        <f>+'DEF - 6  p1, FF1 Inputs '!J12</f>
        <v>30747595</v>
      </c>
      <c r="I71" s="342"/>
      <c r="J71" s="1">
        <f t="shared" ref="J71:J73" si="0">(F71+H71)/2</f>
        <v>29899431.910000011</v>
      </c>
      <c r="L71" s="342" t="s">
        <v>224</v>
      </c>
      <c r="M71" s="7">
        <f>+'DEF - 2 - Page 4 Support'!R12</f>
        <v>0</v>
      </c>
      <c r="N71" s="7"/>
      <c r="O71" s="1">
        <f t="shared" ref="O71:O73" si="1">J71*M71</f>
        <v>0</v>
      </c>
    </row>
    <row r="72" spans="1:18" x14ac:dyDescent="0.25">
      <c r="A72" s="342" t="s">
        <v>863</v>
      </c>
      <c r="B72" s="3"/>
      <c r="C72" s="353" t="s">
        <v>255</v>
      </c>
      <c r="D72" s="342" t="s">
        <v>867</v>
      </c>
      <c r="E72" s="342"/>
      <c r="F72" s="44">
        <f>+'DEF - 6  p1, FF1 Inputs '!H13</f>
        <v>0</v>
      </c>
      <c r="G72" s="6"/>
      <c r="H72" s="44">
        <f>+'DEF - 6  p1, FF1 Inputs '!J13</f>
        <v>0</v>
      </c>
      <c r="I72" s="342"/>
      <c r="J72" s="1">
        <f t="shared" si="0"/>
        <v>0</v>
      </c>
      <c r="L72" s="342" t="s">
        <v>51</v>
      </c>
      <c r="M72" s="7">
        <f>+TP_ALLOC</f>
        <v>0.94470290917920241</v>
      </c>
      <c r="N72" s="7"/>
      <c r="O72" s="1">
        <f t="shared" si="1"/>
        <v>0</v>
      </c>
    </row>
    <row r="73" spans="1:18" x14ac:dyDescent="0.25">
      <c r="A73" s="342" t="s">
        <v>864</v>
      </c>
      <c r="B73" s="3"/>
      <c r="C73" s="33" t="s">
        <v>868</v>
      </c>
      <c r="D73" s="342" t="s">
        <v>867</v>
      </c>
      <c r="E73" s="342"/>
      <c r="F73" s="44">
        <f>+'DEF - 6  p1, FF1 Inputs '!H14</f>
        <v>17917993.840000007</v>
      </c>
      <c r="G73" s="6"/>
      <c r="H73" s="44">
        <f>+'DEF - 6  p1, FF1 Inputs '!J14</f>
        <v>17911211</v>
      </c>
      <c r="I73" s="342"/>
      <c r="J73" s="1">
        <f t="shared" si="0"/>
        <v>17914602.420000002</v>
      </c>
      <c r="L73" s="342" t="s">
        <v>41</v>
      </c>
      <c r="M73" s="7">
        <f>+'DEF - 2 - Page 4 Support'!R8</f>
        <v>0.17243344361483218</v>
      </c>
      <c r="N73" s="7"/>
      <c r="O73" s="1">
        <f t="shared" si="1"/>
        <v>3089076.5862712064</v>
      </c>
    </row>
    <row r="74" spans="1:18" ht="13.8" thickBot="1" x14ac:dyDescent="0.3">
      <c r="A74" s="342"/>
      <c r="B74" s="3"/>
      <c r="C74" s="33"/>
      <c r="D74" s="342"/>
      <c r="E74" s="342"/>
      <c r="F74" s="44"/>
      <c r="G74" s="6"/>
      <c r="H74" s="44"/>
      <c r="I74" s="342"/>
      <c r="J74" s="1"/>
      <c r="L74" s="342"/>
      <c r="M74" s="7"/>
      <c r="N74" s="7"/>
      <c r="O74" s="1"/>
    </row>
    <row r="75" spans="1:18" ht="13.8" thickTop="1" x14ac:dyDescent="0.25">
      <c r="A75" s="2">
        <f>A69+1</f>
        <v>35</v>
      </c>
      <c r="B75" s="3" t="s">
        <v>46</v>
      </c>
      <c r="D75" s="2"/>
      <c r="E75" s="2"/>
      <c r="F75" s="6"/>
      <c r="G75" s="6"/>
      <c r="H75" s="6"/>
      <c r="I75" s="2"/>
      <c r="O75" s="5">
        <f>SUM(O66:O73)</f>
        <v>13088316.919747448</v>
      </c>
      <c r="R75" s="201"/>
    </row>
    <row r="76" spans="1:18" x14ac:dyDescent="0.25">
      <c r="A76" s="2"/>
      <c r="B76" s="3"/>
      <c r="D76" s="2"/>
      <c r="E76" s="2"/>
      <c r="F76" s="6"/>
      <c r="G76" s="6"/>
      <c r="H76" s="6"/>
      <c r="I76" s="2"/>
    </row>
    <row r="77" spans="1:18" x14ac:dyDescent="0.25">
      <c r="A77" s="2">
        <f>A75+1</f>
        <v>36</v>
      </c>
      <c r="B77" s="3" t="str">
        <f>"Rate Base (Sum of Lines "&amp;A43&amp;", "&amp;A50&amp;" thru "&amp;A58&amp;", "&amp;A63&amp;", and "&amp;A75&amp;")"</f>
        <v>Rate Base (Sum of Lines 18, 23 thru 27, 30, and 35)</v>
      </c>
      <c r="D77" s="2"/>
      <c r="E77" s="2"/>
      <c r="F77" s="2"/>
      <c r="G77" s="2"/>
      <c r="H77" s="2"/>
      <c r="I77" s="2"/>
      <c r="O77" s="1">
        <f>O43+O50+O52+O54+O56+O58+O63+O75</f>
        <v>1542010764.9536142</v>
      </c>
    </row>
    <row r="78" spans="1:18" x14ac:dyDescent="0.25">
      <c r="B78" s="3"/>
    </row>
    <row r="79" spans="1:18" x14ac:dyDescent="0.25">
      <c r="B79" s="3" t="s">
        <v>246</v>
      </c>
    </row>
    <row r="80" spans="1:18" x14ac:dyDescent="0.25">
      <c r="B80" s="3"/>
    </row>
    <row r="81" spans="1:10" x14ac:dyDescent="0.25">
      <c r="A81" s="38">
        <f>A77+1</f>
        <v>37</v>
      </c>
      <c r="B81" s="33"/>
      <c r="C81" s="33" t="str">
        <f>'DEF - 6  p1, FF1 Inputs '!E19</f>
        <v>Long-Term Debt</v>
      </c>
      <c r="D81" s="38" t="str">
        <f>'DEF - 6  p1, FF1 Inputs '!F19</f>
        <v>112.24.c&amp;d</v>
      </c>
      <c r="E81" s="33"/>
      <c r="F81" s="35">
        <f>'DEF - 6  p1, FF1 Inputs '!H19</f>
        <v>4706995378</v>
      </c>
      <c r="G81" s="35"/>
      <c r="H81" s="35">
        <f>'DEF - 6  p1, FF1 Inputs '!J19</f>
        <v>4466861122</v>
      </c>
      <c r="I81" s="1"/>
      <c r="J81" s="1">
        <f>(F81+H81)/2</f>
        <v>4586928250</v>
      </c>
    </row>
    <row r="82" spans="1:10" x14ac:dyDescent="0.25">
      <c r="A82" s="2">
        <f>A81+1</f>
        <v>38</v>
      </c>
      <c r="B82" s="33"/>
      <c r="C82" s="33" t="s">
        <v>71</v>
      </c>
      <c r="D82" s="2" t="str">
        <f>'DEF - 6  p1, FF1 Inputs '!F15</f>
        <v>111.81.c&amp;d</v>
      </c>
      <c r="F82" s="9">
        <f>'DEF - 6  p1, FF1 Inputs '!H15</f>
        <v>10424293</v>
      </c>
      <c r="G82" s="1"/>
      <c r="H82" s="9">
        <f>'DEF - 6  p1, FF1 Inputs '!J15</f>
        <v>12486268</v>
      </c>
      <c r="I82" s="1"/>
      <c r="J82" s="1">
        <f>(F82+H82)/2</f>
        <v>11455280.5</v>
      </c>
    </row>
    <row r="83" spans="1:10" x14ac:dyDescent="0.25">
      <c r="A83" s="2">
        <f>A82+1</f>
        <v>39</v>
      </c>
      <c r="B83" s="33"/>
      <c r="C83" s="33" t="s">
        <v>72</v>
      </c>
      <c r="D83" s="2" t="str">
        <f>'DEF - 6  p1, FF1 Inputs '!F20</f>
        <v>113.61.c&amp;d</v>
      </c>
      <c r="F83" s="9">
        <f>'DEF - 6  p1, FF1 Inputs '!H20</f>
        <v>0</v>
      </c>
      <c r="G83" s="1"/>
      <c r="H83" s="9">
        <f>'DEF - 6  p1, FF1 Inputs '!J20</f>
        <v>0</v>
      </c>
      <c r="I83" s="1"/>
      <c r="J83" s="1">
        <f>(F83+H83)/2</f>
        <v>0</v>
      </c>
    </row>
    <row r="84" spans="1:10" ht="13.8" thickBot="1" x14ac:dyDescent="0.3">
      <c r="A84" s="2">
        <f>A83+1</f>
        <v>40</v>
      </c>
      <c r="B84" s="33"/>
      <c r="C84" s="33" t="s">
        <v>74</v>
      </c>
      <c r="D84" s="38" t="s">
        <v>185</v>
      </c>
      <c r="F84" s="35">
        <v>0</v>
      </c>
      <c r="G84" s="35"/>
      <c r="H84" s="35">
        <v>0</v>
      </c>
      <c r="I84" s="1"/>
      <c r="J84" s="1">
        <f>(F84+H84)/2</f>
        <v>0</v>
      </c>
    </row>
    <row r="85" spans="1:10" ht="13.8" thickTop="1" x14ac:dyDescent="0.25">
      <c r="A85" s="2">
        <f>A84+1</f>
        <v>41</v>
      </c>
      <c r="B85" s="33"/>
      <c r="C85" s="33" t="s">
        <v>75</v>
      </c>
      <c r="F85" s="1"/>
      <c r="G85" s="1"/>
      <c r="H85" s="1"/>
      <c r="I85" s="1"/>
      <c r="J85" s="5">
        <f>J81-J82+J83-J84</f>
        <v>4575472969.5</v>
      </c>
    </row>
    <row r="86" spans="1:10" ht="6" customHeight="1" x14ac:dyDescent="0.25">
      <c r="A86" s="33"/>
      <c r="B86" s="33"/>
      <c r="C86" s="33"/>
      <c r="F86" s="1"/>
      <c r="G86" s="1"/>
      <c r="H86" s="1"/>
      <c r="I86" s="1"/>
      <c r="J86" s="1"/>
    </row>
    <row r="87" spans="1:10" x14ac:dyDescent="0.25">
      <c r="A87" s="38">
        <f>A85+1</f>
        <v>42</v>
      </c>
      <c r="B87" s="33"/>
      <c r="C87" s="33" t="s">
        <v>76</v>
      </c>
      <c r="D87" s="2" t="str">
        <f>'DEF - 6  p1, FF1 Inputs '!F16</f>
        <v>112.3.c&amp;d</v>
      </c>
      <c r="F87" s="9">
        <f>'DEF - 6  p1, FF1 Inputs '!H16</f>
        <v>0</v>
      </c>
      <c r="G87" s="1"/>
      <c r="H87" s="9">
        <f>'DEF - 6  p1, FF1 Inputs '!J16</f>
        <v>0</v>
      </c>
      <c r="I87" s="1"/>
      <c r="J87" s="1">
        <f>(F87+H87)/2</f>
        <v>0</v>
      </c>
    </row>
    <row r="88" spans="1:10" ht="6" customHeight="1" x14ac:dyDescent="0.25">
      <c r="A88" s="38"/>
      <c r="B88" s="33"/>
      <c r="C88" s="33"/>
      <c r="F88" s="1"/>
      <c r="G88" s="1"/>
      <c r="H88" s="1"/>
      <c r="I88" s="1"/>
      <c r="J88" s="1"/>
    </row>
    <row r="89" spans="1:10" x14ac:dyDescent="0.25">
      <c r="A89" s="38"/>
      <c r="B89" s="33"/>
      <c r="C89" s="33" t="s">
        <v>80</v>
      </c>
      <c r="F89" s="1"/>
      <c r="G89" s="1"/>
      <c r="H89" s="1"/>
      <c r="I89" s="1"/>
      <c r="J89" s="1"/>
    </row>
    <row r="90" spans="1:10" x14ac:dyDescent="0.25">
      <c r="A90" s="38">
        <f>A87+1</f>
        <v>43</v>
      </c>
      <c r="B90" s="33"/>
      <c r="C90" s="33" t="s">
        <v>79</v>
      </c>
      <c r="D90" s="2" t="str">
        <f>'DEF - 6  p1, FF1 Inputs '!F18</f>
        <v>112.16.c&amp;d</v>
      </c>
      <c r="F90" s="9">
        <f>'DEF - 6  p1, FF1 Inputs '!H18</f>
        <v>4797115007</v>
      </c>
      <c r="G90" s="1"/>
      <c r="H90" s="9">
        <f>'DEF - 6  p1, FF1 Inputs '!J18</f>
        <v>5222186480</v>
      </c>
      <c r="I90" s="1"/>
      <c r="J90" s="1">
        <f>(F90+H90)/2</f>
        <v>5009650743.5</v>
      </c>
    </row>
    <row r="91" spans="1:10" x14ac:dyDescent="0.25">
      <c r="A91" s="38">
        <f>A90+1</f>
        <v>44</v>
      </c>
      <c r="B91" s="33"/>
      <c r="C91" s="33" t="s">
        <v>77</v>
      </c>
      <c r="D91" s="2" t="str">
        <f>D87</f>
        <v>112.3.c&amp;d</v>
      </c>
      <c r="F91" s="9">
        <f>F87</f>
        <v>0</v>
      </c>
      <c r="G91" s="1"/>
      <c r="H91" s="9">
        <f>H87</f>
        <v>0</v>
      </c>
      <c r="I91" s="1"/>
      <c r="J91" s="1">
        <f>(F91+H91)/2</f>
        <v>0</v>
      </c>
    </row>
    <row r="92" spans="1:10" ht="13.8" thickBot="1" x14ac:dyDescent="0.3">
      <c r="A92" s="38">
        <f>A91+1</f>
        <v>45</v>
      </c>
      <c r="B92" s="33"/>
      <c r="C92" s="33" t="s">
        <v>78</v>
      </c>
      <c r="D92" s="2" t="str">
        <f>'DEF - 6  p1, FF1 Inputs '!F17</f>
        <v>112.12.c&amp;d</v>
      </c>
      <c r="F92" s="9">
        <f>'DEF - 6  p1, FF1 Inputs '!H17</f>
        <v>0</v>
      </c>
      <c r="G92" s="1"/>
      <c r="H92" s="9">
        <f>'DEF - 6  p1, FF1 Inputs '!J17</f>
        <v>2295088</v>
      </c>
      <c r="I92" s="1"/>
      <c r="J92" s="1">
        <f>(F92+H92)/2</f>
        <v>1147544</v>
      </c>
    </row>
    <row r="93" spans="1:10" ht="13.8" thickTop="1" x14ac:dyDescent="0.25">
      <c r="A93" s="38">
        <f>A92+1</f>
        <v>46</v>
      </c>
      <c r="B93" s="33"/>
      <c r="C93" s="33" t="s">
        <v>81</v>
      </c>
      <c r="F93" s="1"/>
      <c r="G93" s="1"/>
      <c r="H93" s="1"/>
      <c r="I93" s="1"/>
      <c r="J93" s="5">
        <f>J90-J91-J92</f>
        <v>5008503199.5</v>
      </c>
    </row>
    <row r="94" spans="1:10" x14ac:dyDescent="0.25">
      <c r="A94" s="33"/>
      <c r="B94" s="33"/>
      <c r="C94" s="33"/>
      <c r="F94" s="1"/>
      <c r="G94" s="1"/>
      <c r="H94" s="1"/>
      <c r="I94" s="1"/>
      <c r="J94" s="1"/>
    </row>
    <row r="95" spans="1:10" x14ac:dyDescent="0.25">
      <c r="A95" s="38">
        <f>A93+1</f>
        <v>47</v>
      </c>
      <c r="B95" s="33"/>
      <c r="C95" s="33" t="str">
        <f>"Total Capitalization (Sum of Lines "&amp;A85&amp;", "&amp;A87&amp;", and "&amp;A93&amp;")"</f>
        <v>Total Capitalization (Sum of Lines 41, 42, and 46)</v>
      </c>
      <c r="F95" s="1"/>
      <c r="G95" s="1"/>
      <c r="H95" s="1"/>
      <c r="I95" s="1"/>
      <c r="J95" s="1">
        <f>J85+J87+J93</f>
        <v>9583976169</v>
      </c>
    </row>
    <row r="96" spans="1:10" x14ac:dyDescent="0.25">
      <c r="B96" s="3"/>
      <c r="F96" s="1"/>
      <c r="G96" s="1"/>
      <c r="H96" s="1"/>
      <c r="I96" s="1"/>
      <c r="J96" s="1"/>
    </row>
    <row r="97" spans="2:10" x14ac:dyDescent="0.25">
      <c r="B97" s="3"/>
      <c r="F97" s="1"/>
      <c r="G97" s="1"/>
      <c r="H97" s="1"/>
      <c r="I97" s="1"/>
      <c r="J97" s="1"/>
    </row>
    <row r="98" spans="2:10" x14ac:dyDescent="0.25">
      <c r="B98" s="3"/>
      <c r="F98" s="1"/>
      <c r="G98" s="1"/>
      <c r="H98" s="1"/>
      <c r="I98" s="1"/>
      <c r="J98" s="1"/>
    </row>
    <row r="99" spans="2:10" x14ac:dyDescent="0.25">
      <c r="B99" s="3"/>
      <c r="F99" s="1"/>
      <c r="G99" s="1"/>
      <c r="H99" s="1"/>
      <c r="I99" s="1"/>
      <c r="J99" s="1"/>
    </row>
    <row r="100" spans="2:10" x14ac:dyDescent="0.25">
      <c r="F100" s="1"/>
      <c r="G100" s="1"/>
      <c r="H100" s="1"/>
      <c r="I100" s="1"/>
      <c r="J100" s="1"/>
    </row>
    <row r="101" spans="2:10" x14ac:dyDescent="0.25">
      <c r="F101" s="1"/>
      <c r="G101" s="1"/>
      <c r="H101" s="1"/>
      <c r="I101" s="1"/>
      <c r="J101" s="1"/>
    </row>
    <row r="102" spans="2:10" x14ac:dyDescent="0.25">
      <c r="F102" s="1"/>
      <c r="G102" s="1"/>
      <c r="H102" s="1"/>
      <c r="I102" s="1"/>
      <c r="J102" s="1"/>
    </row>
    <row r="103" spans="2:10" x14ac:dyDescent="0.25">
      <c r="F103" s="1"/>
      <c r="G103" s="1"/>
      <c r="H103" s="1"/>
      <c r="I103" s="1"/>
      <c r="J103" s="1"/>
    </row>
    <row r="104" spans="2:10" x14ac:dyDescent="0.25">
      <c r="F104" s="1"/>
      <c r="G104" s="1"/>
      <c r="H104" s="1"/>
      <c r="I104" s="1"/>
      <c r="J104" s="1"/>
    </row>
    <row r="105" spans="2:10" x14ac:dyDescent="0.25">
      <c r="F105" s="1"/>
      <c r="G105" s="1"/>
      <c r="H105" s="1"/>
      <c r="I105" s="1"/>
      <c r="J105" s="1"/>
    </row>
    <row r="106" spans="2:10" x14ac:dyDescent="0.25">
      <c r="F106" s="1"/>
      <c r="G106" s="1"/>
      <c r="H106" s="1"/>
      <c r="I106" s="1"/>
      <c r="J106" s="1"/>
    </row>
    <row r="107" spans="2:10" x14ac:dyDescent="0.25">
      <c r="F107" s="1"/>
      <c r="G107" s="1"/>
      <c r="H107" s="1"/>
      <c r="I107" s="1"/>
      <c r="J107" s="1"/>
    </row>
    <row r="108" spans="2:10" x14ac:dyDescent="0.25">
      <c r="F108" s="1"/>
      <c r="G108" s="1"/>
      <c r="H108" s="1"/>
      <c r="I108" s="1"/>
      <c r="J108" s="1"/>
    </row>
    <row r="109" spans="2:10" x14ac:dyDescent="0.25">
      <c r="F109" s="1"/>
      <c r="G109" s="1"/>
      <c r="H109" s="1"/>
      <c r="I109" s="1"/>
      <c r="J109" s="1"/>
    </row>
    <row r="110" spans="2:10" x14ac:dyDescent="0.25">
      <c r="F110" s="1"/>
      <c r="G110" s="1"/>
      <c r="H110" s="1"/>
      <c r="I110" s="1"/>
      <c r="J110" s="1"/>
    </row>
  </sheetData>
  <mergeCells count="14">
    <mergeCell ref="L48:M48"/>
    <mergeCell ref="L49:M49"/>
    <mergeCell ref="N1:P1"/>
    <mergeCell ref="L11:M11"/>
    <mergeCell ref="B54:C54"/>
    <mergeCell ref="N2:P2"/>
    <mergeCell ref="N3:P3"/>
    <mergeCell ref="A5:P5"/>
    <mergeCell ref="A6:P6"/>
    <mergeCell ref="A8:P8"/>
    <mergeCell ref="L46:M46"/>
    <mergeCell ref="L47:M47"/>
    <mergeCell ref="B52:C52"/>
    <mergeCell ref="L52:M52"/>
  </mergeCells>
  <phoneticPr fontId="0" type="noConversion"/>
  <printOptions horizontalCentered="1"/>
  <pageMargins left="0.5" right="0.5" top="0.5" bottom="0.5" header="0.5" footer="0.5"/>
  <pageSetup scale="5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M38"/>
  <sheetViews>
    <sheetView zoomScaleNormal="100" workbookViewId="0">
      <selection activeCell="E3" sqref="E3"/>
    </sheetView>
  </sheetViews>
  <sheetFormatPr defaultRowHeight="13.2" x14ac:dyDescent="0.25"/>
  <cols>
    <col min="2" max="2" width="4.6640625" customWidth="1"/>
    <col min="3" max="3" width="25.88671875" customWidth="1"/>
    <col min="4" max="4" width="14.44140625" customWidth="1"/>
    <col min="5" max="5" width="13.5546875" customWidth="1"/>
    <col min="6" max="7" width="15.109375" customWidth="1"/>
    <col min="8" max="8" width="5.6640625" customWidth="1"/>
    <col min="9" max="10" width="11.6640625" customWidth="1"/>
    <col min="11" max="11" width="9" customWidth="1"/>
    <col min="13" max="13" width="14.88671875" customWidth="1"/>
  </cols>
  <sheetData>
    <row r="1" spans="1:13" ht="13.8" x14ac:dyDescent="0.25">
      <c r="A1" s="137"/>
      <c r="B1" s="137"/>
      <c r="C1" s="137"/>
      <c r="D1" s="137"/>
      <c r="E1" s="137"/>
      <c r="F1" s="137"/>
      <c r="G1" s="137"/>
      <c r="H1" s="137"/>
      <c r="I1" s="137"/>
      <c r="J1" s="29" t="s">
        <v>825</v>
      </c>
      <c r="K1" s="137"/>
    </row>
    <row r="2" spans="1:13" ht="13.8" x14ac:dyDescent="0.25">
      <c r="A2" s="137"/>
      <c r="B2" s="137"/>
      <c r="C2" s="137"/>
      <c r="D2" s="137"/>
      <c r="E2" s="137"/>
      <c r="F2" s="137"/>
      <c r="G2" s="137"/>
      <c r="H2" s="137"/>
      <c r="I2" s="137"/>
      <c r="J2" s="29" t="s">
        <v>431</v>
      </c>
      <c r="K2" s="137"/>
    </row>
    <row r="3" spans="1:13" x14ac:dyDescent="0.25">
      <c r="A3" s="137"/>
      <c r="B3" s="137"/>
      <c r="C3" s="137"/>
      <c r="D3" s="137"/>
      <c r="E3" s="137"/>
      <c r="F3" s="137"/>
      <c r="G3" s="137"/>
      <c r="H3" s="137"/>
      <c r="I3" s="137"/>
      <c r="J3" s="460" t="str">
        <f>"Year Ending 12/31/"&amp;YR</f>
        <v>Year Ending 12/31/2014</v>
      </c>
      <c r="K3" s="460"/>
    </row>
    <row r="4" spans="1:13" ht="31.5" customHeight="1" x14ac:dyDescent="0.2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3" x14ac:dyDescent="0.25">
      <c r="A5" s="137"/>
      <c r="B5" s="447" t="s">
        <v>826</v>
      </c>
      <c r="C5" s="447"/>
      <c r="D5" s="447"/>
      <c r="E5" s="447"/>
      <c r="F5" s="447"/>
      <c r="G5" s="447"/>
      <c r="H5" s="447"/>
      <c r="I5" s="447"/>
      <c r="J5" s="447"/>
      <c r="K5" s="137"/>
    </row>
    <row r="6" spans="1:13" x14ac:dyDescent="0.25">
      <c r="A6" s="137"/>
      <c r="B6" s="451" t="s">
        <v>455</v>
      </c>
      <c r="C6" s="451"/>
      <c r="D6" s="451"/>
      <c r="E6" s="451"/>
      <c r="F6" s="451"/>
      <c r="G6" s="451"/>
      <c r="H6" s="451"/>
      <c r="I6" s="451"/>
      <c r="J6" s="451"/>
      <c r="K6" s="137"/>
    </row>
    <row r="7" spans="1:13" x14ac:dyDescent="0.25">
      <c r="A7" s="137"/>
      <c r="B7" s="137"/>
      <c r="C7" s="137"/>
      <c r="D7" s="137"/>
      <c r="E7" s="137"/>
      <c r="F7" s="137"/>
      <c r="G7" s="137"/>
      <c r="H7" s="137"/>
      <c r="I7" s="137"/>
      <c r="J7" s="138"/>
      <c r="K7" s="138"/>
      <c r="L7" s="33"/>
      <c r="M7" s="33"/>
    </row>
    <row r="8" spans="1:13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8"/>
      <c r="K8" s="138"/>
      <c r="L8" s="33"/>
      <c r="M8" s="33"/>
    </row>
    <row r="9" spans="1:13" x14ac:dyDescent="0.25">
      <c r="A9" s="137"/>
      <c r="B9" s="137"/>
      <c r="C9" s="137"/>
      <c r="D9" s="137"/>
      <c r="E9" s="137"/>
      <c r="F9" s="137"/>
      <c r="G9" s="137"/>
      <c r="H9" s="137"/>
      <c r="I9" s="137"/>
      <c r="J9" s="138"/>
      <c r="K9" s="138"/>
      <c r="L9" s="33"/>
      <c r="M9" s="33"/>
    </row>
    <row r="10" spans="1:13" ht="37.200000000000003" x14ac:dyDescent="0.25">
      <c r="A10" s="136" t="s">
        <v>21</v>
      </c>
      <c r="B10" s="137" t="s">
        <v>439</v>
      </c>
      <c r="C10" s="137"/>
      <c r="D10" s="232" t="s">
        <v>729</v>
      </c>
      <c r="E10" s="232" t="s">
        <v>728</v>
      </c>
      <c r="F10" s="279" t="s">
        <v>802</v>
      </c>
      <c r="G10" s="279" t="s">
        <v>1101</v>
      </c>
      <c r="H10" s="136"/>
      <c r="I10" s="136" t="s">
        <v>434</v>
      </c>
      <c r="J10" s="138"/>
      <c r="K10" s="138"/>
      <c r="L10" s="33"/>
      <c r="M10" s="33"/>
    </row>
    <row r="11" spans="1:13" x14ac:dyDescent="0.25">
      <c r="A11" s="137"/>
      <c r="B11" s="137"/>
      <c r="C11" s="137"/>
      <c r="D11" s="137" t="s">
        <v>232</v>
      </c>
      <c r="E11" s="137"/>
      <c r="F11" s="137"/>
      <c r="G11" s="137"/>
      <c r="H11" s="137"/>
      <c r="I11" s="137"/>
      <c r="J11" s="138"/>
      <c r="K11" s="138"/>
      <c r="L11" s="33"/>
      <c r="M11" s="33"/>
    </row>
    <row r="12" spans="1:13" x14ac:dyDescent="0.25">
      <c r="A12" s="137"/>
      <c r="B12" s="137" t="s">
        <v>432</v>
      </c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3" ht="6" customHeight="1" x14ac:dyDescent="0.2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3" x14ac:dyDescent="0.25">
      <c r="A14" s="136">
        <v>1</v>
      </c>
      <c r="B14" s="137"/>
      <c r="C14" s="137" t="s">
        <v>234</v>
      </c>
      <c r="D14" s="192">
        <v>4272406</v>
      </c>
      <c r="E14" s="192">
        <v>9960694</v>
      </c>
      <c r="F14" s="192">
        <v>176081</v>
      </c>
      <c r="G14" s="192">
        <v>2096643</v>
      </c>
      <c r="H14" s="137"/>
      <c r="I14" s="231">
        <f>SUM(D14:H14)</f>
        <v>16505824</v>
      </c>
      <c r="J14" s="137"/>
      <c r="K14" s="137"/>
    </row>
    <row r="15" spans="1:13" x14ac:dyDescent="0.25">
      <c r="A15" s="136">
        <v>2</v>
      </c>
      <c r="B15" s="137"/>
      <c r="C15" s="137" t="s">
        <v>435</v>
      </c>
      <c r="D15" s="192">
        <v>0</v>
      </c>
      <c r="E15" s="192">
        <v>90320.410000000149</v>
      </c>
      <c r="F15" s="192">
        <v>0</v>
      </c>
      <c r="G15" s="192">
        <v>294732.22999999992</v>
      </c>
      <c r="H15" s="137"/>
      <c r="I15" s="231">
        <f>SUM(D15:H15)</f>
        <v>385052.64000000007</v>
      </c>
      <c r="J15" s="137"/>
      <c r="K15" s="137"/>
    </row>
    <row r="16" spans="1:13" x14ac:dyDescent="0.25">
      <c r="A16" s="136">
        <v>3</v>
      </c>
      <c r="B16" s="137"/>
      <c r="C16" s="137" t="s">
        <v>436</v>
      </c>
      <c r="D16" s="192">
        <v>0</v>
      </c>
      <c r="E16" s="192">
        <v>0</v>
      </c>
      <c r="F16" s="192">
        <v>0</v>
      </c>
      <c r="G16" s="192">
        <v>0</v>
      </c>
      <c r="H16" s="137"/>
      <c r="I16" s="231">
        <f>SUM(D16:H16)</f>
        <v>0</v>
      </c>
      <c r="J16" s="137"/>
      <c r="K16" s="137"/>
    </row>
    <row r="17" spans="1:11" x14ac:dyDescent="0.25">
      <c r="A17" s="136">
        <v>4</v>
      </c>
      <c r="B17" s="137"/>
      <c r="C17" s="137" t="s">
        <v>437</v>
      </c>
      <c r="D17" s="192">
        <v>0</v>
      </c>
      <c r="E17" s="192">
        <v>0</v>
      </c>
      <c r="F17" s="192">
        <v>0</v>
      </c>
      <c r="G17" s="192">
        <v>0</v>
      </c>
      <c r="H17" s="137"/>
      <c r="I17" s="231">
        <f>SUM(D17:H17)</f>
        <v>0</v>
      </c>
      <c r="J17" s="137"/>
      <c r="K17" s="137"/>
    </row>
    <row r="18" spans="1:11" x14ac:dyDescent="0.25">
      <c r="A18" s="136">
        <v>5</v>
      </c>
      <c r="B18" s="137"/>
      <c r="C18" s="137" t="s">
        <v>235</v>
      </c>
      <c r="D18" s="192">
        <v>4272406</v>
      </c>
      <c r="E18" s="192">
        <v>10051014.41</v>
      </c>
      <c r="F18" s="192">
        <v>176081</v>
      </c>
      <c r="G18" s="192">
        <v>2391375.23</v>
      </c>
      <c r="H18" s="137"/>
      <c r="I18" s="231">
        <f>SUM(I14:I17)</f>
        <v>16890876.640000001</v>
      </c>
      <c r="J18" s="137"/>
      <c r="K18" s="137"/>
    </row>
    <row r="19" spans="1:11" x14ac:dyDescent="0.25">
      <c r="A19" s="136"/>
      <c r="B19" s="137"/>
      <c r="C19" s="137"/>
      <c r="D19" s="192"/>
      <c r="E19" s="192"/>
      <c r="F19" s="192"/>
      <c r="G19" s="192"/>
      <c r="H19" s="137"/>
      <c r="I19" s="231"/>
      <c r="J19" s="137"/>
      <c r="K19" s="137"/>
    </row>
    <row r="20" spans="1:11" x14ac:dyDescent="0.25">
      <c r="A20" s="136">
        <v>6</v>
      </c>
      <c r="B20" s="137"/>
      <c r="C20" s="137" t="s">
        <v>240</v>
      </c>
      <c r="D20" s="192">
        <v>4272406</v>
      </c>
      <c r="E20" s="192">
        <v>10005854.205</v>
      </c>
      <c r="F20" s="192">
        <v>176081</v>
      </c>
      <c r="G20" s="192">
        <f>(G14+G18)/2</f>
        <v>2244009.1150000002</v>
      </c>
      <c r="H20" s="137"/>
      <c r="I20" s="231">
        <f>(I14+I18)/2</f>
        <v>16698350.32</v>
      </c>
      <c r="J20" s="137"/>
      <c r="K20" s="137"/>
    </row>
    <row r="21" spans="1:11" x14ac:dyDescent="0.25">
      <c r="A21" s="136"/>
      <c r="B21" s="137"/>
      <c r="C21" s="137"/>
      <c r="D21" s="192"/>
      <c r="E21" s="192"/>
      <c r="F21" s="192"/>
      <c r="G21" s="192"/>
      <c r="H21" s="137"/>
      <c r="I21" s="231"/>
      <c r="J21" s="137"/>
      <c r="K21" s="137"/>
    </row>
    <row r="22" spans="1:11" x14ac:dyDescent="0.25">
      <c r="A22" s="136"/>
      <c r="B22" s="137"/>
      <c r="C22" s="137"/>
      <c r="D22" s="192"/>
      <c r="E22" s="192"/>
      <c r="F22" s="192"/>
      <c r="G22" s="192"/>
      <c r="H22" s="137"/>
      <c r="I22" s="231"/>
      <c r="J22" s="137"/>
      <c r="K22" s="137"/>
    </row>
    <row r="23" spans="1:11" x14ac:dyDescent="0.25">
      <c r="A23" s="136"/>
      <c r="B23" s="137" t="s">
        <v>270</v>
      </c>
      <c r="C23" s="137"/>
      <c r="D23" s="192"/>
      <c r="E23" s="192"/>
      <c r="F23" s="192"/>
      <c r="G23" s="192"/>
      <c r="H23" s="137"/>
      <c r="I23" s="231"/>
      <c r="J23" s="137"/>
      <c r="K23" s="137"/>
    </row>
    <row r="24" spans="1:11" ht="6" customHeight="1" x14ac:dyDescent="0.25">
      <c r="A24" s="136"/>
      <c r="B24" s="137"/>
      <c r="C24" s="137"/>
      <c r="D24" s="192"/>
      <c r="E24" s="192"/>
      <c r="F24" s="192"/>
      <c r="G24" s="192"/>
      <c r="H24" s="137"/>
      <c r="I24" s="231"/>
      <c r="J24" s="137"/>
      <c r="K24" s="137"/>
    </row>
    <row r="25" spans="1:11" x14ac:dyDescent="0.25">
      <c r="A25" s="136">
        <v>7</v>
      </c>
      <c r="B25" s="137"/>
      <c r="C25" s="137" t="s">
        <v>234</v>
      </c>
      <c r="D25" s="192">
        <v>255175</v>
      </c>
      <c r="E25" s="192">
        <v>630012</v>
      </c>
      <c r="F25" s="192">
        <v>6360</v>
      </c>
      <c r="G25" s="192">
        <v>11913.26</v>
      </c>
      <c r="H25" s="137"/>
      <c r="I25" s="231">
        <f>SUM(D25:H25)</f>
        <v>903460.26</v>
      </c>
      <c r="J25" s="137"/>
      <c r="K25" s="137"/>
    </row>
    <row r="26" spans="1:11" x14ac:dyDescent="0.25">
      <c r="A26" s="136">
        <v>8</v>
      </c>
      <c r="B26" s="137"/>
      <c r="C26" s="137" t="s">
        <v>438</v>
      </c>
      <c r="D26" s="192">
        <v>83675.609999999957</v>
      </c>
      <c r="E26" s="192">
        <v>220867.78000000014</v>
      </c>
      <c r="F26" s="192">
        <v>3704.9699999999984</v>
      </c>
      <c r="G26" s="192">
        <v>28030.360000000008</v>
      </c>
      <c r="H26" s="137"/>
      <c r="I26" s="231">
        <f>SUM(D26:H26)</f>
        <v>336278.72000000009</v>
      </c>
      <c r="J26" s="137"/>
      <c r="K26" s="137"/>
    </row>
    <row r="27" spans="1:11" x14ac:dyDescent="0.25">
      <c r="A27" s="136">
        <v>9</v>
      </c>
      <c r="B27" s="137"/>
      <c r="C27" s="137" t="s">
        <v>437</v>
      </c>
      <c r="D27" s="192">
        <v>0</v>
      </c>
      <c r="E27" s="192">
        <v>0</v>
      </c>
      <c r="F27" s="192">
        <v>0</v>
      </c>
      <c r="G27" s="192">
        <v>0</v>
      </c>
      <c r="H27" s="137"/>
      <c r="I27" s="231">
        <f>SUM(D27:H27)</f>
        <v>0</v>
      </c>
      <c r="J27" s="137"/>
      <c r="K27" s="137"/>
    </row>
    <row r="28" spans="1:11" x14ac:dyDescent="0.25">
      <c r="A28" s="136">
        <v>10</v>
      </c>
      <c r="B28" s="137"/>
      <c r="C28" s="137" t="s">
        <v>235</v>
      </c>
      <c r="D28" s="192">
        <v>338850.61</v>
      </c>
      <c r="E28" s="192">
        <v>850879.78000000014</v>
      </c>
      <c r="F28" s="192">
        <v>10064.969999999998</v>
      </c>
      <c r="G28" s="192">
        <v>39943.62000000001</v>
      </c>
      <c r="H28" s="137"/>
      <c r="I28" s="231">
        <f>SUM(I25:I27)</f>
        <v>1239738.98</v>
      </c>
      <c r="J28" s="137"/>
      <c r="K28" s="137"/>
    </row>
    <row r="29" spans="1:11" x14ac:dyDescent="0.25">
      <c r="A29" s="136"/>
      <c r="B29" s="137"/>
      <c r="C29" s="137"/>
      <c r="D29" s="192"/>
      <c r="E29" s="192"/>
      <c r="F29" s="192"/>
      <c r="G29" s="192"/>
      <c r="H29" s="137"/>
      <c r="I29" s="231"/>
      <c r="J29" s="137"/>
      <c r="K29" s="137"/>
    </row>
    <row r="30" spans="1:11" x14ac:dyDescent="0.25">
      <c r="A30" s="136">
        <v>11</v>
      </c>
      <c r="B30" s="137"/>
      <c r="C30" s="137" t="s">
        <v>433</v>
      </c>
      <c r="D30" s="192">
        <v>297012.80499999999</v>
      </c>
      <c r="E30" s="192">
        <v>740445.89000000013</v>
      </c>
      <c r="F30" s="192">
        <v>8212.4849999999988</v>
      </c>
      <c r="G30" s="192">
        <f>+(G25+G28)/2</f>
        <v>25928.440000000006</v>
      </c>
      <c r="H30" s="137"/>
      <c r="I30" s="231">
        <f>(I25+I28)/2</f>
        <v>1071599.6200000001</v>
      </c>
      <c r="J30" s="137"/>
      <c r="K30" s="137"/>
    </row>
    <row r="38" spans="3:7" x14ac:dyDescent="0.25">
      <c r="C38" s="137" t="s">
        <v>727</v>
      </c>
      <c r="D38" s="217">
        <v>40855</v>
      </c>
      <c r="E38" s="217">
        <v>40696</v>
      </c>
      <c r="F38" s="315">
        <v>41214</v>
      </c>
      <c r="G38" s="381">
        <v>41717</v>
      </c>
    </row>
  </sheetData>
  <mergeCells count="3">
    <mergeCell ref="J3:K3"/>
    <mergeCell ref="B5:J5"/>
    <mergeCell ref="B6:J6"/>
  </mergeCells>
  <printOptions horizontalCentered="1"/>
  <pageMargins left="0.5" right="0.5" top="0.5" bottom="0.25" header="0.3" footer="0.3"/>
  <pageSetup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6"/>
  <sheetViews>
    <sheetView topLeftCell="A283" workbookViewId="0">
      <selection sqref="A1:XFD1"/>
    </sheetView>
  </sheetViews>
  <sheetFormatPr defaultRowHeight="13.2" x14ac:dyDescent="0.25"/>
  <cols>
    <col min="1" max="1" width="5.6640625" customWidth="1"/>
    <col min="2" max="2" width="63" customWidth="1"/>
    <col min="3" max="3" width="16.88671875" customWidth="1"/>
    <col min="4" max="4" width="5.6640625" customWidth="1"/>
  </cols>
  <sheetData>
    <row r="1" spans="1:4" x14ac:dyDescent="0.25">
      <c r="D1" s="413" t="s">
        <v>1116</v>
      </c>
    </row>
    <row r="2" spans="1:4" x14ac:dyDescent="0.25">
      <c r="D2" s="413" t="s">
        <v>1117</v>
      </c>
    </row>
    <row r="3" spans="1:4" ht="13.8" x14ac:dyDescent="0.25">
      <c r="B3" s="414" t="s">
        <v>826</v>
      </c>
      <c r="C3" s="415"/>
    </row>
    <row r="4" spans="1:4" ht="13.8" x14ac:dyDescent="0.25">
      <c r="B4" s="416" t="s">
        <v>1118</v>
      </c>
      <c r="C4" s="415"/>
    </row>
    <row r="6" spans="1:4" ht="26.4" x14ac:dyDescent="0.25">
      <c r="A6" s="417" t="s">
        <v>1119</v>
      </c>
      <c r="B6" s="415"/>
      <c r="C6" s="418"/>
      <c r="D6" s="415"/>
    </row>
    <row r="7" spans="1:4" ht="13.8" thickBot="1" x14ac:dyDescent="0.3"/>
    <row r="8" spans="1:4" ht="53.25" customHeight="1" x14ac:dyDescent="0.25">
      <c r="B8" s="419" t="s">
        <v>1120</v>
      </c>
      <c r="C8" s="420" t="s">
        <v>1121</v>
      </c>
    </row>
    <row r="9" spans="1:4" x14ac:dyDescent="0.25">
      <c r="B9" s="421" t="s">
        <v>1122</v>
      </c>
      <c r="C9" s="422"/>
    </row>
    <row r="10" spans="1:4" x14ac:dyDescent="0.25">
      <c r="B10" s="423" t="s">
        <v>1123</v>
      </c>
      <c r="C10" s="422"/>
    </row>
    <row r="11" spans="1:4" x14ac:dyDescent="0.25">
      <c r="B11" s="424" t="s">
        <v>1124</v>
      </c>
      <c r="C11" s="425">
        <v>1.9</v>
      </c>
    </row>
    <row r="12" spans="1:4" x14ac:dyDescent="0.25">
      <c r="B12" s="424" t="s">
        <v>1125</v>
      </c>
      <c r="C12" s="425">
        <v>2.2000000000000002</v>
      </c>
    </row>
    <row r="13" spans="1:4" x14ac:dyDescent="0.25">
      <c r="B13" s="424" t="s">
        <v>1126</v>
      </c>
      <c r="C13" s="425">
        <v>2.8</v>
      </c>
    </row>
    <row r="14" spans="1:4" x14ac:dyDescent="0.25">
      <c r="B14" s="424" t="s">
        <v>1127</v>
      </c>
      <c r="C14" s="425">
        <v>1.6</v>
      </c>
    </row>
    <row r="15" spans="1:4" x14ac:dyDescent="0.25">
      <c r="B15" s="424" t="s">
        <v>1128</v>
      </c>
      <c r="C15" s="425">
        <v>1.6</v>
      </c>
    </row>
    <row r="16" spans="1:4" x14ac:dyDescent="0.25">
      <c r="B16" s="424"/>
      <c r="C16" s="425"/>
    </row>
    <row r="17" spans="2:3" x14ac:dyDescent="0.25">
      <c r="B17" s="426" t="s">
        <v>1129</v>
      </c>
      <c r="C17" s="425"/>
    </row>
    <row r="18" spans="2:3" x14ac:dyDescent="0.25">
      <c r="B18" s="424" t="s">
        <v>1124</v>
      </c>
      <c r="C18" s="425">
        <v>2.2000000000000002</v>
      </c>
    </row>
    <row r="19" spans="2:3" x14ac:dyDescent="0.25">
      <c r="B19" s="424" t="s">
        <v>1125</v>
      </c>
      <c r="C19" s="425">
        <v>3.7</v>
      </c>
    </row>
    <row r="20" spans="2:3" x14ac:dyDescent="0.25">
      <c r="B20" s="424" t="s">
        <v>1126</v>
      </c>
      <c r="C20" s="425">
        <v>2.5</v>
      </c>
    </row>
    <row r="21" spans="2:3" x14ac:dyDescent="0.25">
      <c r="B21" s="424" t="s">
        <v>1127</v>
      </c>
      <c r="C21" s="425">
        <v>2.6</v>
      </c>
    </row>
    <row r="22" spans="2:3" x14ac:dyDescent="0.25">
      <c r="B22" s="424" t="s">
        <v>1128</v>
      </c>
      <c r="C22" s="425">
        <v>2.1</v>
      </c>
    </row>
    <row r="23" spans="2:3" x14ac:dyDescent="0.25">
      <c r="B23" s="424"/>
      <c r="C23" s="425"/>
    </row>
    <row r="24" spans="2:3" x14ac:dyDescent="0.25">
      <c r="B24" s="426" t="s">
        <v>1130</v>
      </c>
      <c r="C24" s="425"/>
    </row>
    <row r="25" spans="2:3" x14ac:dyDescent="0.25">
      <c r="B25" s="424" t="s">
        <v>1124</v>
      </c>
      <c r="C25" s="425">
        <v>1.5</v>
      </c>
    </row>
    <row r="26" spans="2:3" x14ac:dyDescent="0.25">
      <c r="B26" s="424" t="s">
        <v>1125</v>
      </c>
      <c r="C26" s="425">
        <v>2.5</v>
      </c>
    </row>
    <row r="27" spans="2:3" x14ac:dyDescent="0.25">
      <c r="B27" s="424" t="s">
        <v>1126</v>
      </c>
      <c r="C27" s="425">
        <v>1</v>
      </c>
    </row>
    <row r="28" spans="2:3" x14ac:dyDescent="0.25">
      <c r="B28" s="424" t="s">
        <v>1127</v>
      </c>
      <c r="C28" s="425">
        <v>1</v>
      </c>
    </row>
    <row r="29" spans="2:3" x14ac:dyDescent="0.25">
      <c r="B29" s="424" t="s">
        <v>1128</v>
      </c>
      <c r="C29" s="425">
        <v>2.1</v>
      </c>
    </row>
    <row r="30" spans="2:3" x14ac:dyDescent="0.25">
      <c r="B30" s="424"/>
      <c r="C30" s="425"/>
    </row>
    <row r="31" spans="2:3" x14ac:dyDescent="0.25">
      <c r="B31" s="424"/>
      <c r="C31" s="425"/>
    </row>
    <row r="32" spans="2:3" x14ac:dyDescent="0.25">
      <c r="B32" s="426" t="s">
        <v>1131</v>
      </c>
      <c r="C32" s="425"/>
    </row>
    <row r="33" spans="1:4" ht="13.8" thickBot="1" x14ac:dyDescent="0.3">
      <c r="B33" s="427" t="s">
        <v>1124</v>
      </c>
      <c r="C33" s="428">
        <v>2.2999999999999998</v>
      </c>
    </row>
    <row r="35" spans="1:4" x14ac:dyDescent="0.25">
      <c r="D35" s="413" t="s">
        <v>1116</v>
      </c>
    </row>
    <row r="36" spans="1:4" x14ac:dyDescent="0.25">
      <c r="D36" s="413" t="s">
        <v>1132</v>
      </c>
    </row>
    <row r="37" spans="1:4" ht="13.8" x14ac:dyDescent="0.25">
      <c r="B37" s="414" t="s">
        <v>826</v>
      </c>
      <c r="C37" s="415"/>
    </row>
    <row r="38" spans="1:4" ht="13.8" x14ac:dyDescent="0.25">
      <c r="B38" s="416" t="s">
        <v>1118</v>
      </c>
      <c r="C38" s="415"/>
    </row>
    <row r="40" spans="1:4" ht="26.4" x14ac:dyDescent="0.25">
      <c r="A40" s="417" t="s">
        <v>1119</v>
      </c>
      <c r="B40" s="415"/>
      <c r="C40" s="418"/>
      <c r="D40" s="415"/>
    </row>
    <row r="41" spans="1:4" ht="13.8" thickBot="1" x14ac:dyDescent="0.3"/>
    <row r="42" spans="1:4" ht="52.2" x14ac:dyDescent="0.25">
      <c r="B42" s="419" t="s">
        <v>1120</v>
      </c>
      <c r="C42" s="420" t="s">
        <v>1121</v>
      </c>
    </row>
    <row r="43" spans="1:4" x14ac:dyDescent="0.25">
      <c r="B43" s="424" t="s">
        <v>1125</v>
      </c>
      <c r="C43" s="425">
        <v>3.1</v>
      </c>
    </row>
    <row r="44" spans="1:4" x14ac:dyDescent="0.25">
      <c r="B44" s="424" t="s">
        <v>1126</v>
      </c>
      <c r="C44" s="425">
        <v>2.9</v>
      </c>
    </row>
    <row r="45" spans="1:4" x14ac:dyDescent="0.25">
      <c r="B45" s="424" t="s">
        <v>1127</v>
      </c>
      <c r="C45" s="425">
        <v>2.6</v>
      </c>
    </row>
    <row r="46" spans="1:4" x14ac:dyDescent="0.25">
      <c r="B46" s="424" t="s">
        <v>1128</v>
      </c>
      <c r="C46" s="425">
        <v>2.9</v>
      </c>
    </row>
    <row r="47" spans="1:4" x14ac:dyDescent="0.25">
      <c r="B47" s="426" t="s">
        <v>1133</v>
      </c>
      <c r="C47" s="425"/>
    </row>
    <row r="48" spans="1:4" x14ac:dyDescent="0.25">
      <c r="B48" s="424" t="s">
        <v>1124</v>
      </c>
      <c r="C48" s="425">
        <v>1.8</v>
      </c>
    </row>
    <row r="49" spans="2:3" x14ac:dyDescent="0.25">
      <c r="B49" s="424" t="s">
        <v>1125</v>
      </c>
      <c r="C49" s="425">
        <v>2.6</v>
      </c>
    </row>
    <row r="50" spans="2:3" x14ac:dyDescent="0.25">
      <c r="B50" s="424" t="s">
        <v>1127</v>
      </c>
      <c r="C50" s="425">
        <v>1.4</v>
      </c>
    </row>
    <row r="51" spans="2:3" x14ac:dyDescent="0.25">
      <c r="B51" s="424" t="s">
        <v>1128</v>
      </c>
      <c r="C51" s="425">
        <v>3.4</v>
      </c>
    </row>
    <row r="52" spans="2:3" x14ac:dyDescent="0.25">
      <c r="B52" s="426" t="s">
        <v>1134</v>
      </c>
      <c r="C52" s="425"/>
    </row>
    <row r="53" spans="2:3" x14ac:dyDescent="0.25">
      <c r="B53" s="424" t="s">
        <v>1124</v>
      </c>
      <c r="C53" s="425">
        <v>1.4</v>
      </c>
    </row>
    <row r="54" spans="2:3" x14ac:dyDescent="0.25">
      <c r="B54" s="424" t="s">
        <v>1125</v>
      </c>
      <c r="C54" s="425">
        <v>0.7</v>
      </c>
    </row>
    <row r="55" spans="2:3" x14ac:dyDescent="0.25">
      <c r="B55" s="424" t="s">
        <v>1128</v>
      </c>
      <c r="C55" s="425">
        <v>3.7</v>
      </c>
    </row>
    <row r="56" spans="2:3" x14ac:dyDescent="0.25">
      <c r="B56" s="424"/>
      <c r="C56" s="425"/>
    </row>
    <row r="57" spans="2:3" x14ac:dyDescent="0.25">
      <c r="B57" s="424"/>
      <c r="C57" s="425"/>
    </row>
    <row r="58" spans="2:3" x14ac:dyDescent="0.25">
      <c r="B58" s="426" t="s">
        <v>1135</v>
      </c>
      <c r="C58" s="425"/>
    </row>
    <row r="59" spans="2:3" x14ac:dyDescent="0.25">
      <c r="B59" s="426" t="s">
        <v>1136</v>
      </c>
      <c r="C59" s="425"/>
    </row>
    <row r="60" spans="2:3" x14ac:dyDescent="0.25">
      <c r="B60" s="424" t="s">
        <v>1137</v>
      </c>
      <c r="C60" s="425">
        <v>1.5</v>
      </c>
    </row>
    <row r="61" spans="2:3" x14ac:dyDescent="0.25">
      <c r="B61" s="424" t="s">
        <v>1138</v>
      </c>
      <c r="C61" s="425">
        <v>3.3</v>
      </c>
    </row>
    <row r="62" spans="2:3" x14ac:dyDescent="0.25">
      <c r="B62" s="424" t="s">
        <v>1139</v>
      </c>
      <c r="C62" s="425">
        <v>1.2</v>
      </c>
    </row>
    <row r="63" spans="2:3" x14ac:dyDescent="0.25">
      <c r="B63" s="424" t="s">
        <v>1140</v>
      </c>
      <c r="C63" s="425">
        <v>1.4</v>
      </c>
    </row>
    <row r="64" spans="2:3" x14ac:dyDescent="0.25">
      <c r="B64" s="424" t="s">
        <v>1141</v>
      </c>
      <c r="C64" s="425">
        <v>1.7</v>
      </c>
    </row>
    <row r="65" spans="2:3" x14ac:dyDescent="0.25">
      <c r="B65" s="424"/>
      <c r="C65" s="425"/>
    </row>
    <row r="66" spans="2:3" x14ac:dyDescent="0.25">
      <c r="B66" s="424"/>
      <c r="C66" s="425"/>
    </row>
    <row r="67" spans="2:3" x14ac:dyDescent="0.25">
      <c r="B67" s="426" t="s">
        <v>1142</v>
      </c>
      <c r="C67" s="425"/>
    </row>
    <row r="68" spans="2:3" x14ac:dyDescent="0.25">
      <c r="B68" s="426" t="s">
        <v>1143</v>
      </c>
      <c r="C68" s="425"/>
    </row>
    <row r="69" spans="2:3" x14ac:dyDescent="0.25">
      <c r="B69" s="424" t="s">
        <v>1144</v>
      </c>
      <c r="C69" s="425">
        <v>0.6</v>
      </c>
    </row>
    <row r="70" spans="2:3" x14ac:dyDescent="0.25">
      <c r="B70" s="424" t="s">
        <v>1145</v>
      </c>
      <c r="C70" s="425">
        <v>4.8</v>
      </c>
    </row>
    <row r="71" spans="2:3" x14ac:dyDescent="0.25">
      <c r="B71" s="424" t="s">
        <v>1146</v>
      </c>
      <c r="C71" s="425">
        <v>3</v>
      </c>
    </row>
    <row r="72" spans="2:3" x14ac:dyDescent="0.25">
      <c r="B72" s="424" t="s">
        <v>1147</v>
      </c>
      <c r="C72" s="425">
        <v>0.1</v>
      </c>
    </row>
    <row r="73" spans="2:3" x14ac:dyDescent="0.25">
      <c r="B73" s="424" t="s">
        <v>1148</v>
      </c>
      <c r="C73" s="425">
        <v>0.5</v>
      </c>
    </row>
    <row r="74" spans="2:3" x14ac:dyDescent="0.25">
      <c r="B74" s="424" t="s">
        <v>1149</v>
      </c>
      <c r="C74" s="425">
        <v>3.2</v>
      </c>
    </row>
    <row r="75" spans="2:3" x14ac:dyDescent="0.25">
      <c r="B75" s="424"/>
      <c r="C75" s="425"/>
    </row>
    <row r="76" spans="2:3" x14ac:dyDescent="0.25">
      <c r="B76" s="426" t="s">
        <v>1150</v>
      </c>
      <c r="C76" s="425"/>
    </row>
    <row r="77" spans="2:3" x14ac:dyDescent="0.25">
      <c r="B77" s="424" t="s">
        <v>1144</v>
      </c>
      <c r="C77" s="425">
        <v>1.7</v>
      </c>
    </row>
    <row r="78" spans="2:3" x14ac:dyDescent="0.25">
      <c r="B78" s="424" t="s">
        <v>1145</v>
      </c>
      <c r="C78" s="425">
        <v>3</v>
      </c>
    </row>
    <row r="79" spans="2:3" ht="13.8" thickBot="1" x14ac:dyDescent="0.3">
      <c r="B79" s="427" t="s">
        <v>1146</v>
      </c>
      <c r="C79" s="428">
        <v>1.6</v>
      </c>
    </row>
    <row r="81" spans="1:4" x14ac:dyDescent="0.25">
      <c r="D81" s="413" t="s">
        <v>1116</v>
      </c>
    </row>
    <row r="82" spans="1:4" x14ac:dyDescent="0.25">
      <c r="D82" s="413" t="s">
        <v>1151</v>
      </c>
    </row>
    <row r="83" spans="1:4" ht="13.8" x14ac:dyDescent="0.25">
      <c r="B83" s="414" t="s">
        <v>826</v>
      </c>
      <c r="C83" s="415"/>
    </row>
    <row r="84" spans="1:4" ht="13.8" x14ac:dyDescent="0.25">
      <c r="B84" s="416" t="s">
        <v>1118</v>
      </c>
      <c r="C84" s="415"/>
    </row>
    <row r="86" spans="1:4" ht="27" thickBot="1" x14ac:dyDescent="0.3">
      <c r="A86" s="417" t="s">
        <v>1119</v>
      </c>
      <c r="B86" s="415"/>
      <c r="C86" s="418"/>
      <c r="D86" s="415"/>
    </row>
    <row r="87" spans="1:4" ht="52.2" x14ac:dyDescent="0.25">
      <c r="B87" s="419" t="s">
        <v>1120</v>
      </c>
      <c r="C87" s="420" t="s">
        <v>1121</v>
      </c>
    </row>
    <row r="88" spans="1:4" x14ac:dyDescent="0.25">
      <c r="B88" s="426" t="s">
        <v>1120</v>
      </c>
      <c r="C88" s="422"/>
    </row>
    <row r="89" spans="1:4" x14ac:dyDescent="0.25">
      <c r="B89" s="424" t="s">
        <v>1147</v>
      </c>
      <c r="C89" s="425">
        <v>2.1</v>
      </c>
    </row>
    <row r="90" spans="1:4" x14ac:dyDescent="0.25">
      <c r="B90" s="424" t="s">
        <v>1148</v>
      </c>
      <c r="C90" s="425">
        <v>1.8</v>
      </c>
    </row>
    <row r="91" spans="1:4" x14ac:dyDescent="0.25">
      <c r="B91" s="424" t="s">
        <v>1149</v>
      </c>
      <c r="C91" s="425">
        <v>0.4</v>
      </c>
    </row>
    <row r="92" spans="1:4" x14ac:dyDescent="0.25">
      <c r="B92" s="424"/>
      <c r="C92" s="425"/>
    </row>
    <row r="93" spans="1:4" x14ac:dyDescent="0.25">
      <c r="B93" s="426" t="s">
        <v>1152</v>
      </c>
      <c r="C93" s="425"/>
    </row>
    <row r="94" spans="1:4" x14ac:dyDescent="0.25">
      <c r="B94" s="424" t="s">
        <v>1145</v>
      </c>
      <c r="C94" s="425">
        <v>3.2</v>
      </c>
    </row>
    <row r="95" spans="1:4" x14ac:dyDescent="0.25">
      <c r="B95" s="424" t="s">
        <v>1146</v>
      </c>
      <c r="C95" s="425">
        <v>3.3</v>
      </c>
    </row>
    <row r="96" spans="1:4" x14ac:dyDescent="0.25">
      <c r="B96" s="424"/>
      <c r="C96" s="425"/>
    </row>
    <row r="97" spans="2:3" x14ac:dyDescent="0.25">
      <c r="B97" s="426" t="s">
        <v>1153</v>
      </c>
      <c r="C97" s="425"/>
    </row>
    <row r="98" spans="2:3" x14ac:dyDescent="0.25">
      <c r="B98" s="424" t="s">
        <v>1144</v>
      </c>
      <c r="C98" s="425">
        <v>1</v>
      </c>
    </row>
    <row r="99" spans="2:3" x14ac:dyDescent="0.25">
      <c r="B99" s="424" t="s">
        <v>1145</v>
      </c>
      <c r="C99" s="425">
        <v>3</v>
      </c>
    </row>
    <row r="100" spans="2:3" x14ac:dyDescent="0.25">
      <c r="B100" s="424" t="s">
        <v>1146</v>
      </c>
      <c r="C100" s="425">
        <v>2.2999999999999998</v>
      </c>
    </row>
    <row r="101" spans="2:3" x14ac:dyDescent="0.25">
      <c r="B101" s="424" t="s">
        <v>1147</v>
      </c>
      <c r="C101" s="425">
        <v>1.4</v>
      </c>
    </row>
    <row r="102" spans="2:3" x14ac:dyDescent="0.25">
      <c r="B102" s="424" t="s">
        <v>1148</v>
      </c>
      <c r="C102" s="425">
        <v>1.8</v>
      </c>
    </row>
    <row r="103" spans="2:3" x14ac:dyDescent="0.25">
      <c r="B103" s="424" t="s">
        <v>1149</v>
      </c>
      <c r="C103" s="425">
        <v>1.1000000000000001</v>
      </c>
    </row>
    <row r="104" spans="2:3" x14ac:dyDescent="0.25">
      <c r="B104" s="424"/>
      <c r="C104" s="425"/>
    </row>
    <row r="105" spans="2:3" x14ac:dyDescent="0.25">
      <c r="B105" s="426" t="s">
        <v>1154</v>
      </c>
      <c r="C105" s="425"/>
    </row>
    <row r="106" spans="2:3" x14ac:dyDescent="0.25">
      <c r="B106" s="424" t="s">
        <v>1144</v>
      </c>
      <c r="C106" s="425">
        <v>2.7</v>
      </c>
    </row>
    <row r="107" spans="2:3" x14ac:dyDescent="0.25">
      <c r="B107" s="424" t="s">
        <v>1145</v>
      </c>
      <c r="C107" s="425">
        <v>2.6</v>
      </c>
    </row>
    <row r="108" spans="2:3" x14ac:dyDescent="0.25">
      <c r="B108" s="424" t="s">
        <v>1146</v>
      </c>
      <c r="C108" s="425">
        <v>3</v>
      </c>
    </row>
    <row r="109" spans="2:3" x14ac:dyDescent="0.25">
      <c r="B109" s="424" t="s">
        <v>1147</v>
      </c>
      <c r="C109" s="425">
        <v>2.4</v>
      </c>
    </row>
    <row r="110" spans="2:3" x14ac:dyDescent="0.25">
      <c r="B110" s="424" t="s">
        <v>1148</v>
      </c>
      <c r="C110" s="425">
        <v>2.5</v>
      </c>
    </row>
    <row r="111" spans="2:3" x14ac:dyDescent="0.25">
      <c r="B111" s="424" t="s">
        <v>1149</v>
      </c>
      <c r="C111" s="425">
        <v>3.3</v>
      </c>
    </row>
    <row r="112" spans="2:3" x14ac:dyDescent="0.25">
      <c r="B112" s="424"/>
      <c r="C112" s="425"/>
    </row>
    <row r="113" spans="2:4" x14ac:dyDescent="0.25">
      <c r="B113" s="426" t="s">
        <v>1155</v>
      </c>
      <c r="C113" s="425"/>
    </row>
    <row r="114" spans="2:4" x14ac:dyDescent="0.25">
      <c r="B114" s="424" t="s">
        <v>1144</v>
      </c>
      <c r="C114" s="425">
        <v>3.3</v>
      </c>
    </row>
    <row r="115" spans="2:4" x14ac:dyDescent="0.25">
      <c r="B115" s="424" t="s">
        <v>1145</v>
      </c>
      <c r="C115" s="425">
        <v>4</v>
      </c>
    </row>
    <row r="116" spans="2:4" x14ac:dyDescent="0.25">
      <c r="B116" s="424" t="s">
        <v>1146</v>
      </c>
      <c r="C116" s="425">
        <v>3.7</v>
      </c>
    </row>
    <row r="117" spans="2:4" x14ac:dyDescent="0.25">
      <c r="B117" s="424" t="s">
        <v>1147</v>
      </c>
      <c r="C117" s="425">
        <v>3.3</v>
      </c>
    </row>
    <row r="118" spans="2:4" x14ac:dyDescent="0.25">
      <c r="B118" s="424" t="s">
        <v>1148</v>
      </c>
      <c r="C118" s="425">
        <v>3.4</v>
      </c>
    </row>
    <row r="119" spans="2:4" x14ac:dyDescent="0.25">
      <c r="B119" s="424" t="s">
        <v>1149</v>
      </c>
      <c r="C119" s="425">
        <v>4.2</v>
      </c>
    </row>
    <row r="120" spans="2:4" x14ac:dyDescent="0.25">
      <c r="B120" s="424"/>
      <c r="C120" s="425"/>
    </row>
    <row r="121" spans="2:4" x14ac:dyDescent="0.25">
      <c r="B121" s="426" t="s">
        <v>1156</v>
      </c>
      <c r="C121" s="425"/>
    </row>
    <row r="122" spans="2:4" x14ac:dyDescent="0.25">
      <c r="B122" s="424" t="s">
        <v>1144</v>
      </c>
      <c r="C122" s="425">
        <v>2.9</v>
      </c>
    </row>
    <row r="123" spans="2:4" x14ac:dyDescent="0.25">
      <c r="B123" s="424" t="s">
        <v>1145</v>
      </c>
      <c r="C123" s="425">
        <v>5.4</v>
      </c>
    </row>
    <row r="124" spans="2:4" ht="13.8" thickBot="1" x14ac:dyDescent="0.3">
      <c r="B124" s="427" t="s">
        <v>1146</v>
      </c>
      <c r="C124" s="428">
        <v>2.9</v>
      </c>
    </row>
    <row r="126" spans="2:4" x14ac:dyDescent="0.25">
      <c r="D126" s="413" t="s">
        <v>1116</v>
      </c>
    </row>
    <row r="127" spans="2:4" x14ac:dyDescent="0.25">
      <c r="D127" s="413" t="s">
        <v>1157</v>
      </c>
    </row>
    <row r="128" spans="2:4" ht="13.8" x14ac:dyDescent="0.25">
      <c r="B128" s="414" t="s">
        <v>826</v>
      </c>
      <c r="C128" s="415"/>
    </row>
    <row r="129" spans="1:4" ht="13.8" x14ac:dyDescent="0.25">
      <c r="B129" s="416" t="s">
        <v>1118</v>
      </c>
      <c r="C129" s="415"/>
    </row>
    <row r="131" spans="1:4" ht="27" thickBot="1" x14ac:dyDescent="0.3">
      <c r="A131" s="417" t="s">
        <v>1119</v>
      </c>
      <c r="B131" s="415"/>
      <c r="C131" s="418"/>
      <c r="D131" s="415"/>
    </row>
    <row r="132" spans="1:4" ht="52.2" x14ac:dyDescent="0.25">
      <c r="B132" s="419" t="s">
        <v>1120</v>
      </c>
      <c r="C132" s="420" t="s">
        <v>1121</v>
      </c>
    </row>
    <row r="133" spans="1:4" x14ac:dyDescent="0.25">
      <c r="B133" s="424" t="s">
        <v>1147</v>
      </c>
      <c r="C133" s="425">
        <v>2.5</v>
      </c>
    </row>
    <row r="134" spans="1:4" x14ac:dyDescent="0.25">
      <c r="B134" s="424" t="s">
        <v>1148</v>
      </c>
      <c r="C134" s="425">
        <v>3.3</v>
      </c>
    </row>
    <row r="135" spans="1:4" x14ac:dyDescent="0.25">
      <c r="B135" s="424" t="s">
        <v>1149</v>
      </c>
      <c r="C135" s="425">
        <v>4.5999999999999996</v>
      </c>
    </row>
    <row r="136" spans="1:4" x14ac:dyDescent="0.25">
      <c r="B136" s="424"/>
      <c r="C136" s="425"/>
    </row>
    <row r="137" spans="1:4" x14ac:dyDescent="0.25">
      <c r="B137" s="426" t="s">
        <v>1158</v>
      </c>
      <c r="C137" s="425"/>
    </row>
    <row r="138" spans="1:4" x14ac:dyDescent="0.25">
      <c r="B138" s="424" t="s">
        <v>1144</v>
      </c>
      <c r="C138" s="425">
        <v>2.9</v>
      </c>
    </row>
    <row r="139" spans="1:4" x14ac:dyDescent="0.25">
      <c r="B139" s="424" t="s">
        <v>1145</v>
      </c>
      <c r="C139" s="425">
        <v>3.2</v>
      </c>
    </row>
    <row r="140" spans="1:4" x14ac:dyDescent="0.25">
      <c r="B140" s="424" t="s">
        <v>1146</v>
      </c>
      <c r="C140" s="425">
        <v>3.2</v>
      </c>
    </row>
    <row r="141" spans="1:4" x14ac:dyDescent="0.25">
      <c r="B141" s="424" t="s">
        <v>1147</v>
      </c>
      <c r="C141" s="425">
        <v>2.9</v>
      </c>
    </row>
    <row r="142" spans="1:4" x14ac:dyDescent="0.25">
      <c r="B142" s="424" t="s">
        <v>1148</v>
      </c>
      <c r="C142" s="425">
        <v>3.2</v>
      </c>
    </row>
    <row r="143" spans="1:4" x14ac:dyDescent="0.25">
      <c r="B143" s="424" t="s">
        <v>1149</v>
      </c>
      <c r="C143" s="425">
        <v>3.1</v>
      </c>
    </row>
    <row r="144" spans="1:4" x14ac:dyDescent="0.25">
      <c r="B144" s="424"/>
      <c r="C144" s="425"/>
    </row>
    <row r="145" spans="2:3" x14ac:dyDescent="0.25">
      <c r="B145" s="424"/>
      <c r="C145" s="425"/>
    </row>
    <row r="146" spans="2:3" x14ac:dyDescent="0.25">
      <c r="B146" s="426" t="s">
        <v>1159</v>
      </c>
      <c r="C146" s="425"/>
    </row>
    <row r="147" spans="2:3" x14ac:dyDescent="0.25">
      <c r="B147" s="424" t="s">
        <v>1144</v>
      </c>
      <c r="C147" s="425">
        <v>2.9</v>
      </c>
    </row>
    <row r="148" spans="2:3" x14ac:dyDescent="0.25">
      <c r="B148" s="424" t="s">
        <v>1145</v>
      </c>
      <c r="C148" s="425">
        <v>3.2</v>
      </c>
    </row>
    <row r="149" spans="2:3" x14ac:dyDescent="0.25">
      <c r="B149" s="424" t="s">
        <v>1146</v>
      </c>
      <c r="C149" s="425">
        <v>3.3</v>
      </c>
    </row>
    <row r="150" spans="2:3" x14ac:dyDescent="0.25">
      <c r="B150" s="424" t="s">
        <v>1147</v>
      </c>
      <c r="C150" s="425">
        <v>2.9</v>
      </c>
    </row>
    <row r="151" spans="2:3" x14ac:dyDescent="0.25">
      <c r="B151" s="424" t="s">
        <v>1148</v>
      </c>
      <c r="C151" s="425">
        <v>3.2</v>
      </c>
    </row>
    <row r="152" spans="2:3" x14ac:dyDescent="0.25">
      <c r="B152" s="424" t="s">
        <v>1149</v>
      </c>
      <c r="C152" s="425">
        <v>3.1</v>
      </c>
    </row>
    <row r="153" spans="2:3" x14ac:dyDescent="0.25">
      <c r="B153" s="424"/>
      <c r="C153" s="425"/>
    </row>
    <row r="154" spans="2:3" x14ac:dyDescent="0.25">
      <c r="B154" s="426" t="s">
        <v>1160</v>
      </c>
      <c r="C154" s="425"/>
    </row>
    <row r="155" spans="2:3" x14ac:dyDescent="0.25">
      <c r="B155" s="424" t="s">
        <v>1144</v>
      </c>
      <c r="C155" s="425">
        <v>2.9</v>
      </c>
    </row>
    <row r="156" spans="2:3" x14ac:dyDescent="0.25">
      <c r="B156" s="424" t="s">
        <v>1145</v>
      </c>
      <c r="C156" s="425">
        <v>3.2</v>
      </c>
    </row>
    <row r="157" spans="2:3" x14ac:dyDescent="0.25">
      <c r="B157" s="424" t="s">
        <v>1146</v>
      </c>
      <c r="C157" s="425">
        <v>3.3</v>
      </c>
    </row>
    <row r="158" spans="2:3" x14ac:dyDescent="0.25">
      <c r="B158" s="424" t="s">
        <v>1147</v>
      </c>
      <c r="C158" s="425">
        <v>2.9</v>
      </c>
    </row>
    <row r="159" spans="2:3" x14ac:dyDescent="0.25">
      <c r="B159" s="424" t="s">
        <v>1148</v>
      </c>
      <c r="C159" s="425">
        <v>3.2</v>
      </c>
    </row>
    <row r="160" spans="2:3" x14ac:dyDescent="0.25">
      <c r="B160" s="424" t="s">
        <v>1149</v>
      </c>
      <c r="C160" s="425">
        <v>3.1</v>
      </c>
    </row>
    <row r="161" spans="1:4" x14ac:dyDescent="0.25">
      <c r="B161" s="424"/>
      <c r="C161" s="425"/>
    </row>
    <row r="162" spans="1:4" x14ac:dyDescent="0.25">
      <c r="B162" s="426" t="s">
        <v>1161</v>
      </c>
      <c r="C162" s="425"/>
    </row>
    <row r="163" spans="1:4" x14ac:dyDescent="0.25">
      <c r="B163" s="424" t="s">
        <v>1144</v>
      </c>
      <c r="C163" s="425">
        <v>2.9</v>
      </c>
    </row>
    <row r="164" spans="1:4" x14ac:dyDescent="0.25">
      <c r="B164" s="424" t="s">
        <v>1145</v>
      </c>
      <c r="C164" s="425">
        <v>3.2</v>
      </c>
    </row>
    <row r="165" spans="1:4" x14ac:dyDescent="0.25">
      <c r="B165" s="424" t="s">
        <v>1146</v>
      </c>
      <c r="C165" s="425">
        <v>3.3</v>
      </c>
    </row>
    <row r="166" spans="1:4" x14ac:dyDescent="0.25">
      <c r="B166" s="424" t="s">
        <v>1147</v>
      </c>
      <c r="C166" s="425">
        <v>2.9</v>
      </c>
    </row>
    <row r="167" spans="1:4" x14ac:dyDescent="0.25">
      <c r="B167" s="424" t="s">
        <v>1148</v>
      </c>
      <c r="C167" s="425">
        <v>3.2</v>
      </c>
    </row>
    <row r="168" spans="1:4" ht="13.8" thickBot="1" x14ac:dyDescent="0.3">
      <c r="B168" s="427" t="s">
        <v>1149</v>
      </c>
      <c r="C168" s="428">
        <v>3.1</v>
      </c>
    </row>
    <row r="170" spans="1:4" x14ac:dyDescent="0.25">
      <c r="D170" s="413" t="s">
        <v>1116</v>
      </c>
    </row>
    <row r="171" spans="1:4" x14ac:dyDescent="0.25">
      <c r="D171" s="413" t="s">
        <v>1162</v>
      </c>
    </row>
    <row r="172" spans="1:4" ht="13.8" x14ac:dyDescent="0.25">
      <c r="B172" s="414" t="s">
        <v>826</v>
      </c>
      <c r="C172" s="415"/>
    </row>
    <row r="173" spans="1:4" ht="13.8" x14ac:dyDescent="0.25">
      <c r="B173" s="416" t="s">
        <v>1118</v>
      </c>
      <c r="C173" s="415"/>
    </row>
    <row r="175" spans="1:4" ht="27" thickBot="1" x14ac:dyDescent="0.3">
      <c r="A175" s="417" t="s">
        <v>1119</v>
      </c>
      <c r="B175" s="415"/>
      <c r="C175" s="418"/>
      <c r="D175" s="415"/>
    </row>
    <row r="176" spans="1:4" ht="52.8" thickBot="1" x14ac:dyDescent="0.3">
      <c r="B176" s="429" t="s">
        <v>1120</v>
      </c>
      <c r="C176" s="430" t="s">
        <v>1121</v>
      </c>
    </row>
    <row r="177" spans="2:3" x14ac:dyDescent="0.25">
      <c r="B177" s="426" t="s">
        <v>1163</v>
      </c>
      <c r="C177" s="422"/>
    </row>
    <row r="178" spans="2:3" x14ac:dyDescent="0.25">
      <c r="B178" s="424" t="s">
        <v>1144</v>
      </c>
      <c r="C178" s="425">
        <v>4</v>
      </c>
    </row>
    <row r="179" spans="2:3" x14ac:dyDescent="0.25">
      <c r="B179" s="424" t="s">
        <v>1145</v>
      </c>
      <c r="C179" s="425">
        <v>4.4000000000000004</v>
      </c>
    </row>
    <row r="180" spans="2:3" x14ac:dyDescent="0.25">
      <c r="B180" s="424" t="s">
        <v>1146</v>
      </c>
      <c r="C180" s="425">
        <v>4.5999999999999996</v>
      </c>
    </row>
    <row r="181" spans="2:3" x14ac:dyDescent="0.25">
      <c r="B181" s="424" t="s">
        <v>1147</v>
      </c>
      <c r="C181" s="425">
        <v>4</v>
      </c>
    </row>
    <row r="182" spans="2:3" x14ac:dyDescent="0.25">
      <c r="B182" s="424" t="s">
        <v>1148</v>
      </c>
      <c r="C182" s="425">
        <v>4</v>
      </c>
    </row>
    <row r="183" spans="2:3" x14ac:dyDescent="0.25">
      <c r="B183" s="424" t="s">
        <v>1149</v>
      </c>
      <c r="C183" s="425">
        <v>3.8</v>
      </c>
    </row>
    <row r="184" spans="2:3" x14ac:dyDescent="0.25">
      <c r="B184" s="424"/>
      <c r="C184" s="425"/>
    </row>
    <row r="185" spans="2:3" x14ac:dyDescent="0.25">
      <c r="B185" s="426" t="s">
        <v>1164</v>
      </c>
      <c r="C185" s="425"/>
    </row>
    <row r="186" spans="2:3" x14ac:dyDescent="0.25">
      <c r="B186" s="424" t="s">
        <v>1144</v>
      </c>
      <c r="C186" s="425">
        <v>2.9</v>
      </c>
    </row>
    <row r="187" spans="2:3" x14ac:dyDescent="0.25">
      <c r="B187" s="424" t="s">
        <v>1145</v>
      </c>
      <c r="C187" s="425">
        <v>6.6</v>
      </c>
    </row>
    <row r="188" spans="2:3" x14ac:dyDescent="0.25">
      <c r="B188" s="424" t="s">
        <v>1146</v>
      </c>
      <c r="C188" s="425">
        <v>2.7</v>
      </c>
    </row>
    <row r="189" spans="2:3" x14ac:dyDescent="0.25">
      <c r="B189" s="424" t="s">
        <v>1147</v>
      </c>
      <c r="C189" s="425">
        <v>2.6</v>
      </c>
    </row>
    <row r="190" spans="2:3" x14ac:dyDescent="0.25">
      <c r="B190" s="424" t="s">
        <v>1148</v>
      </c>
      <c r="C190" s="425">
        <v>3.1</v>
      </c>
    </row>
    <row r="191" spans="2:3" x14ac:dyDescent="0.25">
      <c r="B191" s="424" t="s">
        <v>1149</v>
      </c>
      <c r="C191" s="425">
        <v>5.5</v>
      </c>
    </row>
    <row r="192" spans="2:3" x14ac:dyDescent="0.25">
      <c r="B192" s="424"/>
      <c r="C192" s="425"/>
    </row>
    <row r="193" spans="2:3" x14ac:dyDescent="0.25">
      <c r="B193" s="426" t="s">
        <v>1165</v>
      </c>
      <c r="C193" s="425"/>
    </row>
    <row r="194" spans="2:3" x14ac:dyDescent="0.25">
      <c r="B194" s="424" t="s">
        <v>1144</v>
      </c>
      <c r="C194" s="425">
        <v>2.8</v>
      </c>
    </row>
    <row r="195" spans="2:3" x14ac:dyDescent="0.25">
      <c r="B195" s="424" t="s">
        <v>1145</v>
      </c>
      <c r="C195" s="425">
        <v>3</v>
      </c>
    </row>
    <row r="196" spans="2:3" x14ac:dyDescent="0.25">
      <c r="B196" s="424" t="s">
        <v>1146</v>
      </c>
      <c r="C196" s="425">
        <v>2.9</v>
      </c>
    </row>
    <row r="197" spans="2:3" x14ac:dyDescent="0.25">
      <c r="B197" s="424" t="s">
        <v>1147</v>
      </c>
      <c r="C197" s="425">
        <v>2.5</v>
      </c>
    </row>
    <row r="198" spans="2:3" x14ac:dyDescent="0.25">
      <c r="B198" s="424" t="s">
        <v>1148</v>
      </c>
      <c r="C198" s="425">
        <v>2.6</v>
      </c>
    </row>
    <row r="199" spans="2:3" x14ac:dyDescent="0.25">
      <c r="B199" s="424" t="s">
        <v>1149</v>
      </c>
      <c r="C199" s="425">
        <v>3.1</v>
      </c>
    </row>
    <row r="200" spans="2:3" x14ac:dyDescent="0.25">
      <c r="B200" s="424"/>
      <c r="C200" s="425"/>
    </row>
    <row r="201" spans="2:3" x14ac:dyDescent="0.25">
      <c r="B201" s="426" t="s">
        <v>1166</v>
      </c>
      <c r="C201" s="425"/>
    </row>
    <row r="202" spans="2:3" x14ac:dyDescent="0.25">
      <c r="B202" s="424" t="s">
        <v>1144</v>
      </c>
      <c r="C202" s="425">
        <v>2.5</v>
      </c>
    </row>
    <row r="203" spans="2:3" x14ac:dyDescent="0.25">
      <c r="B203" s="424" t="s">
        <v>1145</v>
      </c>
      <c r="C203" s="425">
        <v>2.8</v>
      </c>
    </row>
    <row r="204" spans="2:3" x14ac:dyDescent="0.25">
      <c r="B204" s="424" t="s">
        <v>1146</v>
      </c>
      <c r="C204" s="425">
        <v>2.6</v>
      </c>
    </row>
    <row r="205" spans="2:3" x14ac:dyDescent="0.25">
      <c r="B205" s="424" t="s">
        <v>1147</v>
      </c>
      <c r="C205" s="425">
        <v>2.5</v>
      </c>
    </row>
    <row r="206" spans="2:3" x14ac:dyDescent="0.25">
      <c r="B206" s="424" t="s">
        <v>1148</v>
      </c>
      <c r="C206" s="425">
        <v>2.5</v>
      </c>
    </row>
    <row r="207" spans="2:3" ht="13.8" thickBot="1" x14ac:dyDescent="0.3">
      <c r="B207" s="427" t="s">
        <v>1149</v>
      </c>
      <c r="C207" s="428">
        <v>2.2999999999999998</v>
      </c>
    </row>
    <row r="209" spans="1:4" x14ac:dyDescent="0.25">
      <c r="D209" s="413" t="s">
        <v>1116</v>
      </c>
    </row>
    <row r="210" spans="1:4" x14ac:dyDescent="0.25">
      <c r="D210" s="413" t="s">
        <v>1167</v>
      </c>
    </row>
    <row r="211" spans="1:4" ht="13.8" x14ac:dyDescent="0.25">
      <c r="B211" s="414" t="s">
        <v>826</v>
      </c>
      <c r="C211" s="415"/>
    </row>
    <row r="212" spans="1:4" ht="13.8" x14ac:dyDescent="0.25">
      <c r="B212" s="416" t="s">
        <v>1118</v>
      </c>
      <c r="C212" s="415"/>
    </row>
    <row r="214" spans="1:4" ht="27" thickBot="1" x14ac:dyDescent="0.3">
      <c r="A214" s="417" t="s">
        <v>1119</v>
      </c>
      <c r="B214" s="415"/>
      <c r="C214" s="418"/>
      <c r="D214" s="415"/>
    </row>
    <row r="215" spans="1:4" ht="52.8" thickBot="1" x14ac:dyDescent="0.3">
      <c r="B215" s="429" t="s">
        <v>1120</v>
      </c>
      <c r="C215" s="430" t="s">
        <v>1121</v>
      </c>
    </row>
    <row r="216" spans="1:4" x14ac:dyDescent="0.25">
      <c r="B216" s="426" t="s">
        <v>1168</v>
      </c>
      <c r="C216" s="422"/>
    </row>
    <row r="217" spans="1:4" x14ac:dyDescent="0.25">
      <c r="B217" s="424" t="s">
        <v>1144</v>
      </c>
      <c r="C217" s="425">
        <v>3.2</v>
      </c>
    </row>
    <row r="218" spans="1:4" x14ac:dyDescent="0.25">
      <c r="B218" s="424" t="s">
        <v>1145</v>
      </c>
      <c r="C218" s="425">
        <v>4</v>
      </c>
    </row>
    <row r="219" spans="1:4" x14ac:dyDescent="0.25">
      <c r="B219" s="424" t="s">
        <v>1146</v>
      </c>
      <c r="C219" s="425">
        <v>2.2999999999999998</v>
      </c>
    </row>
    <row r="220" spans="1:4" x14ac:dyDescent="0.25">
      <c r="B220" s="424" t="s">
        <v>1147</v>
      </c>
      <c r="C220" s="425">
        <v>2.2999999999999998</v>
      </c>
    </row>
    <row r="221" spans="1:4" x14ac:dyDescent="0.25">
      <c r="B221" s="424" t="s">
        <v>1148</v>
      </c>
      <c r="C221" s="425">
        <v>4.2</v>
      </c>
    </row>
    <row r="222" spans="1:4" x14ac:dyDescent="0.25">
      <c r="B222" s="424" t="s">
        <v>1149</v>
      </c>
      <c r="C222" s="425">
        <v>8.6</v>
      </c>
    </row>
    <row r="223" spans="1:4" x14ac:dyDescent="0.25">
      <c r="B223" s="424"/>
      <c r="C223" s="425"/>
    </row>
    <row r="224" spans="1:4" x14ac:dyDescent="0.25">
      <c r="B224" s="426" t="s">
        <v>1169</v>
      </c>
      <c r="C224" s="425"/>
    </row>
    <row r="225" spans="2:3" x14ac:dyDescent="0.25">
      <c r="B225" s="424" t="s">
        <v>1144</v>
      </c>
      <c r="C225" s="425">
        <v>1.3</v>
      </c>
    </row>
    <row r="226" spans="2:3" x14ac:dyDescent="0.25">
      <c r="B226" s="424" t="s">
        <v>1145</v>
      </c>
      <c r="C226" s="425">
        <v>3.3</v>
      </c>
    </row>
    <row r="227" spans="2:3" x14ac:dyDescent="0.25">
      <c r="B227" s="424" t="s">
        <v>1146</v>
      </c>
      <c r="C227" s="425">
        <v>1.3</v>
      </c>
    </row>
    <row r="228" spans="2:3" x14ac:dyDescent="0.25">
      <c r="B228" s="424" t="s">
        <v>1147</v>
      </c>
      <c r="C228" s="425">
        <v>1.4</v>
      </c>
    </row>
    <row r="229" spans="2:3" x14ac:dyDescent="0.25">
      <c r="B229" s="424" t="s">
        <v>1148</v>
      </c>
      <c r="C229" s="425">
        <v>1.8</v>
      </c>
    </row>
    <row r="230" spans="2:3" x14ac:dyDescent="0.25">
      <c r="B230" s="424" t="s">
        <v>1149</v>
      </c>
      <c r="C230" s="425">
        <v>3.2</v>
      </c>
    </row>
    <row r="231" spans="2:3" x14ac:dyDescent="0.25">
      <c r="B231" s="424"/>
      <c r="C231" s="425"/>
    </row>
    <row r="232" spans="2:3" x14ac:dyDescent="0.25">
      <c r="B232" s="426" t="s">
        <v>1170</v>
      </c>
      <c r="C232" s="425"/>
    </row>
    <row r="233" spans="2:3" x14ac:dyDescent="0.25">
      <c r="B233" s="424" t="s">
        <v>1144</v>
      </c>
      <c r="C233" s="425">
        <v>1.7</v>
      </c>
    </row>
    <row r="234" spans="2:3" x14ac:dyDescent="0.25">
      <c r="B234" s="424" t="s">
        <v>1145</v>
      </c>
      <c r="C234" s="425">
        <v>1.8</v>
      </c>
    </row>
    <row r="235" spans="2:3" x14ac:dyDescent="0.25">
      <c r="B235" s="424" t="s">
        <v>1146</v>
      </c>
      <c r="C235" s="425">
        <v>1.4</v>
      </c>
    </row>
    <row r="236" spans="2:3" x14ac:dyDescent="0.25">
      <c r="B236" s="424" t="s">
        <v>1147</v>
      </c>
      <c r="C236" s="425">
        <v>1.8</v>
      </c>
    </row>
    <row r="237" spans="2:3" x14ac:dyDescent="0.25">
      <c r="B237" s="424" t="s">
        <v>1148</v>
      </c>
      <c r="C237" s="425">
        <v>2.1</v>
      </c>
    </row>
    <row r="238" spans="2:3" x14ac:dyDescent="0.25">
      <c r="B238" s="424" t="s">
        <v>1149</v>
      </c>
      <c r="C238" s="425">
        <v>1.4</v>
      </c>
    </row>
    <row r="239" spans="2:3" x14ac:dyDescent="0.25">
      <c r="B239" s="424"/>
      <c r="C239" s="425"/>
    </row>
    <row r="240" spans="2:3" x14ac:dyDescent="0.25">
      <c r="B240" s="426" t="s">
        <v>1171</v>
      </c>
      <c r="C240" s="425"/>
    </row>
    <row r="241" spans="2:4" x14ac:dyDescent="0.25">
      <c r="B241" s="424" t="s">
        <v>1144</v>
      </c>
      <c r="C241" s="425">
        <v>2</v>
      </c>
    </row>
    <row r="242" spans="2:4" x14ac:dyDescent="0.25">
      <c r="B242" s="424" t="s">
        <v>1145</v>
      </c>
      <c r="C242" s="425">
        <v>3</v>
      </c>
    </row>
    <row r="243" spans="2:4" x14ac:dyDescent="0.25">
      <c r="B243" s="424" t="s">
        <v>1146</v>
      </c>
      <c r="C243" s="425">
        <v>1.2</v>
      </c>
    </row>
    <row r="244" spans="2:4" x14ac:dyDescent="0.25">
      <c r="B244" s="424" t="s">
        <v>1147</v>
      </c>
      <c r="C244" s="425">
        <v>2.4</v>
      </c>
    </row>
    <row r="245" spans="2:4" x14ac:dyDescent="0.25">
      <c r="B245" s="424" t="s">
        <v>1148</v>
      </c>
      <c r="C245" s="425">
        <v>3</v>
      </c>
    </row>
    <row r="246" spans="2:4" x14ac:dyDescent="0.25">
      <c r="B246" s="424" t="s">
        <v>1149</v>
      </c>
      <c r="C246" s="425">
        <v>2.1</v>
      </c>
    </row>
    <row r="247" spans="2:4" x14ac:dyDescent="0.25">
      <c r="B247" s="424"/>
      <c r="C247" s="425"/>
    </row>
    <row r="248" spans="2:4" x14ac:dyDescent="0.25">
      <c r="B248" s="426" t="s">
        <v>1172</v>
      </c>
      <c r="C248" s="425"/>
    </row>
    <row r="249" spans="2:4" x14ac:dyDescent="0.25">
      <c r="B249" s="424" t="s">
        <v>1144</v>
      </c>
      <c r="C249" s="425">
        <v>1.8</v>
      </c>
    </row>
    <row r="250" spans="2:4" x14ac:dyDescent="0.25">
      <c r="B250" s="424" t="s">
        <v>1145</v>
      </c>
      <c r="C250" s="425">
        <v>2</v>
      </c>
    </row>
    <row r="251" spans="2:4" x14ac:dyDescent="0.25">
      <c r="B251" s="424" t="s">
        <v>1146</v>
      </c>
      <c r="C251" s="425">
        <v>2.5</v>
      </c>
    </row>
    <row r="252" spans="2:4" x14ac:dyDescent="0.25">
      <c r="B252" s="424" t="s">
        <v>1147</v>
      </c>
      <c r="C252" s="425">
        <v>1.8</v>
      </c>
    </row>
    <row r="253" spans="2:4" ht="13.8" thickBot="1" x14ac:dyDescent="0.3">
      <c r="B253" s="427" t="s">
        <v>1148</v>
      </c>
      <c r="C253" s="428">
        <v>1.9</v>
      </c>
    </row>
    <row r="255" spans="2:4" x14ac:dyDescent="0.25">
      <c r="D255" s="413" t="s">
        <v>1116</v>
      </c>
    </row>
    <row r="256" spans="2:4" x14ac:dyDescent="0.25">
      <c r="D256" s="413" t="s">
        <v>1173</v>
      </c>
    </row>
    <row r="257" spans="1:4" ht="13.8" x14ac:dyDescent="0.25">
      <c r="B257" s="414" t="s">
        <v>826</v>
      </c>
      <c r="C257" s="415"/>
    </row>
    <row r="258" spans="1:4" ht="13.8" x14ac:dyDescent="0.25">
      <c r="B258" s="416" t="s">
        <v>1118</v>
      </c>
      <c r="C258" s="415"/>
    </row>
    <row r="260" spans="1:4" ht="27" thickBot="1" x14ac:dyDescent="0.3">
      <c r="A260" s="417" t="s">
        <v>1119</v>
      </c>
      <c r="B260" s="415"/>
      <c r="C260" s="418"/>
      <c r="D260" s="415"/>
    </row>
    <row r="261" spans="1:4" ht="52.8" thickBot="1" x14ac:dyDescent="0.3">
      <c r="B261" s="429" t="s">
        <v>1120</v>
      </c>
      <c r="C261" s="430" t="s">
        <v>1121</v>
      </c>
    </row>
    <row r="262" spans="1:4" x14ac:dyDescent="0.25">
      <c r="B262" s="431" t="s">
        <v>1149</v>
      </c>
      <c r="C262" s="432">
        <v>1.5</v>
      </c>
    </row>
    <row r="263" spans="1:4" x14ac:dyDescent="0.25">
      <c r="B263" s="426" t="s">
        <v>1174</v>
      </c>
      <c r="C263" s="425"/>
    </row>
    <row r="264" spans="1:4" x14ac:dyDescent="0.25">
      <c r="B264" s="424" t="s">
        <v>1149</v>
      </c>
      <c r="C264" s="425">
        <v>1.5</v>
      </c>
    </row>
    <row r="265" spans="1:4" x14ac:dyDescent="0.25">
      <c r="B265" s="424"/>
      <c r="C265" s="425"/>
    </row>
    <row r="266" spans="1:4" x14ac:dyDescent="0.25">
      <c r="B266" s="433" t="s">
        <v>1175</v>
      </c>
      <c r="C266" s="425"/>
    </row>
    <row r="267" spans="1:4" x14ac:dyDescent="0.25">
      <c r="B267" s="424" t="s">
        <v>1176</v>
      </c>
      <c r="C267" s="425">
        <v>1.4</v>
      </c>
    </row>
    <row r="268" spans="1:4" x14ac:dyDescent="0.25">
      <c r="B268" s="424" t="s">
        <v>1177</v>
      </c>
      <c r="C268" s="425">
        <v>1.4</v>
      </c>
    </row>
    <row r="269" spans="1:4" x14ac:dyDescent="0.25">
      <c r="B269" s="424" t="s">
        <v>1178</v>
      </c>
      <c r="C269" s="425">
        <v>1.8</v>
      </c>
    </row>
    <row r="270" spans="1:4" x14ac:dyDescent="0.25">
      <c r="B270" s="424" t="s">
        <v>1179</v>
      </c>
      <c r="C270" s="425">
        <v>4.2</v>
      </c>
    </row>
    <row r="271" spans="1:4" x14ac:dyDescent="0.25">
      <c r="B271" s="424" t="s">
        <v>1180</v>
      </c>
      <c r="C271" s="425">
        <v>2.7</v>
      </c>
    </row>
    <row r="272" spans="1:4" x14ac:dyDescent="0.25">
      <c r="B272" s="424" t="s">
        <v>1181</v>
      </c>
      <c r="C272" s="425">
        <v>1.6</v>
      </c>
    </row>
    <row r="273" spans="2:3" x14ac:dyDescent="0.25">
      <c r="B273" s="424" t="s">
        <v>1182</v>
      </c>
      <c r="C273" s="425">
        <v>3</v>
      </c>
    </row>
    <row r="274" spans="2:3" x14ac:dyDescent="0.25">
      <c r="B274" s="424" t="s">
        <v>1183</v>
      </c>
      <c r="C274" s="425">
        <v>2.9</v>
      </c>
    </row>
    <row r="275" spans="2:3" x14ac:dyDescent="0.25">
      <c r="B275" s="424" t="s">
        <v>1184</v>
      </c>
      <c r="C275" s="425">
        <v>4</v>
      </c>
    </row>
    <row r="276" spans="2:3" x14ac:dyDescent="0.25">
      <c r="B276" s="424" t="s">
        <v>1185</v>
      </c>
      <c r="C276" s="425">
        <v>2.2000000000000002</v>
      </c>
    </row>
    <row r="277" spans="2:3" x14ac:dyDescent="0.25">
      <c r="B277" s="424" t="s">
        <v>1186</v>
      </c>
      <c r="C277" s="425">
        <v>6</v>
      </c>
    </row>
    <row r="278" spans="2:3" x14ac:dyDescent="0.25">
      <c r="B278" s="424" t="s">
        <v>1187</v>
      </c>
      <c r="C278" s="425">
        <v>3.6</v>
      </c>
    </row>
    <row r="279" spans="2:3" x14ac:dyDescent="0.25">
      <c r="B279" s="424" t="s">
        <v>1188</v>
      </c>
      <c r="C279" s="425">
        <v>3.1</v>
      </c>
    </row>
    <row r="280" spans="2:3" x14ac:dyDescent="0.25">
      <c r="B280" s="424"/>
      <c r="C280" s="425"/>
    </row>
    <row r="281" spans="2:3" x14ac:dyDescent="0.25">
      <c r="B281" s="433" t="s">
        <v>1189</v>
      </c>
      <c r="C281" s="425"/>
    </row>
    <row r="282" spans="2:3" x14ac:dyDescent="0.25">
      <c r="B282" s="424" t="s">
        <v>1190</v>
      </c>
      <c r="C282" s="425">
        <v>1.2</v>
      </c>
    </row>
    <row r="283" spans="2:3" x14ac:dyDescent="0.25">
      <c r="B283" s="424" t="s">
        <v>1191</v>
      </c>
      <c r="C283" s="425">
        <v>1.4</v>
      </c>
    </row>
    <row r="284" spans="2:3" x14ac:dyDescent="0.25">
      <c r="B284" s="424" t="s">
        <v>1192</v>
      </c>
      <c r="C284" s="425">
        <v>1.8</v>
      </c>
    </row>
    <row r="285" spans="2:3" x14ac:dyDescent="0.25">
      <c r="B285" s="424" t="s">
        <v>1193</v>
      </c>
      <c r="C285" s="425">
        <v>1.1000000000000001</v>
      </c>
    </row>
    <row r="286" spans="2:3" x14ac:dyDescent="0.25">
      <c r="B286" s="424" t="s">
        <v>1194</v>
      </c>
      <c r="C286" s="425">
        <v>1.3</v>
      </c>
    </row>
    <row r="287" spans="2:3" x14ac:dyDescent="0.25">
      <c r="B287" s="424" t="s">
        <v>1195</v>
      </c>
      <c r="C287" s="425">
        <v>3.3</v>
      </c>
    </row>
    <row r="288" spans="2:3" x14ac:dyDescent="0.25">
      <c r="B288" s="424" t="s">
        <v>1196</v>
      </c>
      <c r="C288" s="425">
        <v>1.9</v>
      </c>
    </row>
    <row r="289" spans="1:4" x14ac:dyDescent="0.25">
      <c r="B289" s="424" t="s">
        <v>1197</v>
      </c>
      <c r="C289" s="425">
        <v>1.2</v>
      </c>
    </row>
    <row r="290" spans="1:4" x14ac:dyDescent="0.25">
      <c r="B290" s="424" t="s">
        <v>1198</v>
      </c>
      <c r="C290" s="425">
        <v>2</v>
      </c>
    </row>
    <row r="291" spans="1:4" x14ac:dyDescent="0.25">
      <c r="B291" s="424" t="s">
        <v>1199</v>
      </c>
      <c r="C291" s="425">
        <v>0.9</v>
      </c>
    </row>
    <row r="292" spans="1:4" x14ac:dyDescent="0.25">
      <c r="B292" s="424"/>
      <c r="C292" s="425"/>
    </row>
    <row r="293" spans="1:4" x14ac:dyDescent="0.25">
      <c r="B293" s="433" t="s">
        <v>157</v>
      </c>
      <c r="C293" s="425"/>
    </row>
    <row r="294" spans="1:4" x14ac:dyDescent="0.25">
      <c r="B294" s="424" t="s">
        <v>1200</v>
      </c>
      <c r="C294" s="425">
        <v>3.7</v>
      </c>
    </row>
    <row r="295" spans="1:4" ht="13.8" thickBot="1" x14ac:dyDescent="0.3">
      <c r="B295" s="427" t="s">
        <v>1201</v>
      </c>
      <c r="C295" s="428">
        <v>14.3</v>
      </c>
    </row>
    <row r="297" spans="1:4" x14ac:dyDescent="0.25">
      <c r="D297" s="413" t="s">
        <v>1116</v>
      </c>
    </row>
    <row r="298" spans="1:4" x14ac:dyDescent="0.25">
      <c r="D298" s="413" t="s">
        <v>1202</v>
      </c>
    </row>
    <row r="299" spans="1:4" ht="13.8" x14ac:dyDescent="0.25">
      <c r="B299" s="414" t="s">
        <v>826</v>
      </c>
      <c r="C299" s="415"/>
    </row>
    <row r="300" spans="1:4" ht="13.8" x14ac:dyDescent="0.25">
      <c r="B300" s="416" t="s">
        <v>1118</v>
      </c>
      <c r="C300" s="415"/>
    </row>
    <row r="302" spans="1:4" ht="27" thickBot="1" x14ac:dyDescent="0.3">
      <c r="A302" s="417" t="s">
        <v>1119</v>
      </c>
      <c r="B302" s="415"/>
      <c r="C302" s="418"/>
      <c r="D302" s="415"/>
    </row>
    <row r="303" spans="1:4" ht="52.8" thickBot="1" x14ac:dyDescent="0.3">
      <c r="B303" s="429" t="s">
        <v>1120</v>
      </c>
      <c r="C303" s="430" t="s">
        <v>1121</v>
      </c>
    </row>
    <row r="304" spans="1:4" x14ac:dyDescent="0.25">
      <c r="B304" s="434" t="s">
        <v>1203</v>
      </c>
      <c r="C304" s="435"/>
    </row>
    <row r="305" spans="2:3" x14ac:dyDescent="0.25">
      <c r="B305" s="436" t="s">
        <v>1204</v>
      </c>
      <c r="C305" s="425">
        <v>8.6999999999999993</v>
      </c>
    </row>
    <row r="306" spans="2:3" x14ac:dyDescent="0.25">
      <c r="B306" s="436" t="s">
        <v>1205</v>
      </c>
      <c r="C306" s="425">
        <v>8.6999999999999993</v>
      </c>
    </row>
    <row r="307" spans="2:3" x14ac:dyDescent="0.25">
      <c r="B307" s="436" t="s">
        <v>1206</v>
      </c>
      <c r="C307" s="425">
        <v>4.8</v>
      </c>
    </row>
    <row r="308" spans="2:3" x14ac:dyDescent="0.25">
      <c r="B308" s="436" t="s">
        <v>1207</v>
      </c>
      <c r="C308" s="425">
        <v>5</v>
      </c>
    </row>
    <row r="309" spans="2:3" x14ac:dyDescent="0.25">
      <c r="B309" s="436" t="s">
        <v>1208</v>
      </c>
      <c r="C309" s="425">
        <v>1.7</v>
      </c>
    </row>
    <row r="310" spans="2:3" x14ac:dyDescent="0.25">
      <c r="B310" s="424" t="s">
        <v>1209</v>
      </c>
      <c r="C310" s="425">
        <v>14.3</v>
      </c>
    </row>
    <row r="311" spans="2:3" x14ac:dyDescent="0.25">
      <c r="B311" s="424" t="s">
        <v>1210</v>
      </c>
      <c r="C311" s="425">
        <v>14.3</v>
      </c>
    </row>
    <row r="312" spans="2:3" x14ac:dyDescent="0.25">
      <c r="B312" s="424" t="s">
        <v>1211</v>
      </c>
      <c r="C312" s="425">
        <v>14.3</v>
      </c>
    </row>
    <row r="313" spans="2:3" x14ac:dyDescent="0.25">
      <c r="B313" s="424" t="s">
        <v>1212</v>
      </c>
      <c r="C313" s="425">
        <v>5.8</v>
      </c>
    </row>
    <row r="314" spans="2:3" x14ac:dyDescent="0.25">
      <c r="B314" s="424" t="s">
        <v>1213</v>
      </c>
      <c r="C314" s="425">
        <v>14.3</v>
      </c>
    </row>
    <row r="315" spans="2:3" x14ac:dyDescent="0.25">
      <c r="B315" s="424" t="s">
        <v>1214</v>
      </c>
      <c r="C315" s="425">
        <v>14.3</v>
      </c>
    </row>
    <row r="316" spans="2:3" x14ac:dyDescent="0.25">
      <c r="B316" s="424"/>
      <c r="C316" s="425"/>
    </row>
    <row r="317" spans="2:3" x14ac:dyDescent="0.25">
      <c r="B317" s="433" t="s">
        <v>154</v>
      </c>
      <c r="C317" s="425">
        <v>3.3</v>
      </c>
    </row>
    <row r="318" spans="2:3" x14ac:dyDescent="0.25">
      <c r="B318" s="424" t="s">
        <v>1215</v>
      </c>
      <c r="C318" s="425"/>
    </row>
    <row r="319" spans="2:3" x14ac:dyDescent="0.25">
      <c r="B319" s="424" t="s">
        <v>1216</v>
      </c>
      <c r="C319" s="425">
        <v>20</v>
      </c>
    </row>
    <row r="320" spans="2:3" x14ac:dyDescent="0.25">
      <c r="B320" s="424" t="s">
        <v>1217</v>
      </c>
      <c r="C320" s="425">
        <v>14.3</v>
      </c>
    </row>
    <row r="321" spans="2:3" ht="13.8" thickBot="1" x14ac:dyDescent="0.3">
      <c r="B321" s="427" t="s">
        <v>1218</v>
      </c>
      <c r="C321" s="428">
        <v>10</v>
      </c>
    </row>
    <row r="323" spans="2:3" ht="39.6" x14ac:dyDescent="0.25">
      <c r="B323" s="418" t="s">
        <v>1219</v>
      </c>
      <c r="C323" s="418"/>
    </row>
    <row r="326" spans="2:3" ht="39.6" x14ac:dyDescent="0.25">
      <c r="B326" s="418" t="s">
        <v>1220</v>
      </c>
      <c r="C326" s="418"/>
    </row>
  </sheetData>
  <pageMargins left="0.7" right="0.7" top="0.75" bottom="0.75" header="0.3" footer="0.3"/>
  <pageSetup orientation="portrait" r:id="rId1"/>
  <rowBreaks count="7" manualBreakCount="7">
    <brk id="34" max="16383" man="1"/>
    <brk id="79" max="16383" man="1"/>
    <brk id="124" max="16383" man="1"/>
    <brk id="168" max="16383" man="1"/>
    <brk id="207" max="16383" man="1"/>
    <brk id="253" max="16383" man="1"/>
    <brk id="2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1:I184"/>
  <sheetViews>
    <sheetView workbookViewId="0"/>
  </sheetViews>
  <sheetFormatPr defaultColWidth="9.109375" defaultRowHeight="13.2" x14ac:dyDescent="0.25"/>
  <cols>
    <col min="1" max="1" width="10.6640625" style="360" customWidth="1"/>
    <col min="2" max="2" width="73.5546875" style="360" bestFit="1" customWidth="1"/>
    <col min="3" max="3" width="12.6640625" style="360" customWidth="1"/>
    <col min="4" max="16384" width="9.109375" style="360"/>
  </cols>
  <sheetData>
    <row r="1" spans="2:9" x14ac:dyDescent="0.25">
      <c r="C1" s="360" t="s">
        <v>914</v>
      </c>
      <c r="G1" s="322"/>
      <c r="H1" s="322"/>
      <c r="I1" s="322"/>
    </row>
    <row r="2" spans="2:9" x14ac:dyDescent="0.25">
      <c r="C2" s="360" t="s">
        <v>688</v>
      </c>
      <c r="G2" s="322"/>
      <c r="H2" s="322"/>
      <c r="I2" s="322"/>
    </row>
    <row r="5" spans="2:9" ht="14.4" x14ac:dyDescent="0.25">
      <c r="B5" s="364" t="s">
        <v>869</v>
      </c>
    </row>
    <row r="6" spans="2:9" ht="14.4" x14ac:dyDescent="0.25">
      <c r="B6" s="364"/>
    </row>
    <row r="7" spans="2:9" ht="14.4" x14ac:dyDescent="0.25">
      <c r="B7" s="362" t="s">
        <v>870</v>
      </c>
    </row>
    <row r="8" spans="2:9" ht="14.4" x14ac:dyDescent="0.25">
      <c r="B8" s="362"/>
    </row>
    <row r="9" spans="2:9" ht="14.4" x14ac:dyDescent="0.25">
      <c r="B9" s="361" t="s">
        <v>871</v>
      </c>
    </row>
    <row r="10" spans="2:9" ht="14.4" x14ac:dyDescent="0.25">
      <c r="B10" s="361" t="s">
        <v>872</v>
      </c>
    </row>
    <row r="11" spans="2:9" ht="14.4" x14ac:dyDescent="0.25">
      <c r="B11" s="361" t="s">
        <v>873</v>
      </c>
    </row>
    <row r="12" spans="2:9" ht="14.4" x14ac:dyDescent="0.25">
      <c r="B12" s="361" t="s">
        <v>874</v>
      </c>
    </row>
    <row r="13" spans="2:9" ht="14.4" x14ac:dyDescent="0.25">
      <c r="B13" s="361" t="s">
        <v>875</v>
      </c>
    </row>
    <row r="14" spans="2:9" ht="14.4" x14ac:dyDescent="0.25">
      <c r="B14" s="361" t="s">
        <v>876</v>
      </c>
    </row>
    <row r="15" spans="2:9" ht="14.4" x14ac:dyDescent="0.25">
      <c r="B15" s="361" t="s">
        <v>877</v>
      </c>
    </row>
    <row r="16" spans="2:9" ht="14.4" x14ac:dyDescent="0.25">
      <c r="B16" s="361" t="s">
        <v>878</v>
      </c>
    </row>
    <row r="17" spans="2:2" ht="14.4" x14ac:dyDescent="0.25">
      <c r="B17" s="361" t="s">
        <v>879</v>
      </c>
    </row>
    <row r="18" spans="2:2" ht="14.4" x14ac:dyDescent="0.25">
      <c r="B18" s="361" t="s">
        <v>880</v>
      </c>
    </row>
    <row r="19" spans="2:2" ht="14.4" x14ac:dyDescent="0.25">
      <c r="B19" s="361" t="s">
        <v>881</v>
      </c>
    </row>
    <row r="20" spans="2:2" ht="14.4" x14ac:dyDescent="0.25">
      <c r="B20" s="361" t="s">
        <v>882</v>
      </c>
    </row>
    <row r="21" spans="2:2" ht="14.4" x14ac:dyDescent="0.25">
      <c r="B21" s="361" t="s">
        <v>883</v>
      </c>
    </row>
    <row r="22" spans="2:2" ht="14.4" x14ac:dyDescent="0.25">
      <c r="B22" s="361" t="s">
        <v>884</v>
      </c>
    </row>
    <row r="23" spans="2:2" ht="14.4" x14ac:dyDescent="0.25">
      <c r="B23" s="361" t="s">
        <v>885</v>
      </c>
    </row>
    <row r="24" spans="2:2" ht="14.4" x14ac:dyDescent="0.25">
      <c r="B24" s="361" t="s">
        <v>886</v>
      </c>
    </row>
    <row r="25" spans="2:2" ht="14.4" x14ac:dyDescent="0.25">
      <c r="B25" s="361" t="s">
        <v>887</v>
      </c>
    </row>
    <row r="26" spans="2:2" ht="14.4" x14ac:dyDescent="0.25">
      <c r="B26" s="361" t="s">
        <v>1045</v>
      </c>
    </row>
    <row r="27" spans="2:2" ht="14.4" x14ac:dyDescent="0.25">
      <c r="B27" s="361" t="s">
        <v>888</v>
      </c>
    </row>
    <row r="28" spans="2:2" ht="14.4" x14ac:dyDescent="0.25">
      <c r="B28" s="361" t="s">
        <v>889</v>
      </c>
    </row>
    <row r="29" spans="2:2" ht="14.4" x14ac:dyDescent="0.25">
      <c r="B29" s="361" t="s">
        <v>890</v>
      </c>
    </row>
    <row r="30" spans="2:2" ht="14.4" x14ac:dyDescent="0.25">
      <c r="B30" s="361" t="s">
        <v>891</v>
      </c>
    </row>
    <row r="31" spans="2:2" ht="14.4" x14ac:dyDescent="0.25">
      <c r="B31" s="361" t="s">
        <v>892</v>
      </c>
    </row>
    <row r="32" spans="2:2" ht="14.4" x14ac:dyDescent="0.25">
      <c r="B32" s="361" t="s">
        <v>893</v>
      </c>
    </row>
    <row r="33" spans="2:2" ht="14.4" x14ac:dyDescent="0.25">
      <c r="B33" s="361" t="s">
        <v>894</v>
      </c>
    </row>
    <row r="34" spans="2:2" ht="14.4" x14ac:dyDescent="0.25">
      <c r="B34" s="361" t="s">
        <v>895</v>
      </c>
    </row>
    <row r="35" spans="2:2" ht="14.4" x14ac:dyDescent="0.25">
      <c r="B35" s="361" t="s">
        <v>896</v>
      </c>
    </row>
    <row r="36" spans="2:2" ht="14.4" x14ac:dyDescent="0.25">
      <c r="B36" s="361" t="s">
        <v>897</v>
      </c>
    </row>
    <row r="37" spans="2:2" ht="14.4" x14ac:dyDescent="0.25">
      <c r="B37" s="361" t="s">
        <v>898</v>
      </c>
    </row>
    <row r="38" spans="2:2" ht="14.4" x14ac:dyDescent="0.25">
      <c r="B38" s="361" t="s">
        <v>899</v>
      </c>
    </row>
    <row r="39" spans="2:2" ht="14.4" x14ac:dyDescent="0.25">
      <c r="B39" s="361" t="s">
        <v>900</v>
      </c>
    </row>
    <row r="40" spans="2:2" ht="14.4" x14ac:dyDescent="0.25">
      <c r="B40" s="361" t="s">
        <v>901</v>
      </c>
    </row>
    <row r="41" spans="2:2" ht="14.4" x14ac:dyDescent="0.25">
      <c r="B41" s="361" t="s">
        <v>902</v>
      </c>
    </row>
    <row r="42" spans="2:2" ht="14.4" x14ac:dyDescent="0.25">
      <c r="B42" s="361" t="s">
        <v>903</v>
      </c>
    </row>
    <row r="43" spans="2:2" ht="14.4" x14ac:dyDescent="0.25">
      <c r="B43" s="361" t="s">
        <v>904</v>
      </c>
    </row>
    <row r="44" spans="2:2" ht="14.4" x14ac:dyDescent="0.25">
      <c r="B44" s="361" t="s">
        <v>905</v>
      </c>
    </row>
    <row r="45" spans="2:2" ht="14.4" x14ac:dyDescent="0.25">
      <c r="B45" s="361" t="s">
        <v>906</v>
      </c>
    </row>
    <row r="46" spans="2:2" ht="14.4" x14ac:dyDescent="0.25">
      <c r="B46" s="361" t="s">
        <v>907</v>
      </c>
    </row>
    <row r="47" spans="2:2" ht="14.4" x14ac:dyDescent="0.25">
      <c r="B47" s="361" t="s">
        <v>908</v>
      </c>
    </row>
    <row r="48" spans="2:2" ht="14.4" x14ac:dyDescent="0.25">
      <c r="B48" s="361" t="s">
        <v>909</v>
      </c>
    </row>
    <row r="49" spans="2:3" ht="14.4" x14ac:dyDescent="0.25">
      <c r="B49" s="361" t="s">
        <v>910</v>
      </c>
    </row>
    <row r="50" spans="2:3" ht="14.4" x14ac:dyDescent="0.25">
      <c r="B50" s="361" t="s">
        <v>911</v>
      </c>
    </row>
    <row r="51" spans="2:3" ht="14.4" x14ac:dyDescent="0.25">
      <c r="B51" s="361" t="s">
        <v>912</v>
      </c>
    </row>
    <row r="52" spans="2:3" ht="14.4" x14ac:dyDescent="0.25">
      <c r="B52" s="361" t="s">
        <v>913</v>
      </c>
    </row>
    <row r="54" spans="2:3" x14ac:dyDescent="0.25">
      <c r="C54" s="360" t="s">
        <v>914</v>
      </c>
    </row>
    <row r="55" spans="2:3" x14ac:dyDescent="0.25">
      <c r="C55" s="363" t="s">
        <v>689</v>
      </c>
    </row>
    <row r="58" spans="2:3" ht="14.4" x14ac:dyDescent="0.25">
      <c r="B58" s="361" t="s">
        <v>966</v>
      </c>
    </row>
    <row r="59" spans="2:3" ht="14.4" x14ac:dyDescent="0.25">
      <c r="B59" s="361" t="s">
        <v>967</v>
      </c>
    </row>
    <row r="60" spans="2:3" ht="14.4" x14ac:dyDescent="0.25">
      <c r="B60" s="361" t="s">
        <v>968</v>
      </c>
    </row>
    <row r="61" spans="2:3" ht="14.4" x14ac:dyDescent="0.25">
      <c r="B61" s="361" t="s">
        <v>915</v>
      </c>
    </row>
    <row r="62" spans="2:3" ht="14.4" x14ac:dyDescent="0.25">
      <c r="B62" s="361" t="s">
        <v>916</v>
      </c>
    </row>
    <row r="63" spans="2:3" ht="14.4" x14ac:dyDescent="0.25">
      <c r="B63" s="361" t="s">
        <v>917</v>
      </c>
    </row>
    <row r="64" spans="2:3" ht="14.4" x14ac:dyDescent="0.25">
      <c r="B64" s="361" t="s">
        <v>918</v>
      </c>
    </row>
    <row r="65" spans="2:2" ht="14.4" x14ac:dyDescent="0.25">
      <c r="B65" s="361" t="s">
        <v>919</v>
      </c>
    </row>
    <row r="66" spans="2:2" ht="14.4" x14ac:dyDescent="0.25">
      <c r="B66" s="361" t="s">
        <v>920</v>
      </c>
    </row>
    <row r="67" spans="2:2" ht="14.4" x14ac:dyDescent="0.25">
      <c r="B67" s="361" t="s">
        <v>921</v>
      </c>
    </row>
    <row r="68" spans="2:2" ht="14.4" x14ac:dyDescent="0.25">
      <c r="B68" s="361" t="s">
        <v>922</v>
      </c>
    </row>
    <row r="69" spans="2:2" ht="14.4" x14ac:dyDescent="0.25">
      <c r="B69" s="361" t="s">
        <v>969</v>
      </c>
    </row>
    <row r="70" spans="2:2" ht="14.4" x14ac:dyDescent="0.25">
      <c r="B70" s="361" t="s">
        <v>970</v>
      </c>
    </row>
    <row r="71" spans="2:2" ht="14.4" x14ac:dyDescent="0.25">
      <c r="B71" s="361" t="s">
        <v>971</v>
      </c>
    </row>
    <row r="72" spans="2:2" ht="14.4" x14ac:dyDescent="0.25">
      <c r="B72" s="361" t="s">
        <v>972</v>
      </c>
    </row>
    <row r="73" spans="2:2" ht="14.4" x14ac:dyDescent="0.25">
      <c r="B73" s="361" t="s">
        <v>973</v>
      </c>
    </row>
    <row r="74" spans="2:2" ht="14.4" x14ac:dyDescent="0.25">
      <c r="B74" s="361" t="s">
        <v>974</v>
      </c>
    </row>
    <row r="75" spans="2:2" ht="14.4" x14ac:dyDescent="0.25">
      <c r="B75" s="361" t="s">
        <v>975</v>
      </c>
    </row>
    <row r="76" spans="2:2" ht="14.4" x14ac:dyDescent="0.25">
      <c r="B76" s="361" t="s">
        <v>923</v>
      </c>
    </row>
    <row r="77" spans="2:2" ht="14.4" x14ac:dyDescent="0.25">
      <c r="B77" s="361" t="s">
        <v>924</v>
      </c>
    </row>
    <row r="78" spans="2:2" ht="14.4" x14ac:dyDescent="0.25">
      <c r="B78" s="361" t="s">
        <v>925</v>
      </c>
    </row>
    <row r="79" spans="2:2" ht="14.4" x14ac:dyDescent="0.25">
      <c r="B79" s="361" t="s">
        <v>926</v>
      </c>
    </row>
    <row r="80" spans="2:2" ht="14.4" x14ac:dyDescent="0.25">
      <c r="B80" s="361" t="s">
        <v>927</v>
      </c>
    </row>
    <row r="81" spans="2:2" ht="14.4" x14ac:dyDescent="0.25">
      <c r="B81" s="361" t="s">
        <v>976</v>
      </c>
    </row>
    <row r="82" spans="2:2" ht="14.4" x14ac:dyDescent="0.25">
      <c r="B82" s="361" t="s">
        <v>977</v>
      </c>
    </row>
    <row r="83" spans="2:2" ht="14.4" x14ac:dyDescent="0.25">
      <c r="B83" s="361" t="s">
        <v>928</v>
      </c>
    </row>
    <row r="84" spans="2:2" ht="14.4" x14ac:dyDescent="0.25">
      <c r="B84" s="361" t="s">
        <v>929</v>
      </c>
    </row>
    <row r="85" spans="2:2" ht="14.4" x14ac:dyDescent="0.25">
      <c r="B85" s="361" t="s">
        <v>930</v>
      </c>
    </row>
    <row r="86" spans="2:2" ht="14.4" x14ac:dyDescent="0.25">
      <c r="B86" s="361" t="s">
        <v>978</v>
      </c>
    </row>
    <row r="87" spans="2:2" ht="14.4" x14ac:dyDescent="0.25">
      <c r="B87" s="361" t="s">
        <v>979</v>
      </c>
    </row>
    <row r="88" spans="2:2" ht="14.4" x14ac:dyDescent="0.25">
      <c r="B88" s="361" t="s">
        <v>980</v>
      </c>
    </row>
    <row r="89" spans="2:2" ht="14.4" x14ac:dyDescent="0.25">
      <c r="B89" s="361" t="s">
        <v>981</v>
      </c>
    </row>
    <row r="90" spans="2:2" ht="14.4" x14ac:dyDescent="0.25">
      <c r="B90" s="361" t="s">
        <v>982</v>
      </c>
    </row>
    <row r="91" spans="2:2" ht="14.4" x14ac:dyDescent="0.25">
      <c r="B91" s="361" t="s">
        <v>931</v>
      </c>
    </row>
    <row r="92" spans="2:2" ht="14.4" x14ac:dyDescent="0.25">
      <c r="B92" s="361" t="s">
        <v>931</v>
      </c>
    </row>
    <row r="93" spans="2:2" ht="14.4" x14ac:dyDescent="0.25">
      <c r="B93" s="361" t="s">
        <v>983</v>
      </c>
    </row>
    <row r="94" spans="2:2" ht="14.4" x14ac:dyDescent="0.25">
      <c r="B94" s="361" t="s">
        <v>984</v>
      </c>
    </row>
    <row r="95" spans="2:2" ht="14.4" x14ac:dyDescent="0.25">
      <c r="B95" s="361" t="s">
        <v>984</v>
      </c>
    </row>
    <row r="96" spans="2:2" ht="14.4" x14ac:dyDescent="0.25">
      <c r="B96" s="361" t="s">
        <v>932</v>
      </c>
    </row>
    <row r="97" spans="2:3" ht="14.4" x14ac:dyDescent="0.25">
      <c r="B97" s="361" t="s">
        <v>985</v>
      </c>
    </row>
    <row r="98" spans="2:3" ht="14.4" x14ac:dyDescent="0.25">
      <c r="B98" s="361" t="s">
        <v>986</v>
      </c>
    </row>
    <row r="99" spans="2:3" ht="14.4" x14ac:dyDescent="0.25">
      <c r="B99" s="361" t="s">
        <v>933</v>
      </c>
    </row>
    <row r="100" spans="2:3" ht="14.4" x14ac:dyDescent="0.25">
      <c r="B100" s="361" t="s">
        <v>934</v>
      </c>
    </row>
    <row r="101" spans="2:3" ht="14.4" x14ac:dyDescent="0.25">
      <c r="B101" s="361" t="s">
        <v>935</v>
      </c>
    </row>
    <row r="102" spans="2:3" ht="14.4" x14ac:dyDescent="0.25">
      <c r="B102" s="361" t="s">
        <v>935</v>
      </c>
    </row>
    <row r="103" spans="2:3" ht="14.4" x14ac:dyDescent="0.25">
      <c r="B103" s="361" t="s">
        <v>987</v>
      </c>
    </row>
    <row r="104" spans="2:3" ht="14.4" x14ac:dyDescent="0.25">
      <c r="B104" s="361" t="s">
        <v>988</v>
      </c>
    </row>
    <row r="105" spans="2:3" ht="14.4" x14ac:dyDescent="0.25">
      <c r="B105" s="361" t="s">
        <v>989</v>
      </c>
    </row>
    <row r="107" spans="2:3" x14ac:dyDescent="0.25">
      <c r="C107" s="360" t="s">
        <v>914</v>
      </c>
    </row>
    <row r="108" spans="2:3" x14ac:dyDescent="0.25">
      <c r="C108" s="363" t="s">
        <v>691</v>
      </c>
    </row>
    <row r="109" spans="2:3" x14ac:dyDescent="0.25">
      <c r="C109" s="363"/>
    </row>
    <row r="110" spans="2:3" x14ac:dyDescent="0.25">
      <c r="C110" s="363"/>
    </row>
    <row r="111" spans="2:3" ht="14.4" x14ac:dyDescent="0.25">
      <c r="B111" s="361" t="s">
        <v>990</v>
      </c>
    </row>
    <row r="112" spans="2:3" ht="14.4" x14ac:dyDescent="0.25">
      <c r="B112" s="361" t="s">
        <v>991</v>
      </c>
    </row>
    <row r="113" spans="2:2" ht="14.4" x14ac:dyDescent="0.25">
      <c r="B113" s="361" t="s">
        <v>936</v>
      </c>
    </row>
    <row r="114" spans="2:2" ht="14.4" x14ac:dyDescent="0.25">
      <c r="B114" s="361" t="s">
        <v>992</v>
      </c>
    </row>
    <row r="115" spans="2:2" ht="14.4" x14ac:dyDescent="0.25">
      <c r="B115" s="361" t="s">
        <v>993</v>
      </c>
    </row>
    <row r="116" spans="2:2" ht="14.4" x14ac:dyDescent="0.25">
      <c r="B116" s="361" t="s">
        <v>994</v>
      </c>
    </row>
    <row r="117" spans="2:2" ht="14.4" x14ac:dyDescent="0.25">
      <c r="B117" s="361" t="s">
        <v>995</v>
      </c>
    </row>
    <row r="118" spans="2:2" ht="14.4" x14ac:dyDescent="0.25">
      <c r="B118" s="361" t="s">
        <v>937</v>
      </c>
    </row>
    <row r="119" spans="2:2" ht="14.4" x14ac:dyDescent="0.25">
      <c r="B119" s="361" t="s">
        <v>938</v>
      </c>
    </row>
    <row r="120" spans="2:2" ht="14.4" x14ac:dyDescent="0.25">
      <c r="B120" s="361" t="s">
        <v>939</v>
      </c>
    </row>
    <row r="121" spans="2:2" ht="14.4" x14ac:dyDescent="0.25">
      <c r="B121" s="361" t="s">
        <v>940</v>
      </c>
    </row>
    <row r="122" spans="2:2" ht="14.4" x14ac:dyDescent="0.25">
      <c r="B122" s="361" t="s">
        <v>941</v>
      </c>
    </row>
    <row r="123" spans="2:2" ht="14.4" x14ac:dyDescent="0.25">
      <c r="B123" s="361" t="s">
        <v>942</v>
      </c>
    </row>
    <row r="124" spans="2:2" ht="14.4" x14ac:dyDescent="0.25">
      <c r="B124" s="361" t="s">
        <v>996</v>
      </c>
    </row>
    <row r="125" spans="2:2" ht="14.4" x14ac:dyDescent="0.25">
      <c r="B125" s="361" t="s">
        <v>997</v>
      </c>
    </row>
    <row r="126" spans="2:2" ht="14.4" x14ac:dyDescent="0.25">
      <c r="B126" s="361" t="s">
        <v>943</v>
      </c>
    </row>
    <row r="127" spans="2:2" ht="14.4" x14ac:dyDescent="0.25">
      <c r="B127" s="361" t="s">
        <v>944</v>
      </c>
    </row>
    <row r="128" spans="2:2" ht="14.4" x14ac:dyDescent="0.25">
      <c r="B128" s="361" t="s">
        <v>945</v>
      </c>
    </row>
    <row r="129" spans="2:2" ht="14.4" x14ac:dyDescent="0.25">
      <c r="B129" s="361" t="s">
        <v>946</v>
      </c>
    </row>
    <row r="130" spans="2:2" ht="14.4" x14ac:dyDescent="0.25">
      <c r="B130" s="361" t="s">
        <v>947</v>
      </c>
    </row>
    <row r="131" spans="2:2" ht="14.4" x14ac:dyDescent="0.25">
      <c r="B131" s="361"/>
    </row>
    <row r="132" spans="2:2" ht="14.4" x14ac:dyDescent="0.25">
      <c r="B132" s="362" t="s">
        <v>948</v>
      </c>
    </row>
    <row r="133" spans="2:2" ht="14.4" x14ac:dyDescent="0.25">
      <c r="B133" s="361"/>
    </row>
    <row r="134" spans="2:2" ht="14.4" x14ac:dyDescent="0.25">
      <c r="B134" s="361" t="s">
        <v>998</v>
      </c>
    </row>
    <row r="135" spans="2:2" ht="14.4" x14ac:dyDescent="0.25">
      <c r="B135" s="361" t="s">
        <v>949</v>
      </c>
    </row>
    <row r="136" spans="2:2" ht="14.4" x14ac:dyDescent="0.25">
      <c r="B136" s="361" t="s">
        <v>999</v>
      </c>
    </row>
    <row r="137" spans="2:2" ht="14.4" x14ac:dyDescent="0.25">
      <c r="B137" s="361" t="s">
        <v>950</v>
      </c>
    </row>
    <row r="138" spans="2:2" ht="14.4" x14ac:dyDescent="0.25">
      <c r="B138" s="361" t="s">
        <v>1000</v>
      </c>
    </row>
    <row r="139" spans="2:2" ht="14.4" x14ac:dyDescent="0.25">
      <c r="B139" s="361" t="s">
        <v>1001</v>
      </c>
    </row>
    <row r="140" spans="2:2" ht="14.4" x14ac:dyDescent="0.25">
      <c r="B140" s="361" t="s">
        <v>1002</v>
      </c>
    </row>
    <row r="141" spans="2:2" ht="14.4" x14ac:dyDescent="0.25">
      <c r="B141" s="361" t="s">
        <v>951</v>
      </c>
    </row>
    <row r="142" spans="2:2" ht="14.4" x14ac:dyDescent="0.25">
      <c r="B142" s="361" t="s">
        <v>1003</v>
      </c>
    </row>
    <row r="143" spans="2:2" ht="14.4" x14ac:dyDescent="0.25">
      <c r="B143" s="361" t="s">
        <v>1004</v>
      </c>
    </row>
    <row r="144" spans="2:2" ht="14.4" x14ac:dyDescent="0.25">
      <c r="B144" s="361" t="s">
        <v>1005</v>
      </c>
    </row>
    <row r="145" spans="2:3" ht="14.4" x14ac:dyDescent="0.25">
      <c r="B145" s="361" t="s">
        <v>1006</v>
      </c>
    </row>
    <row r="146" spans="2:3" ht="14.4" x14ac:dyDescent="0.25">
      <c r="B146" s="361" t="s">
        <v>1007</v>
      </c>
    </row>
    <row r="147" spans="2:3" ht="14.4" x14ac:dyDescent="0.25">
      <c r="B147" s="361" t="s">
        <v>1008</v>
      </c>
    </row>
    <row r="148" spans="2:3" ht="14.4" x14ac:dyDescent="0.25">
      <c r="B148" s="361" t="s">
        <v>1009</v>
      </c>
    </row>
    <row r="149" spans="2:3" ht="14.4" x14ac:dyDescent="0.25">
      <c r="B149" s="361" t="s">
        <v>1010</v>
      </c>
    </row>
    <row r="150" spans="2:3" ht="14.4" x14ac:dyDescent="0.25">
      <c r="B150" s="361" t="s">
        <v>1011</v>
      </c>
    </row>
    <row r="151" spans="2:3" ht="14.4" x14ac:dyDescent="0.25">
      <c r="B151" s="361" t="s">
        <v>1012</v>
      </c>
    </row>
    <row r="152" spans="2:3" ht="14.4" x14ac:dyDescent="0.25">
      <c r="B152" s="361" t="s">
        <v>1013</v>
      </c>
    </row>
    <row r="153" spans="2:3" ht="14.4" x14ac:dyDescent="0.25">
      <c r="B153" s="361" t="s">
        <v>1014</v>
      </c>
    </row>
    <row r="154" spans="2:3" ht="14.4" x14ac:dyDescent="0.25">
      <c r="B154" s="361" t="s">
        <v>1015</v>
      </c>
    </row>
    <row r="155" spans="2:3" ht="14.4" x14ac:dyDescent="0.25">
      <c r="B155" s="361"/>
    </row>
    <row r="156" spans="2:3" x14ac:dyDescent="0.25">
      <c r="C156" s="360" t="s">
        <v>914</v>
      </c>
    </row>
    <row r="157" spans="2:3" x14ac:dyDescent="0.25">
      <c r="C157" s="363" t="s">
        <v>691</v>
      </c>
    </row>
    <row r="158" spans="2:3" x14ac:dyDescent="0.25">
      <c r="C158" s="363"/>
    </row>
    <row r="159" spans="2:3" x14ac:dyDescent="0.25">
      <c r="C159" s="363"/>
    </row>
    <row r="160" spans="2:3" ht="14.4" x14ac:dyDescent="0.25">
      <c r="B160" s="362" t="s">
        <v>1016</v>
      </c>
    </row>
    <row r="161" spans="2:2" ht="14.4" x14ac:dyDescent="0.25">
      <c r="B161" s="362"/>
    </row>
    <row r="162" spans="2:2" ht="14.4" x14ac:dyDescent="0.25">
      <c r="B162" s="361" t="s">
        <v>952</v>
      </c>
    </row>
    <row r="163" spans="2:2" ht="14.4" x14ac:dyDescent="0.25">
      <c r="B163" s="361" t="s">
        <v>953</v>
      </c>
    </row>
    <row r="164" spans="2:2" ht="14.4" x14ac:dyDescent="0.25">
      <c r="B164" s="361" t="s">
        <v>954</v>
      </c>
    </row>
    <row r="165" spans="2:2" ht="14.4" x14ac:dyDescent="0.25">
      <c r="B165" s="361" t="s">
        <v>955</v>
      </c>
    </row>
    <row r="166" spans="2:2" ht="14.4" x14ac:dyDescent="0.25">
      <c r="B166" s="361" t="s">
        <v>956</v>
      </c>
    </row>
    <row r="167" spans="2:2" ht="14.4" x14ac:dyDescent="0.25">
      <c r="B167" s="361" t="s">
        <v>957</v>
      </c>
    </row>
    <row r="168" spans="2:2" ht="14.4" x14ac:dyDescent="0.25">
      <c r="B168" s="361" t="s">
        <v>958</v>
      </c>
    </row>
    <row r="169" spans="2:2" ht="14.4" x14ac:dyDescent="0.25">
      <c r="B169" s="361" t="s">
        <v>959</v>
      </c>
    </row>
    <row r="170" spans="2:2" ht="14.4" x14ac:dyDescent="0.25">
      <c r="B170" s="361" t="s">
        <v>960</v>
      </c>
    </row>
    <row r="171" spans="2:2" ht="14.4" x14ac:dyDescent="0.25">
      <c r="B171" s="361" t="s">
        <v>961</v>
      </c>
    </row>
    <row r="172" spans="2:2" ht="14.4" x14ac:dyDescent="0.25">
      <c r="B172" s="361" t="s">
        <v>962</v>
      </c>
    </row>
    <row r="173" spans="2:2" ht="14.4" x14ac:dyDescent="0.25">
      <c r="B173" s="361" t="s">
        <v>963</v>
      </c>
    </row>
    <row r="174" spans="2:2" ht="14.4" x14ac:dyDescent="0.25">
      <c r="B174" s="361" t="s">
        <v>1017</v>
      </c>
    </row>
    <row r="175" spans="2:2" ht="14.4" x14ac:dyDescent="0.25">
      <c r="B175" s="361" t="s">
        <v>1018</v>
      </c>
    </row>
    <row r="176" spans="2:2" ht="14.4" x14ac:dyDescent="0.25">
      <c r="B176" s="361" t="s">
        <v>1019</v>
      </c>
    </row>
    <row r="177" spans="2:2" ht="14.4" x14ac:dyDescent="0.25">
      <c r="B177" s="361" t="s">
        <v>964</v>
      </c>
    </row>
    <row r="178" spans="2:2" ht="14.4" x14ac:dyDescent="0.25">
      <c r="B178" s="361" t="s">
        <v>1020</v>
      </c>
    </row>
    <row r="179" spans="2:2" ht="14.4" x14ac:dyDescent="0.25">
      <c r="B179" s="361" t="s">
        <v>1021</v>
      </c>
    </row>
    <row r="180" spans="2:2" ht="14.4" x14ac:dyDescent="0.25">
      <c r="B180" s="361" t="s">
        <v>1022</v>
      </c>
    </row>
    <row r="181" spans="2:2" ht="14.4" x14ac:dyDescent="0.25">
      <c r="B181" s="361" t="s">
        <v>1023</v>
      </c>
    </row>
    <row r="182" spans="2:2" ht="14.4" x14ac:dyDescent="0.25">
      <c r="B182" s="361" t="s">
        <v>1024</v>
      </c>
    </row>
    <row r="183" spans="2:2" ht="14.4" x14ac:dyDescent="0.25">
      <c r="B183" s="361" t="s">
        <v>1025</v>
      </c>
    </row>
    <row r="184" spans="2:2" ht="14.4" x14ac:dyDescent="0.25">
      <c r="B184" s="361" t="s">
        <v>965</v>
      </c>
    </row>
  </sheetData>
  <pageMargins left="0.45" right="0.45" top="0.75" bottom="0.75" header="0.3" footer="0.3"/>
  <pageSetup scale="90" orientation="portrait" r:id="rId1"/>
  <rowBreaks count="1" manualBreakCount="1">
    <brk id="1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S67"/>
  <sheetViews>
    <sheetView topLeftCell="A17" zoomScale="115" zoomScaleNormal="115" workbookViewId="0">
      <selection activeCell="F23" sqref="F23"/>
    </sheetView>
  </sheetViews>
  <sheetFormatPr defaultRowHeight="13.2" x14ac:dyDescent="0.25"/>
  <cols>
    <col min="1" max="1" width="5" bestFit="1" customWidth="1"/>
    <col min="2" max="2" width="2.6640625" customWidth="1"/>
    <col min="3" max="3" width="40.44140625" customWidth="1"/>
    <col min="4" max="4" width="11.88671875" bestFit="1" customWidth="1"/>
    <col min="5" max="5" width="2.6640625" customWidth="1"/>
    <col min="6" max="6" width="11.6640625" bestFit="1" customWidth="1"/>
    <col min="7" max="7" width="2.6640625" customWidth="1"/>
    <col min="8" max="8" width="12.5546875" bestFit="1" customWidth="1"/>
    <col min="9" max="9" width="8.109375" bestFit="1" customWidth="1"/>
    <col min="10" max="10" width="3.6640625" customWidth="1"/>
    <col min="11" max="11" width="12.88671875" bestFit="1" customWidth="1"/>
    <col min="12" max="12" width="5.6640625" customWidth="1"/>
    <col min="15" max="15" width="71.88671875" bestFit="1" customWidth="1"/>
    <col min="16" max="16" width="22.5546875" bestFit="1" customWidth="1"/>
    <col min="17" max="17" width="15" bestFit="1" customWidth="1"/>
    <col min="18" max="18" width="13.33203125" customWidth="1"/>
  </cols>
  <sheetData>
    <row r="1" spans="1:18" ht="13.8" x14ac:dyDescent="0.25">
      <c r="A1" s="33"/>
      <c r="B1" s="33"/>
      <c r="C1" s="33"/>
      <c r="D1" s="33"/>
      <c r="E1" s="33"/>
      <c r="F1" s="33"/>
      <c r="G1" s="33"/>
      <c r="H1" s="33"/>
      <c r="I1" s="33"/>
      <c r="J1" s="453" t="s">
        <v>809</v>
      </c>
      <c r="K1" s="453"/>
      <c r="L1" s="453"/>
    </row>
    <row r="2" spans="1:18" ht="13.8" x14ac:dyDescent="0.25">
      <c r="A2" s="33"/>
      <c r="B2" s="33"/>
      <c r="C2" s="33"/>
      <c r="D2" s="33"/>
      <c r="E2" s="33"/>
      <c r="F2" s="33"/>
      <c r="G2" s="33"/>
      <c r="H2" s="33"/>
      <c r="I2" s="33"/>
      <c r="J2" s="454" t="s">
        <v>205</v>
      </c>
      <c r="K2" s="454"/>
      <c r="L2" s="455"/>
    </row>
    <row r="3" spans="1:18" x14ac:dyDescent="0.25">
      <c r="A3" s="33"/>
      <c r="B3" s="33"/>
      <c r="C3" s="33"/>
      <c r="D3" s="33"/>
      <c r="E3" s="33"/>
      <c r="F3" s="33"/>
      <c r="G3" s="33"/>
      <c r="H3" s="33"/>
      <c r="I3" s="33"/>
      <c r="J3" s="440" t="str">
        <f>FF1_Year</f>
        <v>Year Ending 12/31/2014</v>
      </c>
      <c r="K3" s="441"/>
      <c r="L3" s="441"/>
    </row>
    <row r="4" spans="1:18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8" x14ac:dyDescent="0.25">
      <c r="A5" s="442" t="s">
        <v>826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</row>
    <row r="6" spans="1:18" x14ac:dyDescent="0.25">
      <c r="A6" s="442" t="s">
        <v>128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1:18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8" x14ac:dyDescent="0.25">
      <c r="A8" s="442" t="s">
        <v>129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</row>
    <row r="9" spans="1:18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8" x14ac:dyDescent="0.25">
      <c r="A10" s="38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8" ht="26.4" x14ac:dyDescent="0.25">
      <c r="A11" s="69" t="s">
        <v>21</v>
      </c>
      <c r="B11" s="70" t="s">
        <v>92</v>
      </c>
      <c r="C11" s="54"/>
      <c r="D11" s="69" t="s">
        <v>4</v>
      </c>
      <c r="E11" s="69"/>
      <c r="F11" s="69" t="s">
        <v>22</v>
      </c>
      <c r="G11" s="69"/>
      <c r="H11" s="442" t="s">
        <v>23</v>
      </c>
      <c r="I11" s="442"/>
      <c r="J11" s="69"/>
      <c r="K11" s="71" t="s">
        <v>24</v>
      </c>
      <c r="L11" s="72"/>
    </row>
    <row r="12" spans="1:18" x14ac:dyDescent="0.25">
      <c r="A12" s="3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8" x14ac:dyDescent="0.25">
      <c r="A13" s="38"/>
      <c r="B13" s="39" t="s">
        <v>47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8" x14ac:dyDescent="0.25">
      <c r="A14" s="73">
        <v>1</v>
      </c>
      <c r="B14" s="39"/>
      <c r="C14" s="33" t="str">
        <f>'DEF - 6  p1, FF1 Inputs '!E53</f>
        <v>TOTAL Transmission Expenses</v>
      </c>
      <c r="D14" s="38" t="str">
        <f>'DEF - 6  p1, FF1 Inputs '!F53</f>
        <v>321.112.b</v>
      </c>
      <c r="E14" s="38"/>
      <c r="F14" s="44">
        <f>'DEF - 6  p1, FF1 Inputs '!J53</f>
        <v>35840451.266592003</v>
      </c>
      <c r="G14" s="33"/>
      <c r="H14" s="38"/>
      <c r="I14" s="33"/>
      <c r="J14" s="33"/>
      <c r="K14" s="35"/>
      <c r="L14" s="33"/>
    </row>
    <row r="15" spans="1:18" x14ac:dyDescent="0.25">
      <c r="A15" s="38">
        <f>A14+1</f>
        <v>2</v>
      </c>
      <c r="B15" s="39"/>
      <c r="C15" s="33" t="s">
        <v>212</v>
      </c>
      <c r="D15" s="38" t="s">
        <v>214</v>
      </c>
      <c r="E15" s="38"/>
      <c r="F15" s="44">
        <f>'DEF - 6  p1, FF1 Inputs '!$J$51</f>
        <v>8167531</v>
      </c>
      <c r="G15" s="33"/>
      <c r="H15" s="38"/>
      <c r="I15" s="33"/>
      <c r="J15" s="33"/>
      <c r="K15" s="35"/>
      <c r="L15" s="33"/>
      <c r="O15" s="193"/>
      <c r="P15" s="192"/>
      <c r="Q15" s="138"/>
      <c r="R15" s="137"/>
    </row>
    <row r="16" spans="1:18" ht="13.8" thickBot="1" x14ac:dyDescent="0.3">
      <c r="A16" s="38">
        <f>A15+1</f>
        <v>3</v>
      </c>
      <c r="B16" s="39"/>
      <c r="C16" s="33" t="s">
        <v>48</v>
      </c>
      <c r="D16" s="38" t="str">
        <f>'DEF - 6  p1, FF1 Inputs '!F52</f>
        <v>321.96.b</v>
      </c>
      <c r="E16" s="38"/>
      <c r="F16" s="44">
        <f>'DEF - 6  p1, FF1 Inputs '!J52</f>
        <v>61299</v>
      </c>
      <c r="G16" s="33"/>
      <c r="H16" s="38"/>
      <c r="I16" s="36"/>
      <c r="J16" s="36"/>
      <c r="K16" s="35"/>
      <c r="L16" s="33"/>
      <c r="O16" s="193"/>
      <c r="P16" s="245"/>
      <c r="Q16" s="138"/>
      <c r="R16" s="137"/>
    </row>
    <row r="17" spans="1:18" ht="13.8" thickTop="1" x14ac:dyDescent="0.25">
      <c r="A17" s="38">
        <f>A16+1</f>
        <v>4</v>
      </c>
      <c r="B17" s="39"/>
      <c r="C17" s="33" t="s">
        <v>49</v>
      </c>
      <c r="D17" s="38" t="s">
        <v>163</v>
      </c>
      <c r="E17" s="38"/>
      <c r="F17" s="45">
        <f>F14-F15-F16</f>
        <v>27611621.266592003</v>
      </c>
      <c r="G17" s="33"/>
      <c r="H17" s="38" t="s">
        <v>215</v>
      </c>
      <c r="I17" s="36">
        <f>'DEF - 2 - Page 4 Support'!I25</f>
        <v>0.95485513153239476</v>
      </c>
      <c r="J17" s="36"/>
      <c r="K17" s="45">
        <f>F17*I17</f>
        <v>26365098.256334376</v>
      </c>
      <c r="L17" s="33"/>
    </row>
    <row r="18" spans="1:18" x14ac:dyDescent="0.25">
      <c r="A18" s="38"/>
      <c r="B18" s="39"/>
      <c r="C18" s="33"/>
      <c r="D18" s="38"/>
      <c r="E18" s="38"/>
      <c r="F18" s="35"/>
      <c r="G18" s="33"/>
      <c r="H18" s="38"/>
      <c r="I18" s="36"/>
      <c r="J18" s="36"/>
      <c r="K18" s="35"/>
      <c r="L18" s="33"/>
    </row>
    <row r="19" spans="1:18" x14ac:dyDescent="0.25">
      <c r="A19" s="38">
        <f>A17+1</f>
        <v>5</v>
      </c>
      <c r="B19" s="39"/>
      <c r="C19" s="33" t="str">
        <f>'DEF - 6  p1, FF1 Inputs '!E57&amp;" (Note S)"</f>
        <v>Total Admin &amp; General Expenses  (Note S)</v>
      </c>
      <c r="D19" s="38" t="str">
        <f>'DEF - 6  p1, FF1 Inputs '!F57</f>
        <v>323.197.b</v>
      </c>
      <c r="E19" s="38"/>
      <c r="F19" s="35">
        <f>'DEF - 6  p1, FF1 Inputs '!J57+R35</f>
        <v>235694003.64231974</v>
      </c>
      <c r="G19" s="33"/>
      <c r="H19" s="38"/>
      <c r="I19" s="36"/>
      <c r="J19" s="36"/>
      <c r="K19" s="35" t="str">
        <f>IF(ISNUMBER(I19),F19*I19,"")</f>
        <v/>
      </c>
      <c r="L19" s="33"/>
      <c r="O19" s="237" t="s">
        <v>719</v>
      </c>
      <c r="P19" s="238" t="s">
        <v>718</v>
      </c>
      <c r="Q19" s="238"/>
      <c r="R19" s="239" t="s">
        <v>701</v>
      </c>
    </row>
    <row r="20" spans="1:18" x14ac:dyDescent="0.25">
      <c r="A20" s="38">
        <f>A19+1</f>
        <v>6</v>
      </c>
      <c r="B20" s="39"/>
      <c r="C20" s="33" t="str">
        <f>" Less "&amp;'DEF - 6  p1, FF1 Inputs '!E54</f>
        <v xml:space="preserve"> Less (924) Property Insurance</v>
      </c>
      <c r="D20" s="38" t="str">
        <f>'DEF - 6  p1, FF1 Inputs '!F54</f>
        <v>323.185.b</v>
      </c>
      <c r="E20" s="38"/>
      <c r="F20" s="35">
        <f>'DEF - 6  p1, FF1 Inputs '!J54</f>
        <v>12678261.62093596</v>
      </c>
      <c r="G20" s="33"/>
      <c r="H20" s="38"/>
      <c r="I20" s="36"/>
      <c r="J20" s="36"/>
      <c r="K20" s="35"/>
      <c r="L20" s="33"/>
      <c r="O20" s="240" t="s">
        <v>715</v>
      </c>
      <c r="P20" s="253" t="s">
        <v>712</v>
      </c>
      <c r="Q20" s="113"/>
      <c r="R20" s="241">
        <f>'DEF - 6  p1, FF1 Inputs '!J57</f>
        <v>260041829.28999999</v>
      </c>
    </row>
    <row r="21" spans="1:18" x14ac:dyDescent="0.25">
      <c r="A21" s="38">
        <f>A20+1</f>
        <v>7</v>
      </c>
      <c r="B21" s="39"/>
      <c r="C21" s="33" t="str">
        <f>" Less "&amp;'DEF - 6  p1, FF1 Inputs '!E55</f>
        <v xml:space="preserve"> Less (928) Regulatory Commission Expenses</v>
      </c>
      <c r="D21" s="38" t="str">
        <f>'DEF - 6  p1, FF1 Inputs '!F55</f>
        <v>323.189.b</v>
      </c>
      <c r="E21" s="38"/>
      <c r="F21" s="35">
        <f>'DEF - 6  p1, FF1 Inputs '!J55</f>
        <v>4276269</v>
      </c>
      <c r="G21" s="33"/>
      <c r="H21" s="38"/>
      <c r="I21" s="36"/>
      <c r="J21" s="36"/>
      <c r="K21" s="35"/>
      <c r="L21" s="33"/>
      <c r="O21" s="240"/>
      <c r="P21" s="253"/>
      <c r="Q21" s="113"/>
      <c r="R21" s="242"/>
    </row>
    <row r="22" spans="1:18" x14ac:dyDescent="0.25">
      <c r="A22" s="38">
        <f>A21+1</f>
        <v>8</v>
      </c>
      <c r="B22" s="39"/>
      <c r="C22" s="33" t="str">
        <f>" Less "&amp;'DEF - 6  p1, FF1 Inputs '!E56</f>
        <v xml:space="preserve"> Less (930.1) General Advertising Expenses</v>
      </c>
      <c r="D22" s="38" t="str">
        <f>'DEF - 6  p1, FF1 Inputs '!F56</f>
        <v>323.191.b</v>
      </c>
      <c r="E22" s="38"/>
      <c r="F22" s="35">
        <f>'DEF - 6  p1, FF1 Inputs '!J56</f>
        <v>1206987</v>
      </c>
      <c r="G22" s="33"/>
      <c r="H22" s="38"/>
      <c r="I22" s="36"/>
      <c r="J22" s="36"/>
      <c r="K22" s="35"/>
      <c r="L22" s="33"/>
      <c r="O22" s="243" t="s">
        <v>828</v>
      </c>
      <c r="P22" s="254" t="s">
        <v>716</v>
      </c>
      <c r="Q22" s="205"/>
      <c r="R22" s="241"/>
    </row>
    <row r="23" spans="1:18" ht="13.8" thickBot="1" x14ac:dyDescent="0.3">
      <c r="A23" s="38">
        <f>A22+1</f>
        <v>9</v>
      </c>
      <c r="B23" s="39"/>
      <c r="C23" s="33" t="s">
        <v>211</v>
      </c>
      <c r="D23" s="73" t="s">
        <v>210</v>
      </c>
      <c r="E23" s="38"/>
      <c r="F23" s="35">
        <f>'DEF - 6  p1, FF1 Inputs '!J58</f>
        <v>584445</v>
      </c>
      <c r="G23" s="33"/>
      <c r="H23" s="38"/>
      <c r="I23" s="36"/>
      <c r="J23" s="36"/>
      <c r="K23" s="35"/>
      <c r="L23" s="33"/>
      <c r="O23" s="244" t="s">
        <v>1029</v>
      </c>
      <c r="P23" s="254"/>
      <c r="Q23" s="245">
        <v>0</v>
      </c>
      <c r="R23" s="241"/>
    </row>
    <row r="24" spans="1:18" ht="13.8" thickTop="1" x14ac:dyDescent="0.25">
      <c r="A24" s="38">
        <f>A23+1</f>
        <v>10</v>
      </c>
      <c r="B24" s="39"/>
      <c r="C24" s="33" t="s">
        <v>53</v>
      </c>
      <c r="D24" s="38"/>
      <c r="E24" s="38"/>
      <c r="F24" s="45">
        <f>F19-SUM(F20:F23)</f>
        <v>216948041.02138376</v>
      </c>
      <c r="G24" s="33"/>
      <c r="H24" s="38" t="s">
        <v>182</v>
      </c>
      <c r="I24" s="36">
        <f>'DEF - 2 - Page 4 Support'!I37</f>
        <v>5.301789141664983E-2</v>
      </c>
      <c r="J24" s="36"/>
      <c r="K24" s="35">
        <f>F24*I24</f>
        <v>11502127.681926617</v>
      </c>
      <c r="L24" s="33"/>
      <c r="O24" s="244" t="s">
        <v>1030</v>
      </c>
      <c r="P24" s="254"/>
      <c r="Q24" s="245">
        <v>-286.789999999999</v>
      </c>
      <c r="R24" s="241"/>
    </row>
    <row r="25" spans="1:18" x14ac:dyDescent="0.25">
      <c r="A25" s="38"/>
      <c r="B25" s="39"/>
      <c r="C25" s="33"/>
      <c r="D25" s="38"/>
      <c r="E25" s="38"/>
      <c r="F25" s="79"/>
      <c r="G25" s="33"/>
      <c r="H25" s="38"/>
      <c r="I25" s="36"/>
      <c r="J25" s="36"/>
      <c r="K25" s="35"/>
      <c r="L25" s="33"/>
      <c r="O25" s="244" t="s">
        <v>1031</v>
      </c>
      <c r="P25" s="254"/>
      <c r="Q25" s="245">
        <v>-647.84</v>
      </c>
      <c r="R25" s="241"/>
    </row>
    <row r="26" spans="1:18" x14ac:dyDescent="0.25">
      <c r="A26" s="38">
        <f>A24+1</f>
        <v>11</v>
      </c>
      <c r="B26" s="39"/>
      <c r="C26" s="33" t="str">
        <f>'DEF - 6  p1, FF1 Inputs '!E54</f>
        <v>(924) Property Insurance</v>
      </c>
      <c r="D26" s="38" t="str">
        <f>'DEF - 6  p1, FF1 Inputs '!F54</f>
        <v>323.185.b</v>
      </c>
      <c r="E26" s="38"/>
      <c r="F26" s="35">
        <f>'DEF - 6  p1, FF1 Inputs '!J54</f>
        <v>12678261.62093596</v>
      </c>
      <c r="G26" s="33"/>
      <c r="H26" s="38"/>
      <c r="I26" s="36"/>
      <c r="J26" s="36"/>
      <c r="K26" s="35"/>
      <c r="L26" s="33"/>
      <c r="O26" s="244" t="s">
        <v>1032</v>
      </c>
      <c r="P26" s="254"/>
      <c r="Q26" s="385">
        <v>0</v>
      </c>
      <c r="R26" s="241"/>
    </row>
    <row r="27" spans="1:18" ht="13.8" thickBot="1" x14ac:dyDescent="0.3">
      <c r="A27" s="38">
        <f>A26+1</f>
        <v>12</v>
      </c>
      <c r="B27" s="39"/>
      <c r="C27" s="34" t="s">
        <v>227</v>
      </c>
      <c r="D27" s="38"/>
      <c r="E27" s="38"/>
      <c r="F27" s="42">
        <v>1872.36</v>
      </c>
      <c r="G27" s="33"/>
      <c r="H27" s="38"/>
      <c r="I27" s="36"/>
      <c r="J27" s="36"/>
      <c r="K27" s="35"/>
      <c r="L27" s="33"/>
      <c r="O27" s="244" t="s">
        <v>1026</v>
      </c>
      <c r="P27" s="253"/>
      <c r="Q27" s="193"/>
      <c r="R27" s="241">
        <f>SUM(Q23:Q26)</f>
        <v>-934.62999999999897</v>
      </c>
    </row>
    <row r="28" spans="1:18" ht="13.8" thickTop="1" x14ac:dyDescent="0.25">
      <c r="A28" s="38">
        <f>A27+1</f>
        <v>13</v>
      </c>
      <c r="B28" s="39"/>
      <c r="C28" s="34" t="s">
        <v>352</v>
      </c>
      <c r="D28" s="38"/>
      <c r="E28" s="38"/>
      <c r="F28" s="45">
        <f>F26+F27</f>
        <v>12680133.980935959</v>
      </c>
      <c r="G28" s="33"/>
      <c r="H28" s="38" t="s">
        <v>41</v>
      </c>
      <c r="I28" s="36">
        <f>'DEF - 2 Page 2 Rate Base'!M23</f>
        <v>0.17243344361483218</v>
      </c>
      <c r="J28" s="36"/>
      <c r="K28" s="35">
        <f>F28*I28</f>
        <v>2186479.1678302381</v>
      </c>
      <c r="L28" s="33"/>
      <c r="O28" s="243" t="s">
        <v>829</v>
      </c>
      <c r="P28" s="255" t="s">
        <v>717</v>
      </c>
      <c r="Q28" s="193"/>
      <c r="R28" s="386">
        <v>-22253237.981548879</v>
      </c>
    </row>
    <row r="29" spans="1:18" x14ac:dyDescent="0.25">
      <c r="A29" s="38"/>
      <c r="B29" s="39"/>
      <c r="C29" s="33"/>
      <c r="D29" s="38"/>
      <c r="E29" s="38"/>
      <c r="F29" s="35"/>
      <c r="G29" s="33"/>
      <c r="H29" s="38"/>
      <c r="I29" s="36"/>
      <c r="J29" s="36"/>
      <c r="K29" s="35"/>
      <c r="L29" s="33"/>
      <c r="O29" s="243" t="s">
        <v>750</v>
      </c>
      <c r="P29" s="254" t="s">
        <v>1039</v>
      </c>
      <c r="Q29" s="193"/>
      <c r="R29" s="386">
        <v>0</v>
      </c>
    </row>
    <row r="30" spans="1:18" x14ac:dyDescent="0.25">
      <c r="A30" s="38">
        <f>A28+1</f>
        <v>14</v>
      </c>
      <c r="B30" s="39"/>
      <c r="C30" s="33" t="s">
        <v>54</v>
      </c>
      <c r="D30" s="38" t="s">
        <v>282</v>
      </c>
      <c r="E30" s="38"/>
      <c r="F30" s="35"/>
      <c r="G30" s="33"/>
      <c r="H30" s="38" t="s">
        <v>55</v>
      </c>
      <c r="I30" s="36">
        <v>1</v>
      </c>
      <c r="J30" s="36"/>
      <c r="K30" s="35">
        <f>F30*I30</f>
        <v>0</v>
      </c>
      <c r="L30" s="33"/>
      <c r="O30" s="252" t="s">
        <v>830</v>
      </c>
      <c r="P30" s="253" t="s">
        <v>1088</v>
      </c>
      <c r="Q30" s="218"/>
      <c r="R30" s="241">
        <v>0</v>
      </c>
    </row>
    <row r="31" spans="1:18" x14ac:dyDescent="0.25">
      <c r="A31" s="38">
        <f>A30+1</f>
        <v>15</v>
      </c>
      <c r="B31" s="39"/>
      <c r="C31" s="33" t="s">
        <v>56</v>
      </c>
      <c r="D31" s="38" t="s">
        <v>282</v>
      </c>
      <c r="E31" s="38"/>
      <c r="F31" s="35"/>
      <c r="G31" s="33"/>
      <c r="H31" s="38" t="s">
        <v>55</v>
      </c>
      <c r="I31" s="36">
        <v>1</v>
      </c>
      <c r="J31" s="36"/>
      <c r="K31" s="35">
        <f>F31*I31</f>
        <v>0</v>
      </c>
      <c r="L31" s="33"/>
      <c r="O31" s="252" t="s">
        <v>751</v>
      </c>
      <c r="P31" s="255" t="s">
        <v>1040</v>
      </c>
      <c r="Q31" s="218"/>
      <c r="R31" s="241">
        <v>0</v>
      </c>
    </row>
    <row r="32" spans="1:18" x14ac:dyDescent="0.25">
      <c r="A32" s="38">
        <f>A31+1</f>
        <v>16</v>
      </c>
      <c r="B32" s="39"/>
      <c r="C32" s="33" t="s">
        <v>202</v>
      </c>
      <c r="D32" s="38" t="s">
        <v>201</v>
      </c>
      <c r="E32" s="38"/>
      <c r="F32" s="35">
        <f>'DEF - 2 - Page 6 Notes'!G51</f>
        <v>0</v>
      </c>
      <c r="G32" s="33"/>
      <c r="H32" s="38" t="s">
        <v>182</v>
      </c>
      <c r="I32" s="36">
        <f>'DEF - 2 - Page 4 Support'!I37</f>
        <v>5.301789141664983E-2</v>
      </c>
      <c r="J32" s="36"/>
      <c r="K32" s="35">
        <f>F32*I32</f>
        <v>0</v>
      </c>
      <c r="L32" s="33"/>
      <c r="O32" s="243" t="s">
        <v>1087</v>
      </c>
      <c r="R32" s="241">
        <v>-370510.50682800001</v>
      </c>
    </row>
    <row r="33" spans="1:19" ht="13.8" thickBot="1" x14ac:dyDescent="0.3">
      <c r="A33" s="38"/>
      <c r="B33" s="39"/>
      <c r="C33" s="33"/>
      <c r="D33" s="38"/>
      <c r="E33" s="38"/>
      <c r="F33" s="35"/>
      <c r="G33" s="33"/>
      <c r="H33" s="38"/>
      <c r="I33" s="36"/>
      <c r="J33" s="36"/>
      <c r="K33" s="35"/>
      <c r="L33" s="33"/>
      <c r="O33" s="243" t="s">
        <v>1089</v>
      </c>
      <c r="R33" s="241">
        <v>-1551663.5293033596</v>
      </c>
    </row>
    <row r="34" spans="1:19" ht="13.8" thickTop="1" x14ac:dyDescent="0.25">
      <c r="A34" s="38">
        <f>A32+1</f>
        <v>17</v>
      </c>
      <c r="B34" s="39" t="str">
        <f>"Total O&amp;M (Sum of Lines "&amp;A17&amp;", "&amp;A24&amp;", and "&amp;A28&amp;" thru "&amp;A32&amp;")"</f>
        <v>Total O&amp;M (Sum of Lines 4, 10, and 13 thru 16)</v>
      </c>
      <c r="C34" s="33"/>
      <c r="D34" s="38"/>
      <c r="E34" s="38"/>
      <c r="F34" s="35"/>
      <c r="G34" s="33"/>
      <c r="H34" s="38"/>
      <c r="I34" s="36"/>
      <c r="J34" s="36"/>
      <c r="K34" s="84">
        <f>K17+K24+SUM(K26:K32)</f>
        <v>40053705.106091231</v>
      </c>
      <c r="L34" s="33"/>
      <c r="O34" s="243" t="s">
        <v>1097</v>
      </c>
      <c r="P34" s="255" t="s">
        <v>1096</v>
      </c>
      <c r="R34" s="373">
        <f>+'DEF - 6  p1, FF1 Inputs '!J92</f>
        <v>-171479</v>
      </c>
    </row>
    <row r="35" spans="1:19" x14ac:dyDescent="0.25">
      <c r="A35" s="38"/>
      <c r="B35" s="39"/>
      <c r="C35" s="33"/>
      <c r="D35" s="38"/>
      <c r="E35" s="38"/>
      <c r="F35" s="35"/>
      <c r="G35" s="33"/>
      <c r="H35" s="38"/>
      <c r="I35" s="36"/>
      <c r="J35" s="36"/>
      <c r="K35" s="35"/>
      <c r="L35" s="33"/>
      <c r="O35" s="251" t="s">
        <v>713</v>
      </c>
      <c r="P35" s="113"/>
      <c r="Q35" s="113"/>
      <c r="R35" s="246">
        <f>SUM(R27:R34)</f>
        <v>-24347825.647680238</v>
      </c>
    </row>
    <row r="36" spans="1:19" x14ac:dyDescent="0.25">
      <c r="A36" s="38"/>
      <c r="B36" s="39" t="s">
        <v>57</v>
      </c>
      <c r="C36" s="33"/>
      <c r="D36" s="38"/>
      <c r="E36" s="38"/>
      <c r="F36" s="35"/>
      <c r="G36" s="33"/>
      <c r="H36" s="38"/>
      <c r="I36" s="36"/>
      <c r="J36" s="36"/>
      <c r="K36" s="35"/>
      <c r="L36" s="33"/>
      <c r="O36" s="240"/>
      <c r="P36" s="113"/>
      <c r="Q36" s="113"/>
      <c r="R36" s="242"/>
    </row>
    <row r="37" spans="1:19" ht="13.8" thickBot="1" x14ac:dyDescent="0.3">
      <c r="A37" s="38">
        <f>A34+1</f>
        <v>18</v>
      </c>
      <c r="B37" s="39"/>
      <c r="C37" s="40" t="str">
        <f>'DEF - 6  p1, FF1 Inputs '!E60&amp;" (Note V)"</f>
        <v>Transmission Depr. Expense (Note V)</v>
      </c>
      <c r="D37" s="38" t="str">
        <f>'DEF - 6  p1, FF1 Inputs '!F60</f>
        <v>336.7.f</v>
      </c>
      <c r="E37" s="38"/>
      <c r="F37" s="35">
        <f>'DEF - 6  p1, FF1 Inputs '!J60</f>
        <v>53728069.254757203</v>
      </c>
      <c r="G37" s="33"/>
      <c r="H37" s="148"/>
      <c r="I37" s="149"/>
      <c r="J37" s="149"/>
      <c r="K37" s="150"/>
      <c r="L37" s="33"/>
      <c r="O37" s="240" t="s">
        <v>714</v>
      </c>
      <c r="P37" s="113"/>
      <c r="Q37" s="113"/>
      <c r="R37" s="247">
        <f>+R20+R35</f>
        <v>235694003.64231974</v>
      </c>
    </row>
    <row r="38" spans="1:19" ht="13.8" thickTop="1" x14ac:dyDescent="0.25">
      <c r="A38" s="56" t="s">
        <v>446</v>
      </c>
      <c r="B38" s="39"/>
      <c r="C38" s="169" t="s">
        <v>448</v>
      </c>
      <c r="D38" s="56" t="s">
        <v>841</v>
      </c>
      <c r="E38" s="48"/>
      <c r="F38" s="166">
        <f>'DEF - 7, Retail Radials'!I26</f>
        <v>336278.72000000009</v>
      </c>
      <c r="G38" s="47"/>
      <c r="H38" s="48"/>
      <c r="I38" s="147"/>
      <c r="J38" s="147"/>
      <c r="K38" s="144"/>
      <c r="L38" s="33"/>
      <c r="O38" s="248"/>
      <c r="P38" s="249"/>
      <c r="Q38" s="249"/>
      <c r="R38" s="250"/>
    </row>
    <row r="39" spans="1:19" x14ac:dyDescent="0.25">
      <c r="A39" s="56" t="s">
        <v>447</v>
      </c>
      <c r="B39" s="39"/>
      <c r="C39" s="169" t="s">
        <v>450</v>
      </c>
      <c r="D39" s="56"/>
      <c r="E39" s="48"/>
      <c r="F39" s="42">
        <f>F37-F38</f>
        <v>53391790.534757204</v>
      </c>
      <c r="G39" s="47"/>
      <c r="H39" s="56" t="s">
        <v>51</v>
      </c>
      <c r="I39" s="167">
        <f>'DEF - 2 - Page 4 Support'!I20</f>
        <v>0.94470290917920241</v>
      </c>
      <c r="J39" s="167"/>
      <c r="K39" s="42">
        <f>F39*I39</f>
        <v>50439379.844471738</v>
      </c>
      <c r="L39" s="33"/>
    </row>
    <row r="40" spans="1:19" x14ac:dyDescent="0.25">
      <c r="A40" s="38"/>
      <c r="B40" s="39"/>
      <c r="C40" s="40"/>
      <c r="D40" s="38"/>
      <c r="E40" s="38"/>
      <c r="F40" s="35"/>
      <c r="G40" s="33"/>
      <c r="H40" s="38"/>
      <c r="I40" s="36"/>
      <c r="J40" s="36"/>
      <c r="K40" s="35"/>
      <c r="L40" s="33"/>
    </row>
    <row r="41" spans="1:19" x14ac:dyDescent="0.25">
      <c r="A41" s="38">
        <f>A37+1</f>
        <v>19</v>
      </c>
      <c r="B41" s="39"/>
      <c r="C41" s="40" t="str">
        <f>'DEF - 6  p1, FF1 Inputs '!E61</f>
        <v>General Depr. Expense</v>
      </c>
      <c r="D41" s="38" t="str">
        <f>'DEF - 6  p1, FF1 Inputs '!F61</f>
        <v>336.10.f</v>
      </c>
      <c r="E41" s="38"/>
      <c r="F41" s="35">
        <f>'DEF - 6  p1, FF1 Inputs '!J61</f>
        <v>18994329.68</v>
      </c>
      <c r="G41" s="33"/>
      <c r="H41" s="38" t="s">
        <v>182</v>
      </c>
      <c r="I41" s="36">
        <f>'DEF - 2 - Page 4 Support'!I37</f>
        <v>5.301789141664983E-2</v>
      </c>
      <c r="J41" s="36"/>
      <c r="K41" s="35">
        <f>F41*I41</f>
        <v>1007039.3085062891</v>
      </c>
      <c r="L41" s="33"/>
    </row>
    <row r="42" spans="1:19" ht="13.8" thickBot="1" x14ac:dyDescent="0.3">
      <c r="A42" s="38">
        <f>A41+1</f>
        <v>20</v>
      </c>
      <c r="B42" s="39"/>
      <c r="C42" s="40" t="str">
        <f>'DEF - 6  p1, FF1 Inputs '!E59&amp;" (Note E)"</f>
        <v>Intangible Amortization (Note E)</v>
      </c>
      <c r="D42" s="38" t="str">
        <f>'DEF - 6  p1, FF1 Inputs '!F59</f>
        <v>336.1.f</v>
      </c>
      <c r="E42" s="38"/>
      <c r="F42" s="35">
        <f>'DEF - 6  p1, FF1 Inputs '!J59</f>
        <v>6460996.2699999996</v>
      </c>
      <c r="G42" s="33"/>
      <c r="H42" s="38" t="s">
        <v>182</v>
      </c>
      <c r="I42" s="36">
        <f>'DEF - 2 - Page 4 Support'!I37</f>
        <v>5.301789141664983E-2</v>
      </c>
      <c r="J42" s="36"/>
      <c r="K42" s="35">
        <f>F42*I42</f>
        <v>342548.39868623955</v>
      </c>
      <c r="L42" s="33"/>
    </row>
    <row r="43" spans="1:19" ht="13.8" thickTop="1" x14ac:dyDescent="0.25">
      <c r="A43" s="38">
        <f>A42+1</f>
        <v>21</v>
      </c>
      <c r="B43" s="39" t="s">
        <v>60</v>
      </c>
      <c r="C43" s="33"/>
      <c r="D43" s="38"/>
      <c r="E43" s="38"/>
      <c r="F43" s="45">
        <f>SUM(F39:F42)</f>
        <v>78847116.4847572</v>
      </c>
      <c r="G43" s="33"/>
      <c r="H43" s="38"/>
      <c r="I43" s="36"/>
      <c r="J43" s="36"/>
      <c r="K43" s="84">
        <f>SUM(K39:K42)</f>
        <v>51788967.551664263</v>
      </c>
      <c r="L43" s="33"/>
    </row>
    <row r="44" spans="1:19" x14ac:dyDescent="0.25">
      <c r="A44" s="38"/>
      <c r="B44" s="39"/>
      <c r="C44" s="33"/>
      <c r="D44" s="38"/>
      <c r="E44" s="38"/>
      <c r="F44" s="33"/>
      <c r="G44" s="33"/>
      <c r="H44" s="38"/>
      <c r="I44" s="33"/>
      <c r="J44" s="33"/>
      <c r="K44" s="33"/>
      <c r="L44" s="33"/>
    </row>
    <row r="45" spans="1:19" x14ac:dyDescent="0.25">
      <c r="A45" s="38"/>
      <c r="B45" s="39" t="s">
        <v>124</v>
      </c>
      <c r="C45" s="33"/>
      <c r="D45" s="38"/>
      <c r="E45" s="38"/>
      <c r="F45" s="33"/>
      <c r="G45" s="33"/>
      <c r="H45" s="38"/>
      <c r="I45" s="33"/>
      <c r="J45" s="33"/>
      <c r="K45" s="33"/>
      <c r="L45" s="33"/>
    </row>
    <row r="46" spans="1:19" x14ac:dyDescent="0.25">
      <c r="A46" s="38">
        <f>A43+1</f>
        <v>22</v>
      </c>
      <c r="B46" s="39"/>
      <c r="C46" s="33" t="s">
        <v>123</v>
      </c>
      <c r="D46" s="73" t="s">
        <v>63</v>
      </c>
      <c r="E46" s="73"/>
      <c r="F46" s="35">
        <f>'DEF - 6  p1, FF1 Inputs '!J40+'DEF - 6  p1, FF1 Inputs '!J41+'DEF - 6  p1, FF1 Inputs '!J43</f>
        <v>17647002.0479922</v>
      </c>
      <c r="G46" s="33"/>
      <c r="H46" s="38" t="s">
        <v>182</v>
      </c>
      <c r="I46" s="36">
        <f>'DEF - 2 - Page 4 Support'!I37</f>
        <v>5.301789141664983E-2</v>
      </c>
      <c r="J46" s="36"/>
      <c r="K46" s="35">
        <f>F46*I46</f>
        <v>935606.83840984758</v>
      </c>
      <c r="L46" s="33"/>
      <c r="S46" s="200"/>
    </row>
    <row r="47" spans="1:19" ht="13.8" thickBot="1" x14ac:dyDescent="0.3">
      <c r="A47" s="38">
        <f>A46+1</f>
        <v>23</v>
      </c>
      <c r="B47" s="39"/>
      <c r="C47" s="33" t="s">
        <v>61</v>
      </c>
      <c r="D47" s="38" t="s">
        <v>63</v>
      </c>
      <c r="E47" s="38"/>
      <c r="F47" s="35">
        <f>'DEF - 6  p1, FF1 Inputs '!J42+'DEF - 6  p1, FF1 Inputs '!J44+'DEF - 6  p1, FF1 Inputs '!J45</f>
        <v>116492322</v>
      </c>
      <c r="G47" s="33"/>
      <c r="H47" s="38" t="s">
        <v>41</v>
      </c>
      <c r="I47" s="36">
        <f>'DEF - 2 Page 2 Rate Base'!M23</f>
        <v>0.17243344361483218</v>
      </c>
      <c r="J47" s="36"/>
      <c r="K47" s="35">
        <f>F47*I47</f>
        <v>20087172.237147875</v>
      </c>
      <c r="L47" s="33"/>
    </row>
    <row r="48" spans="1:19" ht="13.8" thickTop="1" x14ac:dyDescent="0.25">
      <c r="A48" s="38">
        <f>A47+1</f>
        <v>24</v>
      </c>
      <c r="B48" s="39" t="s">
        <v>62</v>
      </c>
      <c r="C48" s="33"/>
      <c r="D48" s="38"/>
      <c r="E48" s="38"/>
      <c r="F48" s="45">
        <f>SUM(F45:F47)</f>
        <v>134139324.0479922</v>
      </c>
      <c r="G48" s="33"/>
      <c r="H48" s="38"/>
      <c r="I48" s="36"/>
      <c r="J48" s="36"/>
      <c r="K48" s="84">
        <f>SUM(K45:K47)</f>
        <v>21022779.075557724</v>
      </c>
      <c r="L48" s="33"/>
    </row>
    <row r="49" spans="1:14" x14ac:dyDescent="0.25">
      <c r="A49" s="38"/>
      <c r="B49" s="39"/>
      <c r="C49" s="33"/>
      <c r="D49" s="38"/>
      <c r="E49" s="38"/>
      <c r="F49" s="79"/>
      <c r="G49" s="33"/>
      <c r="H49" s="38"/>
      <c r="I49" s="36"/>
      <c r="J49" s="36"/>
      <c r="K49" s="79"/>
      <c r="L49" s="33"/>
    </row>
    <row r="50" spans="1:14" x14ac:dyDescent="0.25">
      <c r="A50" s="38"/>
      <c r="B50" s="39" t="s">
        <v>67</v>
      </c>
      <c r="C50" s="33"/>
      <c r="D50" s="38"/>
      <c r="E50" s="38"/>
      <c r="F50" s="35"/>
      <c r="G50" s="33"/>
      <c r="H50" s="38"/>
      <c r="I50" s="36"/>
      <c r="J50" s="36"/>
      <c r="K50" s="35"/>
      <c r="L50" s="33"/>
    </row>
    <row r="51" spans="1:14" x14ac:dyDescent="0.25">
      <c r="A51" s="38">
        <f>A48+1</f>
        <v>25</v>
      </c>
      <c r="B51" s="39"/>
      <c r="C51" s="33" t="str">
        <f>"Rate Base (Page 2, Line "&amp;'DEF - 2 Page 2 Rate Base'!A77&amp;") * Rate of Return (Page 4, Line "&amp;'DEF - 2 - Page 4 Support'!C56&amp;")"</f>
        <v>Rate Base (Page 2, Line 36) * Rate of Return (Page 4, Line 27)</v>
      </c>
      <c r="D51" s="33"/>
      <c r="E51" s="33"/>
      <c r="F51" s="33"/>
      <c r="G51" s="33"/>
      <c r="H51" s="33"/>
      <c r="I51" s="33"/>
      <c r="J51" s="33"/>
      <c r="K51" s="85">
        <f>'DEF - 2 Page 2 Rate Base'!O77*'DEF - 2 - Page 4 Support'!I56</f>
        <v>119471220.96545118</v>
      </c>
      <c r="L51" s="33"/>
      <c r="N51" s="1"/>
    </row>
    <row r="52" spans="1:14" x14ac:dyDescent="0.25">
      <c r="A52" s="33"/>
      <c r="B52" s="39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4" x14ac:dyDescent="0.25">
      <c r="A53" s="33"/>
      <c r="B53" s="39" t="s">
        <v>86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4" ht="6" customHeight="1" x14ac:dyDescent="0.25">
      <c r="A54" s="33"/>
      <c r="B54" s="39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4" x14ac:dyDescent="0.25">
      <c r="A55" s="38">
        <f>A51+1</f>
        <v>26</v>
      </c>
      <c r="B55" s="39"/>
      <c r="C55" s="33" t="s">
        <v>87</v>
      </c>
      <c r="D55" s="38" t="s">
        <v>360</v>
      </c>
      <c r="E55" s="33"/>
      <c r="F55" s="49">
        <f>+'DEF - 6  p1, FF1 Inputs '!J88</f>
        <v>5.5E-2</v>
      </c>
      <c r="G55" s="33"/>
      <c r="H55" s="33"/>
      <c r="I55" s="33"/>
      <c r="J55" s="33"/>
      <c r="K55" s="33"/>
      <c r="L55" s="33"/>
    </row>
    <row r="56" spans="1:14" x14ac:dyDescent="0.25">
      <c r="A56" s="38">
        <f>A55+1</f>
        <v>27</v>
      </c>
      <c r="B56" s="39"/>
      <c r="C56" s="33" t="s">
        <v>88</v>
      </c>
      <c r="D56" s="38" t="s">
        <v>360</v>
      </c>
      <c r="E56" s="33"/>
      <c r="F56" s="359">
        <f>+'DEF - 6  p1, FF1 Inputs '!J87</f>
        <v>0.35</v>
      </c>
      <c r="G56" s="33"/>
      <c r="H56" s="33"/>
      <c r="I56" s="33"/>
      <c r="J56" s="33"/>
      <c r="K56" s="33"/>
      <c r="L56" s="33"/>
    </row>
    <row r="57" spans="1:14" x14ac:dyDescent="0.25">
      <c r="A57" s="38">
        <f>A56+1</f>
        <v>28</v>
      </c>
      <c r="B57" s="39"/>
      <c r="C57" s="33" t="s">
        <v>89</v>
      </c>
      <c r="D57" s="33"/>
      <c r="E57" s="33"/>
      <c r="F57" s="49">
        <f>F55+(1-F55)*F56</f>
        <v>0.38574999999999998</v>
      </c>
      <c r="G57" s="33"/>
      <c r="H57" s="33"/>
      <c r="I57" s="33"/>
      <c r="J57" s="33"/>
      <c r="K57" s="33"/>
      <c r="L57" s="33"/>
    </row>
    <row r="58" spans="1:14" ht="6" customHeight="1" x14ac:dyDescent="0.25">
      <c r="A58" s="38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4" ht="15.6" x14ac:dyDescent="0.35">
      <c r="A59" s="38">
        <f>A57+1</f>
        <v>29</v>
      </c>
      <c r="B59" s="33"/>
      <c r="C59" s="33" t="s">
        <v>259</v>
      </c>
      <c r="D59" s="33"/>
      <c r="E59" s="33"/>
      <c r="F59" s="49">
        <f>IF('DEF - 2 - Page 4 Support'!I56&lt;&gt;0,F57/(1-F57)*(1-'DEF - 2 - Page 4 Support'!I53/'DEF - 2 - Page 4 Support'!I56),0)</f>
        <v>0.4235913699969121</v>
      </c>
      <c r="G59" s="33"/>
      <c r="H59" s="33"/>
      <c r="I59" s="33"/>
      <c r="J59" s="33"/>
      <c r="K59" s="33"/>
      <c r="L59" s="33"/>
    </row>
    <row r="60" spans="1:14" x14ac:dyDescent="0.25">
      <c r="A60" s="38">
        <f>A59+1</f>
        <v>30</v>
      </c>
      <c r="B60" s="33"/>
      <c r="C60" s="33" t="s">
        <v>90</v>
      </c>
      <c r="D60" s="33"/>
      <c r="E60" s="33"/>
      <c r="F60" s="86">
        <f>IF(F57&lt;&gt;0,1/(1-F57),0)</f>
        <v>1.6280016280016281</v>
      </c>
      <c r="G60" s="33"/>
      <c r="H60" s="33"/>
      <c r="I60" s="33"/>
      <c r="J60" s="33"/>
      <c r="K60" s="33"/>
      <c r="L60" s="33"/>
    </row>
    <row r="61" spans="1:14" x14ac:dyDescent="0.25">
      <c r="A61" s="38">
        <f>A60+1</f>
        <v>31</v>
      </c>
      <c r="B61" s="33"/>
      <c r="C61" s="33" t="str">
        <f>'DEF - 6  p1, FF1 Inputs '!E46</f>
        <v>Amortized ITC (Negative)</v>
      </c>
      <c r="D61" s="38" t="str">
        <f>'DEF - 6  p1, FF1 Inputs '!F46</f>
        <v>266.8.f</v>
      </c>
      <c r="E61" s="38"/>
      <c r="F61" s="35">
        <f>'DEF - 6  p1, FF1 Inputs '!J46</f>
        <v>-1307000</v>
      </c>
      <c r="G61" s="33"/>
      <c r="H61" s="33"/>
      <c r="I61" s="33"/>
      <c r="J61" s="33"/>
      <c r="K61" s="33"/>
      <c r="L61" s="33"/>
    </row>
    <row r="62" spans="1:14" ht="6" customHeight="1" x14ac:dyDescent="0.25">
      <c r="A62" s="38"/>
      <c r="B62" s="33"/>
      <c r="C62" s="33"/>
      <c r="D62" s="33"/>
      <c r="E62" s="33"/>
      <c r="F62" s="33"/>
      <c r="G62" s="33"/>
      <c r="H62" s="38"/>
      <c r="I62" s="36"/>
      <c r="J62" s="36"/>
      <c r="K62" s="35"/>
      <c r="L62" s="33"/>
    </row>
    <row r="63" spans="1:14" x14ac:dyDescent="0.25">
      <c r="A63" s="38">
        <f>A61+1</f>
        <v>32</v>
      </c>
      <c r="B63" s="33"/>
      <c r="C63" s="33" t="str">
        <f>"Income Taxes Calculated (Line "&amp;A51&amp;" * Line "&amp;A59&amp;")"</f>
        <v>Income Taxes Calculated (Line 25 * Line 29)</v>
      </c>
      <c r="D63" s="33"/>
      <c r="E63" s="33"/>
      <c r="F63" s="33"/>
      <c r="G63" s="33"/>
      <c r="H63" s="38"/>
      <c r="I63" s="36"/>
      <c r="J63" s="36"/>
      <c r="K63" s="35">
        <f>F59*K51</f>
        <v>50606978.163959272</v>
      </c>
      <c r="L63" s="33"/>
    </row>
    <row r="64" spans="1:14" ht="13.8" thickBot="1" x14ac:dyDescent="0.3">
      <c r="A64" s="38">
        <f>A63+1</f>
        <v>33</v>
      </c>
      <c r="B64" s="33"/>
      <c r="C64" s="33" t="str">
        <f>"ITC Adjustment (Line "&amp;A60&amp;" * Line "&amp;A61&amp;")"</f>
        <v>ITC Adjustment (Line 30 * Line 31)</v>
      </c>
      <c r="D64" s="33"/>
      <c r="E64" s="33"/>
      <c r="F64" s="35">
        <f>F61*F60</f>
        <v>-2127798.1277981279</v>
      </c>
      <c r="G64" s="33"/>
      <c r="H64" s="38" t="s">
        <v>37</v>
      </c>
      <c r="I64" s="36">
        <f>'DEF - 2 Page 2 Rate Base'!M43</f>
        <v>0.20921659531438735</v>
      </c>
      <c r="J64" s="36"/>
      <c r="K64" s="35">
        <f>F64*I64</f>
        <v>-445170.67981425201</v>
      </c>
      <c r="L64" s="33"/>
    </row>
    <row r="65" spans="1:12" ht="13.8" thickTop="1" x14ac:dyDescent="0.25">
      <c r="A65" s="38">
        <f>A64+1</f>
        <v>34</v>
      </c>
      <c r="B65" s="39" t="s">
        <v>91</v>
      </c>
      <c r="C65" s="33"/>
      <c r="D65" s="33"/>
      <c r="E65" s="33"/>
      <c r="F65" s="33"/>
      <c r="G65" s="33"/>
      <c r="H65" s="33"/>
      <c r="I65" s="33"/>
      <c r="J65" s="33"/>
      <c r="K65" s="84">
        <f>K63+K64</f>
        <v>50161807.484145023</v>
      </c>
      <c r="L65" s="33"/>
    </row>
    <row r="66" spans="1:12" x14ac:dyDescent="0.25">
      <c r="A66" s="38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x14ac:dyDescent="0.25">
      <c r="A67" s="38">
        <f>A65+1</f>
        <v>35</v>
      </c>
      <c r="B67" s="39" t="str">
        <f>"TOTAL REVENUE REQUIREMENT (Sum of Lines "&amp;A34&amp;", "&amp;A43&amp;", "&amp;A48&amp;", "&amp;A51&amp;", and "&amp;A65&amp;")"</f>
        <v>TOTAL REVENUE REQUIREMENT (Sum of Lines 17, 21, 24, 25, and 34)</v>
      </c>
      <c r="C67" s="33"/>
      <c r="D67" s="33"/>
      <c r="E67" s="33"/>
      <c r="F67" s="33"/>
      <c r="G67" s="33"/>
      <c r="H67" s="33"/>
      <c r="I67" s="33"/>
      <c r="J67" s="33"/>
      <c r="K67" s="85">
        <f>K34+K43+K48+K51+K65</f>
        <v>282498480.18290943</v>
      </c>
      <c r="L67" s="33"/>
    </row>
  </sheetData>
  <mergeCells count="7">
    <mergeCell ref="J1:L1"/>
    <mergeCell ref="H11:I11"/>
    <mergeCell ref="J2:L2"/>
    <mergeCell ref="J3:L3"/>
    <mergeCell ref="A5:L5"/>
    <mergeCell ref="A6:L6"/>
    <mergeCell ref="A8:L8"/>
  </mergeCells>
  <phoneticPr fontId="0" type="noConversion"/>
  <printOptions horizontalCentered="1"/>
  <pageMargins left="0.5" right="0.5" top="0.5" bottom="0.5" header="0.5" footer="0.5"/>
  <pageSetup scale="7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U67"/>
  <sheetViews>
    <sheetView topLeftCell="A22" zoomScaleNormal="100" workbookViewId="0">
      <selection activeCell="G55" sqref="G55"/>
    </sheetView>
  </sheetViews>
  <sheetFormatPr defaultRowHeight="13.2" x14ac:dyDescent="0.25"/>
  <cols>
    <col min="1" max="2" width="2.6640625" customWidth="1"/>
    <col min="3" max="3" width="5" bestFit="1" customWidth="1"/>
    <col min="4" max="4" width="3.6640625" customWidth="1"/>
    <col min="5" max="5" width="36.88671875" customWidth="1"/>
    <col min="6" max="6" width="7.88671875" customWidth="1"/>
    <col min="7" max="7" width="14.5546875" bestFit="1" customWidth="1"/>
    <col min="8" max="8" width="2.6640625" customWidth="1"/>
    <col min="9" max="9" width="13.88671875" bestFit="1" customWidth="1"/>
    <col min="11" max="11" width="11.5546875" customWidth="1"/>
    <col min="13" max="13" width="9.33203125" bestFit="1" customWidth="1"/>
    <col min="14" max="14" width="11.88671875" customWidth="1"/>
  </cols>
  <sheetData>
    <row r="1" spans="1:21" ht="13.8" x14ac:dyDescent="0.25">
      <c r="J1" s="437" t="s">
        <v>809</v>
      </c>
      <c r="K1" s="437"/>
    </row>
    <row r="2" spans="1:21" ht="13.8" x14ac:dyDescent="0.25">
      <c r="J2" s="438" t="s">
        <v>208</v>
      </c>
      <c r="K2" s="439"/>
    </row>
    <row r="3" spans="1:21" x14ac:dyDescent="0.25">
      <c r="J3" s="440" t="str">
        <f>FF1_Year</f>
        <v>Year Ending 12/31/2014</v>
      </c>
      <c r="K3" s="441"/>
    </row>
    <row r="5" spans="1:21" x14ac:dyDescent="0.25">
      <c r="A5" s="447" t="s">
        <v>826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P5" s="3" t="s">
        <v>705</v>
      </c>
      <c r="Q5" s="3"/>
      <c r="R5" s="3"/>
      <c r="S5" s="33"/>
      <c r="T5" s="33"/>
      <c r="U5" s="33"/>
    </row>
    <row r="6" spans="1:21" x14ac:dyDescent="0.25">
      <c r="A6" s="447" t="s">
        <v>128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P6" s="137"/>
      <c r="Q6" s="137"/>
      <c r="R6" s="137"/>
      <c r="S6" s="33"/>
      <c r="T6" s="33"/>
      <c r="U6" s="33"/>
    </row>
    <row r="7" spans="1:2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P7" s="137"/>
      <c r="Q7" s="137" t="s">
        <v>223</v>
      </c>
      <c r="R7" s="168">
        <v>0</v>
      </c>
      <c r="S7" s="321"/>
      <c r="T7" s="321"/>
      <c r="U7" s="33"/>
    </row>
    <row r="8" spans="1:21" x14ac:dyDescent="0.25">
      <c r="A8" s="447" t="s">
        <v>130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P8" s="137"/>
      <c r="Q8" s="137" t="s">
        <v>41</v>
      </c>
      <c r="R8" s="168">
        <f>'DEF - 2 Page 2 Rate Base'!M23</f>
        <v>0.17243344361483218</v>
      </c>
      <c r="S8" s="321"/>
      <c r="T8" s="321"/>
      <c r="U8" s="33"/>
    </row>
    <row r="9" spans="1:21" x14ac:dyDescent="0.25">
      <c r="P9" s="137"/>
      <c r="Q9" s="137" t="s">
        <v>221</v>
      </c>
      <c r="R9" s="168">
        <f>LABOR_ALLOC</f>
        <v>5.301789141664983E-2</v>
      </c>
      <c r="S9" s="321"/>
      <c r="T9" s="321"/>
      <c r="U9" s="33"/>
    </row>
    <row r="10" spans="1:21" x14ac:dyDescent="0.25">
      <c r="P10" s="137"/>
      <c r="Q10" s="138" t="s">
        <v>37</v>
      </c>
      <c r="R10" s="168">
        <f>'DEF - 2 Page 2 Rate Base'!M43</f>
        <v>0.20921659531438735</v>
      </c>
      <c r="S10" s="321"/>
      <c r="T10" s="321"/>
      <c r="U10" s="33"/>
    </row>
    <row r="11" spans="1:21" x14ac:dyDescent="0.25">
      <c r="C11" s="11" t="s">
        <v>21</v>
      </c>
      <c r="D11" s="12"/>
      <c r="E11" s="13"/>
      <c r="F11" s="13"/>
      <c r="G11" s="11" t="s">
        <v>4</v>
      </c>
      <c r="H11" s="11"/>
      <c r="I11" s="11" t="s">
        <v>22</v>
      </c>
      <c r="J11" s="11"/>
      <c r="K11" s="71"/>
      <c r="P11" s="137"/>
      <c r="Q11" s="137" t="s">
        <v>690</v>
      </c>
      <c r="R11" s="168">
        <v>1</v>
      </c>
      <c r="S11" s="321"/>
      <c r="T11" s="321"/>
      <c r="U11" s="33"/>
    </row>
    <row r="12" spans="1:21" x14ac:dyDescent="0.25">
      <c r="K12" s="33"/>
      <c r="P12" s="137"/>
      <c r="Q12" s="137" t="s">
        <v>224</v>
      </c>
      <c r="R12" s="168">
        <v>0</v>
      </c>
      <c r="S12" s="321"/>
      <c r="T12" s="321"/>
      <c r="U12" s="33"/>
    </row>
    <row r="13" spans="1:21" x14ac:dyDescent="0.25">
      <c r="D13" s="3" t="s">
        <v>262</v>
      </c>
      <c r="G13" s="2"/>
      <c r="H13" s="2"/>
      <c r="K13" s="33"/>
      <c r="P13" s="137"/>
      <c r="Q13" s="137" t="s">
        <v>222</v>
      </c>
      <c r="R13" s="168">
        <v>0</v>
      </c>
      <c r="S13" s="321"/>
      <c r="T13" s="321"/>
      <c r="U13" s="33"/>
    </row>
    <row r="14" spans="1:21" x14ac:dyDescent="0.25">
      <c r="C14" s="2">
        <v>1</v>
      </c>
      <c r="E14" s="137" t="s">
        <v>474</v>
      </c>
      <c r="G14" s="136" t="s">
        <v>475</v>
      </c>
      <c r="H14" s="2"/>
      <c r="I14" s="1">
        <f>'DEF - 2 Page 2 Rate Base'!J18</f>
        <v>2437249564.48</v>
      </c>
      <c r="K14" s="33"/>
      <c r="P14" s="137"/>
      <c r="Q14" s="137" t="s">
        <v>220</v>
      </c>
      <c r="R14" s="168">
        <v>0</v>
      </c>
      <c r="S14" s="321"/>
      <c r="T14" s="321"/>
      <c r="U14" s="33"/>
    </row>
    <row r="15" spans="1:21" x14ac:dyDescent="0.25">
      <c r="C15" s="2">
        <v>2</v>
      </c>
      <c r="E15" t="s">
        <v>68</v>
      </c>
      <c r="G15" s="284" t="s">
        <v>814</v>
      </c>
      <c r="H15" s="2"/>
      <c r="I15" s="1">
        <f>'DEF - 4, p2 Step Ups '!G77</f>
        <v>86517892.519999981</v>
      </c>
      <c r="K15" s="33"/>
      <c r="M15" s="138" t="s">
        <v>702</v>
      </c>
      <c r="N15" s="138"/>
      <c r="P15" s="137"/>
      <c r="Q15" s="137" t="s">
        <v>706</v>
      </c>
      <c r="R15" s="168">
        <f>'DEF - 2 - Page 5 Storm'!I26</f>
        <v>0.8498729351098574</v>
      </c>
      <c r="S15" s="321"/>
      <c r="T15" s="321"/>
      <c r="U15" s="33"/>
    </row>
    <row r="16" spans="1:21" x14ac:dyDescent="0.25">
      <c r="C16" s="38">
        <v>3</v>
      </c>
      <c r="D16" s="33"/>
      <c r="E16" s="33" t="s">
        <v>213</v>
      </c>
      <c r="F16" s="33"/>
      <c r="G16" s="283" t="s">
        <v>814</v>
      </c>
      <c r="H16" s="38"/>
      <c r="I16" s="35">
        <f>'DEF - 4, p3 Order 2003 '!J85</f>
        <v>7566913</v>
      </c>
      <c r="J16" s="33"/>
      <c r="K16" s="33"/>
      <c r="M16" s="138" t="s">
        <v>703</v>
      </c>
      <c r="N16" s="138"/>
      <c r="P16" s="137"/>
      <c r="Q16" s="137" t="s">
        <v>51</v>
      </c>
      <c r="R16" s="168">
        <f>TP_ALLOC</f>
        <v>0.94470290917920241</v>
      </c>
      <c r="S16" s="321"/>
      <c r="T16" s="321"/>
      <c r="U16" s="33"/>
    </row>
    <row r="17" spans="3:21" ht="13.8" thickBot="1" x14ac:dyDescent="0.3">
      <c r="C17" s="38">
        <v>4</v>
      </c>
      <c r="D17" s="33"/>
      <c r="E17" s="33" t="s">
        <v>263</v>
      </c>
      <c r="F17" s="33"/>
      <c r="G17" s="38" t="s">
        <v>126</v>
      </c>
      <c r="H17" s="38"/>
      <c r="I17" s="35">
        <f>N20</f>
        <v>40688005</v>
      </c>
      <c r="J17" s="33"/>
      <c r="K17" s="33"/>
      <c r="M17" s="138">
        <f>YR</f>
        <v>2014</v>
      </c>
      <c r="N17" s="192">
        <v>40651380</v>
      </c>
      <c r="Q17" s="137" t="s">
        <v>215</v>
      </c>
      <c r="R17">
        <f>TExp_ALLOC</f>
        <v>0.95485513153239476</v>
      </c>
      <c r="S17" s="322"/>
      <c r="T17" s="322"/>
      <c r="U17" s="33"/>
    </row>
    <row r="18" spans="3:21" ht="13.8" thickTop="1" x14ac:dyDescent="0.25">
      <c r="C18" s="38">
        <v>5</v>
      </c>
      <c r="D18" s="33"/>
      <c r="E18" s="33" t="s">
        <v>264</v>
      </c>
      <c r="F18" s="33"/>
      <c r="G18" s="38"/>
      <c r="H18" s="38"/>
      <c r="I18" s="45">
        <f>I14-SUM(I15:I17)</f>
        <v>2302476753.96</v>
      </c>
      <c r="J18" s="33"/>
      <c r="K18" s="33"/>
      <c r="M18" s="138">
        <f>+M17-1</f>
        <v>2013</v>
      </c>
      <c r="N18" s="192">
        <v>40724630</v>
      </c>
      <c r="S18" s="33"/>
      <c r="T18" s="33"/>
      <c r="U18" s="33"/>
    </row>
    <row r="19" spans="3:21" ht="6" customHeight="1" x14ac:dyDescent="0.25">
      <c r="C19" s="38"/>
      <c r="D19" s="33"/>
      <c r="E19" s="33"/>
      <c r="F19" s="33"/>
      <c r="G19" s="38"/>
      <c r="H19" s="38"/>
      <c r="I19" s="33"/>
      <c r="J19" s="33"/>
      <c r="K19" s="33"/>
      <c r="M19" s="138"/>
      <c r="N19" s="138"/>
      <c r="S19" s="33"/>
      <c r="T19" s="33"/>
      <c r="U19" s="33"/>
    </row>
    <row r="20" spans="3:21" x14ac:dyDescent="0.25">
      <c r="C20" s="38">
        <v>6</v>
      </c>
      <c r="D20" s="39" t="s">
        <v>265</v>
      </c>
      <c r="E20" s="33"/>
      <c r="F20" s="33"/>
      <c r="G20" s="38" t="s">
        <v>163</v>
      </c>
      <c r="H20" s="38"/>
      <c r="I20" s="46">
        <f>IF(I14&lt;&gt;0,I18/I14,0)</f>
        <v>0.94470290917920241</v>
      </c>
      <c r="J20" s="33"/>
      <c r="K20" s="33"/>
      <c r="M20" s="138" t="s">
        <v>704</v>
      </c>
      <c r="N20" s="192">
        <f>(N18+N17)/2</f>
        <v>40688005</v>
      </c>
      <c r="S20" s="33"/>
      <c r="T20" s="33"/>
      <c r="U20" s="33"/>
    </row>
    <row r="21" spans="3:21" x14ac:dyDescent="0.25">
      <c r="C21" s="38"/>
      <c r="D21" s="33"/>
      <c r="E21" s="33"/>
      <c r="F21" s="33"/>
      <c r="G21" s="38"/>
      <c r="H21" s="38"/>
      <c r="I21" s="33"/>
      <c r="J21" s="33"/>
      <c r="K21" s="33"/>
    </row>
    <row r="22" spans="3:21" x14ac:dyDescent="0.25">
      <c r="C22" s="38">
        <v>7</v>
      </c>
      <c r="D22" s="33"/>
      <c r="E22" s="138" t="s">
        <v>476</v>
      </c>
      <c r="F22" s="33"/>
      <c r="G22" s="38"/>
      <c r="H22" s="38"/>
      <c r="I22" s="35">
        <f>I18+I17</f>
        <v>2343164758.96</v>
      </c>
      <c r="J22" s="33"/>
      <c r="K22" s="33"/>
    </row>
    <row r="23" spans="3:21" x14ac:dyDescent="0.25">
      <c r="C23" s="56" t="s">
        <v>451</v>
      </c>
      <c r="D23" s="47"/>
      <c r="E23" s="138" t="s">
        <v>452</v>
      </c>
      <c r="F23" s="47"/>
      <c r="G23" s="48"/>
      <c r="H23" s="48"/>
      <c r="I23" s="42">
        <f>I14+'DEF - 2 Page 2 Rate Base'!J17</f>
        <v>2453947914.8000002</v>
      </c>
      <c r="J23" s="33"/>
      <c r="K23" s="33"/>
    </row>
    <row r="24" spans="3:21" ht="6" customHeight="1" x14ac:dyDescent="0.25">
      <c r="C24" s="121"/>
      <c r="D24" s="33"/>
      <c r="E24" s="87"/>
      <c r="F24" s="33"/>
      <c r="G24" s="38"/>
      <c r="H24" s="38"/>
      <c r="I24" s="35"/>
      <c r="J24" s="33"/>
      <c r="K24" s="33"/>
    </row>
    <row r="25" spans="3:21" x14ac:dyDescent="0.25">
      <c r="C25" s="38">
        <v>8</v>
      </c>
      <c r="D25" s="39" t="s">
        <v>477</v>
      </c>
      <c r="E25" s="33"/>
      <c r="F25" s="33"/>
      <c r="G25" s="38"/>
      <c r="H25" s="38"/>
      <c r="I25" s="46">
        <f>IF(I23&lt;&gt;0,I22/I23,0)</f>
        <v>0.95485513153239476</v>
      </c>
      <c r="J25" s="33"/>
      <c r="K25" s="33"/>
    </row>
    <row r="26" spans="3:21" x14ac:dyDescent="0.25">
      <c r="C26" s="38"/>
      <c r="D26" s="33"/>
      <c r="E26" s="33"/>
      <c r="F26" s="33"/>
      <c r="G26" s="38"/>
      <c r="H26" s="38"/>
      <c r="I26" s="33"/>
      <c r="J26" s="33"/>
      <c r="K26" s="33"/>
    </row>
    <row r="27" spans="3:21" x14ac:dyDescent="0.25">
      <c r="C27" s="33"/>
      <c r="D27" s="39" t="s">
        <v>69</v>
      </c>
      <c r="E27" s="33"/>
      <c r="F27" s="33"/>
      <c r="G27" s="38"/>
      <c r="H27" s="38"/>
      <c r="I27" s="33"/>
      <c r="J27" s="33"/>
      <c r="K27" s="33"/>
    </row>
    <row r="28" spans="3:21" x14ac:dyDescent="0.25">
      <c r="C28" s="38">
        <v>9</v>
      </c>
      <c r="D28" s="33"/>
      <c r="E28" s="33" t="str">
        <f>'DEF - 6  p1, FF1 Inputs '!E64</f>
        <v>Total Direct Payroll - O&amp;M Labor</v>
      </c>
      <c r="F28" s="33"/>
      <c r="G28" s="38" t="str">
        <f>'DEF - 6  p1, FF1 Inputs '!F64</f>
        <v>354.28.b</v>
      </c>
      <c r="H28" s="38"/>
      <c r="I28" s="35">
        <f>'DEF - 6  p1, FF1 Inputs '!J64</f>
        <v>293470186</v>
      </c>
      <c r="J28" s="33"/>
      <c r="K28" s="33"/>
    </row>
    <row r="29" spans="3:21" x14ac:dyDescent="0.25">
      <c r="C29" s="38">
        <v>10</v>
      </c>
      <c r="D29" s="33"/>
      <c r="E29" s="33" t="str">
        <f>'DEF - 6  p1, FF1 Inputs '!E63</f>
        <v>A&amp;G Labor</v>
      </c>
      <c r="F29" s="33"/>
      <c r="G29" s="38" t="str">
        <f>'DEF - 6  p1, FF1 Inputs '!F63</f>
        <v>354.27.b</v>
      </c>
      <c r="H29" s="38"/>
      <c r="I29" s="35">
        <f>'DEF - 6  p1, FF1 Inputs '!J63</f>
        <v>55235179.340000004</v>
      </c>
      <c r="J29" s="33"/>
      <c r="K29" s="33"/>
    </row>
    <row r="30" spans="3:21" ht="13.8" thickBot="1" x14ac:dyDescent="0.3">
      <c r="C30" s="38">
        <v>11</v>
      </c>
      <c r="D30" s="33"/>
      <c r="E30" s="33" t="s">
        <v>228</v>
      </c>
      <c r="F30" s="33"/>
      <c r="G30" s="38"/>
      <c r="H30" s="38"/>
      <c r="I30" s="42">
        <f>-'DEF - 6  p1, FF1 Inputs '!U63</f>
        <v>529336.65999999992</v>
      </c>
      <c r="J30" s="33"/>
      <c r="K30" s="33"/>
    </row>
    <row r="31" spans="3:21" ht="13.8" thickTop="1" x14ac:dyDescent="0.25">
      <c r="C31" s="38">
        <v>12</v>
      </c>
      <c r="D31" s="33"/>
      <c r="E31" s="33" t="s">
        <v>260</v>
      </c>
      <c r="F31" s="33"/>
      <c r="G31" s="38"/>
      <c r="H31" s="38"/>
      <c r="I31" s="45">
        <f>I28-I29+I30</f>
        <v>238764343.31999999</v>
      </c>
      <c r="J31" s="33"/>
      <c r="K31" s="33"/>
    </row>
    <row r="32" spans="3:21" ht="6" customHeight="1" x14ac:dyDescent="0.25">
      <c r="C32" s="38"/>
      <c r="D32" s="33"/>
      <c r="E32" s="33"/>
      <c r="F32" s="33"/>
      <c r="G32" s="38"/>
      <c r="H32" s="38"/>
      <c r="I32" s="35"/>
      <c r="J32" s="33"/>
      <c r="K32" s="33"/>
    </row>
    <row r="33" spans="3:11" x14ac:dyDescent="0.25">
      <c r="C33" s="38">
        <v>13</v>
      </c>
      <c r="D33" s="33"/>
      <c r="E33" s="33" t="str">
        <f>'DEF - 6  p1, FF1 Inputs '!E62</f>
        <v>Transmission O&amp;M Labor</v>
      </c>
      <c r="F33" s="33"/>
      <c r="G33" s="38" t="str">
        <f>'DEF - 6  p1, FF1 Inputs '!F62</f>
        <v>354.21.b</v>
      </c>
      <c r="H33" s="38"/>
      <c r="I33" s="35">
        <f>'DEF - 6  p1, FF1 Inputs '!J62</f>
        <v>13491555</v>
      </c>
      <c r="J33" s="33"/>
      <c r="K33" s="33"/>
    </row>
    <row r="34" spans="3:11" ht="6" customHeight="1" x14ac:dyDescent="0.25">
      <c r="C34" s="38"/>
      <c r="D34" s="33"/>
      <c r="E34" s="33"/>
      <c r="F34" s="33"/>
      <c r="G34" s="38"/>
      <c r="H34" s="38"/>
      <c r="I34" s="35"/>
      <c r="J34" s="33"/>
      <c r="K34" s="33"/>
    </row>
    <row r="35" spans="3:11" ht="12.75" customHeight="1" x14ac:dyDescent="0.25">
      <c r="C35" s="38">
        <v>14</v>
      </c>
      <c r="D35" s="39" t="s">
        <v>261</v>
      </c>
      <c r="E35" s="33"/>
      <c r="F35" s="33"/>
      <c r="G35" s="38"/>
      <c r="H35" s="38"/>
      <c r="I35" s="46">
        <f>IF(I31&lt;&gt;0,I33/I31,0)</f>
        <v>5.6505736210025991E-2</v>
      </c>
      <c r="J35" s="33"/>
      <c r="K35" s="33"/>
    </row>
    <row r="36" spans="3:11" ht="6" customHeight="1" x14ac:dyDescent="0.25">
      <c r="C36" s="38"/>
      <c r="D36" s="33"/>
      <c r="E36" s="33"/>
      <c r="F36" s="33"/>
      <c r="G36" s="38"/>
      <c r="H36" s="38"/>
      <c r="I36" s="35"/>
      <c r="J36" s="33"/>
      <c r="K36" s="33"/>
    </row>
    <row r="37" spans="3:11" x14ac:dyDescent="0.25">
      <c r="C37" s="38">
        <v>15</v>
      </c>
      <c r="D37" s="39" t="s">
        <v>478</v>
      </c>
      <c r="E37" s="33"/>
      <c r="F37" s="33"/>
      <c r="G37" s="38" t="s">
        <v>163</v>
      </c>
      <c r="H37" s="38"/>
      <c r="I37" s="46">
        <f>IF(I23&lt;&gt;0,I18/I23*I35,0)</f>
        <v>5.301789141664983E-2</v>
      </c>
      <c r="J37" s="33"/>
      <c r="K37" s="33"/>
    </row>
    <row r="38" spans="3:11" x14ac:dyDescent="0.25">
      <c r="C38" s="38"/>
      <c r="D38" s="33"/>
      <c r="E38" s="33"/>
      <c r="F38" s="33"/>
      <c r="G38" s="38"/>
      <c r="H38" s="38"/>
      <c r="I38" s="33"/>
      <c r="J38" s="33"/>
      <c r="K38" s="33"/>
    </row>
    <row r="39" spans="3:11" x14ac:dyDescent="0.25">
      <c r="C39" s="38"/>
      <c r="D39" s="39" t="s">
        <v>241</v>
      </c>
      <c r="E39" s="33"/>
      <c r="F39" s="33"/>
      <c r="G39" s="38"/>
      <c r="H39" s="38"/>
      <c r="I39" s="33"/>
      <c r="J39" s="33"/>
      <c r="K39" s="33"/>
    </row>
    <row r="40" spans="3:11" ht="6" customHeight="1" x14ac:dyDescent="0.25">
      <c r="C40" s="38"/>
      <c r="D40" s="33"/>
      <c r="E40" s="33"/>
      <c r="F40" s="33"/>
      <c r="G40" s="38"/>
      <c r="H40" s="38"/>
      <c r="I40" s="33"/>
      <c r="J40" s="33"/>
      <c r="K40" s="33"/>
    </row>
    <row r="41" spans="3:11" x14ac:dyDescent="0.25">
      <c r="C41" s="38">
        <v>16</v>
      </c>
      <c r="D41" s="33"/>
      <c r="E41" s="33" t="s">
        <v>852</v>
      </c>
      <c r="F41" s="33"/>
      <c r="G41" s="38" t="str">
        <f>'DEF - 6  p1, FF1 Inputs '!F21</f>
        <v>117.62 thru 67.c</v>
      </c>
      <c r="H41" s="38"/>
      <c r="I41" s="35">
        <f>'DEF - 6  p1, FF1 Inputs '!J21</f>
        <v>241692702.86000001</v>
      </c>
      <c r="J41" s="33"/>
      <c r="K41" s="33"/>
    </row>
    <row r="42" spans="3:11" ht="13.8" thickBot="1" x14ac:dyDescent="0.3">
      <c r="C42" s="38">
        <v>17</v>
      </c>
      <c r="D42" s="33"/>
      <c r="E42" s="33" t="s">
        <v>73</v>
      </c>
      <c r="F42" s="33"/>
      <c r="G42" s="38" t="s">
        <v>185</v>
      </c>
      <c r="H42" s="38"/>
      <c r="I42" s="35">
        <v>0</v>
      </c>
      <c r="J42" s="33"/>
      <c r="K42" s="33"/>
    </row>
    <row r="43" spans="3:11" ht="13.8" thickTop="1" x14ac:dyDescent="0.25">
      <c r="C43" s="38">
        <v>18</v>
      </c>
      <c r="D43" s="33"/>
      <c r="E43" s="33" t="s">
        <v>853</v>
      </c>
      <c r="F43" s="33"/>
      <c r="G43" s="38"/>
      <c r="H43" s="38"/>
      <c r="I43" s="45">
        <f>I41-I42</f>
        <v>241692702.86000001</v>
      </c>
      <c r="J43" s="33"/>
      <c r="K43" s="33"/>
    </row>
    <row r="44" spans="3:11" ht="11.25" customHeight="1" x14ac:dyDescent="0.25">
      <c r="C44" s="38"/>
      <c r="D44" s="33"/>
      <c r="E44" s="33"/>
      <c r="F44" s="33"/>
      <c r="G44" s="38"/>
      <c r="H44" s="38"/>
      <c r="I44" s="35"/>
      <c r="J44" s="33"/>
      <c r="K44" s="33"/>
    </row>
    <row r="45" spans="3:11" x14ac:dyDescent="0.25">
      <c r="C45" s="38">
        <v>19</v>
      </c>
      <c r="D45" s="33"/>
      <c r="E45" s="33" t="s">
        <v>70</v>
      </c>
      <c r="F45" s="33"/>
      <c r="G45" s="38" t="str">
        <f>'DEF - 6  p1, FF1 Inputs '!F22</f>
        <v>118.29.c</v>
      </c>
      <c r="H45" s="38"/>
      <c r="I45" s="35">
        <f>'DEF - 6  p1, FF1 Inputs '!J22</f>
        <v>0</v>
      </c>
      <c r="J45" s="33"/>
      <c r="K45" s="33"/>
    </row>
    <row r="46" spans="3:11" ht="12" customHeight="1" x14ac:dyDescent="0.25">
      <c r="C46" s="38"/>
      <c r="D46" s="33"/>
      <c r="E46" s="33"/>
      <c r="F46" s="33"/>
      <c r="G46" s="38"/>
      <c r="H46" s="38"/>
      <c r="I46" s="33"/>
      <c r="J46" s="33"/>
      <c r="K46" s="33"/>
    </row>
    <row r="47" spans="3:11" x14ac:dyDescent="0.25">
      <c r="C47" s="38">
        <v>20</v>
      </c>
      <c r="D47" s="33"/>
      <c r="E47" s="33" t="s">
        <v>854</v>
      </c>
      <c r="F47" s="33"/>
      <c r="G47" s="38" t="str">
        <f>"p.2, line "&amp;'DEF - 2 Page 2 Rate Base'!A85</f>
        <v>p.2, line 41</v>
      </c>
      <c r="H47" s="38"/>
      <c r="I47" s="79">
        <f>'DEF - 2 Page 2 Rate Base'!J85</f>
        <v>4575472969.5</v>
      </c>
      <c r="J47" s="33"/>
      <c r="K47" s="33"/>
    </row>
    <row r="48" spans="3:11" x14ac:dyDescent="0.25">
      <c r="C48" s="38">
        <v>21</v>
      </c>
      <c r="D48" s="33"/>
      <c r="E48" s="33" t="str">
        <f>'DEF - 2 Page 2 Rate Base'!C87</f>
        <v>Preferred Stock</v>
      </c>
      <c r="F48" s="33"/>
      <c r="G48" s="38" t="str">
        <f>"p.2, line "&amp;'DEF - 2 Page 2 Rate Base'!A87</f>
        <v>p.2, line 42</v>
      </c>
      <c r="H48" s="38"/>
      <c r="I48" s="35">
        <f>'DEF - 2 Page 2 Rate Base'!J87</f>
        <v>0</v>
      </c>
      <c r="J48" s="33"/>
      <c r="K48" s="33"/>
    </row>
    <row r="49" spans="3:11" ht="13.8" thickBot="1" x14ac:dyDescent="0.3">
      <c r="C49" s="38">
        <v>22</v>
      </c>
      <c r="D49" s="33"/>
      <c r="E49" s="33" t="s">
        <v>81</v>
      </c>
      <c r="F49" s="33"/>
      <c r="G49" s="38" t="str">
        <f>"p.2, line "&amp;'DEF - 2 Page 2 Rate Base'!A93</f>
        <v>p.2, line 46</v>
      </c>
      <c r="H49" s="33"/>
      <c r="I49" s="80">
        <f>'DEF - 2 Page 2 Rate Base'!J93</f>
        <v>5008503199.5</v>
      </c>
      <c r="J49" s="33"/>
      <c r="K49" s="33"/>
    </row>
    <row r="50" spans="3:11" ht="13.8" thickTop="1" x14ac:dyDescent="0.25">
      <c r="C50" s="38">
        <v>23</v>
      </c>
      <c r="D50" s="33"/>
      <c r="E50" s="33" t="s">
        <v>368</v>
      </c>
      <c r="F50" s="33"/>
      <c r="G50" s="33"/>
      <c r="H50" s="33"/>
      <c r="I50" s="45">
        <f>I47+I48+I49</f>
        <v>9583976169</v>
      </c>
      <c r="J50" s="33"/>
      <c r="K50" s="33"/>
    </row>
    <row r="51" spans="3:11" x14ac:dyDescent="0.25">
      <c r="C51" s="33"/>
      <c r="D51" s="33"/>
      <c r="E51" s="33"/>
      <c r="F51" s="33"/>
      <c r="G51" s="33"/>
      <c r="H51" s="33"/>
      <c r="I51" s="33"/>
      <c r="J51" s="33"/>
      <c r="K51" s="33"/>
    </row>
    <row r="52" spans="3:11" x14ac:dyDescent="0.25">
      <c r="C52" s="33"/>
      <c r="D52" s="47" t="s">
        <v>369</v>
      </c>
      <c r="E52" s="47"/>
      <c r="F52" s="48" t="s">
        <v>82</v>
      </c>
      <c r="G52" s="48" t="s">
        <v>83</v>
      </c>
      <c r="H52" s="48"/>
      <c r="I52" s="48" t="s">
        <v>84</v>
      </c>
      <c r="J52" s="33"/>
      <c r="K52" s="33"/>
    </row>
    <row r="53" spans="3:11" x14ac:dyDescent="0.25">
      <c r="C53" s="38">
        <v>24</v>
      </c>
      <c r="D53" s="33"/>
      <c r="E53" s="33" t="s">
        <v>854</v>
      </c>
      <c r="F53" s="49">
        <f>IF(I$50&lt;&gt;0,I47/I$50,0)</f>
        <v>0.4774086338298365</v>
      </c>
      <c r="G53" s="49">
        <f>IF(I47&lt;&gt;0,I43/I47,0)</f>
        <v>5.282354512224597E-2</v>
      </c>
      <c r="H53" s="49"/>
      <c r="I53" s="49">
        <f>F53*G53</f>
        <v>2.5218416510860174E-2</v>
      </c>
      <c r="J53" s="33"/>
      <c r="K53" s="33"/>
    </row>
    <row r="54" spans="3:11" x14ac:dyDescent="0.25">
      <c r="C54" s="38">
        <v>25</v>
      </c>
      <c r="D54" s="33"/>
      <c r="E54" s="33" t="s">
        <v>76</v>
      </c>
      <c r="F54" s="49">
        <f t="shared" ref="F54:F55" si="0">IF(I$50&lt;&gt;0,I48/I$50,0)</f>
        <v>0</v>
      </c>
      <c r="G54" s="49">
        <f>IF(I48&lt;&gt;0,I45/I48,0)</f>
        <v>0</v>
      </c>
      <c r="H54" s="49"/>
      <c r="I54" s="49">
        <f>F54*G54</f>
        <v>0</v>
      </c>
      <c r="J54" s="33"/>
      <c r="K54" s="33"/>
    </row>
    <row r="55" spans="3:11" ht="13.8" thickBot="1" x14ac:dyDescent="0.3">
      <c r="C55" s="38">
        <v>26</v>
      </c>
      <c r="D55" s="33"/>
      <c r="E55" s="33" t="s">
        <v>85</v>
      </c>
      <c r="F55" s="49">
        <f t="shared" si="0"/>
        <v>0.52259136617016355</v>
      </c>
      <c r="G55" s="50">
        <f>+'DEF - 6  p1, FF1 Inputs '!J86</f>
        <v>0.1</v>
      </c>
      <c r="H55" s="50"/>
      <c r="I55" s="49">
        <f>F55*G55</f>
        <v>5.2259136617016359E-2</v>
      </c>
      <c r="J55" s="33"/>
      <c r="K55" s="33"/>
    </row>
    <row r="56" spans="3:11" ht="16.2" thickTop="1" x14ac:dyDescent="0.35">
      <c r="C56" s="38">
        <v>27</v>
      </c>
      <c r="D56" s="33"/>
      <c r="E56" s="39" t="s">
        <v>131</v>
      </c>
      <c r="F56" s="33"/>
      <c r="G56" s="33"/>
      <c r="H56" s="33"/>
      <c r="I56" s="341">
        <f>SUM(I53:I55)</f>
        <v>7.7477553127876533E-2</v>
      </c>
      <c r="J56" s="33"/>
      <c r="K56" s="33"/>
    </row>
    <row r="57" spans="3:11" x14ac:dyDescent="0.25">
      <c r="C57" s="33"/>
      <c r="D57" s="33"/>
      <c r="E57" s="33"/>
      <c r="F57" s="33"/>
      <c r="G57" s="33"/>
      <c r="H57" s="33"/>
      <c r="I57" s="33"/>
      <c r="J57" s="33"/>
      <c r="K57" s="33"/>
    </row>
    <row r="58" spans="3:11" x14ac:dyDescent="0.25">
      <c r="C58" s="33"/>
      <c r="D58" s="33"/>
      <c r="E58" s="33"/>
      <c r="F58" s="33"/>
      <c r="G58" s="33"/>
      <c r="H58" s="33"/>
      <c r="I58" s="33"/>
      <c r="J58" s="33"/>
      <c r="K58" s="33"/>
    </row>
    <row r="59" spans="3:11" x14ac:dyDescent="0.25">
      <c r="I59" s="376"/>
      <c r="K59" s="33"/>
    </row>
    <row r="60" spans="3:11" x14ac:dyDescent="0.25">
      <c r="K60" s="33"/>
    </row>
    <row r="61" spans="3:11" x14ac:dyDescent="0.25">
      <c r="K61" s="33"/>
    </row>
    <row r="62" spans="3:11" x14ac:dyDescent="0.25">
      <c r="K62" s="33"/>
    </row>
    <row r="63" spans="3:11" x14ac:dyDescent="0.25">
      <c r="K63" s="33"/>
    </row>
    <row r="64" spans="3:11" x14ac:dyDescent="0.25">
      <c r="K64" s="33"/>
    </row>
    <row r="65" spans="11:11" x14ac:dyDescent="0.25">
      <c r="K65" s="33"/>
    </row>
    <row r="66" spans="11:11" x14ac:dyDescent="0.25">
      <c r="K66" s="33"/>
    </row>
    <row r="67" spans="11:11" x14ac:dyDescent="0.25">
      <c r="K67" s="33"/>
    </row>
  </sheetData>
  <mergeCells count="6">
    <mergeCell ref="A8:K8"/>
    <mergeCell ref="J1:K1"/>
    <mergeCell ref="J2:K2"/>
    <mergeCell ref="J3:K3"/>
    <mergeCell ref="A5:K5"/>
    <mergeCell ref="A6:K6"/>
  </mergeCells>
  <phoneticPr fontId="0" type="noConversion"/>
  <printOptions horizontalCentered="1"/>
  <pageMargins left="0.5" right="0.5" top="0.5" bottom="0.5" header="0.5" footer="0.5"/>
  <pageSetup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R90"/>
  <sheetViews>
    <sheetView topLeftCell="A9" workbookViewId="0">
      <selection activeCell="F13" sqref="F13"/>
    </sheetView>
  </sheetViews>
  <sheetFormatPr defaultRowHeight="13.2" x14ac:dyDescent="0.25"/>
  <cols>
    <col min="1" max="1" width="2.6640625" customWidth="1"/>
    <col min="2" max="2" width="8.44140625" bestFit="1" customWidth="1"/>
    <col min="3" max="3" width="2.6640625" customWidth="1"/>
    <col min="4" max="4" width="34.6640625" customWidth="1"/>
    <col min="5" max="5" width="12.44140625" customWidth="1"/>
    <col min="6" max="6" width="11.6640625" bestFit="1" customWidth="1"/>
    <col min="7" max="7" width="2.6640625" customWidth="1"/>
    <col min="8" max="8" width="8" bestFit="1" customWidth="1"/>
    <col min="9" max="9" width="8.109375" bestFit="1" customWidth="1"/>
    <col min="10" max="10" width="6.6640625" customWidth="1"/>
    <col min="11" max="11" width="13.6640625" customWidth="1"/>
    <col min="12" max="12" width="27.109375" customWidth="1"/>
    <col min="14" max="14" width="13.5546875" bestFit="1" customWidth="1"/>
    <col min="15" max="15" width="18" bestFit="1" customWidth="1"/>
  </cols>
  <sheetData>
    <row r="1" spans="1:18" ht="13.8" x14ac:dyDescent="0.25">
      <c r="K1" s="234"/>
      <c r="L1" s="282" t="s">
        <v>809</v>
      </c>
    </row>
    <row r="2" spans="1:18" ht="13.8" x14ac:dyDescent="0.25">
      <c r="F2" t="s">
        <v>232</v>
      </c>
      <c r="K2" s="234"/>
      <c r="L2" s="234" t="s">
        <v>203</v>
      </c>
    </row>
    <row r="3" spans="1:18" x14ac:dyDescent="0.25">
      <c r="K3" s="235"/>
      <c r="L3" s="236" t="str">
        <f>FF1_Year</f>
        <v>Year Ending 12/31/2014</v>
      </c>
    </row>
    <row r="5" spans="1:18" x14ac:dyDescent="0.25">
      <c r="A5" s="447" t="s">
        <v>826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</row>
    <row r="6" spans="1:18" x14ac:dyDescent="0.25">
      <c r="A6" s="447" t="s">
        <v>128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</row>
    <row r="7" spans="1:18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8" x14ac:dyDescent="0.25">
      <c r="A8" s="447" t="s">
        <v>1112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</row>
    <row r="10" spans="1:18" x14ac:dyDescent="0.25">
      <c r="B10" s="2"/>
    </row>
    <row r="11" spans="1:18" ht="26.4" x14ac:dyDescent="0.25">
      <c r="B11" s="11" t="s">
        <v>21</v>
      </c>
      <c r="C11" s="12"/>
      <c r="D11" s="13"/>
      <c r="E11" s="11" t="s">
        <v>4</v>
      </c>
      <c r="F11" s="11" t="s">
        <v>22</v>
      </c>
      <c r="G11" s="11"/>
      <c r="H11" s="447" t="s">
        <v>23</v>
      </c>
      <c r="I11" s="447"/>
      <c r="J11" s="11"/>
      <c r="K11" s="14" t="s">
        <v>24</v>
      </c>
      <c r="L11" s="4"/>
    </row>
    <row r="12" spans="1:18" x14ac:dyDescent="0.25">
      <c r="B12" s="2"/>
      <c r="C12" s="3"/>
    </row>
    <row r="13" spans="1:18" x14ac:dyDescent="0.25">
      <c r="B13" s="8">
        <v>1</v>
      </c>
      <c r="C13" s="3" t="s">
        <v>170</v>
      </c>
      <c r="E13" s="2" t="str">
        <f>'DEF - 6  p1, FF1 Inputs '!F36</f>
        <v>230a.5.b</v>
      </c>
      <c r="F13" s="35">
        <f>'DEF - 6  p1, FF1 Inputs '!J36</f>
        <v>1959865</v>
      </c>
      <c r="G13" s="33"/>
      <c r="H13" s="378"/>
      <c r="I13" s="36"/>
      <c r="J13" s="36"/>
      <c r="K13" s="10"/>
      <c r="M13" s="1"/>
    </row>
    <row r="14" spans="1:18" ht="13.8" thickBot="1" x14ac:dyDescent="0.3">
      <c r="B14" s="8">
        <v>2</v>
      </c>
      <c r="C14" s="3"/>
      <c r="D14" t="s">
        <v>167</v>
      </c>
      <c r="E14" s="2" t="s">
        <v>194</v>
      </c>
      <c r="F14" s="387">
        <f>14534920/15796861</f>
        <v>0.92011444552180333</v>
      </c>
      <c r="G14" s="33"/>
      <c r="H14" s="378" t="s">
        <v>172</v>
      </c>
      <c r="I14" s="36"/>
      <c r="J14" s="36"/>
      <c r="K14" s="10"/>
      <c r="M14" s="87"/>
      <c r="N14" s="33"/>
      <c r="O14" s="33"/>
      <c r="P14" s="33"/>
      <c r="Q14" s="33"/>
      <c r="R14" s="33"/>
    </row>
    <row r="15" spans="1:18" ht="13.8" thickTop="1" x14ac:dyDescent="0.25">
      <c r="B15" s="8">
        <v>3</v>
      </c>
      <c r="C15" s="3" t="s">
        <v>171</v>
      </c>
      <c r="E15" s="2"/>
      <c r="F15" s="45">
        <f>F13*F14</f>
        <v>1803300.0977725892</v>
      </c>
      <c r="G15" s="33"/>
      <c r="H15" s="121" t="s">
        <v>429</v>
      </c>
      <c r="I15" s="36">
        <f>1055859696/1143125894</f>
        <v>0.92366002864772823</v>
      </c>
      <c r="J15" s="36"/>
      <c r="K15" s="10">
        <f>F15*I15</f>
        <v>1665636.2199690808</v>
      </c>
    </row>
    <row r="16" spans="1:18" x14ac:dyDescent="0.25">
      <c r="B16" s="8"/>
      <c r="C16" s="3"/>
      <c r="E16" s="2"/>
      <c r="F16" s="44"/>
      <c r="G16" s="33"/>
      <c r="H16" s="378"/>
      <c r="I16" s="36"/>
      <c r="J16" s="36"/>
      <c r="K16" s="10"/>
    </row>
    <row r="17" spans="2:11" x14ac:dyDescent="0.25">
      <c r="B17" s="8"/>
      <c r="C17" s="3" t="s">
        <v>379</v>
      </c>
      <c r="E17" s="2"/>
      <c r="F17" s="44"/>
      <c r="G17" s="33"/>
      <c r="H17" s="378"/>
      <c r="I17" s="36"/>
      <c r="J17" s="36"/>
      <c r="K17" s="10"/>
    </row>
    <row r="18" spans="2:11" ht="6" customHeight="1" x14ac:dyDescent="0.25">
      <c r="B18" s="8"/>
      <c r="C18" s="3"/>
      <c r="E18" s="2"/>
      <c r="F18" s="44"/>
      <c r="G18" s="33"/>
      <c r="H18" s="378"/>
      <c r="I18" s="36"/>
      <c r="J18" s="36"/>
      <c r="K18" s="10"/>
    </row>
    <row r="19" spans="2:11" ht="12.75" customHeight="1" x14ac:dyDescent="0.25">
      <c r="B19" s="25">
        <v>4</v>
      </c>
      <c r="C19" s="3"/>
      <c r="D19" s="22" t="s">
        <v>275</v>
      </c>
      <c r="E19" s="16" t="str">
        <f>'DEF - 6  p1, FF1 Inputs '!F38</f>
        <v>230a.5.f</v>
      </c>
      <c r="F19" s="131">
        <v>15658702</v>
      </c>
      <c r="G19" s="377"/>
      <c r="H19" s="88" t="s">
        <v>364</v>
      </c>
      <c r="I19" s="36">
        <f>F14*I15</f>
        <v>0.8498729351098574</v>
      </c>
      <c r="J19" s="388"/>
      <c r="K19" s="26">
        <f>F19*I19</f>
        <v>13307907.028750595</v>
      </c>
    </row>
    <row r="20" spans="2:11" ht="6" customHeight="1" x14ac:dyDescent="0.25">
      <c r="B20" s="8"/>
      <c r="C20" s="3"/>
      <c r="E20" s="2"/>
      <c r="F20" s="44"/>
      <c r="G20" s="33"/>
      <c r="H20" s="378"/>
      <c r="I20" s="36"/>
      <c r="J20" s="36"/>
      <c r="K20" s="10"/>
    </row>
    <row r="21" spans="2:11" ht="12.75" customHeight="1" x14ac:dyDescent="0.25">
      <c r="B21" s="8"/>
      <c r="C21" s="3"/>
      <c r="D21" t="s">
        <v>173</v>
      </c>
      <c r="E21" s="2"/>
      <c r="F21" s="44"/>
      <c r="G21" s="33"/>
      <c r="H21" s="378"/>
      <c r="I21" s="36"/>
      <c r="J21" s="36"/>
      <c r="K21" s="10"/>
    </row>
    <row r="22" spans="2:11" ht="12.75" customHeight="1" x14ac:dyDescent="0.25">
      <c r="B22" s="8">
        <v>5</v>
      </c>
      <c r="C22" s="3"/>
      <c r="D22" t="s">
        <v>174</v>
      </c>
      <c r="E22" s="2" t="s">
        <v>249</v>
      </c>
      <c r="F22" s="44">
        <v>434000</v>
      </c>
      <c r="G22" s="33"/>
      <c r="H22" s="378" t="s">
        <v>364</v>
      </c>
      <c r="I22" s="36">
        <f>F22/6000000</f>
        <v>7.2333333333333333E-2</v>
      </c>
      <c r="J22" s="36"/>
      <c r="K22" s="10"/>
    </row>
    <row r="23" spans="2:11" ht="12.75" customHeight="1" x14ac:dyDescent="0.25">
      <c r="B23" s="8">
        <v>6</v>
      </c>
      <c r="C23" s="3"/>
      <c r="D23" t="s">
        <v>175</v>
      </c>
      <c r="E23" s="2"/>
      <c r="F23" s="44">
        <f>130000000/(1-I22)</f>
        <v>140136543.29859865</v>
      </c>
      <c r="G23" s="33"/>
      <c r="H23" s="378"/>
      <c r="I23" s="36"/>
      <c r="J23" s="36"/>
      <c r="K23" s="10"/>
    </row>
    <row r="24" spans="2:11" ht="12.75" customHeight="1" x14ac:dyDescent="0.25">
      <c r="B24" s="8">
        <v>7</v>
      </c>
      <c r="C24" s="3"/>
      <c r="D24" s="120" t="s">
        <v>274</v>
      </c>
      <c r="E24" s="2"/>
      <c r="F24" s="44">
        <f>F23-130000000</f>
        <v>10136543.298598647</v>
      </c>
      <c r="G24" s="33"/>
      <c r="H24" s="88" t="s">
        <v>364</v>
      </c>
      <c r="I24" s="36">
        <f>I19</f>
        <v>0.8498729351098574</v>
      </c>
      <c r="J24" s="388"/>
      <c r="K24" s="26">
        <f>F24*I24</f>
        <v>8614773.8050481882</v>
      </c>
    </row>
    <row r="25" spans="2:11" ht="12.75" customHeight="1" x14ac:dyDescent="0.25">
      <c r="B25" s="8"/>
      <c r="C25" s="3"/>
      <c r="E25" s="2"/>
      <c r="F25" s="9"/>
      <c r="H25" s="38"/>
      <c r="I25" s="7"/>
      <c r="J25" s="7"/>
      <c r="K25" s="10"/>
    </row>
    <row r="26" spans="2:11" ht="12.75" customHeight="1" x14ac:dyDescent="0.25">
      <c r="B26" s="8">
        <f>B24+1</f>
        <v>8</v>
      </c>
      <c r="C26" s="3" t="s">
        <v>380</v>
      </c>
      <c r="E26" s="2" t="s">
        <v>249</v>
      </c>
      <c r="F26" s="9">
        <f>F22</f>
        <v>434000</v>
      </c>
      <c r="G26" s="22"/>
      <c r="H26" s="24" t="s">
        <v>364</v>
      </c>
      <c r="I26" s="7">
        <f>I19</f>
        <v>0.8498729351098574</v>
      </c>
      <c r="J26" s="23"/>
      <c r="K26" s="9">
        <f>F26*I26</f>
        <v>368844.85383767809</v>
      </c>
    </row>
    <row r="27" spans="2:11" ht="12.75" customHeight="1" x14ac:dyDescent="0.25">
      <c r="B27" s="8"/>
      <c r="C27" s="3"/>
      <c r="E27" s="2"/>
      <c r="F27" s="9"/>
      <c r="G27" s="22"/>
      <c r="H27" s="24"/>
      <c r="I27" s="23"/>
      <c r="J27" s="23"/>
      <c r="K27" s="9"/>
    </row>
    <row r="28" spans="2:11" ht="12.75" customHeight="1" x14ac:dyDescent="0.25">
      <c r="B28" s="8">
        <f>B26+1</f>
        <v>9</v>
      </c>
      <c r="C28" s="39" t="s">
        <v>842</v>
      </c>
      <c r="E28" s="2"/>
      <c r="F28" s="9"/>
      <c r="G28" s="22"/>
      <c r="H28" s="24"/>
      <c r="I28" s="23"/>
      <c r="J28" s="23"/>
      <c r="K28" s="117">
        <f>'DEF - 6 p2, Levelized Storm'!F42</f>
        <v>140.49561401738774</v>
      </c>
    </row>
    <row r="29" spans="2:11" ht="12.75" customHeight="1" x14ac:dyDescent="0.25">
      <c r="B29" s="8"/>
      <c r="C29" s="3"/>
      <c r="E29" s="2"/>
      <c r="F29" s="9"/>
      <c r="G29" s="22"/>
      <c r="H29" s="24"/>
      <c r="I29" s="23"/>
      <c r="J29" s="23"/>
      <c r="K29" s="9"/>
    </row>
    <row r="30" spans="2:11" x14ac:dyDescent="0.25">
      <c r="B30" s="2"/>
      <c r="C30" s="3" t="s">
        <v>93</v>
      </c>
      <c r="E30" s="2"/>
      <c r="F30" s="9"/>
      <c r="H30" s="2"/>
      <c r="I30" s="7"/>
      <c r="J30" s="7"/>
      <c r="K30" s="1"/>
    </row>
    <row r="31" spans="2:11" x14ac:dyDescent="0.25">
      <c r="B31" s="2">
        <f>B28+1</f>
        <v>10</v>
      </c>
      <c r="C31" s="3"/>
      <c r="D31" s="89" t="str">
        <f>'DEF - 6  p1, FF1 Inputs '!E65</f>
        <v>Firm Network Service for Self</v>
      </c>
      <c r="E31" s="2" t="str">
        <f>'DEF - 6  p1, FF1 Inputs '!F65</f>
        <v>400.17.e</v>
      </c>
      <c r="F31" s="1">
        <f>'DEF - 6  p1, FF1 Inputs '!$J$65</f>
        <v>85106</v>
      </c>
      <c r="H31" s="2"/>
      <c r="I31" s="36">
        <v>0</v>
      </c>
      <c r="J31" s="7"/>
      <c r="K31" s="1">
        <f>IF(ISNUMBER(I31),F31*I31,"")</f>
        <v>0</v>
      </c>
    </row>
    <row r="32" spans="2:11" x14ac:dyDescent="0.25">
      <c r="B32" s="2">
        <f>B31+1</f>
        <v>11</v>
      </c>
      <c r="C32" s="3"/>
      <c r="D32" s="89" t="str">
        <f>'DEF - 6  p1, FF1 Inputs '!E66&amp;" (Note K)"</f>
        <v>Firm Network Service for Others (Note K)</v>
      </c>
      <c r="E32" s="2" t="str">
        <f>'DEF - 6  p1, FF1 Inputs '!F66</f>
        <v>400.17.f</v>
      </c>
      <c r="F32" s="1">
        <f>'DEF - 6  p1, FF1 Inputs '!$J$66</f>
        <v>32347</v>
      </c>
      <c r="H32" s="2"/>
      <c r="I32" s="36">
        <v>1</v>
      </c>
      <c r="J32" s="7"/>
      <c r="K32" s="1">
        <f>IF(ISNUMBER(I32),F32*I32,"")</f>
        <v>32347</v>
      </c>
    </row>
    <row r="33" spans="2:12" x14ac:dyDescent="0.25">
      <c r="B33" s="2">
        <f>B32+1</f>
        <v>12</v>
      </c>
      <c r="C33" s="3"/>
      <c r="D33" s="89" t="str">
        <f>'DEF - 6  p1, FF1 Inputs '!E67</f>
        <v>Long-Term Firm PTP Reservations</v>
      </c>
      <c r="E33" s="2" t="str">
        <f>'DEF - 6  p1, FF1 Inputs '!F67</f>
        <v>400.17.g</v>
      </c>
      <c r="F33" s="1">
        <f>'DEF - 6  p1, FF1 Inputs '!$J$67</f>
        <v>2110</v>
      </c>
      <c r="H33" s="2"/>
      <c r="I33" s="36">
        <v>1</v>
      </c>
      <c r="J33" s="7"/>
      <c r="K33" s="1">
        <f>IF(ISNUMBER(I33),F33*I33,"")</f>
        <v>2110</v>
      </c>
    </row>
    <row r="34" spans="2:12" x14ac:dyDescent="0.25">
      <c r="B34" s="2">
        <f>B33+1</f>
        <v>13</v>
      </c>
      <c r="C34" s="3"/>
      <c r="D34" s="89" t="str">
        <f>'DEF - 6  p1, FF1 Inputs '!E68</f>
        <v>Other Long-Term Firm Service</v>
      </c>
      <c r="E34" s="2" t="str">
        <f>'DEF - 6  p1, FF1 Inputs '!F68</f>
        <v>400.17.h</v>
      </c>
      <c r="F34" s="1">
        <f>'DEF - 6  p1, FF1 Inputs '!$J$68</f>
        <v>490</v>
      </c>
      <c r="H34" s="2"/>
      <c r="I34" s="36">
        <v>1</v>
      </c>
      <c r="J34" s="7"/>
      <c r="K34" s="1">
        <f>IF(ISNUMBER(I34),F34*I34,"")</f>
        <v>490</v>
      </c>
    </row>
    <row r="35" spans="2:12" ht="13.8" thickBot="1" x14ac:dyDescent="0.3">
      <c r="B35" s="2">
        <f>B34+1</f>
        <v>14</v>
      </c>
      <c r="C35" s="3"/>
      <c r="D35" s="87" t="s">
        <v>230</v>
      </c>
      <c r="E35" s="38"/>
      <c r="F35" s="42">
        <v>0</v>
      </c>
      <c r="G35" s="33"/>
      <c r="H35" s="38"/>
      <c r="I35" s="36">
        <v>1</v>
      </c>
      <c r="J35" s="36"/>
      <c r="K35" s="35">
        <f>F35*I35</f>
        <v>0</v>
      </c>
    </row>
    <row r="36" spans="2:12" ht="13.8" thickTop="1" x14ac:dyDescent="0.25">
      <c r="B36" s="2">
        <f>B35+1</f>
        <v>15</v>
      </c>
      <c r="C36" s="3"/>
      <c r="D36" s="33" t="s">
        <v>855</v>
      </c>
      <c r="E36" s="38"/>
      <c r="F36" s="45">
        <f>SUM(F31:F35)</f>
        <v>120053</v>
      </c>
      <c r="G36" s="33"/>
      <c r="H36" s="38"/>
      <c r="I36" s="36"/>
      <c r="J36" s="36"/>
      <c r="K36" s="45">
        <f>SUM(K31:K35)</f>
        <v>34947</v>
      </c>
    </row>
    <row r="37" spans="2:12" x14ac:dyDescent="0.25">
      <c r="B37" s="2"/>
      <c r="C37" s="3"/>
      <c r="E37" s="2"/>
      <c r="F37" s="10"/>
      <c r="H37" s="2"/>
      <c r="I37" s="7"/>
      <c r="J37" s="7"/>
      <c r="K37" s="1"/>
    </row>
    <row r="38" spans="2:12" x14ac:dyDescent="0.25">
      <c r="B38" s="2">
        <f>B36+1</f>
        <v>16</v>
      </c>
      <c r="C38" s="3" t="s">
        <v>387</v>
      </c>
      <c r="E38" s="2"/>
      <c r="F38" s="1"/>
      <c r="H38" s="2"/>
      <c r="I38" s="7"/>
      <c r="J38" s="7"/>
      <c r="K38" s="203">
        <f>F36/K36*I15*F14</f>
        <v>2.9195580587387675</v>
      </c>
      <c r="L38" s="201"/>
    </row>
    <row r="41" spans="2:12" x14ac:dyDescent="0.25">
      <c r="B41" s="16"/>
    </row>
    <row r="42" spans="2:12" x14ac:dyDescent="0.25">
      <c r="B42" s="16"/>
    </row>
    <row r="43" spans="2:12" x14ac:dyDescent="0.25">
      <c r="B43" s="16"/>
    </row>
    <row r="44" spans="2:12" x14ac:dyDescent="0.25">
      <c r="B44" s="16"/>
    </row>
    <row r="45" spans="2:12" x14ac:dyDescent="0.25">
      <c r="B45" s="16"/>
    </row>
    <row r="46" spans="2:12" x14ac:dyDescent="0.25">
      <c r="B46" s="51"/>
      <c r="C46" s="33"/>
      <c r="D46" s="33"/>
      <c r="E46" s="33"/>
      <c r="F46" s="33"/>
      <c r="G46" s="33"/>
    </row>
    <row r="47" spans="2:12" x14ac:dyDescent="0.25">
      <c r="B47" s="16"/>
    </row>
    <row r="48" spans="2:12" x14ac:dyDescent="0.25">
      <c r="B48" s="16"/>
    </row>
    <row r="49" spans="2:15" x14ac:dyDescent="0.25">
      <c r="B49" s="16"/>
    </row>
    <row r="50" spans="2:15" ht="12.75" customHeight="1" x14ac:dyDescent="0.25">
      <c r="B50" s="16"/>
      <c r="C50" s="137"/>
    </row>
    <row r="51" spans="2:15" ht="12.75" customHeight="1" x14ac:dyDescent="0.25">
      <c r="B51" s="16"/>
      <c r="C51" s="137"/>
    </row>
    <row r="52" spans="2:15" x14ac:dyDescent="0.25">
      <c r="B52" s="16"/>
    </row>
    <row r="54" spans="2:15" x14ac:dyDescent="0.25">
      <c r="B54" s="16"/>
    </row>
    <row r="56" spans="2:15" x14ac:dyDescent="0.25">
      <c r="B56" s="16"/>
    </row>
    <row r="57" spans="2:15" x14ac:dyDescent="0.25">
      <c r="B57" s="16"/>
      <c r="C57" s="138"/>
    </row>
    <row r="58" spans="2:15" x14ac:dyDescent="0.25">
      <c r="B58" s="16"/>
    </row>
    <row r="59" spans="2:15" x14ac:dyDescent="0.25">
      <c r="B59" s="16"/>
      <c r="N59" s="138"/>
      <c r="O59" s="56"/>
    </row>
    <row r="60" spans="2:15" x14ac:dyDescent="0.25">
      <c r="N60" s="276"/>
      <c r="O60" s="276"/>
    </row>
    <row r="61" spans="2:15" x14ac:dyDescent="0.25">
      <c r="B61" s="2"/>
      <c r="N61" s="33"/>
      <c r="O61" s="382"/>
    </row>
    <row r="63" spans="2:15" x14ac:dyDescent="0.25">
      <c r="B63" s="118"/>
    </row>
    <row r="65" spans="2:11" x14ac:dyDescent="0.25">
      <c r="B65" s="2"/>
    </row>
    <row r="67" spans="2:11" x14ac:dyDescent="0.25">
      <c r="B67" s="118"/>
    </row>
    <row r="69" spans="2:11" x14ac:dyDescent="0.25">
      <c r="B69" s="136"/>
      <c r="C69" s="137"/>
    </row>
    <row r="70" spans="2:11" x14ac:dyDescent="0.25">
      <c r="B70" s="136"/>
      <c r="C70" s="137"/>
    </row>
    <row r="71" spans="2:11" x14ac:dyDescent="0.25">
      <c r="B71" s="136"/>
      <c r="C71" s="137"/>
    </row>
    <row r="72" spans="2:11" x14ac:dyDescent="0.25">
      <c r="B72" s="137"/>
      <c r="C72" s="137"/>
    </row>
    <row r="73" spans="2:11" x14ac:dyDescent="0.25">
      <c r="B73" s="136"/>
      <c r="C73" s="137"/>
    </row>
    <row r="74" spans="2:11" x14ac:dyDescent="0.25">
      <c r="B74" s="136"/>
      <c r="C74" s="137"/>
    </row>
    <row r="75" spans="2:11" x14ac:dyDescent="0.25">
      <c r="B75" s="136"/>
      <c r="C75" s="137"/>
    </row>
    <row r="76" spans="2:11" x14ac:dyDescent="0.25">
      <c r="B76" s="136"/>
      <c r="C76" s="137"/>
    </row>
    <row r="77" spans="2:11" x14ac:dyDescent="0.25">
      <c r="B77" s="136"/>
      <c r="C77" s="137"/>
    </row>
    <row r="78" spans="2:11" x14ac:dyDescent="0.25">
      <c r="B78" s="136"/>
      <c r="C78" s="137"/>
    </row>
    <row r="79" spans="2:11" x14ac:dyDescent="0.25">
      <c r="B79" s="135"/>
      <c r="C79" s="137"/>
      <c r="D79" s="137"/>
      <c r="E79" s="134"/>
      <c r="F79" s="134"/>
    </row>
    <row r="80" spans="2:11" x14ac:dyDescent="0.25">
      <c r="B80" s="136"/>
      <c r="C80" s="137"/>
      <c r="D80" s="137"/>
      <c r="E80" s="134"/>
      <c r="F80" s="134"/>
      <c r="G80" s="134"/>
      <c r="H80" s="134"/>
      <c r="I80" s="134"/>
      <c r="J80" s="134"/>
      <c r="K80" s="134"/>
    </row>
    <row r="81" spans="2:4" x14ac:dyDescent="0.25">
      <c r="B81" s="137"/>
      <c r="C81" s="137"/>
      <c r="D81" s="137"/>
    </row>
    <row r="82" spans="2:4" x14ac:dyDescent="0.25">
      <c r="B82" s="137"/>
      <c r="C82" s="137"/>
      <c r="D82" s="137"/>
    </row>
    <row r="83" spans="2:4" x14ac:dyDescent="0.25">
      <c r="B83" s="137"/>
      <c r="C83" s="137"/>
      <c r="D83" s="137"/>
    </row>
    <row r="84" spans="2:4" x14ac:dyDescent="0.25">
      <c r="B84" s="137"/>
      <c r="C84" s="137"/>
      <c r="D84" s="137"/>
    </row>
    <row r="85" spans="2:4" x14ac:dyDescent="0.25">
      <c r="B85" s="137"/>
      <c r="C85" s="137"/>
      <c r="D85" s="137"/>
    </row>
    <row r="86" spans="2:4" x14ac:dyDescent="0.25">
      <c r="B86" s="137"/>
      <c r="C86" s="137"/>
      <c r="D86" s="137"/>
    </row>
    <row r="87" spans="2:4" x14ac:dyDescent="0.25">
      <c r="B87" s="137"/>
      <c r="C87" s="137"/>
      <c r="D87" s="137"/>
    </row>
    <row r="88" spans="2:4" x14ac:dyDescent="0.25">
      <c r="B88" s="137"/>
      <c r="C88" s="137"/>
      <c r="D88" s="137"/>
    </row>
    <row r="89" spans="2:4" x14ac:dyDescent="0.25">
      <c r="B89" s="137"/>
      <c r="C89" s="137"/>
      <c r="D89" s="137"/>
    </row>
    <row r="90" spans="2:4" x14ac:dyDescent="0.25">
      <c r="B90" s="137"/>
      <c r="C90" s="137"/>
      <c r="D90" s="137"/>
    </row>
  </sheetData>
  <mergeCells count="4">
    <mergeCell ref="H11:I11"/>
    <mergeCell ref="A5:L5"/>
    <mergeCell ref="A6:L6"/>
    <mergeCell ref="A8:L8"/>
  </mergeCells>
  <phoneticPr fontId="0" type="noConversion"/>
  <printOptions horizontalCentered="1"/>
  <pageMargins left="0.5" right="0.5" top="0.5" bottom="0.5" header="0.5" footer="0.5"/>
  <pageSetup scale="6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P67"/>
  <sheetViews>
    <sheetView workbookViewId="0">
      <selection activeCell="Q33" sqref="Q33"/>
    </sheetView>
  </sheetViews>
  <sheetFormatPr defaultRowHeight="13.2" x14ac:dyDescent="0.25"/>
  <cols>
    <col min="1" max="1" width="3.6640625" customWidth="1"/>
    <col min="2" max="2" width="8.44140625" bestFit="1" customWidth="1"/>
    <col min="4" max="4" width="6.88671875" customWidth="1"/>
    <col min="6" max="6" width="5.6640625" customWidth="1"/>
    <col min="7" max="7" width="11.6640625" customWidth="1"/>
    <col min="10" max="10" width="5.88671875" customWidth="1"/>
  </cols>
  <sheetData>
    <row r="1" spans="1:16" ht="13.8" x14ac:dyDescent="0.25">
      <c r="N1" s="437" t="s">
        <v>809</v>
      </c>
      <c r="O1" s="437"/>
      <c r="P1" s="437"/>
    </row>
    <row r="2" spans="1:16" ht="13.8" x14ac:dyDescent="0.25">
      <c r="N2" s="438" t="s">
        <v>204</v>
      </c>
      <c r="O2" s="438"/>
      <c r="P2" s="439"/>
    </row>
    <row r="3" spans="1:16" x14ac:dyDescent="0.25">
      <c r="N3" s="456" t="str">
        <f>FF1_Year</f>
        <v>Year Ending 12/31/2014</v>
      </c>
      <c r="O3" s="457"/>
      <c r="P3" s="457"/>
    </row>
    <row r="6" spans="1:16" x14ac:dyDescent="0.25">
      <c r="A6" s="447" t="s">
        <v>826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</row>
    <row r="7" spans="1:16" x14ac:dyDescent="0.25">
      <c r="A7" s="447" t="s">
        <v>128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</row>
    <row r="8" spans="1:16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6" x14ac:dyDescent="0.25">
      <c r="A9" s="451" t="s">
        <v>1113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</row>
    <row r="14" spans="1:16" x14ac:dyDescent="0.25">
      <c r="A14" s="3"/>
    </row>
    <row r="15" spans="1:16" x14ac:dyDescent="0.25">
      <c r="B15" t="s">
        <v>97</v>
      </c>
      <c r="C15" t="s">
        <v>268</v>
      </c>
    </row>
    <row r="16" spans="1:16" x14ac:dyDescent="0.25">
      <c r="B16" t="s">
        <v>98</v>
      </c>
      <c r="C16" t="s">
        <v>759</v>
      </c>
    </row>
    <row r="17" spans="2:3" x14ac:dyDescent="0.25">
      <c r="C17" t="s">
        <v>760</v>
      </c>
    </row>
    <row r="18" spans="2:3" x14ac:dyDescent="0.25">
      <c r="B18" t="s">
        <v>99</v>
      </c>
      <c r="C18" t="s">
        <v>121</v>
      </c>
    </row>
    <row r="19" spans="2:3" x14ac:dyDescent="0.25">
      <c r="B19" t="s">
        <v>100</v>
      </c>
      <c r="C19" t="s">
        <v>283</v>
      </c>
    </row>
    <row r="20" spans="2:3" x14ac:dyDescent="0.25">
      <c r="B20" t="s">
        <v>101</v>
      </c>
      <c r="C20" t="s">
        <v>273</v>
      </c>
    </row>
    <row r="21" spans="2:3" x14ac:dyDescent="0.25">
      <c r="B21" t="s">
        <v>122</v>
      </c>
      <c r="C21" t="s">
        <v>761</v>
      </c>
    </row>
    <row r="22" spans="2:3" x14ac:dyDescent="0.25">
      <c r="C22" t="s">
        <v>762</v>
      </c>
    </row>
    <row r="23" spans="2:3" x14ac:dyDescent="0.25">
      <c r="B23" t="s">
        <v>125</v>
      </c>
      <c r="C23" t="s">
        <v>165</v>
      </c>
    </row>
    <row r="24" spans="2:3" x14ac:dyDescent="0.25">
      <c r="B24" t="s">
        <v>164</v>
      </c>
      <c r="C24" t="s">
        <v>763</v>
      </c>
    </row>
    <row r="25" spans="2:3" x14ac:dyDescent="0.25">
      <c r="C25" t="s">
        <v>764</v>
      </c>
    </row>
    <row r="26" spans="2:3" x14ac:dyDescent="0.25">
      <c r="B26" t="s">
        <v>186</v>
      </c>
      <c r="C26" t="s">
        <v>815</v>
      </c>
    </row>
    <row r="27" spans="2:3" x14ac:dyDescent="0.25">
      <c r="C27" t="s">
        <v>765</v>
      </c>
    </row>
    <row r="28" spans="2:3" x14ac:dyDescent="0.25">
      <c r="B28" t="s">
        <v>195</v>
      </c>
      <c r="C28" t="s">
        <v>766</v>
      </c>
    </row>
    <row r="29" spans="2:3" x14ac:dyDescent="0.25">
      <c r="C29" t="s">
        <v>767</v>
      </c>
    </row>
    <row r="30" spans="2:3" x14ac:dyDescent="0.25">
      <c r="B30" t="s">
        <v>196</v>
      </c>
      <c r="C30" t="s">
        <v>198</v>
      </c>
    </row>
    <row r="31" spans="2:3" x14ac:dyDescent="0.25">
      <c r="B31" t="s">
        <v>281</v>
      </c>
      <c r="C31" t="s">
        <v>1114</v>
      </c>
    </row>
    <row r="32" spans="2:3" x14ac:dyDescent="0.25">
      <c r="B32" t="s">
        <v>361</v>
      </c>
      <c r="C32" t="s">
        <v>768</v>
      </c>
    </row>
    <row r="33" spans="1:7" x14ac:dyDescent="0.25">
      <c r="B33" t="s">
        <v>365</v>
      </c>
      <c r="C33" t="s">
        <v>769</v>
      </c>
    </row>
    <row r="34" spans="1:7" x14ac:dyDescent="0.25">
      <c r="C34" t="s">
        <v>770</v>
      </c>
    </row>
    <row r="35" spans="1:7" x14ac:dyDescent="0.25">
      <c r="B35" t="s">
        <v>371</v>
      </c>
      <c r="C35" t="s">
        <v>816</v>
      </c>
    </row>
    <row r="36" spans="1:7" x14ac:dyDescent="0.25">
      <c r="C36" t="s">
        <v>771</v>
      </c>
    </row>
    <row r="37" spans="1:7" x14ac:dyDescent="0.25">
      <c r="B37" t="s">
        <v>383</v>
      </c>
      <c r="C37" t="s">
        <v>772</v>
      </c>
    </row>
    <row r="38" spans="1:7" x14ac:dyDescent="0.25">
      <c r="C38" t="s">
        <v>817</v>
      </c>
    </row>
    <row r="39" spans="1:7" x14ac:dyDescent="0.25">
      <c r="B39" t="s">
        <v>384</v>
      </c>
      <c r="C39" t="s">
        <v>773</v>
      </c>
    </row>
    <row r="40" spans="1:7" x14ac:dyDescent="0.25">
      <c r="C40" t="s">
        <v>774</v>
      </c>
    </row>
    <row r="41" spans="1:7" x14ac:dyDescent="0.25">
      <c r="B41" t="s">
        <v>385</v>
      </c>
      <c r="C41" t="s">
        <v>775</v>
      </c>
    </row>
    <row r="42" spans="1:7" x14ac:dyDescent="0.25">
      <c r="C42" t="s">
        <v>776</v>
      </c>
    </row>
    <row r="43" spans="1:7" x14ac:dyDescent="0.25">
      <c r="B43" t="s">
        <v>454</v>
      </c>
      <c r="C43" t="s">
        <v>777</v>
      </c>
    </row>
    <row r="44" spans="1:7" x14ac:dyDescent="0.25">
      <c r="C44" t="s">
        <v>818</v>
      </c>
    </row>
    <row r="45" spans="1:7" x14ac:dyDescent="0.25">
      <c r="C45" t="s">
        <v>778</v>
      </c>
    </row>
    <row r="46" spans="1:7" x14ac:dyDescent="0.25">
      <c r="C46" t="s">
        <v>779</v>
      </c>
    </row>
    <row r="47" spans="1:7" x14ac:dyDescent="0.25">
      <c r="A47" s="3"/>
      <c r="B47" t="s">
        <v>453</v>
      </c>
      <c r="C47" t="s">
        <v>458</v>
      </c>
      <c r="G47" s="35"/>
    </row>
    <row r="48" spans="1:7" x14ac:dyDescent="0.25">
      <c r="B48" t="s">
        <v>459</v>
      </c>
      <c r="C48" t="s">
        <v>780</v>
      </c>
      <c r="G48" s="35"/>
    </row>
    <row r="49" spans="1:7" x14ac:dyDescent="0.25">
      <c r="C49" t="s">
        <v>781</v>
      </c>
      <c r="G49" s="35"/>
    </row>
    <row r="50" spans="1:7" x14ac:dyDescent="0.25">
      <c r="C50" t="s">
        <v>782</v>
      </c>
      <c r="G50" s="1"/>
    </row>
    <row r="51" spans="1:7" x14ac:dyDescent="0.25">
      <c r="A51" s="32"/>
      <c r="C51" t="s">
        <v>783</v>
      </c>
      <c r="G51" s="1"/>
    </row>
    <row r="52" spans="1:7" x14ac:dyDescent="0.25">
      <c r="B52" t="s">
        <v>460</v>
      </c>
      <c r="C52" t="s">
        <v>1028</v>
      </c>
    </row>
    <row r="53" spans="1:7" x14ac:dyDescent="0.25">
      <c r="C53" t="s">
        <v>1115</v>
      </c>
    </row>
    <row r="54" spans="1:7" x14ac:dyDescent="0.25">
      <c r="B54" t="s">
        <v>461</v>
      </c>
      <c r="C54" t="s">
        <v>819</v>
      </c>
    </row>
    <row r="55" spans="1:7" x14ac:dyDescent="0.25">
      <c r="C55" t="s">
        <v>784</v>
      </c>
    </row>
    <row r="56" spans="1:7" x14ac:dyDescent="0.25">
      <c r="C56" t="s">
        <v>820</v>
      </c>
    </row>
    <row r="57" spans="1:7" x14ac:dyDescent="0.25">
      <c r="C57" t="s">
        <v>785</v>
      </c>
    </row>
    <row r="58" spans="1:7" x14ac:dyDescent="0.25">
      <c r="C58" t="s">
        <v>786</v>
      </c>
    </row>
    <row r="59" spans="1:7" x14ac:dyDescent="0.25">
      <c r="C59" t="s">
        <v>821</v>
      </c>
    </row>
    <row r="60" spans="1:7" x14ac:dyDescent="0.25">
      <c r="C60" t="s">
        <v>822</v>
      </c>
    </row>
    <row r="61" spans="1:7" x14ac:dyDescent="0.25">
      <c r="C61" t="s">
        <v>787</v>
      </c>
    </row>
    <row r="62" spans="1:7" x14ac:dyDescent="0.25">
      <c r="C62" t="s">
        <v>788</v>
      </c>
    </row>
    <row r="63" spans="1:7" x14ac:dyDescent="0.25">
      <c r="C63" t="s">
        <v>1098</v>
      </c>
    </row>
    <row r="64" spans="1:7" x14ac:dyDescent="0.25">
      <c r="B64" t="s">
        <v>856</v>
      </c>
      <c r="C64" t="s">
        <v>857</v>
      </c>
    </row>
    <row r="65" spans="3:3" x14ac:dyDescent="0.25">
      <c r="C65" t="s">
        <v>858</v>
      </c>
    </row>
    <row r="66" spans="3:3" x14ac:dyDescent="0.25">
      <c r="C66" t="s">
        <v>859</v>
      </c>
    </row>
    <row r="67" spans="3:3" x14ac:dyDescent="0.25">
      <c r="C67" t="s">
        <v>860</v>
      </c>
    </row>
  </sheetData>
  <mergeCells count="6">
    <mergeCell ref="A9:P9"/>
    <mergeCell ref="N1:P1"/>
    <mergeCell ref="N2:P2"/>
    <mergeCell ref="N3:P3"/>
    <mergeCell ref="A6:P6"/>
    <mergeCell ref="A7:P7"/>
  </mergeCells>
  <phoneticPr fontId="16" type="noConversion"/>
  <printOptions horizontalCentered="1"/>
  <pageMargins left="0.5" right="0.5" top="0.5" bottom="0.5" header="0.5" footer="0.5"/>
  <pageSetup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I46"/>
  <sheetViews>
    <sheetView zoomScaleNormal="100" workbookViewId="0">
      <selection activeCell="I28" sqref="I28"/>
    </sheetView>
  </sheetViews>
  <sheetFormatPr defaultRowHeight="13.2" x14ac:dyDescent="0.25"/>
  <cols>
    <col min="1" max="1" width="5.6640625" customWidth="1"/>
    <col min="2" max="2" width="43.88671875" customWidth="1"/>
    <col min="3" max="3" width="4.6640625" customWidth="1"/>
    <col min="4" max="4" width="12.33203125" bestFit="1" customWidth="1"/>
    <col min="5" max="5" width="4.6640625" customWidth="1"/>
    <col min="6" max="6" width="12.109375" bestFit="1" customWidth="1"/>
    <col min="7" max="7" width="18.44140625" customWidth="1"/>
    <col min="8" max="8" width="11.44140625" customWidth="1"/>
  </cols>
  <sheetData>
    <row r="1" spans="1:9" ht="13.8" x14ac:dyDescent="0.25">
      <c r="G1" s="438" t="s">
        <v>811</v>
      </c>
      <c r="H1" s="438"/>
    </row>
    <row r="2" spans="1:9" ht="13.8" x14ac:dyDescent="0.25">
      <c r="G2" s="27" t="s">
        <v>183</v>
      </c>
      <c r="H2" s="27"/>
    </row>
    <row r="3" spans="1:9" x14ac:dyDescent="0.25">
      <c r="G3" s="456" t="str">
        <f>FF1_Year</f>
        <v>Year Ending 12/31/2014</v>
      </c>
      <c r="H3" s="457"/>
    </row>
    <row r="4" spans="1:9" x14ac:dyDescent="0.25">
      <c r="G4" s="89"/>
      <c r="H4" s="89"/>
    </row>
    <row r="6" spans="1:9" x14ac:dyDescent="0.25">
      <c r="A6" s="447" t="s">
        <v>826</v>
      </c>
      <c r="B6" s="447"/>
      <c r="C6" s="447"/>
      <c r="D6" s="447"/>
      <c r="E6" s="447"/>
      <c r="F6" s="447"/>
      <c r="G6" s="447"/>
      <c r="H6" s="447"/>
      <c r="I6" s="37"/>
    </row>
    <row r="7" spans="1:9" x14ac:dyDescent="0.25">
      <c r="A7" s="458" t="s">
        <v>354</v>
      </c>
      <c r="B7" s="458"/>
      <c r="C7" s="458"/>
      <c r="D7" s="458"/>
      <c r="E7" s="458"/>
      <c r="F7" s="458"/>
      <c r="G7" s="458"/>
      <c r="H7" s="458"/>
    </row>
    <row r="8" spans="1:9" x14ac:dyDescent="0.25">
      <c r="A8" s="458" t="s">
        <v>355</v>
      </c>
      <c r="B8" s="458"/>
      <c r="C8" s="458"/>
      <c r="D8" s="458"/>
      <c r="E8" s="458"/>
      <c r="F8" s="458"/>
      <c r="G8" s="458"/>
      <c r="H8" s="458"/>
    </row>
    <row r="9" spans="1:9" x14ac:dyDescent="0.25">
      <c r="B9" s="37"/>
      <c r="D9" s="1"/>
      <c r="E9" s="1"/>
      <c r="F9" s="1"/>
      <c r="G9" s="1"/>
      <c r="H9" s="1"/>
    </row>
    <row r="10" spans="1:9" x14ac:dyDescent="0.25">
      <c r="A10" s="138"/>
      <c r="B10" s="138"/>
      <c r="C10" s="138"/>
      <c r="D10" s="170" t="s">
        <v>355</v>
      </c>
      <c r="E10" s="39"/>
      <c r="F10" s="171" t="s">
        <v>255</v>
      </c>
      <c r="G10" s="172" t="s">
        <v>483</v>
      </c>
      <c r="H10" s="1"/>
    </row>
    <row r="11" spans="1:9" x14ac:dyDescent="0.25">
      <c r="A11" s="138"/>
      <c r="B11" s="173" t="s">
        <v>484</v>
      </c>
      <c r="C11" s="173"/>
      <c r="D11" s="174">
        <v>8081721.4000000022</v>
      </c>
      <c r="E11" s="173"/>
      <c r="F11" s="174"/>
      <c r="G11" s="173"/>
      <c r="H11" s="1"/>
    </row>
    <row r="12" spans="1:9" x14ac:dyDescent="0.25">
      <c r="A12" s="138"/>
      <c r="B12" s="173" t="s">
        <v>485</v>
      </c>
      <c r="C12" s="173"/>
      <c r="D12" s="174">
        <v>324077</v>
      </c>
      <c r="E12" s="173"/>
      <c r="F12" s="174">
        <f>D12</f>
        <v>324077</v>
      </c>
      <c r="G12" s="173"/>
      <c r="H12" s="1"/>
    </row>
    <row r="13" spans="1:9" x14ac:dyDescent="0.25">
      <c r="A13" s="138"/>
      <c r="B13" s="173" t="s">
        <v>486</v>
      </c>
      <c r="C13" s="173"/>
      <c r="D13" s="174">
        <v>1365434.4</v>
      </c>
      <c r="E13" s="173"/>
      <c r="F13" s="174">
        <f>D13</f>
        <v>1365434.4</v>
      </c>
      <c r="G13" s="173"/>
      <c r="H13" s="1"/>
    </row>
    <row r="14" spans="1:9" x14ac:dyDescent="0.25">
      <c r="A14" s="138"/>
      <c r="B14" s="173" t="s">
        <v>487</v>
      </c>
      <c r="C14" s="173"/>
      <c r="D14" s="174">
        <v>68285758.439999998</v>
      </c>
      <c r="E14" s="173"/>
      <c r="F14" s="174"/>
      <c r="G14" s="173"/>
      <c r="H14" s="1"/>
    </row>
    <row r="15" spans="1:9" x14ac:dyDescent="0.25">
      <c r="A15" s="138"/>
      <c r="B15" s="173" t="s">
        <v>488</v>
      </c>
      <c r="C15" s="173"/>
      <c r="D15" s="174">
        <v>617.88</v>
      </c>
      <c r="E15" s="173"/>
      <c r="F15" s="174">
        <f>D15</f>
        <v>617.88</v>
      </c>
      <c r="G15" s="173"/>
      <c r="H15" s="1"/>
    </row>
    <row r="16" spans="1:9" x14ac:dyDescent="0.25">
      <c r="A16" s="138"/>
      <c r="B16" s="173" t="s">
        <v>489</v>
      </c>
      <c r="C16" s="173"/>
      <c r="D16" s="174">
        <v>527792.03999999992</v>
      </c>
      <c r="E16" s="173"/>
      <c r="F16" s="174">
        <f>D16</f>
        <v>527792.03999999992</v>
      </c>
      <c r="G16" s="173"/>
      <c r="H16" s="1"/>
    </row>
    <row r="17" spans="1:8" x14ac:dyDescent="0.25">
      <c r="A17" s="138"/>
      <c r="B17" s="173" t="s">
        <v>490</v>
      </c>
      <c r="C17" s="173"/>
      <c r="D17" s="174">
        <v>38500</v>
      </c>
      <c r="E17" s="173"/>
      <c r="F17" s="174">
        <f>D17</f>
        <v>38500</v>
      </c>
      <c r="G17" s="173"/>
      <c r="H17" s="1"/>
    </row>
    <row r="18" spans="1:8" x14ac:dyDescent="0.25">
      <c r="A18" s="138"/>
      <c r="B18" s="173" t="s">
        <v>491</v>
      </c>
      <c r="C18" s="173"/>
      <c r="D18" s="174">
        <v>6473851.1900000013</v>
      </c>
      <c r="E18" s="173"/>
      <c r="F18" s="174"/>
      <c r="G18" s="173"/>
      <c r="H18" s="1"/>
    </row>
    <row r="19" spans="1:8" x14ac:dyDescent="0.25">
      <c r="A19" s="138"/>
      <c r="B19" s="173" t="s">
        <v>492</v>
      </c>
      <c r="C19" s="173"/>
      <c r="D19" s="174">
        <v>190108.93999999994</v>
      </c>
      <c r="E19" s="173"/>
      <c r="F19" s="174"/>
      <c r="G19" s="173"/>
      <c r="H19" s="1"/>
    </row>
    <row r="20" spans="1:8" x14ac:dyDescent="0.25">
      <c r="A20" s="138"/>
      <c r="B20" s="173" t="s">
        <v>493</v>
      </c>
      <c r="C20" s="173"/>
      <c r="D20" s="174">
        <v>164178</v>
      </c>
      <c r="E20" s="173"/>
      <c r="F20" s="174"/>
      <c r="G20" s="173"/>
      <c r="H20" s="1"/>
    </row>
    <row r="21" spans="1:8" x14ac:dyDescent="0.25">
      <c r="A21" s="138"/>
      <c r="B21" s="175" t="s">
        <v>494</v>
      </c>
      <c r="C21" s="173"/>
      <c r="D21" s="174">
        <v>35242.980000000003</v>
      </c>
      <c r="E21" s="173"/>
      <c r="F21" s="174"/>
      <c r="G21" s="173"/>
      <c r="H21" s="1"/>
    </row>
    <row r="22" spans="1:8" x14ac:dyDescent="0.25">
      <c r="A22" s="138"/>
      <c r="B22" s="173" t="s">
        <v>495</v>
      </c>
      <c r="C22" s="173"/>
      <c r="D22" s="174">
        <v>584733.07999999996</v>
      </c>
      <c r="E22" s="173"/>
      <c r="F22" s="174"/>
      <c r="G22" s="173"/>
      <c r="H22" s="1"/>
    </row>
    <row r="23" spans="1:8" x14ac:dyDescent="0.25">
      <c r="A23" s="138"/>
      <c r="B23" s="173" t="s">
        <v>496</v>
      </c>
      <c r="C23" s="173"/>
      <c r="D23" s="174">
        <v>2458.71</v>
      </c>
      <c r="E23" s="173"/>
      <c r="F23" s="174"/>
      <c r="G23" s="173"/>
      <c r="H23" s="1"/>
    </row>
    <row r="24" spans="1:8" x14ac:dyDescent="0.25">
      <c r="A24" s="138"/>
      <c r="B24" s="173" t="s">
        <v>497</v>
      </c>
      <c r="C24" s="173"/>
      <c r="D24" s="174">
        <v>672011.99000000011</v>
      </c>
      <c r="E24" s="173"/>
      <c r="F24" s="174">
        <f>D24</f>
        <v>672011.99000000011</v>
      </c>
      <c r="G24" s="173"/>
      <c r="H24" s="28"/>
    </row>
    <row r="25" spans="1:8" x14ac:dyDescent="0.25">
      <c r="A25" s="138"/>
      <c r="B25" s="173" t="s">
        <v>1066</v>
      </c>
      <c r="C25" s="173"/>
      <c r="D25" s="174">
        <v>102637.7</v>
      </c>
      <c r="E25" s="173"/>
      <c r="F25" s="174">
        <f>+D25</f>
        <v>102637.7</v>
      </c>
      <c r="G25" s="173"/>
      <c r="H25" s="28"/>
    </row>
    <row r="26" spans="1:8" x14ac:dyDescent="0.25">
      <c r="A26" s="138"/>
      <c r="B26" s="173" t="s">
        <v>498</v>
      </c>
      <c r="C26" s="173"/>
      <c r="D26" s="174"/>
      <c r="E26" s="173"/>
      <c r="F26" s="174">
        <f>D26*VLOOKUP("LABOR",ALLOCATORS,2,FALSE)</f>
        <v>0</v>
      </c>
      <c r="G26" s="173" t="s">
        <v>499</v>
      </c>
      <c r="H26" s="1"/>
    </row>
    <row r="27" spans="1:8" x14ac:dyDescent="0.25">
      <c r="A27" s="138"/>
      <c r="B27" s="173" t="s">
        <v>500</v>
      </c>
      <c r="C27" s="173"/>
      <c r="D27" s="174">
        <v>88918.650000000081</v>
      </c>
      <c r="E27" s="173"/>
      <c r="F27" s="174">
        <f>D27*VLOOKUP("LABOR",ALLOCATORS,2,FALSE)</f>
        <v>4714.2793306150943</v>
      </c>
      <c r="G27" s="173" t="s">
        <v>499</v>
      </c>
      <c r="H27" s="1"/>
    </row>
    <row r="28" spans="1:8" x14ac:dyDescent="0.25">
      <c r="A28" s="138"/>
      <c r="B28" s="173" t="s">
        <v>501</v>
      </c>
      <c r="C28" s="173"/>
      <c r="D28" s="174">
        <v>0</v>
      </c>
      <c r="E28" s="173"/>
      <c r="F28" s="174">
        <f>D28*VLOOKUP("LABOR",ALLOCATORS,2,FALSE)</f>
        <v>0</v>
      </c>
      <c r="G28" s="173" t="s">
        <v>499</v>
      </c>
      <c r="H28" s="1"/>
    </row>
    <row r="29" spans="1:8" ht="3.75" customHeight="1" x14ac:dyDescent="0.25">
      <c r="A29" s="138"/>
      <c r="B29" s="173"/>
      <c r="C29" s="173"/>
      <c r="D29" s="174"/>
      <c r="E29" s="173"/>
      <c r="F29" s="174"/>
      <c r="G29" s="173"/>
      <c r="H29" s="28"/>
    </row>
    <row r="30" spans="1:8" ht="4.5" customHeight="1" x14ac:dyDescent="0.25">
      <c r="B30" s="37"/>
      <c r="D30" s="28"/>
      <c r="E30" s="28"/>
      <c r="F30" s="194"/>
      <c r="G30" s="1"/>
      <c r="H30" s="1"/>
    </row>
    <row r="31" spans="1:8" ht="13.8" thickBot="1" x14ac:dyDescent="0.3">
      <c r="B31" s="83" t="s">
        <v>256</v>
      </c>
      <c r="C31" s="83"/>
      <c r="D31" s="195">
        <f>SUM(D11:D29)</f>
        <v>86938042.399999991</v>
      </c>
      <c r="E31" s="196"/>
      <c r="F31" s="195">
        <f>SUM(F11:F29)</f>
        <v>3035785.2893306152</v>
      </c>
      <c r="G31" s="1"/>
      <c r="H31" s="1"/>
    </row>
    <row r="32" spans="1:8" ht="13.8" thickTop="1" x14ac:dyDescent="0.25"/>
    <row r="34" spans="1:9" x14ac:dyDescent="0.25">
      <c r="D34" s="1"/>
    </row>
    <row r="35" spans="1:9" x14ac:dyDescent="0.25">
      <c r="A35" s="113"/>
      <c r="B35" s="113"/>
      <c r="C35" s="113"/>
      <c r="D35" s="113"/>
      <c r="E35" s="113"/>
      <c r="F35" s="113"/>
    </row>
    <row r="36" spans="1:9" x14ac:dyDescent="0.25">
      <c r="A36" s="222"/>
      <c r="B36" s="223"/>
      <c r="C36" s="223"/>
      <c r="D36" s="208"/>
      <c r="E36" s="224"/>
      <c r="F36" s="208"/>
      <c r="G36" s="215"/>
    </row>
    <row r="37" spans="1:9" x14ac:dyDescent="0.25">
      <c r="A37" s="113"/>
      <c r="B37" s="173"/>
      <c r="C37" s="223"/>
      <c r="D37" s="208"/>
      <c r="E37" s="208"/>
      <c r="F37" s="208"/>
      <c r="G37" s="215"/>
    </row>
    <row r="38" spans="1:9" ht="14.4" x14ac:dyDescent="0.3">
      <c r="A38" s="226"/>
      <c r="B38" s="173"/>
      <c r="C38" s="113"/>
      <c r="D38" s="113"/>
      <c r="E38" s="113"/>
      <c r="F38" s="113"/>
    </row>
    <row r="39" spans="1:9" x14ac:dyDescent="0.25">
      <c r="A39" s="113"/>
      <c r="B39" s="113"/>
      <c r="C39" s="113"/>
      <c r="D39" s="113"/>
      <c r="E39" s="113"/>
      <c r="F39" s="113"/>
    </row>
    <row r="40" spans="1:9" ht="13.8" x14ac:dyDescent="0.3">
      <c r="A40" s="113"/>
      <c r="B40" s="225"/>
      <c r="C40" s="113"/>
      <c r="D40" s="113"/>
      <c r="E40" s="113"/>
      <c r="F40" s="113"/>
    </row>
    <row r="41" spans="1:9" ht="13.8" x14ac:dyDescent="0.3">
      <c r="A41" s="113"/>
      <c r="B41" s="225"/>
      <c r="C41" s="113"/>
      <c r="D41" s="113"/>
      <c r="E41" s="113"/>
      <c r="F41" s="227"/>
    </row>
    <row r="42" spans="1:9" x14ac:dyDescent="0.25">
      <c r="A42" s="113"/>
      <c r="B42" s="113"/>
      <c r="C42" s="113"/>
      <c r="D42" s="113"/>
      <c r="E42" s="113"/>
      <c r="F42" s="113"/>
      <c r="G42" s="33"/>
      <c r="H42" s="33"/>
      <c r="I42" s="33"/>
    </row>
    <row r="43" spans="1:9" ht="13.8" x14ac:dyDescent="0.3">
      <c r="A43" s="205"/>
      <c r="B43" s="228"/>
      <c r="C43" s="113"/>
      <c r="D43" s="113"/>
      <c r="E43" s="113"/>
      <c r="F43" s="113"/>
      <c r="G43" s="33"/>
      <c r="H43" s="33"/>
      <c r="I43" s="33"/>
    </row>
    <row r="44" spans="1:9" ht="13.8" x14ac:dyDescent="0.3">
      <c r="A44" s="113"/>
      <c r="B44" s="225"/>
      <c r="C44" s="229"/>
      <c r="D44" s="229"/>
      <c r="E44" s="229"/>
      <c r="F44" s="227"/>
      <c r="G44" s="209"/>
      <c r="H44" s="33"/>
      <c r="I44" s="33"/>
    </row>
    <row r="45" spans="1:9" ht="13.8" x14ac:dyDescent="0.3">
      <c r="A45" s="229"/>
      <c r="B45" s="225"/>
      <c r="C45" s="229"/>
      <c r="D45" s="229"/>
      <c r="E45" s="229"/>
      <c r="F45" s="227"/>
      <c r="G45" s="209"/>
      <c r="H45" s="33"/>
      <c r="I45" s="33"/>
    </row>
    <row r="46" spans="1:9" ht="13.8" x14ac:dyDescent="0.3">
      <c r="A46" s="229"/>
      <c r="B46" s="229"/>
      <c r="C46" s="229"/>
      <c r="D46" s="229"/>
      <c r="E46" s="229"/>
      <c r="F46" s="230"/>
      <c r="G46" s="209"/>
      <c r="H46" s="33"/>
      <c r="I46" s="33"/>
    </row>
  </sheetData>
  <mergeCells count="5">
    <mergeCell ref="A8:H8"/>
    <mergeCell ref="G1:H1"/>
    <mergeCell ref="G3:H3"/>
    <mergeCell ref="A6:H6"/>
    <mergeCell ref="A7:H7"/>
  </mergeCells>
  <phoneticPr fontId="16" type="noConversion"/>
  <pageMargins left="0.5" right="0.5" top="0.5" bottom="0.5" header="0.5" footer="0.5"/>
  <pageSetup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I103"/>
  <sheetViews>
    <sheetView zoomScaleNormal="100" workbookViewId="0">
      <selection activeCell="G13" sqref="G13"/>
    </sheetView>
  </sheetViews>
  <sheetFormatPr defaultColWidth="9.109375" defaultRowHeight="13.2" x14ac:dyDescent="0.25"/>
  <cols>
    <col min="1" max="1" width="1.6640625" style="137" customWidth="1"/>
    <col min="2" max="2" width="17.44140625" style="137" bestFit="1" customWidth="1"/>
    <col min="3" max="3" width="1.6640625" style="137" customWidth="1"/>
    <col min="4" max="4" width="42.33203125" style="137" customWidth="1"/>
    <col min="5" max="5" width="13.109375" style="137" bestFit="1" customWidth="1"/>
    <col min="6" max="6" width="14.44140625" style="137" bestFit="1" customWidth="1"/>
    <col min="7" max="7" width="15.109375" style="138" bestFit="1" customWidth="1"/>
    <col min="8" max="8" width="5.88671875" style="137" customWidth="1"/>
    <col min="9" max="9" width="13.6640625" style="137" bestFit="1" customWidth="1"/>
    <col min="10" max="16384" width="9.109375" style="137"/>
  </cols>
  <sheetData>
    <row r="1" spans="1:9" ht="13.8" x14ac:dyDescent="0.25">
      <c r="G1" s="438" t="s">
        <v>811</v>
      </c>
      <c r="H1" s="438"/>
    </row>
    <row r="2" spans="1:9" ht="13.8" x14ac:dyDescent="0.25">
      <c r="G2" s="281" t="s">
        <v>184</v>
      </c>
      <c r="H2" s="152"/>
    </row>
    <row r="3" spans="1:9" x14ac:dyDescent="0.25">
      <c r="G3" s="460" t="str">
        <f>FF1_Year</f>
        <v>Year Ending 12/31/2014</v>
      </c>
      <c r="H3" s="460"/>
    </row>
    <row r="5" spans="1:9" x14ac:dyDescent="0.25">
      <c r="A5" s="447" t="s">
        <v>826</v>
      </c>
      <c r="B5" s="447"/>
      <c r="C5" s="447"/>
      <c r="D5" s="447"/>
      <c r="E5" s="447"/>
      <c r="F5" s="447"/>
      <c r="G5" s="447"/>
      <c r="H5" s="447"/>
    </row>
    <row r="6" spans="1:9" x14ac:dyDescent="0.25">
      <c r="A6" s="451" t="s">
        <v>356</v>
      </c>
      <c r="B6" s="451"/>
      <c r="C6" s="451"/>
      <c r="D6" s="451"/>
      <c r="E6" s="451"/>
      <c r="F6" s="451"/>
      <c r="G6" s="451"/>
      <c r="H6" s="451"/>
    </row>
    <row r="7" spans="1:9" x14ac:dyDescent="0.25">
      <c r="A7" s="451" t="s">
        <v>430</v>
      </c>
      <c r="B7" s="451"/>
      <c r="C7" s="451"/>
      <c r="D7" s="451"/>
      <c r="E7" s="451"/>
      <c r="F7" s="451"/>
      <c r="G7" s="451"/>
      <c r="H7" s="451"/>
    </row>
    <row r="10" spans="1:9" x14ac:dyDescent="0.25">
      <c r="B10" s="459" t="s">
        <v>111</v>
      </c>
      <c r="C10" s="154"/>
      <c r="D10" s="155" t="s">
        <v>112</v>
      </c>
      <c r="E10" s="155" t="s">
        <v>113</v>
      </c>
      <c r="F10" s="155" t="s">
        <v>114</v>
      </c>
      <c r="G10" s="72" t="s">
        <v>118</v>
      </c>
    </row>
    <row r="11" spans="1:9" x14ac:dyDescent="0.25">
      <c r="B11" s="459"/>
      <c r="C11" s="154"/>
      <c r="D11" s="155" t="s">
        <v>115</v>
      </c>
      <c r="E11" s="155" t="s">
        <v>116</v>
      </c>
      <c r="F11" s="155" t="s">
        <v>117</v>
      </c>
      <c r="G11" s="72" t="s">
        <v>119</v>
      </c>
    </row>
    <row r="12" spans="1:9" ht="6.75" customHeight="1" x14ac:dyDescent="0.25">
      <c r="B12" s="154"/>
      <c r="C12" s="154"/>
      <c r="D12" s="155"/>
      <c r="E12" s="155"/>
      <c r="F12" s="155"/>
      <c r="G12" s="72"/>
    </row>
    <row r="13" spans="1:9" ht="15.6" x14ac:dyDescent="0.3">
      <c r="B13" s="193" t="s">
        <v>502</v>
      </c>
      <c r="C13" s="197"/>
      <c r="D13" s="316" t="s">
        <v>835</v>
      </c>
      <c r="E13" s="212" t="s">
        <v>503</v>
      </c>
      <c r="F13" s="212" t="s">
        <v>504</v>
      </c>
      <c r="G13" s="365">
        <v>2174</v>
      </c>
      <c r="I13" s="198"/>
    </row>
    <row r="14" spans="1:9" ht="15.6" x14ac:dyDescent="0.3">
      <c r="B14" s="193" t="s">
        <v>505</v>
      </c>
      <c r="C14" s="197"/>
      <c r="D14" s="211" t="s">
        <v>506</v>
      </c>
      <c r="E14" s="212" t="s">
        <v>507</v>
      </c>
      <c r="F14" s="212" t="s">
        <v>508</v>
      </c>
      <c r="G14" s="365">
        <v>1487765</v>
      </c>
      <c r="I14" s="198"/>
    </row>
    <row r="15" spans="1:9" ht="15.6" x14ac:dyDescent="0.3">
      <c r="B15" s="193" t="s">
        <v>509</v>
      </c>
      <c r="C15" s="197"/>
      <c r="D15" s="211" t="s">
        <v>1046</v>
      </c>
      <c r="E15" s="213" t="s">
        <v>645</v>
      </c>
      <c r="F15" s="213" t="s">
        <v>1047</v>
      </c>
      <c r="G15" s="365">
        <v>-8866</v>
      </c>
      <c r="I15" s="198"/>
    </row>
    <row r="16" spans="1:9" ht="15.6" x14ac:dyDescent="0.3">
      <c r="B16" s="193" t="s">
        <v>513</v>
      </c>
      <c r="C16" s="197"/>
      <c r="D16" s="211" t="s">
        <v>510</v>
      </c>
      <c r="E16" s="212" t="s">
        <v>511</v>
      </c>
      <c r="F16" s="212" t="s">
        <v>512</v>
      </c>
      <c r="G16" s="365">
        <v>1729</v>
      </c>
      <c r="I16" s="198"/>
    </row>
    <row r="17" spans="2:9" ht="15.6" x14ac:dyDescent="0.3">
      <c r="B17" s="193" t="s">
        <v>516</v>
      </c>
      <c r="C17" s="197"/>
      <c r="D17" s="316" t="s">
        <v>1048</v>
      </c>
      <c r="E17" s="212" t="s">
        <v>511</v>
      </c>
      <c r="F17" s="212" t="s">
        <v>515</v>
      </c>
      <c r="G17" s="365">
        <v>158725</v>
      </c>
      <c r="I17" s="198"/>
    </row>
    <row r="18" spans="2:9" ht="15.6" x14ac:dyDescent="0.3">
      <c r="B18" s="193" t="s">
        <v>519</v>
      </c>
      <c r="C18" s="197"/>
      <c r="D18" s="211" t="s">
        <v>514</v>
      </c>
      <c r="E18" s="212" t="s">
        <v>511</v>
      </c>
      <c r="F18" s="212" t="s">
        <v>515</v>
      </c>
      <c r="G18" s="365">
        <v>39795</v>
      </c>
      <c r="I18" s="198"/>
    </row>
    <row r="19" spans="2:9" ht="15.6" x14ac:dyDescent="0.3">
      <c r="B19" s="193" t="s">
        <v>522</v>
      </c>
      <c r="C19" s="197"/>
      <c r="D19" s="211" t="s">
        <v>517</v>
      </c>
      <c r="E19" s="212" t="s">
        <v>511</v>
      </c>
      <c r="F19" s="212" t="s">
        <v>518</v>
      </c>
      <c r="G19" s="365">
        <v>0</v>
      </c>
      <c r="I19" s="198"/>
    </row>
    <row r="20" spans="2:9" ht="15.6" x14ac:dyDescent="0.3">
      <c r="B20" s="193" t="s">
        <v>525</v>
      </c>
      <c r="C20" s="197"/>
      <c r="D20" s="211" t="s">
        <v>520</v>
      </c>
      <c r="E20" s="212" t="s">
        <v>511</v>
      </c>
      <c r="F20" s="212" t="s">
        <v>521</v>
      </c>
      <c r="G20" s="365">
        <v>0</v>
      </c>
      <c r="I20" s="198"/>
    </row>
    <row r="21" spans="2:9" ht="15.6" x14ac:dyDescent="0.3">
      <c r="B21" s="193" t="s">
        <v>528</v>
      </c>
      <c r="C21" s="197"/>
      <c r="D21" s="211" t="s">
        <v>523</v>
      </c>
      <c r="E21" s="212" t="s">
        <v>511</v>
      </c>
      <c r="F21" s="212" t="s">
        <v>524</v>
      </c>
      <c r="G21" s="365">
        <v>0</v>
      </c>
      <c r="I21" s="198"/>
    </row>
    <row r="22" spans="2:9" ht="15.6" x14ac:dyDescent="0.3">
      <c r="B22" s="193" t="s">
        <v>530</v>
      </c>
      <c r="C22" s="197"/>
      <c r="D22" s="211" t="s">
        <v>526</v>
      </c>
      <c r="E22" s="212" t="s">
        <v>511</v>
      </c>
      <c r="F22" s="212" t="s">
        <v>527</v>
      </c>
      <c r="G22" s="365">
        <v>0</v>
      </c>
      <c r="I22" s="198"/>
    </row>
    <row r="23" spans="2:9" ht="15.6" x14ac:dyDescent="0.3">
      <c r="B23" s="193" t="s">
        <v>533</v>
      </c>
      <c r="C23" s="197"/>
      <c r="D23" s="312" t="s">
        <v>1049</v>
      </c>
      <c r="E23" s="213" t="s">
        <v>645</v>
      </c>
      <c r="F23" s="213" t="s">
        <v>1047</v>
      </c>
      <c r="G23" s="365">
        <v>3598</v>
      </c>
      <c r="I23" s="198"/>
    </row>
    <row r="24" spans="2:9" ht="15.6" x14ac:dyDescent="0.3">
      <c r="B24" s="193" t="s">
        <v>536</v>
      </c>
      <c r="C24" s="197"/>
      <c r="D24" s="211" t="s">
        <v>529</v>
      </c>
      <c r="E24" s="212" t="s">
        <v>511</v>
      </c>
      <c r="F24" s="213" t="s">
        <v>1047</v>
      </c>
      <c r="G24" s="365">
        <v>0</v>
      </c>
      <c r="I24" s="198"/>
    </row>
    <row r="25" spans="2:9" ht="15.6" x14ac:dyDescent="0.3">
      <c r="B25" s="193" t="s">
        <v>539</v>
      </c>
      <c r="C25" s="197"/>
      <c r="D25" s="211" t="s">
        <v>531</v>
      </c>
      <c r="E25" s="212" t="s">
        <v>511</v>
      </c>
      <c r="F25" s="212" t="s">
        <v>532</v>
      </c>
      <c r="G25" s="365">
        <v>0</v>
      </c>
      <c r="I25" s="198"/>
    </row>
    <row r="26" spans="2:9" ht="15.6" x14ac:dyDescent="0.3">
      <c r="B26" s="193" t="s">
        <v>542</v>
      </c>
      <c r="C26" s="197"/>
      <c r="D26" s="211" t="s">
        <v>531</v>
      </c>
      <c r="E26" s="213" t="s">
        <v>507</v>
      </c>
      <c r="F26" s="213" t="s">
        <v>725</v>
      </c>
      <c r="G26" s="365">
        <v>11092545</v>
      </c>
      <c r="I26" s="198"/>
    </row>
    <row r="27" spans="2:9" ht="15.6" x14ac:dyDescent="0.3">
      <c r="B27" s="193" t="s">
        <v>546</v>
      </c>
      <c r="C27" s="197"/>
      <c r="D27" s="211" t="s">
        <v>720</v>
      </c>
      <c r="E27" s="213" t="s">
        <v>507</v>
      </c>
      <c r="F27" s="213" t="s">
        <v>585</v>
      </c>
      <c r="G27" s="365">
        <v>477800</v>
      </c>
      <c r="I27" s="198"/>
    </row>
    <row r="28" spans="2:9" ht="15.6" x14ac:dyDescent="0.3">
      <c r="B28" s="193" t="s">
        <v>549</v>
      </c>
      <c r="C28" s="197"/>
      <c r="D28" s="211" t="s">
        <v>534</v>
      </c>
      <c r="E28" s="213" t="s">
        <v>511</v>
      </c>
      <c r="F28" s="213" t="s">
        <v>535</v>
      </c>
      <c r="G28" s="365">
        <v>4201</v>
      </c>
      <c r="I28" s="198"/>
    </row>
    <row r="29" spans="2:9" ht="15.6" x14ac:dyDescent="0.3">
      <c r="B29" s="193" t="s">
        <v>551</v>
      </c>
      <c r="C29" s="197"/>
      <c r="D29" s="211" t="s">
        <v>537</v>
      </c>
      <c r="E29" s="213" t="s">
        <v>511</v>
      </c>
      <c r="F29" s="213" t="s">
        <v>538</v>
      </c>
      <c r="G29" s="365">
        <v>0</v>
      </c>
      <c r="I29" s="198"/>
    </row>
    <row r="30" spans="2:9" ht="15.6" x14ac:dyDescent="0.3">
      <c r="B30" s="193" t="s">
        <v>554</v>
      </c>
      <c r="C30" s="197"/>
      <c r="D30" s="211" t="s">
        <v>540</v>
      </c>
      <c r="E30" s="212" t="s">
        <v>503</v>
      </c>
      <c r="F30" s="213" t="s">
        <v>541</v>
      </c>
      <c r="G30" s="365">
        <v>39303</v>
      </c>
      <c r="I30" s="198"/>
    </row>
    <row r="31" spans="2:9" ht="15.6" x14ac:dyDescent="0.3">
      <c r="B31" s="193" t="s">
        <v>557</v>
      </c>
      <c r="C31" s="197"/>
      <c r="D31" s="211" t="s">
        <v>543</v>
      </c>
      <c r="E31" s="213" t="s">
        <v>544</v>
      </c>
      <c r="F31" s="213" t="s">
        <v>545</v>
      </c>
      <c r="G31" s="365">
        <v>1458295</v>
      </c>
      <c r="I31" s="198"/>
    </row>
    <row r="32" spans="2:9" ht="15.6" x14ac:dyDescent="0.3">
      <c r="B32" s="193" t="s">
        <v>560</v>
      </c>
      <c r="C32" s="197"/>
      <c r="D32" s="211" t="s">
        <v>833</v>
      </c>
      <c r="E32" s="213" t="s">
        <v>507</v>
      </c>
      <c r="F32" s="213" t="s">
        <v>834</v>
      </c>
      <c r="G32" s="365">
        <v>6842</v>
      </c>
      <c r="I32" s="198"/>
    </row>
    <row r="33" spans="2:9" ht="15.6" x14ac:dyDescent="0.3">
      <c r="B33" s="193" t="s">
        <v>563</v>
      </c>
      <c r="C33" s="197"/>
      <c r="D33" s="211" t="s">
        <v>547</v>
      </c>
      <c r="E33" s="213" t="s">
        <v>503</v>
      </c>
      <c r="F33" s="213" t="s">
        <v>548</v>
      </c>
      <c r="G33" s="365">
        <v>1279194</v>
      </c>
      <c r="I33" s="198"/>
    </row>
    <row r="34" spans="2:9" ht="15.6" x14ac:dyDescent="0.3">
      <c r="B34" s="193" t="s">
        <v>566</v>
      </c>
      <c r="C34" s="197"/>
      <c r="D34" s="211" t="s">
        <v>547</v>
      </c>
      <c r="E34" s="213" t="s">
        <v>511</v>
      </c>
      <c r="F34" s="213" t="s">
        <v>550</v>
      </c>
      <c r="G34" s="365">
        <v>95</v>
      </c>
      <c r="I34" s="198"/>
    </row>
    <row r="35" spans="2:9" ht="15.6" x14ac:dyDescent="0.3">
      <c r="B35" s="193" t="s">
        <v>569</v>
      </c>
      <c r="C35" s="197"/>
      <c r="D35" s="211" t="s">
        <v>547</v>
      </c>
      <c r="E35" s="213" t="s">
        <v>552</v>
      </c>
      <c r="F35" s="213" t="s">
        <v>553</v>
      </c>
      <c r="G35" s="365">
        <v>0</v>
      </c>
      <c r="I35" s="198"/>
    </row>
    <row r="36" spans="2:9" ht="15.6" x14ac:dyDescent="0.3">
      <c r="B36" s="193" t="s">
        <v>571</v>
      </c>
      <c r="C36" s="197"/>
      <c r="D36" s="211" t="s">
        <v>555</v>
      </c>
      <c r="E36" s="213" t="s">
        <v>503</v>
      </c>
      <c r="F36" s="213" t="s">
        <v>556</v>
      </c>
      <c r="G36" s="365">
        <v>18807</v>
      </c>
      <c r="I36" s="198"/>
    </row>
    <row r="37" spans="2:9" ht="15.6" x14ac:dyDescent="0.3">
      <c r="B37" s="193" t="s">
        <v>573</v>
      </c>
      <c r="C37" s="197"/>
      <c r="D37" s="211" t="s">
        <v>558</v>
      </c>
      <c r="E37" s="212" t="s">
        <v>511</v>
      </c>
      <c r="F37" s="213" t="s">
        <v>559</v>
      </c>
      <c r="G37" s="365">
        <v>49252</v>
      </c>
      <c r="I37" s="198"/>
    </row>
    <row r="38" spans="2:9" ht="15.6" x14ac:dyDescent="0.3">
      <c r="B38" s="193" t="s">
        <v>576</v>
      </c>
      <c r="C38" s="197"/>
      <c r="D38" s="211" t="s">
        <v>561</v>
      </c>
      <c r="E38" s="213" t="s">
        <v>507</v>
      </c>
      <c r="F38" s="213" t="s">
        <v>562</v>
      </c>
      <c r="G38" s="365">
        <v>612960</v>
      </c>
      <c r="I38" s="198"/>
    </row>
    <row r="39" spans="2:9" ht="15.6" x14ac:dyDescent="0.3">
      <c r="B39" s="193" t="s">
        <v>579</v>
      </c>
      <c r="C39" s="197"/>
      <c r="D39" s="211" t="s">
        <v>564</v>
      </c>
      <c r="E39" s="213" t="s">
        <v>511</v>
      </c>
      <c r="F39" s="213" t="s">
        <v>565</v>
      </c>
      <c r="G39" s="365">
        <v>0</v>
      </c>
      <c r="I39" s="198"/>
    </row>
    <row r="40" spans="2:9" ht="15.6" x14ac:dyDescent="0.3">
      <c r="B40" s="193" t="s">
        <v>582</v>
      </c>
      <c r="C40" s="197"/>
      <c r="D40" s="312" t="s">
        <v>1050</v>
      </c>
      <c r="E40" s="213" t="s">
        <v>645</v>
      </c>
      <c r="F40" s="213" t="s">
        <v>1047</v>
      </c>
      <c r="G40" s="365">
        <v>-5738</v>
      </c>
      <c r="I40" s="198"/>
    </row>
    <row r="41" spans="2:9" ht="15.6" x14ac:dyDescent="0.3">
      <c r="B41" s="193" t="s">
        <v>584</v>
      </c>
      <c r="C41" s="197"/>
      <c r="D41" s="211" t="s">
        <v>567</v>
      </c>
      <c r="E41" s="213" t="s">
        <v>503</v>
      </c>
      <c r="F41" s="213" t="s">
        <v>568</v>
      </c>
      <c r="G41" s="365">
        <v>0</v>
      </c>
      <c r="I41" s="198"/>
    </row>
    <row r="42" spans="2:9" ht="15.6" x14ac:dyDescent="0.3">
      <c r="B42" s="193" t="s">
        <v>586</v>
      </c>
      <c r="C42" s="197"/>
      <c r="D42" s="211" t="s">
        <v>567</v>
      </c>
      <c r="E42" s="213" t="s">
        <v>503</v>
      </c>
      <c r="F42" s="213" t="s">
        <v>570</v>
      </c>
      <c r="G42" s="365">
        <v>980588</v>
      </c>
      <c r="I42" s="198"/>
    </row>
    <row r="43" spans="2:9" ht="15.6" x14ac:dyDescent="0.3">
      <c r="B43" s="193" t="s">
        <v>589</v>
      </c>
      <c r="C43" s="197"/>
      <c r="D43" s="211" t="s">
        <v>567</v>
      </c>
      <c r="E43" s="213" t="s">
        <v>503</v>
      </c>
      <c r="F43" s="213" t="s">
        <v>570</v>
      </c>
      <c r="G43" s="365">
        <v>212688</v>
      </c>
      <c r="I43" s="198"/>
    </row>
    <row r="44" spans="2:9" ht="15.6" x14ac:dyDescent="0.3">
      <c r="B44" s="193" t="s">
        <v>592</v>
      </c>
      <c r="C44" s="197"/>
      <c r="D44" s="211" t="s">
        <v>567</v>
      </c>
      <c r="E44" s="213" t="s">
        <v>511</v>
      </c>
      <c r="F44" s="213" t="s">
        <v>572</v>
      </c>
      <c r="G44" s="365">
        <v>-1060</v>
      </c>
      <c r="I44" s="198"/>
    </row>
    <row r="45" spans="2:9" ht="15.6" x14ac:dyDescent="0.3">
      <c r="B45" s="193" t="s">
        <v>595</v>
      </c>
      <c r="C45" s="197"/>
      <c r="D45" s="316" t="s">
        <v>574</v>
      </c>
      <c r="E45" s="213" t="s">
        <v>511</v>
      </c>
      <c r="F45" s="213" t="s">
        <v>575</v>
      </c>
      <c r="G45" s="365">
        <v>0</v>
      </c>
      <c r="I45" s="198"/>
    </row>
    <row r="46" spans="2:9" ht="15.6" x14ac:dyDescent="0.3">
      <c r="B46" s="193" t="s">
        <v>597</v>
      </c>
      <c r="C46" s="197"/>
      <c r="D46" s="211" t="s">
        <v>577</v>
      </c>
      <c r="E46" s="213" t="s">
        <v>503</v>
      </c>
      <c r="F46" s="213" t="s">
        <v>578</v>
      </c>
      <c r="G46" s="365">
        <v>723165</v>
      </c>
      <c r="I46" s="198"/>
    </row>
    <row r="47" spans="2:9" ht="15.6" x14ac:dyDescent="0.3">
      <c r="B47" s="193" t="s">
        <v>600</v>
      </c>
      <c r="C47" s="197"/>
      <c r="D47" s="211" t="s">
        <v>580</v>
      </c>
      <c r="E47" s="213" t="s">
        <v>503</v>
      </c>
      <c r="F47" s="213" t="s">
        <v>581</v>
      </c>
      <c r="G47" s="365">
        <v>44784</v>
      </c>
      <c r="I47" s="198"/>
    </row>
    <row r="48" spans="2:9" ht="15.6" x14ac:dyDescent="0.3">
      <c r="B48" s="193" t="s">
        <v>602</v>
      </c>
      <c r="C48" s="197"/>
      <c r="D48" s="211" t="s">
        <v>580</v>
      </c>
      <c r="E48" s="212" t="s">
        <v>511</v>
      </c>
      <c r="F48" s="213" t="s">
        <v>583</v>
      </c>
      <c r="G48" s="365">
        <v>729</v>
      </c>
      <c r="I48" s="198"/>
    </row>
    <row r="49" spans="2:9" ht="15.6" x14ac:dyDescent="0.3">
      <c r="B49" s="193" t="s">
        <v>604</v>
      </c>
      <c r="C49" s="197"/>
      <c r="D49" s="211" t="s">
        <v>580</v>
      </c>
      <c r="E49" s="212" t="s">
        <v>552</v>
      </c>
      <c r="F49" s="213" t="s">
        <v>1051</v>
      </c>
      <c r="G49" s="365">
        <v>23798</v>
      </c>
      <c r="I49" s="198"/>
    </row>
    <row r="50" spans="2:9" ht="15.6" x14ac:dyDescent="0.3">
      <c r="B50" s="193" t="s">
        <v>607</v>
      </c>
      <c r="C50" s="197"/>
      <c r="D50" s="211" t="s">
        <v>587</v>
      </c>
      <c r="E50" s="212" t="s">
        <v>511</v>
      </c>
      <c r="F50" s="213" t="s">
        <v>588</v>
      </c>
      <c r="G50" s="365">
        <v>0</v>
      </c>
      <c r="I50" s="317"/>
    </row>
    <row r="51" spans="2:9" ht="15.6" x14ac:dyDescent="0.3">
      <c r="B51" s="193" t="s">
        <v>610</v>
      </c>
      <c r="C51" s="197"/>
      <c r="D51" s="211" t="s">
        <v>590</v>
      </c>
      <c r="E51" s="213" t="s">
        <v>511</v>
      </c>
      <c r="F51" s="213" t="s">
        <v>591</v>
      </c>
      <c r="G51" s="365">
        <v>5227</v>
      </c>
      <c r="I51" s="198"/>
    </row>
    <row r="52" spans="2:9" ht="15.6" x14ac:dyDescent="0.3">
      <c r="B52" s="193" t="s">
        <v>612</v>
      </c>
      <c r="C52" s="197"/>
      <c r="D52" s="211" t="s">
        <v>590</v>
      </c>
      <c r="E52" s="213" t="s">
        <v>507</v>
      </c>
      <c r="F52" s="213" t="s">
        <v>724</v>
      </c>
      <c r="G52" s="365">
        <v>5466815</v>
      </c>
      <c r="I52" s="198"/>
    </row>
    <row r="53" spans="2:9" ht="15.6" x14ac:dyDescent="0.3">
      <c r="B53" s="193" t="s">
        <v>614</v>
      </c>
      <c r="C53" s="197"/>
      <c r="D53" s="211" t="s">
        <v>593</v>
      </c>
      <c r="E53" s="213" t="s">
        <v>503</v>
      </c>
      <c r="F53" s="213" t="s">
        <v>594</v>
      </c>
      <c r="G53" s="365">
        <v>0</v>
      </c>
      <c r="I53" s="198"/>
    </row>
    <row r="54" spans="2:9" ht="15.6" x14ac:dyDescent="0.3">
      <c r="B54" s="193" t="s">
        <v>617</v>
      </c>
      <c r="C54" s="197"/>
      <c r="D54" s="211" t="s">
        <v>593</v>
      </c>
      <c r="E54" s="212" t="s">
        <v>511</v>
      </c>
      <c r="F54" s="213" t="s">
        <v>596</v>
      </c>
      <c r="G54" s="365">
        <v>0</v>
      </c>
      <c r="I54" s="198"/>
    </row>
    <row r="55" spans="2:9" ht="15.6" x14ac:dyDescent="0.3">
      <c r="B55" s="193" t="s">
        <v>619</v>
      </c>
      <c r="C55" s="197"/>
      <c r="D55" s="211" t="s">
        <v>598</v>
      </c>
      <c r="E55" s="213" t="s">
        <v>552</v>
      </c>
      <c r="F55" s="213" t="s">
        <v>599</v>
      </c>
      <c r="G55" s="365">
        <v>353825</v>
      </c>
      <c r="I55" s="198"/>
    </row>
    <row r="56" spans="2:9" ht="15.6" x14ac:dyDescent="0.3">
      <c r="B56" s="193" t="s">
        <v>620</v>
      </c>
      <c r="C56" s="197"/>
      <c r="D56" s="211" t="s">
        <v>598</v>
      </c>
      <c r="E56" s="212" t="s">
        <v>511</v>
      </c>
      <c r="F56" s="213" t="s">
        <v>601</v>
      </c>
      <c r="G56" s="365">
        <v>27496</v>
      </c>
      <c r="I56" s="198"/>
    </row>
    <row r="57" spans="2:9" ht="15.6" x14ac:dyDescent="0.3">
      <c r="B57" s="193" t="s">
        <v>622</v>
      </c>
      <c r="C57" s="197"/>
      <c r="D57" s="211" t="s">
        <v>598</v>
      </c>
      <c r="E57" s="213" t="s">
        <v>507</v>
      </c>
      <c r="F57" s="213" t="s">
        <v>603</v>
      </c>
      <c r="G57" s="365">
        <v>68839880</v>
      </c>
      <c r="I57" s="198"/>
    </row>
    <row r="58" spans="2:9" ht="15.6" x14ac:dyDescent="0.3">
      <c r="B58" s="193" t="s">
        <v>625</v>
      </c>
      <c r="C58" s="197"/>
      <c r="D58" s="211" t="s">
        <v>605</v>
      </c>
      <c r="E58" s="213" t="s">
        <v>511</v>
      </c>
      <c r="F58" s="213" t="s">
        <v>606</v>
      </c>
      <c r="G58" s="365">
        <v>0</v>
      </c>
      <c r="I58" s="198"/>
    </row>
    <row r="59" spans="2:9" ht="15.6" x14ac:dyDescent="0.3">
      <c r="B59" s="193" t="s">
        <v>628</v>
      </c>
      <c r="C59" s="197"/>
      <c r="D59" s="211" t="s">
        <v>608</v>
      </c>
      <c r="E59" s="213" t="s">
        <v>503</v>
      </c>
      <c r="F59" s="213" t="s">
        <v>611</v>
      </c>
      <c r="G59" s="365">
        <v>285983</v>
      </c>
      <c r="I59" s="198"/>
    </row>
    <row r="60" spans="2:9" ht="15.6" x14ac:dyDescent="0.3">
      <c r="B60" s="193" t="s">
        <v>630</v>
      </c>
      <c r="C60" s="197"/>
      <c r="D60" s="211" t="s">
        <v>608</v>
      </c>
      <c r="E60" s="213" t="s">
        <v>503</v>
      </c>
      <c r="F60" s="213" t="s">
        <v>609</v>
      </c>
      <c r="G60" s="365">
        <v>0</v>
      </c>
      <c r="I60" s="198"/>
    </row>
    <row r="61" spans="2:9" ht="15.6" x14ac:dyDescent="0.3">
      <c r="B61" s="193" t="s">
        <v>631</v>
      </c>
      <c r="C61" s="197"/>
      <c r="D61" s="211" t="s">
        <v>608</v>
      </c>
      <c r="E61" s="213" t="s">
        <v>511</v>
      </c>
      <c r="F61" s="213" t="s">
        <v>613</v>
      </c>
      <c r="G61" s="365">
        <v>61688</v>
      </c>
      <c r="I61" s="198"/>
    </row>
    <row r="62" spans="2:9" ht="15.6" x14ac:dyDescent="0.3">
      <c r="B62" s="193" t="s">
        <v>633</v>
      </c>
      <c r="C62" s="197"/>
      <c r="D62" s="211" t="s">
        <v>615</v>
      </c>
      <c r="E62" s="213" t="s">
        <v>511</v>
      </c>
      <c r="F62" s="213" t="s">
        <v>618</v>
      </c>
      <c r="G62" s="365">
        <v>42116</v>
      </c>
      <c r="I62" s="198"/>
    </row>
    <row r="63" spans="2:9" ht="15.6" x14ac:dyDescent="0.3">
      <c r="B63" s="193" t="s">
        <v>635</v>
      </c>
      <c r="C63" s="197"/>
      <c r="D63" s="316" t="s">
        <v>1053</v>
      </c>
      <c r="E63" s="213" t="s">
        <v>1052</v>
      </c>
      <c r="F63" s="213" t="s">
        <v>616</v>
      </c>
      <c r="G63" s="365">
        <v>-28832</v>
      </c>
      <c r="I63" s="198"/>
    </row>
    <row r="64" spans="2:9" ht="15.6" x14ac:dyDescent="0.3">
      <c r="B64" s="193" t="s">
        <v>638</v>
      </c>
      <c r="C64" s="197"/>
      <c r="D64" s="316" t="s">
        <v>1054</v>
      </c>
      <c r="E64" s="213" t="s">
        <v>507</v>
      </c>
      <c r="F64" s="213" t="s">
        <v>1055</v>
      </c>
      <c r="G64" s="365">
        <v>0</v>
      </c>
      <c r="I64" s="198"/>
    </row>
    <row r="65" spans="2:9" ht="15.6" x14ac:dyDescent="0.3">
      <c r="B65" s="193" t="s">
        <v>641</v>
      </c>
      <c r="C65" s="197"/>
      <c r="D65" s="211" t="s">
        <v>615</v>
      </c>
      <c r="E65" s="213" t="s">
        <v>552</v>
      </c>
      <c r="F65" s="213" t="s">
        <v>621</v>
      </c>
      <c r="G65" s="365">
        <v>4780</v>
      </c>
      <c r="I65" s="198"/>
    </row>
    <row r="66" spans="2:9" ht="15.6" x14ac:dyDescent="0.3">
      <c r="B66" s="193" t="s">
        <v>643</v>
      </c>
      <c r="C66" s="197"/>
      <c r="D66" s="211" t="s">
        <v>623</v>
      </c>
      <c r="E66" s="213" t="s">
        <v>511</v>
      </c>
      <c r="F66" s="213" t="s">
        <v>624</v>
      </c>
      <c r="G66" s="365">
        <v>0</v>
      </c>
      <c r="I66" s="198"/>
    </row>
    <row r="67" spans="2:9" ht="15.6" x14ac:dyDescent="0.3">
      <c r="B67" s="193" t="s">
        <v>646</v>
      </c>
      <c r="C67" s="197"/>
      <c r="D67" s="211" t="s">
        <v>626</v>
      </c>
      <c r="E67" s="213" t="s">
        <v>503</v>
      </c>
      <c r="F67" s="213" t="s">
        <v>627</v>
      </c>
      <c r="G67" s="365">
        <v>335185</v>
      </c>
      <c r="I67" s="198"/>
    </row>
    <row r="68" spans="2:9" ht="15.6" x14ac:dyDescent="0.3">
      <c r="B68" s="193" t="s">
        <v>649</v>
      </c>
      <c r="C68" s="197"/>
      <c r="D68" s="211" t="s">
        <v>626</v>
      </c>
      <c r="E68" s="213" t="s">
        <v>503</v>
      </c>
      <c r="F68" s="213" t="s">
        <v>629</v>
      </c>
      <c r="G68" s="365">
        <v>0</v>
      </c>
      <c r="I68" s="198"/>
    </row>
    <row r="69" spans="2:9" ht="15.6" x14ac:dyDescent="0.3">
      <c r="B69" s="193" t="s">
        <v>651</v>
      </c>
      <c r="C69" s="197"/>
      <c r="D69" s="211" t="s">
        <v>626</v>
      </c>
      <c r="E69" s="213" t="s">
        <v>552</v>
      </c>
      <c r="F69" s="213" t="s">
        <v>632</v>
      </c>
      <c r="G69" s="365">
        <v>0</v>
      </c>
      <c r="I69" s="198"/>
    </row>
    <row r="70" spans="2:9" ht="15.6" x14ac:dyDescent="0.3">
      <c r="B70" s="193" t="s">
        <v>653</v>
      </c>
      <c r="C70" s="197"/>
      <c r="D70" s="211" t="s">
        <v>626</v>
      </c>
      <c r="E70" s="213" t="s">
        <v>511</v>
      </c>
      <c r="F70" s="213" t="s">
        <v>634</v>
      </c>
      <c r="G70" s="365">
        <v>29111</v>
      </c>
      <c r="I70" s="198"/>
    </row>
    <row r="71" spans="2:9" ht="15.6" x14ac:dyDescent="0.3">
      <c r="B71" s="193" t="s">
        <v>656</v>
      </c>
      <c r="C71" s="197"/>
      <c r="D71" s="211" t="s">
        <v>723</v>
      </c>
      <c r="E71" s="212" t="s">
        <v>507</v>
      </c>
      <c r="F71" s="213" t="s">
        <v>726</v>
      </c>
      <c r="G71" s="365">
        <v>205900</v>
      </c>
      <c r="I71" s="198"/>
    </row>
    <row r="72" spans="2:9" ht="15.6" x14ac:dyDescent="0.3">
      <c r="B72" s="193" t="s">
        <v>658</v>
      </c>
      <c r="C72" s="197"/>
      <c r="D72" s="211" t="s">
        <v>636</v>
      </c>
      <c r="E72" s="213" t="s">
        <v>507</v>
      </c>
      <c r="F72" s="213" t="s">
        <v>637</v>
      </c>
      <c r="G72" s="365">
        <v>221261</v>
      </c>
      <c r="I72" s="198"/>
    </row>
    <row r="73" spans="2:9" ht="15.6" x14ac:dyDescent="0.3">
      <c r="B73" s="193" t="s">
        <v>660</v>
      </c>
      <c r="C73" s="197"/>
      <c r="D73" s="211" t="s">
        <v>639</v>
      </c>
      <c r="E73" s="213" t="s">
        <v>507</v>
      </c>
      <c r="F73" s="213" t="s">
        <v>640</v>
      </c>
      <c r="G73" s="365">
        <v>2052891</v>
      </c>
      <c r="I73" s="198"/>
    </row>
    <row r="74" spans="2:9" ht="15.6" x14ac:dyDescent="0.3">
      <c r="B74" s="193" t="s">
        <v>662</v>
      </c>
      <c r="C74" s="197"/>
      <c r="D74" s="211" t="s">
        <v>832</v>
      </c>
      <c r="E74" s="213" t="s">
        <v>511</v>
      </c>
      <c r="F74" s="213" t="s">
        <v>642</v>
      </c>
      <c r="G74" s="365">
        <v>-100090</v>
      </c>
      <c r="I74" s="198"/>
    </row>
    <row r="75" spans="2:9" ht="15.6" x14ac:dyDescent="0.3">
      <c r="B75" s="193" t="s">
        <v>665</v>
      </c>
      <c r="C75" s="197"/>
      <c r="D75" s="211" t="s">
        <v>832</v>
      </c>
      <c r="E75" s="213" t="s">
        <v>552</v>
      </c>
      <c r="F75" s="213" t="s">
        <v>1056</v>
      </c>
      <c r="G75" s="365">
        <v>1044010</v>
      </c>
      <c r="I75" s="198"/>
    </row>
    <row r="76" spans="2:9" ht="15.6" x14ac:dyDescent="0.3">
      <c r="B76" s="193" t="s">
        <v>668</v>
      </c>
      <c r="C76" s="197"/>
      <c r="D76" s="211" t="s">
        <v>644</v>
      </c>
      <c r="E76" s="212" t="s">
        <v>645</v>
      </c>
      <c r="F76" s="213" t="s">
        <v>648</v>
      </c>
      <c r="G76" s="365">
        <v>0</v>
      </c>
      <c r="I76" s="198"/>
    </row>
    <row r="77" spans="2:9" ht="15.6" x14ac:dyDescent="0.3">
      <c r="B77" s="193" t="s">
        <v>721</v>
      </c>
      <c r="C77" s="197"/>
      <c r="D77" s="211" t="s">
        <v>647</v>
      </c>
      <c r="E77" s="212" t="s">
        <v>645</v>
      </c>
      <c r="F77" s="212" t="s">
        <v>648</v>
      </c>
      <c r="G77" s="365">
        <v>0</v>
      </c>
      <c r="I77" s="198"/>
    </row>
    <row r="78" spans="2:9" ht="15.6" x14ac:dyDescent="0.3">
      <c r="B78" s="193" t="s">
        <v>722</v>
      </c>
      <c r="C78" s="197"/>
      <c r="D78" s="211" t="s">
        <v>650</v>
      </c>
      <c r="E78" s="213" t="s">
        <v>645</v>
      </c>
      <c r="F78" s="213" t="s">
        <v>648</v>
      </c>
      <c r="G78" s="365">
        <v>0</v>
      </c>
      <c r="I78" s="198"/>
    </row>
    <row r="79" spans="2:9" ht="15.6" x14ac:dyDescent="0.3">
      <c r="B79" s="193" t="s">
        <v>803</v>
      </c>
      <c r="C79" s="197"/>
      <c r="D79" s="211" t="s">
        <v>652</v>
      </c>
      <c r="E79" s="212" t="s">
        <v>645</v>
      </c>
      <c r="F79" s="212" t="s">
        <v>648</v>
      </c>
      <c r="G79" s="365">
        <v>10940</v>
      </c>
      <c r="I79" s="198"/>
    </row>
    <row r="80" spans="2:9" ht="15.6" x14ac:dyDescent="0.3">
      <c r="B80" s="193" t="s">
        <v>804</v>
      </c>
      <c r="C80" s="197"/>
      <c r="D80" s="211" t="s">
        <v>654</v>
      </c>
      <c r="E80" s="213" t="s">
        <v>645</v>
      </c>
      <c r="F80" s="213" t="s">
        <v>655</v>
      </c>
      <c r="G80" s="365">
        <v>0</v>
      </c>
      <c r="I80" s="198"/>
    </row>
    <row r="81" spans="2:9" ht="15.6" x14ac:dyDescent="0.3">
      <c r="B81" s="193" t="s">
        <v>805</v>
      </c>
      <c r="C81" s="197"/>
      <c r="D81" s="211" t="s">
        <v>657</v>
      </c>
      <c r="E81" s="213" t="s">
        <v>645</v>
      </c>
      <c r="F81" s="212" t="s">
        <v>648</v>
      </c>
      <c r="G81" s="365">
        <v>0</v>
      </c>
      <c r="I81" s="198"/>
    </row>
    <row r="82" spans="2:9" ht="15" customHeight="1" x14ac:dyDescent="0.3">
      <c r="B82" s="193" t="s">
        <v>1057</v>
      </c>
      <c r="C82" s="154"/>
      <c r="D82" s="211" t="s">
        <v>659</v>
      </c>
      <c r="E82" s="212" t="s">
        <v>511</v>
      </c>
      <c r="F82" s="213" t="s">
        <v>648</v>
      </c>
      <c r="G82" s="365">
        <v>0</v>
      </c>
    </row>
    <row r="83" spans="2:9" ht="15" customHeight="1" x14ac:dyDescent="0.3">
      <c r="B83" s="193" t="s">
        <v>1058</v>
      </c>
      <c r="D83" s="211" t="s">
        <v>661</v>
      </c>
      <c r="E83" s="212" t="s">
        <v>511</v>
      </c>
      <c r="F83" s="213" t="s">
        <v>648</v>
      </c>
      <c r="G83" s="365">
        <v>0</v>
      </c>
    </row>
    <row r="84" spans="2:9" ht="14.4" x14ac:dyDescent="0.3">
      <c r="B84" s="193" t="s">
        <v>1059</v>
      </c>
      <c r="D84" s="211" t="s">
        <v>663</v>
      </c>
      <c r="E84" s="213" t="s">
        <v>511</v>
      </c>
      <c r="F84" s="213" t="s">
        <v>664</v>
      </c>
      <c r="G84" s="365">
        <v>0</v>
      </c>
    </row>
    <row r="85" spans="2:9" ht="14.4" x14ac:dyDescent="0.3">
      <c r="B85" s="193" t="s">
        <v>1060</v>
      </c>
      <c r="D85" s="211" t="s">
        <v>666</v>
      </c>
      <c r="E85" s="213" t="s">
        <v>511</v>
      </c>
      <c r="F85" s="213" t="s">
        <v>667</v>
      </c>
      <c r="G85" s="365">
        <v>0</v>
      </c>
    </row>
    <row r="86" spans="2:9" ht="14.4" x14ac:dyDescent="0.3">
      <c r="B86" s="193" t="s">
        <v>1061</v>
      </c>
      <c r="D86" s="211" t="s">
        <v>669</v>
      </c>
      <c r="E86" s="213" t="s">
        <v>511</v>
      </c>
      <c r="F86" s="213" t="s">
        <v>655</v>
      </c>
      <c r="G86" s="365">
        <v>0</v>
      </c>
    </row>
    <row r="87" spans="2:9" ht="12.75" customHeight="1" x14ac:dyDescent="0.3">
      <c r="B87" s="193" t="s">
        <v>1062</v>
      </c>
      <c r="D87" s="312" t="s">
        <v>806</v>
      </c>
      <c r="E87" s="213" t="s">
        <v>511</v>
      </c>
      <c r="F87" s="213" t="s">
        <v>655</v>
      </c>
      <c r="G87" s="365">
        <v>0</v>
      </c>
      <c r="I87" s="137" t="s">
        <v>232</v>
      </c>
    </row>
    <row r="88" spans="2:9" ht="14.4" x14ac:dyDescent="0.3">
      <c r="B88" s="193" t="s">
        <v>1063</v>
      </c>
      <c r="D88" s="312" t="s">
        <v>807</v>
      </c>
      <c r="E88" s="213" t="s">
        <v>511</v>
      </c>
      <c r="F88" s="213" t="s">
        <v>655</v>
      </c>
      <c r="G88" s="365">
        <v>0</v>
      </c>
      <c r="I88" s="137" t="s">
        <v>232</v>
      </c>
    </row>
    <row r="89" spans="2:9" ht="14.4" x14ac:dyDescent="0.3">
      <c r="B89" s="193" t="s">
        <v>1064</v>
      </c>
      <c r="D89" s="312" t="s">
        <v>831</v>
      </c>
      <c r="E89" s="213" t="s">
        <v>511</v>
      </c>
      <c r="F89" s="213" t="s">
        <v>655</v>
      </c>
      <c r="G89" s="365">
        <v>0</v>
      </c>
    </row>
    <row r="90" spans="2:9" ht="14.4" x14ac:dyDescent="0.3">
      <c r="B90" s="193" t="s">
        <v>1065</v>
      </c>
      <c r="D90" s="312" t="s">
        <v>808</v>
      </c>
      <c r="E90" s="213" t="s">
        <v>511</v>
      </c>
      <c r="F90" s="213" t="s">
        <v>655</v>
      </c>
      <c r="G90" s="365">
        <v>0</v>
      </c>
    </row>
    <row r="91" spans="2:9" ht="13.8" thickBot="1" x14ac:dyDescent="0.3">
      <c r="D91" s="155"/>
      <c r="E91" s="155"/>
      <c r="F91" s="155"/>
      <c r="G91" s="72"/>
    </row>
    <row r="92" spans="2:9" ht="13.8" thickTop="1" x14ac:dyDescent="0.25">
      <c r="D92" s="3" t="s">
        <v>120</v>
      </c>
      <c r="E92" s="3"/>
      <c r="F92" s="3"/>
      <c r="G92" s="84">
        <f>SUM(G13:G90)</f>
        <v>97561354</v>
      </c>
    </row>
    <row r="93" spans="2:9" s="138" customFormat="1" ht="14.4" x14ac:dyDescent="0.3">
      <c r="G93" s="365"/>
    </row>
    <row r="94" spans="2:9" x14ac:dyDescent="0.25">
      <c r="D94" s="3" t="s">
        <v>197</v>
      </c>
      <c r="E94" s="3"/>
      <c r="F94" s="3"/>
      <c r="G94" s="130">
        <f>SUMIF($E$13:$E$90,"NF",$G$13:$G$90)</f>
        <v>319014</v>
      </c>
    </row>
    <row r="95" spans="2:9" x14ac:dyDescent="0.25">
      <c r="D95" s="3" t="s">
        <v>267</v>
      </c>
      <c r="G95" s="130">
        <f>SUMIF($E$13:$E$90,"SFP",$G$13:$G$90)</f>
        <v>1426413</v>
      </c>
    </row>
    <row r="97" spans="4:7" x14ac:dyDescent="0.25">
      <c r="D97" s="3" t="s">
        <v>229</v>
      </c>
      <c r="G97" s="85">
        <f>G94+G95</f>
        <v>1745427</v>
      </c>
    </row>
    <row r="98" spans="4:7" x14ac:dyDescent="0.25">
      <c r="D98" s="3"/>
      <c r="G98" s="85"/>
    </row>
    <row r="99" spans="4:7" x14ac:dyDescent="0.25">
      <c r="D99" s="39" t="s">
        <v>266</v>
      </c>
      <c r="E99" s="138"/>
      <c r="F99" s="138"/>
      <c r="G99" s="85">
        <v>-112931.07617684946</v>
      </c>
    </row>
    <row r="100" spans="4:7" ht="13.8" thickBot="1" x14ac:dyDescent="0.3">
      <c r="D100" s="39" t="s">
        <v>848</v>
      </c>
      <c r="E100" s="138"/>
      <c r="F100" s="138"/>
      <c r="G100" s="389">
        <v>0</v>
      </c>
    </row>
    <row r="101" spans="4:7" x14ac:dyDescent="0.25">
      <c r="D101" s="138"/>
      <c r="E101" s="138"/>
      <c r="F101" s="138"/>
    </row>
    <row r="102" spans="4:7" ht="13.8" thickBot="1" x14ac:dyDescent="0.3">
      <c r="D102" s="39" t="s">
        <v>231</v>
      </c>
      <c r="E102" s="138"/>
      <c r="F102" s="138"/>
      <c r="G102" s="374">
        <f>G97+G99+G100</f>
        <v>1632495.9238231506</v>
      </c>
    </row>
    <row r="103" spans="4:7" ht="13.8" thickTop="1" x14ac:dyDescent="0.25"/>
  </sheetData>
  <mergeCells count="6">
    <mergeCell ref="B10:B11"/>
    <mergeCell ref="G1:H1"/>
    <mergeCell ref="G3:H3"/>
    <mergeCell ref="A5:H5"/>
    <mergeCell ref="A6:H6"/>
    <mergeCell ref="A7:H7"/>
  </mergeCells>
  <phoneticPr fontId="0" type="noConversion"/>
  <printOptions horizontalCentered="1"/>
  <pageMargins left="0.5" right="0.5" top="0.5" bottom="0.25" header="0.5" footer="0.5"/>
  <pageSetup scale="56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J61"/>
  <sheetViews>
    <sheetView workbookViewId="0">
      <selection activeCell="I2" sqref="I2"/>
    </sheetView>
  </sheetViews>
  <sheetFormatPr defaultColWidth="9.109375" defaultRowHeight="13.2" x14ac:dyDescent="0.25"/>
  <cols>
    <col min="1" max="1" width="5.6640625" style="137" customWidth="1"/>
    <col min="2" max="2" width="18.6640625" style="137" customWidth="1"/>
    <col min="3" max="3" width="9.109375" style="138"/>
    <col min="4" max="4" width="5.6640625" style="138" customWidth="1"/>
    <col min="5" max="5" width="11" style="138" bestFit="1" customWidth="1"/>
    <col min="6" max="6" width="5.6640625" style="138" customWidth="1"/>
    <col min="7" max="7" width="13.6640625" style="138" customWidth="1"/>
    <col min="8" max="8" width="5.6640625" style="138" customWidth="1"/>
    <col min="9" max="9" width="14.88671875" style="138" customWidth="1"/>
    <col min="10" max="10" width="5.6640625" style="137" customWidth="1"/>
    <col min="11" max="16384" width="9.109375" style="137"/>
  </cols>
  <sheetData>
    <row r="1" spans="1:10" ht="13.8" x14ac:dyDescent="0.25">
      <c r="I1" s="438" t="s">
        <v>814</v>
      </c>
      <c r="J1" s="438"/>
    </row>
    <row r="2" spans="1:10" ht="13.8" x14ac:dyDescent="0.25">
      <c r="I2" s="379" t="s">
        <v>357</v>
      </c>
      <c r="J2" s="152"/>
    </row>
    <row r="3" spans="1:10" x14ac:dyDescent="0.25">
      <c r="I3" s="460" t="str">
        <f>FF1_Year</f>
        <v>Year Ending 12/31/2014</v>
      </c>
      <c r="J3" s="460"/>
    </row>
    <row r="5" spans="1:10" x14ac:dyDescent="0.25">
      <c r="A5" s="447" t="s">
        <v>826</v>
      </c>
      <c r="B5" s="447"/>
      <c r="C5" s="447"/>
      <c r="D5" s="447"/>
      <c r="E5" s="447"/>
      <c r="F5" s="447"/>
      <c r="G5" s="447"/>
      <c r="H5" s="447"/>
      <c r="I5" s="447"/>
      <c r="J5" s="447"/>
    </row>
    <row r="6" spans="1:10" x14ac:dyDescent="0.25">
      <c r="A6" s="451" t="s">
        <v>145</v>
      </c>
      <c r="B6" s="451"/>
      <c r="C6" s="451"/>
      <c r="D6" s="451"/>
      <c r="E6" s="451"/>
      <c r="F6" s="451"/>
      <c r="G6" s="451"/>
      <c r="H6" s="451"/>
      <c r="I6" s="451"/>
      <c r="J6" s="451"/>
    </row>
    <row r="8" spans="1:10" x14ac:dyDescent="0.25">
      <c r="B8" s="176"/>
      <c r="C8" s="197"/>
      <c r="D8" s="197"/>
      <c r="E8" s="197"/>
      <c r="F8" s="197"/>
      <c r="G8" s="197"/>
      <c r="H8" s="197"/>
      <c r="I8" s="197"/>
      <c r="J8" s="176"/>
    </row>
    <row r="9" spans="1:10" x14ac:dyDescent="0.25">
      <c r="B9" s="176"/>
      <c r="C9" s="197"/>
      <c r="D9" s="197"/>
      <c r="E9" s="390" t="s">
        <v>132</v>
      </c>
      <c r="F9" s="390"/>
      <c r="G9" s="390"/>
      <c r="H9" s="390"/>
      <c r="I9" s="197"/>
      <c r="J9" s="176"/>
    </row>
    <row r="10" spans="1:10" x14ac:dyDescent="0.25">
      <c r="B10" s="177" t="s">
        <v>133</v>
      </c>
      <c r="C10" s="391" t="s">
        <v>200</v>
      </c>
      <c r="D10" s="197"/>
      <c r="E10" s="392" t="s">
        <v>199</v>
      </c>
      <c r="F10" s="213"/>
      <c r="G10" s="393" t="s">
        <v>134</v>
      </c>
      <c r="H10" s="393"/>
      <c r="I10" s="393" t="s">
        <v>144</v>
      </c>
    </row>
    <row r="11" spans="1:10" x14ac:dyDescent="0.25">
      <c r="B11" s="178" t="s">
        <v>135</v>
      </c>
      <c r="C11" s="178" t="s">
        <v>1325</v>
      </c>
      <c r="D11" s="178"/>
      <c r="E11" s="178" t="s">
        <v>1326</v>
      </c>
      <c r="F11" s="178"/>
      <c r="G11" s="180">
        <v>26556</v>
      </c>
      <c r="H11" s="394"/>
      <c r="I11" s="179">
        <v>1994</v>
      </c>
    </row>
    <row r="12" spans="1:10" x14ac:dyDescent="0.25">
      <c r="B12" s="178"/>
      <c r="C12" s="178" t="s">
        <v>1327</v>
      </c>
      <c r="D12" s="178"/>
      <c r="E12" s="178" t="s">
        <v>1328</v>
      </c>
      <c r="F12" s="178"/>
      <c r="G12" s="180">
        <v>91063</v>
      </c>
      <c r="H12" s="180"/>
      <c r="I12" s="179">
        <v>1993</v>
      </c>
    </row>
    <row r="13" spans="1:10" x14ac:dyDescent="0.25">
      <c r="B13" s="178"/>
      <c r="C13" s="178" t="s">
        <v>1327</v>
      </c>
      <c r="D13" s="178"/>
      <c r="E13" s="178" t="s">
        <v>1328</v>
      </c>
      <c r="F13" s="178"/>
      <c r="G13" s="180">
        <v>616305</v>
      </c>
      <c r="H13" s="180"/>
      <c r="I13" s="179">
        <v>1993</v>
      </c>
    </row>
    <row r="14" spans="1:10" x14ac:dyDescent="0.25">
      <c r="B14" s="178"/>
      <c r="C14" s="178"/>
      <c r="D14" s="178"/>
      <c r="E14" s="178"/>
      <c r="F14" s="178"/>
      <c r="G14" s="181">
        <f>SUM(G11:G13)</f>
        <v>733924</v>
      </c>
      <c r="H14" s="182"/>
      <c r="I14" s="179"/>
    </row>
    <row r="15" spans="1:10" x14ac:dyDescent="0.25">
      <c r="B15" s="178"/>
      <c r="C15" s="178"/>
      <c r="D15" s="178"/>
      <c r="E15" s="178"/>
      <c r="F15" s="178"/>
      <c r="G15" s="180"/>
      <c r="H15" s="180"/>
      <c r="I15" s="179"/>
    </row>
    <row r="16" spans="1:10" x14ac:dyDescent="0.25">
      <c r="B16" s="178" t="s">
        <v>136</v>
      </c>
      <c r="C16" s="178" t="s">
        <v>1325</v>
      </c>
      <c r="D16" s="178"/>
      <c r="E16" s="178" t="s">
        <v>1329</v>
      </c>
      <c r="F16" s="395"/>
      <c r="G16" s="180">
        <v>1012350.2</v>
      </c>
      <c r="H16" s="180"/>
      <c r="I16" s="179">
        <v>2013</v>
      </c>
    </row>
    <row r="17" spans="2:9" x14ac:dyDescent="0.25">
      <c r="B17" s="178"/>
      <c r="C17" s="178" t="s">
        <v>1325</v>
      </c>
      <c r="D17" s="178"/>
      <c r="E17" s="178" t="s">
        <v>1330</v>
      </c>
      <c r="F17" s="395"/>
      <c r="G17" s="180">
        <v>624845</v>
      </c>
      <c r="H17" s="180"/>
      <c r="I17" s="179">
        <v>1980</v>
      </c>
    </row>
    <row r="18" spans="2:9" x14ac:dyDescent="0.25">
      <c r="B18" s="178"/>
      <c r="C18" s="178" t="s">
        <v>1327</v>
      </c>
      <c r="D18" s="178"/>
      <c r="E18" s="178" t="s">
        <v>1331</v>
      </c>
      <c r="F18" s="395"/>
      <c r="G18" s="180">
        <v>729043.11</v>
      </c>
      <c r="H18" s="180"/>
      <c r="I18" s="179">
        <v>2013</v>
      </c>
    </row>
    <row r="19" spans="2:9" x14ac:dyDescent="0.25">
      <c r="B19" s="178"/>
      <c r="C19" s="178"/>
      <c r="D19" s="178"/>
      <c r="E19" s="178"/>
      <c r="F19" s="178"/>
      <c r="G19" s="181">
        <f>SUM(G16:G18)</f>
        <v>2366238.31</v>
      </c>
      <c r="H19" s="182"/>
      <c r="I19" s="179"/>
    </row>
    <row r="20" spans="2:9" x14ac:dyDescent="0.25">
      <c r="B20" s="178"/>
      <c r="C20" s="178"/>
      <c r="D20" s="178"/>
      <c r="E20" s="178"/>
      <c r="F20" s="178"/>
      <c r="G20" s="180"/>
      <c r="H20" s="180"/>
      <c r="I20" s="179"/>
    </row>
    <row r="21" spans="2:9" x14ac:dyDescent="0.25">
      <c r="B21" s="178" t="s">
        <v>137</v>
      </c>
      <c r="C21" s="178" t="s">
        <v>670</v>
      </c>
      <c r="D21" s="178"/>
      <c r="E21" s="178" t="s">
        <v>1332</v>
      </c>
      <c r="F21" s="178"/>
      <c r="G21" s="180">
        <v>5844967.0928571438</v>
      </c>
      <c r="H21" s="180"/>
      <c r="I21" s="179">
        <v>2009</v>
      </c>
    </row>
    <row r="22" spans="2:9" x14ac:dyDescent="0.25">
      <c r="B22" s="178"/>
      <c r="C22" s="178" t="s">
        <v>670</v>
      </c>
      <c r="D22" s="178"/>
      <c r="E22" s="178" t="s">
        <v>1333</v>
      </c>
      <c r="F22" s="178"/>
      <c r="G22" s="180">
        <v>1948322.3642857149</v>
      </c>
      <c r="H22" s="180"/>
      <c r="I22" s="179">
        <v>2009</v>
      </c>
    </row>
    <row r="23" spans="2:9" x14ac:dyDescent="0.25">
      <c r="B23" s="178"/>
      <c r="C23" s="178" t="s">
        <v>670</v>
      </c>
      <c r="D23" s="178"/>
      <c r="E23" s="178" t="s">
        <v>1334</v>
      </c>
      <c r="F23" s="178"/>
      <c r="G23" s="180">
        <v>1948322.3642857149</v>
      </c>
      <c r="H23" s="180"/>
      <c r="I23" s="179">
        <v>2009</v>
      </c>
    </row>
    <row r="24" spans="2:9" x14ac:dyDescent="0.25">
      <c r="B24" s="178"/>
      <c r="C24" s="178" t="s">
        <v>670</v>
      </c>
      <c r="D24" s="178"/>
      <c r="E24" s="178" t="s">
        <v>1335</v>
      </c>
      <c r="F24" s="395"/>
      <c r="G24" s="180">
        <v>1948322.3642857149</v>
      </c>
      <c r="H24" s="180"/>
      <c r="I24" s="179">
        <v>2009</v>
      </c>
    </row>
    <row r="25" spans="2:9" x14ac:dyDescent="0.25">
      <c r="B25" s="178"/>
      <c r="C25" s="178" t="s">
        <v>670</v>
      </c>
      <c r="D25" s="178"/>
      <c r="E25" s="178" t="s">
        <v>1336</v>
      </c>
      <c r="F25" s="395"/>
      <c r="G25" s="180">
        <v>1948322.3642857149</v>
      </c>
      <c r="H25" s="180"/>
      <c r="I25" s="179">
        <v>2009</v>
      </c>
    </row>
    <row r="26" spans="2:9" x14ac:dyDescent="0.25">
      <c r="B26" s="178"/>
      <c r="C26" s="178" t="s">
        <v>1337</v>
      </c>
      <c r="D26" s="178"/>
      <c r="E26" s="178" t="s">
        <v>1330</v>
      </c>
      <c r="F26" s="178"/>
      <c r="G26" s="180">
        <v>185875</v>
      </c>
      <c r="H26" s="180"/>
      <c r="I26" s="179">
        <v>1972</v>
      </c>
    </row>
    <row r="27" spans="2:9" x14ac:dyDescent="0.25">
      <c r="B27" s="178"/>
      <c r="C27" s="178" t="s">
        <v>1325</v>
      </c>
      <c r="D27" s="178"/>
      <c r="E27" s="178" t="s">
        <v>1338</v>
      </c>
      <c r="F27" s="395"/>
      <c r="G27" s="180">
        <v>1695061.27</v>
      </c>
      <c r="H27" s="180"/>
      <c r="I27" s="179">
        <v>2013</v>
      </c>
    </row>
    <row r="28" spans="2:9" x14ac:dyDescent="0.25">
      <c r="B28" s="178"/>
      <c r="C28" s="178"/>
      <c r="D28" s="178"/>
      <c r="E28" s="178"/>
      <c r="F28" s="178"/>
      <c r="G28" s="181">
        <f>SUM(G21:G27)</f>
        <v>15519192.820000004</v>
      </c>
      <c r="H28" s="182"/>
      <c r="I28" s="179"/>
    </row>
    <row r="29" spans="2:9" x14ac:dyDescent="0.25">
      <c r="B29" s="178"/>
      <c r="C29" s="178"/>
      <c r="D29" s="178"/>
      <c r="E29" s="178"/>
      <c r="F29" s="178"/>
      <c r="G29" s="180"/>
      <c r="H29" s="180"/>
      <c r="I29" s="179"/>
    </row>
    <row r="30" spans="2:9" x14ac:dyDescent="0.25">
      <c r="B30" s="178" t="s">
        <v>138</v>
      </c>
      <c r="C30" s="178" t="s">
        <v>1337</v>
      </c>
      <c r="D30" s="178"/>
      <c r="E30" s="178" t="s">
        <v>1330</v>
      </c>
      <c r="F30" s="395"/>
      <c r="G30" s="180">
        <v>192812.03</v>
      </c>
      <c r="H30" s="180"/>
      <c r="I30" s="179">
        <v>1969</v>
      </c>
    </row>
    <row r="31" spans="2:9" x14ac:dyDescent="0.25">
      <c r="B31" s="178"/>
      <c r="C31" s="178" t="s">
        <v>1337</v>
      </c>
      <c r="D31" s="178"/>
      <c r="E31" s="178" t="s">
        <v>1330</v>
      </c>
      <c r="F31" s="395"/>
      <c r="G31" s="180">
        <v>4188</v>
      </c>
      <c r="H31" s="180"/>
      <c r="I31" s="179">
        <v>1983</v>
      </c>
    </row>
    <row r="32" spans="2:9" x14ac:dyDescent="0.25">
      <c r="B32" s="178"/>
      <c r="C32" s="178" t="s">
        <v>1325</v>
      </c>
      <c r="D32" s="178"/>
      <c r="E32" s="178" t="s">
        <v>1338</v>
      </c>
      <c r="F32" s="395"/>
      <c r="G32" s="180">
        <v>186947</v>
      </c>
      <c r="H32" s="180"/>
      <c r="I32" s="179">
        <v>1973</v>
      </c>
    </row>
    <row r="33" spans="2:9" x14ac:dyDescent="0.25">
      <c r="B33" s="178"/>
      <c r="C33" s="178" t="s">
        <v>1325</v>
      </c>
      <c r="D33" s="178"/>
      <c r="E33" s="178" t="s">
        <v>1338</v>
      </c>
      <c r="F33" s="395"/>
      <c r="G33" s="180">
        <v>13993</v>
      </c>
      <c r="H33" s="180"/>
      <c r="I33" s="179">
        <v>1984</v>
      </c>
    </row>
    <row r="34" spans="2:9" x14ac:dyDescent="0.25">
      <c r="B34" s="178"/>
      <c r="C34" s="178" t="s">
        <v>1325</v>
      </c>
      <c r="D34" s="178"/>
      <c r="E34" s="178" t="s">
        <v>1339</v>
      </c>
      <c r="F34" s="395"/>
      <c r="G34" s="180">
        <v>186947</v>
      </c>
      <c r="H34" s="180"/>
      <c r="I34" s="179">
        <v>1973</v>
      </c>
    </row>
    <row r="35" spans="2:9" x14ac:dyDescent="0.25">
      <c r="B35" s="178"/>
      <c r="C35" s="178"/>
      <c r="D35" s="178"/>
      <c r="E35" s="178"/>
      <c r="F35" s="178"/>
      <c r="G35" s="181">
        <f>SUM(G30:G34)</f>
        <v>584887.03</v>
      </c>
      <c r="H35" s="182"/>
      <c r="I35" s="179"/>
    </row>
    <row r="36" spans="2:9" x14ac:dyDescent="0.25">
      <c r="B36" s="178"/>
      <c r="C36" s="178"/>
      <c r="D36" s="178"/>
      <c r="E36" s="178"/>
      <c r="F36" s="178"/>
      <c r="G36" s="180"/>
      <c r="H36" s="180"/>
      <c r="I36" s="179"/>
    </row>
    <row r="37" spans="2:9" x14ac:dyDescent="0.25">
      <c r="B37" s="178" t="s">
        <v>139</v>
      </c>
      <c r="C37" s="178" t="s">
        <v>1340</v>
      </c>
      <c r="D37" s="178"/>
      <c r="E37" s="178" t="s">
        <v>1341</v>
      </c>
      <c r="F37" s="395"/>
      <c r="G37" s="180">
        <v>182984</v>
      </c>
      <c r="H37" s="180"/>
      <c r="I37" s="179">
        <v>1953</v>
      </c>
    </row>
    <row r="38" spans="2:9" x14ac:dyDescent="0.25">
      <c r="B38" s="178"/>
      <c r="C38" s="178" t="s">
        <v>1342</v>
      </c>
      <c r="D38" s="178"/>
      <c r="E38" s="178" t="s">
        <v>1343</v>
      </c>
      <c r="F38" s="395"/>
      <c r="G38" s="180">
        <v>139629</v>
      </c>
      <c r="H38" s="180"/>
      <c r="I38" s="179">
        <v>1954</v>
      </c>
    </row>
    <row r="39" spans="2:9" x14ac:dyDescent="0.25">
      <c r="B39" s="178"/>
      <c r="C39" s="178" t="s">
        <v>1344</v>
      </c>
      <c r="D39" s="178"/>
      <c r="E39" s="178" t="s">
        <v>1345</v>
      </c>
      <c r="F39" s="395"/>
      <c r="G39" s="180">
        <v>1449866.19</v>
      </c>
      <c r="H39" s="180"/>
      <c r="I39" s="179">
        <v>1956</v>
      </c>
    </row>
    <row r="40" spans="2:9" x14ac:dyDescent="0.25">
      <c r="B40" s="178"/>
      <c r="C40" s="178"/>
      <c r="D40" s="178"/>
      <c r="E40" s="178"/>
      <c r="F40" s="178"/>
      <c r="G40" s="182">
        <f>SUM(G37:G39)</f>
        <v>1772479.19</v>
      </c>
      <c r="H40" s="182"/>
      <c r="I40" s="179"/>
    </row>
    <row r="41" spans="2:9" x14ac:dyDescent="0.25">
      <c r="B41" s="178"/>
      <c r="C41" s="178"/>
      <c r="D41" s="178"/>
      <c r="E41" s="178"/>
      <c r="F41" s="178"/>
      <c r="G41" s="180"/>
      <c r="H41" s="180"/>
      <c r="I41" s="179"/>
    </row>
    <row r="42" spans="2:9" x14ac:dyDescent="0.25">
      <c r="B42" s="178"/>
      <c r="C42" s="178"/>
      <c r="D42" s="178"/>
      <c r="E42" s="178"/>
      <c r="F42" s="178"/>
      <c r="G42" s="180"/>
      <c r="H42" s="180"/>
      <c r="I42" s="179"/>
    </row>
    <row r="43" spans="2:9" x14ac:dyDescent="0.25">
      <c r="B43" s="178" t="s">
        <v>140</v>
      </c>
      <c r="C43" s="178" t="s">
        <v>1344</v>
      </c>
      <c r="D43" s="178"/>
      <c r="E43" s="178" t="s">
        <v>1329</v>
      </c>
      <c r="F43" s="395"/>
      <c r="G43" s="180">
        <v>67645.22</v>
      </c>
      <c r="H43" s="180"/>
      <c r="I43" s="179">
        <v>1970</v>
      </c>
    </row>
    <row r="44" spans="2:9" x14ac:dyDescent="0.25">
      <c r="B44" s="178"/>
      <c r="C44" s="178"/>
      <c r="D44" s="178"/>
      <c r="E44" s="178"/>
      <c r="F44" s="178"/>
      <c r="G44" s="181">
        <f>SUM(G43:G43)</f>
        <v>67645.22</v>
      </c>
      <c r="H44" s="182"/>
      <c r="I44" s="179"/>
    </row>
    <row r="45" spans="2:9" x14ac:dyDescent="0.25">
      <c r="B45" s="178"/>
      <c r="C45" s="178"/>
      <c r="D45" s="178"/>
      <c r="E45" s="178"/>
      <c r="F45" s="178"/>
      <c r="G45" s="180"/>
      <c r="H45" s="180"/>
      <c r="I45" s="179"/>
    </row>
    <row r="46" spans="2:9" x14ac:dyDescent="0.25">
      <c r="B46" s="178" t="s">
        <v>141</v>
      </c>
      <c r="C46" s="178" t="s">
        <v>1325</v>
      </c>
      <c r="D46" s="178"/>
      <c r="E46" s="178" t="s">
        <v>1330</v>
      </c>
      <c r="F46" s="395"/>
      <c r="G46" s="180">
        <v>228101</v>
      </c>
      <c r="H46" s="180"/>
      <c r="I46" s="179">
        <v>1974</v>
      </c>
    </row>
    <row r="47" spans="2:9" x14ac:dyDescent="0.25">
      <c r="B47" s="178"/>
      <c r="C47" s="178" t="s">
        <v>1325</v>
      </c>
      <c r="D47" s="178"/>
      <c r="E47" s="178" t="s">
        <v>1330</v>
      </c>
      <c r="F47" s="395"/>
      <c r="G47" s="180">
        <v>15981</v>
      </c>
      <c r="H47" s="180"/>
      <c r="I47" s="179">
        <v>1986</v>
      </c>
    </row>
    <row r="48" spans="2:9" x14ac:dyDescent="0.25">
      <c r="B48" s="178"/>
      <c r="C48" s="178" t="s">
        <v>1327</v>
      </c>
      <c r="D48" s="178"/>
      <c r="E48" s="178" t="s">
        <v>1338</v>
      </c>
      <c r="F48" s="395"/>
      <c r="G48" s="180">
        <v>228101</v>
      </c>
      <c r="H48" s="180"/>
      <c r="I48" s="179">
        <v>1974</v>
      </c>
    </row>
    <row r="49" spans="2:9" x14ac:dyDescent="0.25">
      <c r="B49" s="178"/>
      <c r="C49" s="178" t="s">
        <v>1346</v>
      </c>
      <c r="D49" s="178"/>
      <c r="E49" s="178" t="s">
        <v>1347</v>
      </c>
      <c r="F49" s="395"/>
      <c r="G49" s="180">
        <v>223625.74</v>
      </c>
      <c r="H49" s="180"/>
      <c r="I49" s="179">
        <v>1974</v>
      </c>
    </row>
    <row r="50" spans="2:9" x14ac:dyDescent="0.25">
      <c r="B50" s="178"/>
      <c r="C50" s="178" t="s">
        <v>1348</v>
      </c>
      <c r="D50" s="178"/>
      <c r="E50" s="178" t="s">
        <v>1349</v>
      </c>
      <c r="F50" s="395"/>
      <c r="G50" s="180">
        <v>876976.55</v>
      </c>
      <c r="H50" s="180"/>
      <c r="I50" s="179">
        <v>1993</v>
      </c>
    </row>
    <row r="51" spans="2:9" x14ac:dyDescent="0.25">
      <c r="B51" s="178"/>
      <c r="C51" s="178" t="s">
        <v>1350</v>
      </c>
      <c r="D51" s="178"/>
      <c r="E51" s="178" t="s">
        <v>1351</v>
      </c>
      <c r="F51" s="395"/>
      <c r="G51" s="180">
        <v>940013.97</v>
      </c>
      <c r="H51" s="180"/>
      <c r="I51" s="179">
        <v>1993</v>
      </c>
    </row>
    <row r="52" spans="2:9" x14ac:dyDescent="0.25">
      <c r="B52" s="178"/>
      <c r="C52" s="178" t="s">
        <v>1352</v>
      </c>
      <c r="D52" s="178"/>
      <c r="E52" s="178" t="s">
        <v>1353</v>
      </c>
      <c r="F52" s="395"/>
      <c r="G52" s="180">
        <v>901511</v>
      </c>
      <c r="H52" s="180"/>
      <c r="I52" s="179">
        <v>1993</v>
      </c>
    </row>
    <row r="53" spans="2:9" x14ac:dyDescent="0.25">
      <c r="B53" s="178"/>
      <c r="C53" s="178" t="s">
        <v>1354</v>
      </c>
      <c r="D53" s="178"/>
      <c r="E53" s="178" t="s">
        <v>1355</v>
      </c>
      <c r="F53" s="395"/>
      <c r="G53" s="180">
        <v>873814.51</v>
      </c>
      <c r="H53" s="180"/>
      <c r="I53" s="179">
        <v>1993</v>
      </c>
    </row>
    <row r="54" spans="2:9" x14ac:dyDescent="0.25">
      <c r="B54" s="178"/>
      <c r="C54" s="178" t="s">
        <v>1354</v>
      </c>
      <c r="D54" s="178"/>
      <c r="E54" s="178" t="s">
        <v>1356</v>
      </c>
      <c r="F54" s="395"/>
      <c r="G54" s="180">
        <v>636814.69999999995</v>
      </c>
      <c r="H54" s="180"/>
      <c r="I54" s="179">
        <v>2003</v>
      </c>
    </row>
    <row r="55" spans="2:9" x14ac:dyDescent="0.25">
      <c r="B55" s="178"/>
      <c r="C55" s="178" t="s">
        <v>1354</v>
      </c>
      <c r="D55" s="178"/>
      <c r="E55" s="178" t="s">
        <v>1339</v>
      </c>
      <c r="F55" s="395"/>
      <c r="G55" s="180">
        <v>3996480.23</v>
      </c>
      <c r="H55" s="180"/>
      <c r="I55" s="179">
        <v>2008</v>
      </c>
    </row>
    <row r="56" spans="2:9" x14ac:dyDescent="0.25">
      <c r="B56" s="178"/>
      <c r="C56" s="178"/>
      <c r="D56" s="178"/>
      <c r="E56" s="178"/>
      <c r="F56" s="178"/>
      <c r="G56" s="181">
        <f>SUM(G46:G55)</f>
        <v>8921419.6999999993</v>
      </c>
      <c r="H56" s="182"/>
      <c r="I56" s="179"/>
    </row>
    <row r="57" spans="2:9" x14ac:dyDescent="0.25">
      <c r="B57" s="178"/>
      <c r="C57" s="178"/>
      <c r="D57" s="178"/>
      <c r="E57" s="178"/>
      <c r="F57" s="178"/>
      <c r="G57" s="180"/>
      <c r="H57" s="180"/>
      <c r="I57" s="179"/>
    </row>
    <row r="58" spans="2:9" x14ac:dyDescent="0.25">
      <c r="B58" s="178" t="s">
        <v>142</v>
      </c>
      <c r="C58" s="178" t="s">
        <v>1357</v>
      </c>
      <c r="D58" s="178"/>
      <c r="E58" s="178" t="s">
        <v>1358</v>
      </c>
      <c r="F58" s="395"/>
      <c r="G58" s="180">
        <v>901156</v>
      </c>
      <c r="H58" s="180"/>
      <c r="I58" s="179">
        <v>1997</v>
      </c>
    </row>
    <row r="59" spans="2:9" x14ac:dyDescent="0.25">
      <c r="B59" s="178"/>
      <c r="C59" s="178"/>
      <c r="D59" s="178"/>
      <c r="E59" s="178"/>
      <c r="F59" s="178"/>
      <c r="G59" s="181">
        <f>SUM(G58:G58)</f>
        <v>901156</v>
      </c>
      <c r="H59" s="182"/>
      <c r="I59" s="179"/>
    </row>
    <row r="60" spans="2:9" ht="4.5" customHeight="1" x14ac:dyDescent="0.25">
      <c r="B60" s="176"/>
      <c r="C60" s="197"/>
      <c r="D60" s="197"/>
      <c r="E60" s="197"/>
      <c r="F60" s="197"/>
      <c r="G60" s="396"/>
      <c r="H60" s="397"/>
    </row>
    <row r="61" spans="2:9" x14ac:dyDescent="0.25">
      <c r="B61" s="176" t="s">
        <v>707</v>
      </c>
      <c r="C61" s="197"/>
      <c r="D61" s="197"/>
      <c r="E61" s="197"/>
      <c r="F61" s="197"/>
      <c r="G61" s="398">
        <f>SUM(G11:G60)/2</f>
        <v>30866942.269999996</v>
      </c>
      <c r="H61" s="399"/>
    </row>
  </sheetData>
  <mergeCells count="4">
    <mergeCell ref="I1:J1"/>
    <mergeCell ref="I3:J3"/>
    <mergeCell ref="A5:J5"/>
    <mergeCell ref="A6:J6"/>
  </mergeCells>
  <printOptions horizontalCentered="1"/>
  <pageMargins left="0.5" right="0.5" top="0.5" bottom="0.5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34</vt:i4>
      </vt:variant>
    </vt:vector>
  </HeadingPairs>
  <TitlesOfParts>
    <vt:vector size="56" baseType="lpstr">
      <vt:lpstr>DEF - 2 -Page 1 Summary</vt:lpstr>
      <vt:lpstr>DEF - 2 Page 2 Rate Base</vt:lpstr>
      <vt:lpstr>DEF - 2 - Page 3 Rev Reqt</vt:lpstr>
      <vt:lpstr>DEF - 2 - Page 4 Support</vt:lpstr>
      <vt:lpstr>DEF - 2 - Page 5 Storm</vt:lpstr>
      <vt:lpstr>DEF - 2 - Page 6 Notes</vt:lpstr>
      <vt:lpstr>DEF - 3, p1, 454 Rev Credits</vt:lpstr>
      <vt:lpstr>DEF - 3,  p2, 456 Rev Credits</vt:lpstr>
      <vt:lpstr>DEF - 4, p1 Step Ups</vt:lpstr>
      <vt:lpstr>DEF - 4, p2 Step Ups </vt:lpstr>
      <vt:lpstr>DEF - 4, p3 Order 2003 </vt:lpstr>
      <vt:lpstr>DEF - 5 p1 PY ADIT 190</vt:lpstr>
      <vt:lpstr>DEF - 5 p2 PY ADIT 28x</vt:lpstr>
      <vt:lpstr>DEF - 5 p3 CY ADIT 190</vt:lpstr>
      <vt:lpstr>DEF - 5 p4 CY ADIT 28x</vt:lpstr>
      <vt:lpstr>DEF - 5A Unfunded Reserves</vt:lpstr>
      <vt:lpstr>DEF - 6  p1, FF1 Inputs </vt:lpstr>
      <vt:lpstr>DEF - 6 p2, Levelized Storm</vt:lpstr>
      <vt:lpstr>DEF - 6 p3, Prepay Accting</vt:lpstr>
      <vt:lpstr>DEF - 7, Retail Radials</vt:lpstr>
      <vt:lpstr>DEF - 8 Depreciation Rates</vt:lpstr>
      <vt:lpstr>DEF - 9 CWIP Projects</vt:lpstr>
      <vt:lpstr>_YR</vt:lpstr>
      <vt:lpstr>ALLOCATORS</vt:lpstr>
      <vt:lpstr>FF1_Year</vt:lpstr>
      <vt:lpstr>L_YR</vt:lpstr>
      <vt:lpstr>L_YR_P</vt:lpstr>
      <vt:lpstr>LABOR_ALLOC</vt:lpstr>
      <vt:lpstr>'DEF - 2 - Page 3 Rev Reqt'!Print_Area</vt:lpstr>
      <vt:lpstr>'DEF - 2 - Page 4 Support'!Print_Area</vt:lpstr>
      <vt:lpstr>'DEF - 2 - Page 5 Storm'!Print_Area</vt:lpstr>
      <vt:lpstr>'DEF - 2 - Page 6 Notes'!Print_Area</vt:lpstr>
      <vt:lpstr>'DEF - 2 -Page 1 Summary'!Print_Area</vt:lpstr>
      <vt:lpstr>'DEF - 2 Page 2 Rate Base'!Print_Area</vt:lpstr>
      <vt:lpstr>'DEF - 3,  p2, 456 Rev Credits'!Print_Area</vt:lpstr>
      <vt:lpstr>'DEF - 3, p1, 454 Rev Credits'!Print_Area</vt:lpstr>
      <vt:lpstr>'DEF - 4, p1 Step Ups'!Print_Area</vt:lpstr>
      <vt:lpstr>'DEF - 4, p2 Step Ups '!Print_Area</vt:lpstr>
      <vt:lpstr>'DEF - 4, p3 Order 2003 '!Print_Area</vt:lpstr>
      <vt:lpstr>'DEF - 5 p1 PY ADIT 190'!Print_Area</vt:lpstr>
      <vt:lpstr>'DEF - 5 p2 PY ADIT 28x'!Print_Area</vt:lpstr>
      <vt:lpstr>'DEF - 5 p3 CY ADIT 190'!Print_Area</vt:lpstr>
      <vt:lpstr>'DEF - 5 p4 CY ADIT 28x'!Print_Area</vt:lpstr>
      <vt:lpstr>'DEF - 5A Unfunded Reserves'!Print_Area</vt:lpstr>
      <vt:lpstr>'DEF - 6  p1, FF1 Inputs '!Print_Area</vt:lpstr>
      <vt:lpstr>'DEF - 6 p2, Levelized Storm'!Print_Area</vt:lpstr>
      <vt:lpstr>'DEF - 6 p3, Prepay Accting'!Print_Area</vt:lpstr>
      <vt:lpstr>'DEF - 7, Retail Radials'!Print_Area</vt:lpstr>
      <vt:lpstr>'DEF - 8 Depreciation Rates'!Print_Area</vt:lpstr>
      <vt:lpstr>'DEF - 9 CWIP Projects'!Print_Area</vt:lpstr>
      <vt:lpstr>'DEF - 4, p1 Step Ups'!Print_Titles</vt:lpstr>
      <vt:lpstr>'DEF - 4, p2 Step Ups '!Print_Titles</vt:lpstr>
      <vt:lpstr>'DEF - 4, p3 Order 2003 '!Print_Titles</vt:lpstr>
      <vt:lpstr>TExp_ALLOC</vt:lpstr>
      <vt:lpstr>TP_ALLOC</vt:lpstr>
      <vt:lpstr>YR</vt:lpstr>
    </vt:vector>
  </TitlesOfParts>
  <Company>Progress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R. Morecroft, P.E.</dc:creator>
  <cp:lastModifiedBy>Graves, Paul G</cp:lastModifiedBy>
  <cp:lastPrinted>2015-08-28T20:14:04Z</cp:lastPrinted>
  <dcterms:created xsi:type="dcterms:W3CDTF">2007-01-29T20:10:20Z</dcterms:created>
  <dcterms:modified xsi:type="dcterms:W3CDTF">2015-08-31T13:35:47Z</dcterms:modified>
</cp:coreProperties>
</file>